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issing" sheetId="2" r:id="rId6"/>
    <sheet state="visible" name="Don!!" sheetId="3" r:id="rId7"/>
    <sheet state="visible" name="Stores" sheetId="4" r:id="rId8"/>
  </sheets>
  <definedNames/>
  <calcPr/>
</workbook>
</file>

<file path=xl/sharedStrings.xml><?xml version="1.0" encoding="utf-8"?>
<sst xmlns="http://schemas.openxmlformats.org/spreadsheetml/2006/main" count="754" uniqueCount="387">
  <si>
    <t>`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</si>
  <si>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</si>
  <si>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</si>
  <si>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</si>
  <si>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</si>
  <si>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</si>
  <si>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</si>
  <si>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</si>
  <si>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</si>
  <si>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</si>
  <si>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</si>
  <si>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</si>
  <si>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</si>
  <si>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</si>
  <si>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</si>
  <si>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</si>
  <si>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</si>
  <si>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</si>
  <si>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</si>
  <si>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</si>
  <si>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</si>
  <si>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</si>
  <si>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</si>
  <si>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</si>
  <si>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</si>
  <si>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</si>
  <si>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</si>
  <si>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</si>
  <si>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ST-13</t>
  </si>
  <si>
    <t>ST-14</t>
  </si>
  <si>
    <t>ST-15</t>
  </si>
  <si>
    <t>ST-16</t>
  </si>
  <si>
    <t>ST-17</t>
  </si>
  <si>
    <t>ST-18</t>
  </si>
  <si>
    <t>ST-19</t>
  </si>
  <si>
    <t>ST-20</t>
  </si>
  <si>
    <t>ST-21</t>
  </si>
  <si>
    <t>ST-22</t>
  </si>
  <si>
    <t>ST-23</t>
  </si>
  <si>
    <t>ST-24</t>
  </si>
  <si>
    <t>ST-25</t>
  </si>
  <si>
    <t>ST-26</t>
  </si>
  <si>
    <t>ST-27</t>
  </si>
  <si>
    <t>ST-28</t>
  </si>
  <si>
    <t>ST-29</t>
  </si>
  <si>
    <t>EB-01</t>
  </si>
  <si>
    <t>EB-02</t>
  </si>
  <si>
    <t>EB-03</t>
  </si>
  <si>
    <t>EB-04</t>
  </si>
  <si>
    <t>P</t>
  </si>
  <si>
    <t>DON!!</t>
  </si>
  <si>
    <t>#</t>
  </si>
  <si>
    <t>7/93</t>
  </si>
  <si>
    <t>Total</t>
  </si>
  <si>
    <t>0/192</t>
  </si>
  <si>
    <t>OP</t>
  </si>
  <si>
    <t>0/37</t>
  </si>
  <si>
    <t>0/35</t>
  </si>
  <si>
    <t>PRB</t>
  </si>
  <si>
    <t>0/120</t>
  </si>
  <si>
    <t>TO-60</t>
  </si>
  <si>
    <t>TO-52</t>
  </si>
  <si>
    <t>TO-70</t>
  </si>
  <si>
    <t>TO-120</t>
  </si>
  <si>
    <t>0/1</t>
  </si>
  <si>
    <t>CV-30</t>
  </si>
  <si>
    <t>1??</t>
  </si>
  <si>
    <t>0/3</t>
  </si>
  <si>
    <t>BB - 65</t>
  </si>
  <si>
    <t>KG-22</t>
  </si>
  <si>
    <t>TO-65</t>
  </si>
  <si>
    <t>KG-41</t>
  </si>
  <si>
    <t>TO-50</t>
  </si>
  <si>
    <t>0/2</t>
  </si>
  <si>
    <t>0/6</t>
  </si>
  <si>
    <t>CV-22</t>
  </si>
  <si>
    <t xml:space="preserve"> </t>
  </si>
  <si>
    <t>PRB01</t>
  </si>
  <si>
    <t>0/60</t>
  </si>
  <si>
    <t>PRB02</t>
  </si>
  <si>
    <t>KG-20</t>
  </si>
  <si>
    <t>Alt Leader</t>
  </si>
  <si>
    <t>Special</t>
  </si>
  <si>
    <t>Five Elders</t>
  </si>
  <si>
    <t>OP01</t>
  </si>
  <si>
    <t>OP11</t>
  </si>
  <si>
    <t>OP04</t>
  </si>
  <si>
    <t>EB03</t>
  </si>
  <si>
    <t>St. Nusjuro</t>
  </si>
  <si>
    <t>OP13-080</t>
  </si>
  <si>
    <t>Roronoa Zoro</t>
  </si>
  <si>
    <t>OP01-001</t>
  </si>
  <si>
    <t>OP11-001</t>
  </si>
  <si>
    <t>Trafalgar Law</t>
  </si>
  <si>
    <t>OP01-120</t>
  </si>
  <si>
    <t>Nami</t>
  </si>
  <si>
    <t>OP03-112</t>
  </si>
  <si>
    <t>OP13-083</t>
  </si>
  <si>
    <t>TT-137</t>
  </si>
  <si>
    <t>KG-59</t>
  </si>
  <si>
    <t>OP01-002</t>
  </si>
  <si>
    <t>OP11-002</t>
  </si>
  <si>
    <t>Boa Hancock</t>
  </si>
  <si>
    <t>OP02-013</t>
  </si>
  <si>
    <t>Uta</t>
  </si>
  <si>
    <t>St. Peter</t>
  </si>
  <si>
    <t>OP13-084</t>
  </si>
  <si>
    <t>Monkey.D.Luffy</t>
  </si>
  <si>
    <t>OP01-003</t>
  </si>
  <si>
    <t>OP11-003</t>
  </si>
  <si>
    <t>Edward Newgate</t>
  </si>
  <si>
    <t>OP03-122</t>
  </si>
  <si>
    <t>Vivi</t>
  </si>
  <si>
    <t>St. Warcury</t>
  </si>
  <si>
    <t>OP13-089</t>
  </si>
  <si>
    <t>Oden</t>
  </si>
  <si>
    <t>OP01-031</t>
  </si>
  <si>
    <t>OP11-004</t>
  </si>
  <si>
    <t>Magellan</t>
  </si>
  <si>
    <t>OP04-083</t>
  </si>
  <si>
    <t>Tashigi</t>
  </si>
  <si>
    <t>St. Mars</t>
  </si>
  <si>
    <t>OP13-091</t>
  </si>
  <si>
    <t>Doflamingo</t>
  </si>
  <si>
    <t>OP01-060</t>
  </si>
  <si>
    <t>OP11-005</t>
  </si>
  <si>
    <t>Sakazuki</t>
  </si>
  <si>
    <t>OP05-069</t>
  </si>
  <si>
    <t>Vinsmoke Reiju</t>
  </si>
  <si>
    <t>Kaido</t>
  </si>
  <si>
    <t>OP01-061</t>
  </si>
  <si>
    <t>OP11-006</t>
  </si>
  <si>
    <t>OP05 - Stained Glass</t>
  </si>
  <si>
    <t>Nico Robin</t>
  </si>
  <si>
    <t>2023 Championship</t>
  </si>
  <si>
    <t>Crocodile</t>
  </si>
  <si>
    <t>OP01-062</t>
  </si>
  <si>
    <t>OP12</t>
  </si>
  <si>
    <t>Perona</t>
  </si>
  <si>
    <t>Shanks</t>
  </si>
  <si>
    <t>KG-86</t>
  </si>
  <si>
    <t>BB-75</t>
  </si>
  <si>
    <t>King</t>
  </si>
  <si>
    <t>OP01-091</t>
  </si>
  <si>
    <t>OP12-001</t>
  </si>
  <si>
    <t>Yamato</t>
  </si>
  <si>
    <t>Jozu</t>
  </si>
  <si>
    <t>OP02-008</t>
  </si>
  <si>
    <t>OP02</t>
  </si>
  <si>
    <t>OP12-002</t>
  </si>
  <si>
    <t>Koala</t>
  </si>
  <si>
    <t>Kuzan</t>
  </si>
  <si>
    <t>OP02-096</t>
  </si>
  <si>
    <t>BB-95</t>
  </si>
  <si>
    <t>OP02-001</t>
  </si>
  <si>
    <t>OP12-003</t>
  </si>
  <si>
    <t>Rob Lucci</t>
  </si>
  <si>
    <t>OP02-099</t>
  </si>
  <si>
    <t>OP02-002</t>
  </si>
  <si>
    <t>OP12-004</t>
  </si>
  <si>
    <t>Manga</t>
  </si>
  <si>
    <t>Borsalino</t>
  </si>
  <si>
    <t>OP02-114</t>
  </si>
  <si>
    <t>KG-81</t>
  </si>
  <si>
    <t>OP02-003</t>
  </si>
  <si>
    <t>OP12-005</t>
  </si>
  <si>
    <t>Enel</t>
  </si>
  <si>
    <t>OP05-074</t>
  </si>
  <si>
    <t>OP01-016</t>
  </si>
  <si>
    <t>OP02-004</t>
  </si>
  <si>
    <t>OP12-006</t>
  </si>
  <si>
    <t>OP06</t>
  </si>
  <si>
    <t>Marco</t>
  </si>
  <si>
    <t>OP03-013</t>
  </si>
  <si>
    <t>OP02-005</t>
  </si>
  <si>
    <t>OP13</t>
  </si>
  <si>
    <t>Buggy</t>
  </si>
  <si>
    <t>Portgas.D.Ace</t>
  </si>
  <si>
    <t>2024 Championship</t>
  </si>
  <si>
    <t>OP02-006</t>
  </si>
  <si>
    <t>OP13-001</t>
  </si>
  <si>
    <t>Charlotte Linlin</t>
  </si>
  <si>
    <t>Sogeking</t>
  </si>
  <si>
    <t>Charlotte Pudding</t>
  </si>
  <si>
    <t>OP02-007</t>
  </si>
  <si>
    <t>Sugar</t>
  </si>
  <si>
    <t>Sabo</t>
  </si>
  <si>
    <t>OP03-114</t>
  </si>
  <si>
    <t>OP13-003</t>
  </si>
  <si>
    <t>Ms. All Sunday</t>
  </si>
  <si>
    <t>Shirahoshi</t>
  </si>
  <si>
    <t>OP03-116</t>
  </si>
  <si>
    <t>OP03</t>
  </si>
  <si>
    <t>OP13-004</t>
  </si>
  <si>
    <t>Captain Kid</t>
  </si>
  <si>
    <t>Charlotte Katakuri</t>
  </si>
  <si>
    <t>OP03-123</t>
  </si>
  <si>
    <t>OP03-001</t>
  </si>
  <si>
    <t>Rebecca</t>
  </si>
  <si>
    <t>OP05-119</t>
  </si>
  <si>
    <t>OP03-091</t>
  </si>
  <si>
    <t>OP03-002</t>
  </si>
  <si>
    <t>OP13-006</t>
  </si>
  <si>
    <t>OP07</t>
  </si>
  <si>
    <t>OP06-118</t>
  </si>
  <si>
    <t>OP05-086</t>
  </si>
  <si>
    <t>OP03-003</t>
  </si>
  <si>
    <t>OP14</t>
  </si>
  <si>
    <t>Okiku</t>
  </si>
  <si>
    <t>Sanji</t>
  </si>
  <si>
    <t>OP06-119</t>
  </si>
  <si>
    <t>OP07-109</t>
  </si>
  <si>
    <t>OP03-004</t>
  </si>
  <si>
    <t>OP14-001</t>
  </si>
  <si>
    <t>OP07-051</t>
  </si>
  <si>
    <t>2025 Championship</t>
  </si>
  <si>
    <t>OP03-005</t>
  </si>
  <si>
    <t>OP14-002</t>
  </si>
  <si>
    <t>Izo</t>
  </si>
  <si>
    <t>Silvers Rayleigh</t>
  </si>
  <si>
    <t>OP08-118</t>
  </si>
  <si>
    <t>OP09-004</t>
  </si>
  <si>
    <t>BB-60</t>
  </si>
  <si>
    <t>OP03-006</t>
  </si>
  <si>
    <t>Issho</t>
  </si>
  <si>
    <t>Benn.Beckman</t>
  </si>
  <si>
    <t>OP09-009</t>
  </si>
  <si>
    <t>OP03-007</t>
  </si>
  <si>
    <t>OP14-004</t>
  </si>
  <si>
    <t>OP09-051</t>
  </si>
  <si>
    <t>Yasopp</t>
  </si>
  <si>
    <t>OP09-013</t>
  </si>
  <si>
    <t>OP03-008</t>
  </si>
  <si>
    <t>OP14-005</t>
  </si>
  <si>
    <t>O-Nami</t>
  </si>
  <si>
    <t>Marshall.D.Teach</t>
  </si>
  <si>
    <t>OP09-093</t>
  </si>
  <si>
    <t>OP09-050</t>
  </si>
  <si>
    <t>OP14-006</t>
  </si>
  <si>
    <t>OP08 - Patterns</t>
  </si>
  <si>
    <t>Gol.D.Roger</t>
  </si>
  <si>
    <t>OP09-118</t>
  </si>
  <si>
    <t>OP09-065</t>
  </si>
  <si>
    <t>BB-50</t>
  </si>
  <si>
    <t>OP04-001</t>
  </si>
  <si>
    <t>EB01</t>
  </si>
  <si>
    <t>Potgas.D.Ace</t>
  </si>
  <si>
    <t>OP09-119</t>
  </si>
  <si>
    <t>OP09-076</t>
  </si>
  <si>
    <t>OP04-002</t>
  </si>
  <si>
    <t>OP10-119</t>
  </si>
  <si>
    <t>OP04-003</t>
  </si>
  <si>
    <t>Jewelry Bonney</t>
  </si>
  <si>
    <t>OP11-118</t>
  </si>
  <si>
    <t>1st Anniversary</t>
  </si>
  <si>
    <t>BB-880</t>
  </si>
  <si>
    <t>KG-101 or TO-110</t>
  </si>
  <si>
    <t>OP04-004</t>
  </si>
  <si>
    <t>OP14-003</t>
  </si>
  <si>
    <t>OdenGecko Moria</t>
  </si>
  <si>
    <t>OP12-118</t>
  </si>
  <si>
    <t>...</t>
  </si>
  <si>
    <t>OP04-005</t>
  </si>
  <si>
    <t>EB02</t>
  </si>
  <si>
    <t>Queen</t>
  </si>
  <si>
    <t>Dracule Mihawk</t>
  </si>
  <si>
    <t>OP14-119</t>
  </si>
  <si>
    <t>BB-405 or TT-357</t>
  </si>
  <si>
    <t>OP04-006</t>
  </si>
  <si>
    <t>Tony Tony.Chopper</t>
  </si>
  <si>
    <t>EB01-006</t>
  </si>
  <si>
    <t>OP05</t>
  </si>
  <si>
    <t>OP09</t>
  </si>
  <si>
    <t>EB02-061</t>
  </si>
  <si>
    <t>TO-40 or BB-50</t>
  </si>
  <si>
    <t>OP05-001</t>
  </si>
  <si>
    <t>Rosinante</t>
  </si>
  <si>
    <t>EB03-061</t>
  </si>
  <si>
    <t>OP05-002</t>
  </si>
  <si>
    <t>Zoro-Juurou</t>
  </si>
  <si>
    <t>OP05-003</t>
  </si>
  <si>
    <t>Wanted Poster</t>
  </si>
  <si>
    <t>OP05-004</t>
  </si>
  <si>
    <t>Monkey.D.Dragon</t>
  </si>
  <si>
    <t>OP01-051</t>
  </si>
  <si>
    <t>OP05-005</t>
  </si>
  <si>
    <t>OP14-007</t>
  </si>
  <si>
    <t>BB-600</t>
  </si>
  <si>
    <t>OP05-006</t>
  </si>
  <si>
    <t>OP14-008</t>
  </si>
  <si>
    <t>OP14-009</t>
  </si>
  <si>
    <t>OP10</t>
  </si>
  <si>
    <t>OP06-001</t>
  </si>
  <si>
    <t>OP14-010</t>
  </si>
  <si>
    <t>Charlotte Flampe</t>
  </si>
  <si>
    <t>OP06-002</t>
  </si>
  <si>
    <t>OP14-011</t>
  </si>
  <si>
    <t>Urouge</t>
  </si>
  <si>
    <t>OP06-003</t>
  </si>
  <si>
    <t>OP14-012</t>
  </si>
  <si>
    <t>OP13-118</t>
  </si>
  <si>
    <t>OP06-004</t>
  </si>
  <si>
    <t>OP14-013</t>
  </si>
  <si>
    <t>Sanjia</t>
  </si>
  <si>
    <t>OP13-119</t>
  </si>
  <si>
    <t>OP06-005</t>
  </si>
  <si>
    <t>OP14-014</t>
  </si>
  <si>
    <t>OP13-120</t>
  </si>
  <si>
    <t>OP06-006</t>
  </si>
  <si>
    <t>OP14-015</t>
  </si>
  <si>
    <t>Uso-Hachi</t>
  </si>
  <si>
    <t>ST01-012</t>
  </si>
  <si>
    <t>OP14-016</t>
  </si>
  <si>
    <t>OP11 - Poker Style</t>
  </si>
  <si>
    <t>ST03-009</t>
  </si>
  <si>
    <t>BB-60 or TO-70</t>
  </si>
  <si>
    <t>OP07-001</t>
  </si>
  <si>
    <t>OP14-017</t>
  </si>
  <si>
    <t>ST04-003</t>
  </si>
  <si>
    <t>OP07-002</t>
  </si>
  <si>
    <t>OP14-018</t>
  </si>
  <si>
    <t>OP07-003</t>
  </si>
  <si>
    <t>OP14-019</t>
  </si>
  <si>
    <t>Stussy</t>
  </si>
  <si>
    <t>OP07-004</t>
  </si>
  <si>
    <t>OP14-020</t>
  </si>
  <si>
    <t>OP07-005</t>
  </si>
  <si>
    <t>OP14-021</t>
  </si>
  <si>
    <t>OP07-006</t>
  </si>
  <si>
    <t>OP14-022</t>
  </si>
  <si>
    <t>Luffy-Tarou</t>
  </si>
  <si>
    <t>OP08</t>
  </si>
  <si>
    <t>OP14-023</t>
  </si>
  <si>
    <t>OP12 - Black Background</t>
  </si>
  <si>
    <t>OP08-001</t>
  </si>
  <si>
    <t>OP14-024</t>
  </si>
  <si>
    <t>OP08-002</t>
  </si>
  <si>
    <t>OP14-025</t>
  </si>
  <si>
    <t>OP08-003</t>
  </si>
  <si>
    <t>OP14-026</t>
  </si>
  <si>
    <t>Lim</t>
  </si>
  <si>
    <t>OP08-004</t>
  </si>
  <si>
    <t>OP08-005</t>
  </si>
  <si>
    <t>OP08-006</t>
  </si>
  <si>
    <t>EB04</t>
  </si>
  <si>
    <t>BB-65</t>
  </si>
  <si>
    <t>OP09-001</t>
  </si>
  <si>
    <t>OP09-002</t>
  </si>
  <si>
    <t>OP09-003</t>
  </si>
  <si>
    <t>Lilith</t>
  </si>
  <si>
    <t>OP09-005</t>
  </si>
  <si>
    <t>OP09-006</t>
  </si>
  <si>
    <t>Benn Beckman</t>
  </si>
  <si>
    <t>OP10-001</t>
  </si>
  <si>
    <t>Smoker</t>
  </si>
  <si>
    <t>TO-80</t>
  </si>
  <si>
    <t>OP10-002</t>
  </si>
  <si>
    <t>OP10-003</t>
  </si>
  <si>
    <t>Kid and Killer</t>
  </si>
  <si>
    <t>OP10-004</t>
  </si>
  <si>
    <t>Edward Weevil</t>
  </si>
  <si>
    <t>OP10-005</t>
  </si>
  <si>
    <t>OP10-006</t>
  </si>
  <si>
    <t>Sengoku</t>
  </si>
  <si>
    <t>BB-100</t>
  </si>
  <si>
    <t>BB-190</t>
  </si>
  <si>
    <t>TO-250</t>
  </si>
  <si>
    <t>PRB-01 (1/30)</t>
  </si>
  <si>
    <t>PRB-02 (9/30)</t>
  </si>
  <si>
    <t>Knight Gaming</t>
  </si>
  <si>
    <t>Pickup Ready</t>
  </si>
  <si>
    <t>Marvelous Hobbies:</t>
  </si>
  <si>
    <t>Big Bang Shop:</t>
  </si>
  <si>
    <t>Marvelous Hobbies</t>
  </si>
  <si>
    <t>Tanuki Trading</t>
  </si>
  <si>
    <t>Processing Shipping</t>
  </si>
  <si>
    <t>Big Bang Shop</t>
  </si>
  <si>
    <t>Bob Shop - GeekHaven</t>
  </si>
  <si>
    <t>-</t>
  </si>
  <si>
    <t>Recieved</t>
  </si>
  <si>
    <t>Bob Shop - CollectiVerse</t>
  </si>
  <si>
    <t>Aliexpress</t>
  </si>
  <si>
    <t>Shipping to S.A. (2)</t>
  </si>
  <si>
    <t>Temu</t>
  </si>
  <si>
    <t>Slide Gaming</t>
  </si>
  <si>
    <t>Toadtrader</t>
  </si>
  <si>
    <t>Mirage Gaming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</si>
</sst>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Monospace"/>
    </font>
    <font>
      <sz val="11.0"/>
      <color theme="1"/>
      <name val="Monospace"/>
    </font>
    <font>
      <color rgb="FF000000"/>
      <name val="Arial"/>
      <scheme val="minor"/>
    </font>
    <font/>
    <font>
      <b/>
      <color theme="1"/>
      <name val="Arial"/>
    </font>
    <font>
      <sz val="11.0"/>
      <color rgb="FFE6E8F0"/>
      <name val="Arial"/>
    </font>
    <font>
      <sz val="11.0"/>
      <color rgb="FFE6E8F0"/>
      <name val="Monospace"/>
    </font>
  </fonts>
  <fills count="2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2" fontId="3" numFmtId="0" xfId="0" applyFont="1"/>
    <xf borderId="3" fillId="3" fontId="3" numFmtId="0" xfId="0" applyAlignment="1" applyBorder="1" applyFont="1">
      <alignment readingOrder="0"/>
    </xf>
    <xf borderId="3" fillId="2" fontId="3" numFmtId="0" xfId="0" applyBorder="1" applyFont="1"/>
    <xf borderId="5" fillId="3" fontId="3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0" fillId="4" fontId="4" numFmtId="0" xfId="0" applyFill="1" applyFont="1"/>
    <xf borderId="0" fillId="4" fontId="5" numFmtId="0" xfId="0" applyAlignment="1" applyFont="1">
      <alignment vertical="bottom"/>
    </xf>
    <xf borderId="3" fillId="4" fontId="4" numFmtId="0" xfId="0" applyBorder="1" applyFont="1"/>
    <xf borderId="5" fillId="4" fontId="4" numFmtId="0" xfId="0" applyBorder="1" applyFont="1"/>
    <xf borderId="3" fillId="3" fontId="3" numFmtId="0" xfId="0" applyBorder="1" applyFont="1"/>
    <xf borderId="6" fillId="3" fontId="3" numFmtId="0" xfId="0" applyAlignment="1" applyBorder="1" applyFont="1">
      <alignment readingOrder="0"/>
    </xf>
    <xf borderId="6" fillId="3" fontId="2" numFmtId="0" xfId="0" applyAlignment="1" applyBorder="1" applyFont="1">
      <alignment vertical="bottom"/>
    </xf>
    <xf borderId="1" fillId="3" fontId="3" numFmtId="0" xfId="0" applyAlignment="1" applyBorder="1" applyFont="1">
      <alignment readingOrder="0"/>
    </xf>
    <xf borderId="5" fillId="3" fontId="3" numFmtId="0" xfId="0" applyBorder="1" applyFont="1"/>
    <xf borderId="4" fillId="2" fontId="1" numFmtId="0" xfId="0" applyAlignment="1" applyBorder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7" fillId="7" fontId="3" numFmtId="0" xfId="0" applyAlignment="1" applyBorder="1" applyFill="1" applyFont="1">
      <alignment readingOrder="0"/>
    </xf>
    <xf borderId="7" fillId="2" fontId="3" numFmtId="0" xfId="0" applyBorder="1" applyFont="1"/>
    <xf borderId="5" fillId="6" fontId="3" numFmtId="0" xfId="0" applyAlignment="1" applyBorder="1" applyFont="1">
      <alignment readingOrder="0"/>
    </xf>
    <xf borderId="0" fillId="8" fontId="3" numFmtId="0" xfId="0" applyFill="1" applyFont="1"/>
    <xf borderId="0" fillId="0" fontId="3" numFmtId="0" xfId="0" applyAlignment="1" applyFont="1">
      <alignment readingOrder="0"/>
    </xf>
    <xf borderId="0" fillId="4" fontId="3" numFmtId="0" xfId="0" applyFont="1"/>
    <xf borderId="3" fillId="6" fontId="3" numFmtId="0" xfId="0" applyAlignment="1" applyBorder="1" applyFont="1">
      <alignment readingOrder="0"/>
    </xf>
    <xf borderId="8" fillId="6" fontId="3" numFmtId="0" xfId="0" applyAlignment="1" applyBorder="1" applyFont="1">
      <alignment readingOrder="0"/>
    </xf>
    <xf borderId="0" fillId="9" fontId="6" numFmtId="0" xfId="0" applyAlignment="1" applyFill="1" applyFont="1">
      <alignment readingOrder="0"/>
    </xf>
    <xf borderId="4" fillId="7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3" numFmtId="164" xfId="0" applyAlignment="1" applyBorder="1" applyFont="1" applyNumberFormat="1">
      <alignment readingOrder="0"/>
    </xf>
    <xf borderId="7" fillId="2" fontId="1" numFmtId="0" xfId="0" applyAlignment="1" applyBorder="1" applyFont="1">
      <alignment readingOrder="0"/>
    </xf>
    <xf borderId="0" fillId="10" fontId="3" numFmtId="0" xfId="0" applyAlignment="1" applyFill="1" applyFont="1">
      <alignment readingOrder="0"/>
    </xf>
    <xf borderId="7" fillId="11" fontId="3" numFmtId="0" xfId="0" applyBorder="1" applyFill="1" applyFont="1"/>
    <xf borderId="5" fillId="0" fontId="3" numFmtId="0" xfId="0" applyBorder="1" applyFont="1"/>
    <xf borderId="10" fillId="0" fontId="3" numFmtId="0" xfId="0" applyAlignment="1" applyBorder="1" applyFont="1">
      <alignment readingOrder="0"/>
    </xf>
    <xf borderId="3" fillId="0" fontId="3" numFmtId="0" xfId="0" applyBorder="1" applyFont="1"/>
    <xf borderId="3" fillId="11" fontId="3" numFmtId="0" xfId="0" applyBorder="1" applyFont="1"/>
    <xf borderId="0" fillId="12" fontId="3" numFmtId="0" xfId="0" applyAlignment="1" applyFill="1" applyFont="1">
      <alignment readingOrder="0"/>
    </xf>
    <xf borderId="0" fillId="8" fontId="3" numFmtId="0" xfId="0" applyAlignment="1" applyFont="1">
      <alignment readingOrder="0"/>
    </xf>
    <xf borderId="3" fillId="13" fontId="3" numFmtId="0" xfId="0" applyAlignment="1" applyBorder="1" applyFill="1" applyFont="1">
      <alignment readingOrder="0"/>
    </xf>
    <xf borderId="0" fillId="11" fontId="3" numFmtId="0" xfId="0" applyFont="1"/>
    <xf borderId="9" fillId="2" fontId="3" numFmtId="0" xfId="0" applyBorder="1" applyFont="1"/>
    <xf borderId="11" fillId="2" fontId="3" numFmtId="0" xfId="0" applyBorder="1" applyFont="1"/>
    <xf borderId="8" fillId="2" fontId="3" numFmtId="0" xfId="0" applyBorder="1" applyFont="1"/>
    <xf borderId="4" fillId="2" fontId="3" numFmtId="0" xfId="0" applyBorder="1" applyFont="1"/>
    <xf borderId="3" fillId="8" fontId="3" numFmtId="0" xfId="0" applyBorder="1" applyFont="1"/>
    <xf borderId="7" fillId="8" fontId="3" numFmtId="0" xfId="0" applyAlignment="1" applyBorder="1" applyFont="1">
      <alignment readingOrder="0"/>
    </xf>
    <xf borderId="5" fillId="2" fontId="3" numFmtId="0" xfId="0" applyBorder="1" applyFont="1"/>
    <xf borderId="0" fillId="0" fontId="3" numFmtId="0" xfId="0" applyFont="1"/>
    <xf borderId="7" fillId="0" fontId="3" numFmtId="0" xfId="0" applyBorder="1" applyFont="1"/>
    <xf borderId="7" fillId="8" fontId="3" numFmtId="0" xfId="0" applyBorder="1" applyFont="1"/>
    <xf borderId="3" fillId="12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7" fillId="11" fontId="3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" fillId="0" fontId="3" numFmtId="0" xfId="0" applyBorder="1" applyFont="1"/>
    <xf borderId="6" fillId="0" fontId="3" numFmtId="0" xfId="0" applyBorder="1" applyFont="1"/>
    <xf borderId="11" fillId="2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2" fillId="4" fontId="1" numFmtId="0" xfId="0" applyAlignment="1" applyBorder="1" applyFont="1">
      <alignment readingOrder="0"/>
    </xf>
    <xf borderId="13" fillId="0" fontId="7" numFmtId="0" xfId="0" applyBorder="1" applyFont="1"/>
    <xf borderId="1" fillId="3" fontId="1" numFmtId="0" xfId="0" applyAlignment="1" applyBorder="1" applyFont="1">
      <alignment horizontal="center" readingOrder="0"/>
    </xf>
    <xf borderId="6" fillId="0" fontId="7" numFmtId="0" xfId="0" applyBorder="1" applyFont="1"/>
    <xf borderId="14" fillId="0" fontId="7" numFmtId="0" xfId="0" applyBorder="1" applyFont="1"/>
    <xf borderId="12" fillId="3" fontId="1" numFmtId="0" xfId="0" applyAlignment="1" applyBorder="1" applyFont="1">
      <alignment horizontal="center" readingOrder="0"/>
    </xf>
    <xf borderId="15" fillId="0" fontId="7" numFmtId="0" xfId="0" applyBorder="1" applyFont="1"/>
    <xf borderId="7" fillId="0" fontId="7" numFmtId="0" xfId="0" applyBorder="1" applyFont="1"/>
    <xf borderId="3" fillId="6" fontId="2" numFmtId="0" xfId="0" applyAlignment="1" applyBorder="1" applyFont="1">
      <alignment readingOrder="0" vertical="bottom"/>
    </xf>
    <xf borderId="0" fillId="6" fontId="2" numFmtId="0" xfId="0" applyAlignment="1" applyFont="1">
      <alignment vertical="bottom"/>
    </xf>
    <xf borderId="1" fillId="6" fontId="3" numFmtId="0" xfId="0" applyAlignment="1" applyBorder="1" applyFont="1">
      <alignment readingOrder="0"/>
    </xf>
    <xf borderId="6" fillId="6" fontId="3" numFmtId="0" xfId="0" applyAlignment="1" applyBorder="1" applyFont="1">
      <alignment readingOrder="0"/>
    </xf>
    <xf borderId="3" fillId="7" fontId="3" numFmtId="0" xfId="0" applyAlignment="1" applyBorder="1" applyFont="1">
      <alignment readingOrder="0"/>
    </xf>
    <xf borderId="0" fillId="7" fontId="3" numFmtId="0" xfId="0" applyAlignment="1" applyFont="1">
      <alignment readingOrder="0"/>
    </xf>
    <xf borderId="3" fillId="14" fontId="3" numFmtId="0" xfId="0" applyAlignment="1" applyBorder="1" applyFill="1" applyFont="1">
      <alignment readingOrder="0"/>
    </xf>
    <xf borderId="0" fillId="14" fontId="3" numFmtId="0" xfId="0" applyAlignment="1" applyFont="1">
      <alignment readingOrder="0"/>
    </xf>
    <xf borderId="0" fillId="15" fontId="3" numFmtId="0" xfId="0" applyFill="1" applyFont="1"/>
    <xf borderId="1" fillId="6" fontId="2" numFmtId="0" xfId="0" applyAlignment="1" applyBorder="1" applyFont="1">
      <alignment readingOrder="0" vertical="bottom"/>
    </xf>
    <xf borderId="6" fillId="6" fontId="2" numFmtId="0" xfId="0" applyAlignment="1" applyBorder="1" applyFont="1">
      <alignment vertical="bottom"/>
    </xf>
    <xf borderId="7" fillId="14" fontId="3" numFmtId="0" xfId="0" applyAlignment="1" applyBorder="1" applyFont="1">
      <alignment readingOrder="0"/>
    </xf>
    <xf borderId="3" fillId="14" fontId="2" numFmtId="0" xfId="0" applyAlignment="1" applyBorder="1" applyFont="1">
      <alignment readingOrder="0" vertical="bottom"/>
    </xf>
    <xf borderId="0" fillId="14" fontId="2" numFmtId="0" xfId="0" applyAlignment="1" applyFont="1">
      <alignment readingOrder="0" vertical="bottom"/>
    </xf>
    <xf borderId="12" fillId="4" fontId="8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0" fontId="3" numFmtId="0" xfId="0" applyAlignment="1" applyBorder="1" applyFont="1">
      <alignment readingOrder="0"/>
    </xf>
    <xf borderId="3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1" fontId="3" numFmtId="0" xfId="0" applyAlignment="1" applyFont="1">
      <alignment readingOrder="0"/>
    </xf>
    <xf borderId="0" fillId="6" fontId="2" numFmtId="0" xfId="0" applyAlignment="1" applyFont="1">
      <alignment readingOrder="0" vertical="bottom"/>
    </xf>
    <xf borderId="1" fillId="7" fontId="3" numFmtId="0" xfId="0" applyAlignment="1" applyBorder="1" applyFont="1">
      <alignment readingOrder="0"/>
    </xf>
    <xf borderId="6" fillId="7" fontId="3" numFmtId="0" xfId="0" applyAlignment="1" applyBorder="1" applyFont="1">
      <alignment readingOrder="0"/>
    </xf>
    <xf borderId="3" fillId="6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1" fillId="6" fontId="2" numFmtId="0" xfId="0" applyAlignment="1" applyBorder="1" applyFont="1">
      <alignment vertical="bottom"/>
    </xf>
    <xf borderId="6" fillId="6" fontId="2" numFmtId="0" xfId="0" applyAlignment="1" applyBorder="1" applyFont="1">
      <alignment vertical="bottom"/>
    </xf>
    <xf borderId="0" fillId="6" fontId="1" numFmtId="0" xfId="0" applyAlignment="1" applyFont="1">
      <alignment readingOrder="0"/>
    </xf>
    <xf borderId="0" fillId="11" fontId="1" numFmtId="0" xfId="0" applyAlignment="1" applyFont="1">
      <alignment readingOrder="0"/>
    </xf>
    <xf borderId="1" fillId="16" fontId="3" numFmtId="0" xfId="0" applyAlignment="1" applyBorder="1" applyFill="1" applyFont="1">
      <alignment readingOrder="0"/>
    </xf>
    <xf borderId="6" fillId="16" fontId="3" numFmtId="0" xfId="0" applyAlignment="1" applyBorder="1" applyFont="1">
      <alignment readingOrder="0"/>
    </xf>
    <xf borderId="0" fillId="16" fontId="3" numFmtId="0" xfId="0" applyAlignment="1" applyFont="1">
      <alignment readingOrder="0"/>
    </xf>
    <xf borderId="14" fillId="16" fontId="3" numFmtId="0" xfId="0" applyBorder="1" applyFont="1"/>
    <xf borderId="2" fillId="16" fontId="3" numFmtId="0" xfId="0" applyAlignment="1" applyBorder="1" applyFont="1">
      <alignment readingOrder="0"/>
    </xf>
    <xf borderId="0" fillId="13" fontId="3" numFmtId="0" xfId="0" applyAlignment="1" applyFont="1">
      <alignment readingOrder="0"/>
    </xf>
    <xf borderId="1" fillId="14" fontId="3" numFmtId="0" xfId="0" applyAlignment="1" applyBorder="1" applyFont="1">
      <alignment readingOrder="0"/>
    </xf>
    <xf borderId="6" fillId="14" fontId="3" numFmtId="0" xfId="0" applyAlignment="1" applyBorder="1" applyFont="1">
      <alignment readingOrder="0"/>
    </xf>
    <xf borderId="2" fillId="0" fontId="3" numFmtId="0" xfId="0" applyBorder="1" applyFont="1"/>
    <xf borderId="7" fillId="16" fontId="3" numFmtId="0" xfId="0" applyAlignment="1" applyBorder="1" applyFont="1">
      <alignment readingOrder="0"/>
    </xf>
    <xf borderId="14" fillId="16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14" fillId="6" fontId="3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5" fillId="16" fontId="3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Font="1"/>
    <xf borderId="0" fillId="14" fontId="3" numFmtId="0" xfId="0" applyFont="1"/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14" fillId="0" fontId="3" numFmtId="0" xfId="0" applyBorder="1" applyFont="1"/>
    <xf borderId="14" fillId="2" fontId="1" numFmtId="0" xfId="0" applyAlignment="1" applyBorder="1" applyFont="1">
      <alignment readingOrder="0"/>
    </xf>
    <xf borderId="6" fillId="17" fontId="1" numFmtId="0" xfId="0" applyAlignment="1" applyBorder="1" applyFill="1" applyFont="1">
      <alignment readingOrder="0"/>
    </xf>
    <xf borderId="14" fillId="17" fontId="1" numFmtId="0" xfId="0" applyAlignment="1" applyBorder="1" applyFont="1">
      <alignment readingOrder="0"/>
    </xf>
    <xf borderId="0" fillId="18" fontId="3" numFmtId="0" xfId="0" applyFill="1" applyFont="1"/>
    <xf borderId="0" fillId="6" fontId="3" numFmtId="0" xfId="0" applyFont="1"/>
    <xf borderId="0" fillId="10" fontId="3" numFmtId="0" xfId="0" applyFont="1"/>
    <xf borderId="0" fillId="18" fontId="3" numFmtId="0" xfId="0" applyAlignment="1" applyFont="1">
      <alignment readingOrder="0"/>
    </xf>
    <xf borderId="0" fillId="7" fontId="3" numFmtId="0" xfId="0" applyFont="1"/>
    <xf borderId="0" fillId="9" fontId="3" numFmtId="0" xfId="0" applyFont="1"/>
    <xf borderId="0" fillId="12" fontId="3" numFmtId="0" xfId="0" applyFont="1"/>
    <xf borderId="0" fillId="19" fontId="3" numFmtId="0" xfId="0" applyFill="1" applyFont="1"/>
    <xf borderId="0" fillId="13" fontId="3" numFmtId="0" xfId="0" applyFont="1"/>
  </cellXfs>
  <cellStyles count="1">
    <cellStyle xfId="0" name="Normal" builtinId="0"/>
  </cellStyles>
  <dxfs count="6">
    <dxf>
      <font/>
      <fill>
        <patternFill patternType="solid">
          <fgColor rgb="FFD9D9D9"/>
          <bgColor rgb="FFD9D9D9"/>
        </patternFill>
      </fill>
      <border/>
    </dxf>
    <dxf>
      <font>
        <color rgb="FFD9D9D9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on!!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5.jpg"/><Relationship Id="rId20" Type="http://schemas.openxmlformats.org/officeDocument/2006/relationships/image" Target="../media/image7.jpg"/><Relationship Id="rId42" Type="http://schemas.openxmlformats.org/officeDocument/2006/relationships/image" Target="../media/image1.jpg"/><Relationship Id="rId41" Type="http://schemas.openxmlformats.org/officeDocument/2006/relationships/image" Target="../media/image2.jpg"/><Relationship Id="rId22" Type="http://schemas.openxmlformats.org/officeDocument/2006/relationships/image" Target="../media/image38.jpg"/><Relationship Id="rId44" Type="http://schemas.openxmlformats.org/officeDocument/2006/relationships/image" Target="../media/image3.jpg"/><Relationship Id="rId21" Type="http://schemas.openxmlformats.org/officeDocument/2006/relationships/image" Target="../media/image18.jpg"/><Relationship Id="rId43" Type="http://schemas.openxmlformats.org/officeDocument/2006/relationships/image" Target="../media/image32.jpg"/><Relationship Id="rId24" Type="http://schemas.openxmlformats.org/officeDocument/2006/relationships/image" Target="../media/image6.jpg"/><Relationship Id="rId46" Type="http://schemas.openxmlformats.org/officeDocument/2006/relationships/image" Target="../media/image36.jpg"/><Relationship Id="rId23" Type="http://schemas.openxmlformats.org/officeDocument/2006/relationships/image" Target="../media/image54.jpg"/><Relationship Id="rId45" Type="http://schemas.openxmlformats.org/officeDocument/2006/relationships/image" Target="../media/image19.png"/><Relationship Id="rId1" Type="http://schemas.openxmlformats.org/officeDocument/2006/relationships/image" Target="../media/image33.png"/><Relationship Id="rId2" Type="http://schemas.openxmlformats.org/officeDocument/2006/relationships/image" Target="../media/image10.jpg"/><Relationship Id="rId3" Type="http://schemas.openxmlformats.org/officeDocument/2006/relationships/image" Target="../media/image46.jpg"/><Relationship Id="rId4" Type="http://schemas.openxmlformats.org/officeDocument/2006/relationships/image" Target="../media/image41.jpg"/><Relationship Id="rId9" Type="http://schemas.openxmlformats.org/officeDocument/2006/relationships/image" Target="../media/image25.jpg"/><Relationship Id="rId26" Type="http://schemas.openxmlformats.org/officeDocument/2006/relationships/image" Target="../media/image31.jpg"/><Relationship Id="rId48" Type="http://schemas.openxmlformats.org/officeDocument/2006/relationships/image" Target="../media/image51.jpg"/><Relationship Id="rId25" Type="http://schemas.openxmlformats.org/officeDocument/2006/relationships/image" Target="../media/image43.jpg"/><Relationship Id="rId47" Type="http://schemas.openxmlformats.org/officeDocument/2006/relationships/image" Target="../media/image42.jpg"/><Relationship Id="rId28" Type="http://schemas.openxmlformats.org/officeDocument/2006/relationships/image" Target="../media/image20.jpg"/><Relationship Id="rId27" Type="http://schemas.openxmlformats.org/officeDocument/2006/relationships/image" Target="../media/image24.jpg"/><Relationship Id="rId5" Type="http://schemas.openxmlformats.org/officeDocument/2006/relationships/image" Target="../media/image34.jpg"/><Relationship Id="rId6" Type="http://schemas.openxmlformats.org/officeDocument/2006/relationships/image" Target="../media/image30.jpg"/><Relationship Id="rId29" Type="http://schemas.openxmlformats.org/officeDocument/2006/relationships/image" Target="../media/image13.jpg"/><Relationship Id="rId7" Type="http://schemas.openxmlformats.org/officeDocument/2006/relationships/image" Target="../media/image4.jpg"/><Relationship Id="rId8" Type="http://schemas.openxmlformats.org/officeDocument/2006/relationships/image" Target="../media/image37.jpg"/><Relationship Id="rId31" Type="http://schemas.openxmlformats.org/officeDocument/2006/relationships/image" Target="../media/image17.jpg"/><Relationship Id="rId30" Type="http://schemas.openxmlformats.org/officeDocument/2006/relationships/image" Target="../media/image11.jpg"/><Relationship Id="rId11" Type="http://schemas.openxmlformats.org/officeDocument/2006/relationships/image" Target="../media/image8.jpg"/><Relationship Id="rId33" Type="http://schemas.openxmlformats.org/officeDocument/2006/relationships/image" Target="../media/image28.jpg"/><Relationship Id="rId10" Type="http://schemas.openxmlformats.org/officeDocument/2006/relationships/image" Target="../media/image40.jpg"/><Relationship Id="rId32" Type="http://schemas.openxmlformats.org/officeDocument/2006/relationships/image" Target="../media/image26.jpg"/><Relationship Id="rId13" Type="http://schemas.openxmlformats.org/officeDocument/2006/relationships/image" Target="../media/image9.jpg"/><Relationship Id="rId35" Type="http://schemas.openxmlformats.org/officeDocument/2006/relationships/image" Target="../media/image12.jpg"/><Relationship Id="rId12" Type="http://schemas.openxmlformats.org/officeDocument/2006/relationships/image" Target="../media/image22.jpg"/><Relationship Id="rId34" Type="http://schemas.openxmlformats.org/officeDocument/2006/relationships/image" Target="../media/image39.jpg"/><Relationship Id="rId15" Type="http://schemas.openxmlformats.org/officeDocument/2006/relationships/image" Target="../media/image14.jpg"/><Relationship Id="rId37" Type="http://schemas.openxmlformats.org/officeDocument/2006/relationships/image" Target="../media/image27.jpg"/><Relationship Id="rId14" Type="http://schemas.openxmlformats.org/officeDocument/2006/relationships/image" Target="../media/image45.jpg"/><Relationship Id="rId36" Type="http://schemas.openxmlformats.org/officeDocument/2006/relationships/image" Target="../media/image23.jpg"/><Relationship Id="rId17" Type="http://schemas.openxmlformats.org/officeDocument/2006/relationships/image" Target="../media/image21.jpg"/><Relationship Id="rId39" Type="http://schemas.openxmlformats.org/officeDocument/2006/relationships/image" Target="../media/image16.jpg"/><Relationship Id="rId16" Type="http://schemas.openxmlformats.org/officeDocument/2006/relationships/image" Target="../media/image50.jpg"/><Relationship Id="rId38" Type="http://schemas.openxmlformats.org/officeDocument/2006/relationships/image" Target="../media/image35.jpg"/><Relationship Id="rId19" Type="http://schemas.openxmlformats.org/officeDocument/2006/relationships/image" Target="../media/image29.jpg"/><Relationship Id="rId18" Type="http://schemas.openxmlformats.org/officeDocument/2006/relationships/image" Target="../media/image1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3.png"/><Relationship Id="rId3" Type="http://schemas.openxmlformats.org/officeDocument/2006/relationships/image" Target="../media/image44.png"/><Relationship Id="rId4" Type="http://schemas.openxmlformats.org/officeDocument/2006/relationships/image" Target="../media/image52.png"/><Relationship Id="rId5" Type="http://schemas.openxmlformats.org/officeDocument/2006/relationships/image" Target="../media/image49.png"/><Relationship Id="rId6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1</xdr:row>
      <xdr:rowOff>161925</xdr:rowOff>
    </xdr:from>
    <xdr:ext cx="1666875" cy="23050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2</xdr:row>
      <xdr:rowOff>276225</xdr:rowOff>
    </xdr:from>
    <xdr:ext cx="1685925" cy="2305050"/>
    <xdr:pic>
      <xdr:nvPicPr>
        <xdr:cNvPr id="0" name="image10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</xdr:row>
      <xdr:rowOff>228600</xdr:rowOff>
    </xdr:from>
    <xdr:ext cx="1733550" cy="2390775"/>
    <xdr:pic>
      <xdr:nvPicPr>
        <xdr:cNvPr id="0" name="image46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</xdr:row>
      <xdr:rowOff>104775</xdr:rowOff>
    </xdr:from>
    <xdr:ext cx="1905000" cy="2657475"/>
    <xdr:pic>
      <xdr:nvPicPr>
        <xdr:cNvPr id="0" name="image4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</xdr:row>
      <xdr:rowOff>104775</xdr:rowOff>
    </xdr:from>
    <xdr:ext cx="1905000" cy="2657475"/>
    <xdr:pic>
      <xdr:nvPicPr>
        <xdr:cNvPr id="0" name="image34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</xdr:row>
      <xdr:rowOff>104775</xdr:rowOff>
    </xdr:from>
    <xdr:ext cx="1914525" cy="2657475"/>
    <xdr:pic>
      <xdr:nvPicPr>
        <xdr:cNvPr id="0" name="image30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</xdr:row>
      <xdr:rowOff>295275</xdr:rowOff>
    </xdr:from>
    <xdr:ext cx="1619250" cy="2286000"/>
    <xdr:pic>
      <xdr:nvPicPr>
        <xdr:cNvPr id="0" name="image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2</xdr:row>
      <xdr:rowOff>238125</xdr:rowOff>
    </xdr:from>
    <xdr:ext cx="1628775" cy="2286000"/>
    <xdr:pic>
      <xdr:nvPicPr>
        <xdr:cNvPr id="0" name="image37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</xdr:row>
      <xdr:rowOff>276225</xdr:rowOff>
    </xdr:from>
    <xdr:ext cx="1619250" cy="2286000"/>
    <xdr:pic>
      <xdr:nvPicPr>
        <xdr:cNvPr id="0" name="image25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</xdr:row>
      <xdr:rowOff>57150</xdr:rowOff>
    </xdr:from>
    <xdr:ext cx="1905000" cy="2657475"/>
    <xdr:pic>
      <xdr:nvPicPr>
        <xdr:cNvPr id="0" name="image40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</xdr:row>
      <xdr:rowOff>171450</xdr:rowOff>
    </xdr:from>
    <xdr:ext cx="1638300" cy="2286000"/>
    <xdr:pic>
      <xdr:nvPicPr>
        <xdr:cNvPr id="0" name="image8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2</xdr:row>
      <xdr:rowOff>295275</xdr:rowOff>
    </xdr:from>
    <xdr:ext cx="1628775" cy="2286000"/>
    <xdr:pic>
      <xdr:nvPicPr>
        <xdr:cNvPr id="0" name="image22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3</xdr:row>
      <xdr:rowOff>276225</xdr:rowOff>
    </xdr:from>
    <xdr:ext cx="1628775" cy="2286000"/>
    <xdr:pic>
      <xdr:nvPicPr>
        <xdr:cNvPr id="0" name="image9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</xdr:row>
      <xdr:rowOff>228600</xdr:rowOff>
    </xdr:from>
    <xdr:ext cx="1628775" cy="2286000"/>
    <xdr:pic>
      <xdr:nvPicPr>
        <xdr:cNvPr id="0" name="image45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2</xdr:row>
      <xdr:rowOff>295275</xdr:rowOff>
    </xdr:from>
    <xdr:ext cx="1628775" cy="2286000"/>
    <xdr:pic>
      <xdr:nvPicPr>
        <xdr:cNvPr id="0" name="image14.jp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3</xdr:row>
      <xdr:rowOff>276225</xdr:rowOff>
    </xdr:from>
    <xdr:ext cx="1628775" cy="2286000"/>
    <xdr:pic>
      <xdr:nvPicPr>
        <xdr:cNvPr id="0" name="image50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1</xdr:row>
      <xdr:rowOff>228600</xdr:rowOff>
    </xdr:from>
    <xdr:ext cx="1714500" cy="2286000"/>
    <xdr:pic>
      <xdr:nvPicPr>
        <xdr:cNvPr id="0" name="image21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2</xdr:row>
      <xdr:rowOff>104775</xdr:rowOff>
    </xdr:from>
    <xdr:ext cx="1666875" cy="2286000"/>
    <xdr:pic>
      <xdr:nvPicPr>
        <xdr:cNvPr id="0" name="image15.jp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</xdr:row>
      <xdr:rowOff>152400</xdr:rowOff>
    </xdr:from>
    <xdr:ext cx="1628775" cy="2286000"/>
    <xdr:pic>
      <xdr:nvPicPr>
        <xdr:cNvPr id="0" name="image29.jp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2</xdr:row>
      <xdr:rowOff>152400</xdr:rowOff>
    </xdr:from>
    <xdr:ext cx="1628775" cy="2286000"/>
    <xdr:pic>
      <xdr:nvPicPr>
        <xdr:cNvPr id="0" name="image7.jp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3</xdr:row>
      <xdr:rowOff>152400</xdr:rowOff>
    </xdr:from>
    <xdr:ext cx="1647825" cy="2286000"/>
    <xdr:pic>
      <xdr:nvPicPr>
        <xdr:cNvPr id="0" name="image18.jp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1</xdr:row>
      <xdr:rowOff>152400</xdr:rowOff>
    </xdr:from>
    <xdr:ext cx="1609725" cy="2286000"/>
    <xdr:pic>
      <xdr:nvPicPr>
        <xdr:cNvPr id="0" name="image38.jp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</xdr:row>
      <xdr:rowOff>152400</xdr:rowOff>
    </xdr:from>
    <xdr:ext cx="1628775" cy="2286000"/>
    <xdr:pic>
      <xdr:nvPicPr>
        <xdr:cNvPr id="0" name="image54.jp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1</xdr:row>
      <xdr:rowOff>152400</xdr:rowOff>
    </xdr:from>
    <xdr:ext cx="1628775" cy="2286000"/>
    <xdr:pic>
      <xdr:nvPicPr>
        <xdr:cNvPr id="0" name="image6.jp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1</xdr:row>
      <xdr:rowOff>152400</xdr:rowOff>
    </xdr:from>
    <xdr:ext cx="1628775" cy="2286000"/>
    <xdr:pic>
      <xdr:nvPicPr>
        <xdr:cNvPr id="0" name="image43.jp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2</xdr:row>
      <xdr:rowOff>152400</xdr:rowOff>
    </xdr:from>
    <xdr:ext cx="1638300" cy="2286000"/>
    <xdr:pic>
      <xdr:nvPicPr>
        <xdr:cNvPr id="0" name="image31.jp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3</xdr:row>
      <xdr:rowOff>152400</xdr:rowOff>
    </xdr:from>
    <xdr:ext cx="1628775" cy="2286000"/>
    <xdr:pic>
      <xdr:nvPicPr>
        <xdr:cNvPr id="0" name="image24.jp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3</xdr:row>
      <xdr:rowOff>104775</xdr:rowOff>
    </xdr:from>
    <xdr:ext cx="1714500" cy="2286000"/>
    <xdr:pic>
      <xdr:nvPicPr>
        <xdr:cNvPr id="0" name="image20.jp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</xdr:row>
      <xdr:rowOff>228600</xdr:rowOff>
    </xdr:from>
    <xdr:ext cx="1666875" cy="2286000"/>
    <xdr:pic>
      <xdr:nvPicPr>
        <xdr:cNvPr id="0" name="image13.jp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1</xdr:row>
      <xdr:rowOff>295275</xdr:rowOff>
    </xdr:from>
    <xdr:ext cx="1628775" cy="2286000"/>
    <xdr:pic>
      <xdr:nvPicPr>
        <xdr:cNvPr id="0" name="image11.jp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2</xdr:row>
      <xdr:rowOff>295275</xdr:rowOff>
    </xdr:from>
    <xdr:ext cx="1628775" cy="2286000"/>
    <xdr:pic>
      <xdr:nvPicPr>
        <xdr:cNvPr id="0" name="image17.jp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3</xdr:row>
      <xdr:rowOff>295275</xdr:rowOff>
    </xdr:from>
    <xdr:ext cx="1628775" cy="2286000"/>
    <xdr:pic>
      <xdr:nvPicPr>
        <xdr:cNvPr id="0" name="image26.jp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1</xdr:row>
      <xdr:rowOff>295275</xdr:rowOff>
    </xdr:from>
    <xdr:ext cx="1628775" cy="2286000"/>
    <xdr:pic>
      <xdr:nvPicPr>
        <xdr:cNvPr id="0" name="image28.jp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1</xdr:row>
      <xdr:rowOff>342900</xdr:rowOff>
    </xdr:from>
    <xdr:ext cx="1628775" cy="2286000"/>
    <xdr:pic>
      <xdr:nvPicPr>
        <xdr:cNvPr id="0" name="image39.jp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2</xdr:row>
      <xdr:rowOff>342900</xdr:rowOff>
    </xdr:from>
    <xdr:ext cx="1628775" cy="2286000"/>
    <xdr:pic>
      <xdr:nvPicPr>
        <xdr:cNvPr id="0" name="image12.jp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247650</xdr:colOff>
      <xdr:row>3</xdr:row>
      <xdr:rowOff>342900</xdr:rowOff>
    </xdr:from>
    <xdr:ext cx="1628775" cy="2286000"/>
    <xdr:pic>
      <xdr:nvPicPr>
        <xdr:cNvPr id="0" name="image23.jp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3</xdr:row>
      <xdr:rowOff>390525</xdr:rowOff>
    </xdr:from>
    <xdr:ext cx="1628775" cy="2286000"/>
    <xdr:pic>
      <xdr:nvPicPr>
        <xdr:cNvPr id="0" name="image27.jp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2</xdr:row>
      <xdr:rowOff>209550</xdr:rowOff>
    </xdr:from>
    <xdr:ext cx="1628775" cy="2286000"/>
    <xdr:pic>
      <xdr:nvPicPr>
        <xdr:cNvPr id="0" name="image35.jp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1</xdr:row>
      <xdr:rowOff>152400</xdr:rowOff>
    </xdr:from>
    <xdr:ext cx="1857375" cy="2562225"/>
    <xdr:pic>
      <xdr:nvPicPr>
        <xdr:cNvPr id="0" name="image16.jp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2</xdr:row>
      <xdr:rowOff>142875</xdr:rowOff>
    </xdr:from>
    <xdr:ext cx="1809750" cy="2486025"/>
    <xdr:pic>
      <xdr:nvPicPr>
        <xdr:cNvPr id="0" name="image5.jp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3</xdr:row>
      <xdr:rowOff>57150</xdr:rowOff>
    </xdr:from>
    <xdr:ext cx="1809750" cy="2486025"/>
    <xdr:pic>
      <xdr:nvPicPr>
        <xdr:cNvPr id="0" name="image2.jp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0</xdr:row>
      <xdr:rowOff>3371850</xdr:rowOff>
    </xdr:from>
    <xdr:ext cx="1809750" cy="2486025"/>
    <xdr:pic>
      <xdr:nvPicPr>
        <xdr:cNvPr id="0" name="image1.jp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152400</xdr:colOff>
      <xdr:row>1</xdr:row>
      <xdr:rowOff>219075</xdr:rowOff>
    </xdr:from>
    <xdr:ext cx="1733550" cy="2438400"/>
    <xdr:pic>
      <xdr:nvPicPr>
        <xdr:cNvPr id="0" name="image32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</xdr:row>
      <xdr:rowOff>104775</xdr:rowOff>
    </xdr:from>
    <xdr:ext cx="1809750" cy="2562225"/>
    <xdr:pic>
      <xdr:nvPicPr>
        <xdr:cNvPr id="0" name="image3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152400</xdr:colOff>
      <xdr:row>1</xdr:row>
      <xdr:rowOff>209550</xdr:rowOff>
    </xdr:from>
    <xdr:ext cx="1733550" cy="2438400"/>
    <xdr:pic>
      <xdr:nvPicPr>
        <xdr:cNvPr id="0" name="image19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</xdr:row>
      <xdr:rowOff>114300</xdr:rowOff>
    </xdr:from>
    <xdr:ext cx="1809750" cy="2486025"/>
    <xdr:pic>
      <xdr:nvPicPr>
        <xdr:cNvPr id="0" name="image36.jp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3</xdr:row>
      <xdr:rowOff>142875</xdr:rowOff>
    </xdr:from>
    <xdr:ext cx="1857375" cy="2562225"/>
    <xdr:pic>
      <xdr:nvPicPr>
        <xdr:cNvPr id="0" name="image42.jp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133350</xdr:colOff>
      <xdr:row>4</xdr:row>
      <xdr:rowOff>142875</xdr:rowOff>
    </xdr:from>
    <xdr:ext cx="1733550" cy="2438400"/>
    <xdr:pic>
      <xdr:nvPicPr>
        <xdr:cNvPr id="0" name="image51.jp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104775</xdr:rowOff>
    </xdr:from>
    <xdr:ext cx="3190875" cy="85344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1</xdr:row>
      <xdr:rowOff>133350</xdr:rowOff>
    </xdr:from>
    <xdr:ext cx="3200400" cy="847725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</xdr:colOff>
      <xdr:row>1</xdr:row>
      <xdr:rowOff>171450</xdr:rowOff>
    </xdr:from>
    <xdr:ext cx="3200400" cy="8467725"/>
    <xdr:pic>
      <xdr:nvPicPr>
        <xdr:cNvPr id="0" name="image4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561975</xdr:colOff>
      <xdr:row>1</xdr:row>
      <xdr:rowOff>161925</xdr:rowOff>
    </xdr:from>
    <xdr:ext cx="3219450" cy="8420100"/>
    <xdr:pic>
      <xdr:nvPicPr>
        <xdr:cNvPr id="0" name="image5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</xdr:row>
      <xdr:rowOff>28575</xdr:rowOff>
    </xdr:from>
    <xdr:ext cx="3114675" cy="5143500"/>
    <xdr:pic>
      <xdr:nvPicPr>
        <xdr:cNvPr id="0" name="image4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</xdr:row>
      <xdr:rowOff>161925</xdr:rowOff>
    </xdr:from>
    <xdr:ext cx="2714625" cy="4086225"/>
    <xdr:pic>
      <xdr:nvPicPr>
        <xdr:cNvPr id="0" name="image4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Q3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on!!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5"/>
    <col customWidth="1" min="2" max="15" width="6.75"/>
    <col customWidth="1" min="16" max="16" width="7.13"/>
    <col customWidth="1" min="17" max="18" width="2.38"/>
    <col customWidth="1" min="19" max="46" width="6.75"/>
    <col customWidth="1" min="47" max="47" width="7.38"/>
    <col customWidth="1" min="48" max="50" width="2.38"/>
    <col customWidth="1" min="51" max="52" width="7.13"/>
    <col customWidth="1" min="53" max="53" width="7.38"/>
    <col customWidth="1" min="54" max="54" width="7.13"/>
    <col customWidth="1" min="55" max="57" width="2.38"/>
    <col customWidth="1" min="58" max="58" width="7.38"/>
    <col customWidth="1" min="59" max="61" width="2.38"/>
    <col customWidth="1" min="62" max="63" width="7.38"/>
    <col customWidth="1" min="64" max="65" width="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1"/>
      <c r="R1" s="1"/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4"/>
      <c r="AW1" s="1"/>
      <c r="AX1" s="1"/>
      <c r="AY1" s="2" t="s">
        <v>45</v>
      </c>
      <c r="AZ1" s="2" t="s">
        <v>46</v>
      </c>
      <c r="BA1" s="2" t="s">
        <v>47</v>
      </c>
      <c r="BB1" s="2" t="s">
        <v>48</v>
      </c>
      <c r="BC1" s="4"/>
      <c r="BD1" s="1"/>
      <c r="BE1" s="1"/>
      <c r="BF1" s="2" t="s">
        <v>49</v>
      </c>
      <c r="BG1" s="4"/>
      <c r="BH1" s="1"/>
      <c r="BI1" s="1"/>
      <c r="BJ1" s="3" t="s">
        <v>50</v>
      </c>
      <c r="BK1" s="3" t="s">
        <v>51</v>
      </c>
      <c r="BL1" s="1"/>
      <c r="BM1" s="1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</row>
    <row r="2">
      <c r="A2" s="6" t="str">
        <f>IFERROR(__xludf.DUMMYFUNCTION("""Total ["" &amp;
SUM(ARRAYFORMULA(IFERROR(VALUE(REGEXEXTRACT(TOCOL({B2:O2, S2:AU2, AY2:AZ2, BF2}, 1), ""^(\d+)"")), 0))) &amp;
""/"" &amp;
SUM(ARRAYFORMULA(IFERROR(VALUE(REGEXEXTRACT(TOCOL({B2:O2, S2:AU2, AY2:AZ2, BF2}, 1), ""/(\d+)"")), 0))) &amp;
""]  OP: ["" &amp;
SUM(AR"&amp;"RAYFORMULA(IFERROR(VALUE(REGEXEXTRACT(B2:O2, ""^(\d+)"")), 0))) &amp;
""/"" &amp;
SUM(ARRAYFORMULA(IFERROR(VALUE(REGEXEXTRACT(B2:O2, ""/(\d+)"")), 0))) &amp;
""] ("" &amp;
TEXT(
  SUM(ARRAYFORMULA(IFERROR(VALUE(REGEXEXTRACT(B2:O2, ""^(\d+)"")), 0))) /
  SUM(ARRAYFORMULA("&amp;"IFERROR(VALUE(REGEXEXTRACT(B2:O2, ""/(\d+)"")), 0))),
  ""0.0%""
) &amp;
"")"""),"Total [1513/2227]  OP: [1316/1676] (78.5%)")</f>
        <v>Total [1513/2227]  OP: [1316/1676] (78.5%)</v>
      </c>
      <c r="B2" s="7" t="str">
        <f>IFERROR(__xludf.DUMMYFUNCTION("SUM(
  ARRAYFORMULA(
    IF(
      REGEXMATCH(B$3:B$6, ""/(75|26|12|8)$""),
      VALUE(REGEXEXTRACT(B$3:B$6, ""^\d+"")),
      0
    )
  )
) &amp; ""/121"""),"15/121")</f>
        <v>15/121</v>
      </c>
      <c r="C2" s="7" t="str">
        <f>IFERROR(__xludf.DUMMYFUNCTION("SUM(
  ARRAYFORMULA(
    IF(
      REGEXMATCH(C$3:C$6, ""/(75|25|12|8)$""),
      VALUE(REGEXEXTRACT(C$3:C$6, ""^\d+"")),
      0
    )
  )
) &amp; ""/121"""),"26/121")</f>
        <v>26/121</v>
      </c>
      <c r="D2" s="7" t="str">
        <f>IFERROR(__xludf.DUMMYFUNCTION("SUM(
  ARRAYFORMULA(
    IF(
      REGEXMATCH(D$3:D$6, ""/(75|26|12|8)$""),
      VALUE(REGEXEXTRACT(D$3:D$6, ""^\d+"")),
      0
    )
  )
) &amp; ""/123"""),"85/123")</f>
        <v>85/123</v>
      </c>
      <c r="E2" s="8" t="str">
        <f>IFERROR(__xludf.DUMMYFUNCTION("SUM(
  ARRAYFORMULA(
    IF(
      REGEXMATCH(E$3:E$6, ""/(75|26|12|6)$""),
      VALUE(REGEXEXTRACT(E$3:E$6, ""^\d+"")),
      0
    )
  )
) &amp; ""/119"""),"69/119")</f>
        <v>69/119</v>
      </c>
      <c r="F2" s="8" t="str">
        <f>IFERROR(__xludf.DUMMYFUNCTION("SUM(
  ARRAYFORMULA(
    IF(
      REGEXMATCH(F$3:F$6, ""/(75|26|12|6)$""),
      VALUE(REGEXEXTRACT(F$3:F$6, ""^\d+"")),
      0
    )
  )
) &amp; ""/119"""),"107/119")</f>
        <v>107/119</v>
      </c>
      <c r="G2" s="8" t="str">
        <f>IFERROR(__xludf.DUMMYFUNCTION("SUM(
  ARRAYFORMULA(
    IF(
      REGEXMATCH(G$3:G$6, ""/(75|26|12|6)$""),
      VALUE(REGEXEXTRACT(G$3:G$6, ""^\d+"")),
      0
    )
  )
) &amp; ""/119"""),"111/119")</f>
        <v>111/119</v>
      </c>
      <c r="H2" s="8" t="str">
        <f>IFERROR(__xludf.DUMMYFUNCTION("SUM(
  ARRAYFORMULA(
    IF(
      REGEXMATCH(H$3:H$6, ""/(75|26|12|6)$""),
      VALUE(REGEXEXTRACT(H$3:H$6, ""^\d+"")),
      0
    )
  )
) &amp; ""/119"""),"114/119")</f>
        <v>114/119</v>
      </c>
      <c r="I2" s="7" t="str">
        <f>IFERROR(__xludf.DUMMYFUNCTION("SUM(
  ARRAYFORMULA(
    IF(
      REGEXMATCH(I$3:I$6, ""/(75|26|12|6)$""),
      VALUE(REGEXEXTRACT(I$3:I$6, ""^\d+"")),
      0
    )
  )
) &amp; ""/119"""),"111/119")</f>
        <v>111/119</v>
      </c>
      <c r="J2" s="7" t="str">
        <f>IFERROR(__xludf.DUMMYFUNCTION("SUM(
  ARRAYFORMULA(
    IF(
      REGEXMATCH(J$3:J$6, ""/(75|26|12|6)$""),
      VALUE(REGEXEXTRACT(J$3:J$6, ""^\d+"")),
      0
    )
  )
) &amp; ""/119"""),"114/119")</f>
        <v>114/119</v>
      </c>
      <c r="K2" s="7" t="str">
        <f>IFERROR(__xludf.DUMMYFUNCTION("SUM(
  ARRAYFORMULA(
    IF(
      REGEXMATCH(K$3:K$6, ""/(75|26|12|6)$""),
      VALUE(REGEXEXTRACT(K$3:K$6, ""^\d+"")),
      0
    )
  )
) &amp; ""/119"""),"116/119")</f>
        <v>116/119</v>
      </c>
      <c r="L2" s="7" t="str">
        <f>IFERROR(__xludf.DUMMYFUNCTION("SUM(
  ARRAYFORMULA(
    IF(
      REGEXMATCH(L$3:L$6, ""/(75|26|12|6)$""),
      VALUE(REGEXEXTRACT(L$3:L$6, ""^\d+"")),
      0
    )
  )
) &amp; ""/119"""),"108/119")</f>
        <v>108/119</v>
      </c>
      <c r="M2" s="7" t="str">
        <f>IFERROR(__xludf.DUMMYFUNCTION("SUM(
  ARRAYFORMULA(
    IF(
      REGEXMATCH(M$3:M$6, ""/(75|26|12|6)$""),
      VALUE(REGEXEXTRACT(M$3:M$6, ""^\d+"")),
      0
    )
  )
) &amp; ""/119"""),"117/119")</f>
        <v>117/119</v>
      </c>
      <c r="N2" s="7" t="str">
        <f>IFERROR(__xludf.DUMMYFUNCTION("SUM(
  ARRAYFORMULA(
    IF(
      REGEXMATCH(N$3:N$6, ""/(75|26|13|6)$""),
      VALUE(REGEXEXTRACT(N$3:N$6, ""^\d+"")),
      0
    )
  )
) &amp; ""/120"""),"112/120")</f>
        <v>112/120</v>
      </c>
      <c r="O2" s="7" t="str">
        <f>IFERROR(__xludf.DUMMYFUNCTION("SUM(
  ARRAYFORMULA(
    IF(
      REGEXMATCH(O$3:O$6, ""/(75|26|12|7)$""),
      VALUE(REGEXEXTRACT(O$3:O$6, ""^\d+"")),
      0
    )
  )
) &amp; ""/120"""),"111/120")</f>
        <v>111/120</v>
      </c>
      <c r="P2" s="7" t="str">
        <f>IFERROR(__xludf.DUMMYFUNCTION("SUM(
  ARRAYFORMULA(
    IF(
      REGEXMATCH(P$3:P$6, ""/(75|26|12|7)$""),
      VALUE(REGEXEXTRACT(P$3:P$6, ""^\d+"")),
      0
    )
  )
) &amp; ""/120"""),"93/120")</f>
        <v>93/120</v>
      </c>
      <c r="Q2" s="9"/>
      <c r="R2" s="9"/>
      <c r="S2" s="10" t="str">
        <f>IFERROR(__xludf.DUMMYFUNCTION("SUM(
  ARRAYFORMULA(
    IF(
      REGEXMATCH(S$3:S$6, ""/(14|0|2|1)$""),
      VALUE(REGEXEXTRACT(S$3:S$6, ""^\d+"")),
      0
    )
  )
) &amp; ""/17"""),"7/17")</f>
        <v>7/17</v>
      </c>
      <c r="T2" s="10" t="str">
        <f>IFERROR(__xludf.DUMMYFUNCTION("SUM(
  ARRAYFORMULA(
    IF(
      REGEXMATCH(T$3:T$6, ""/(14|0|2|1)$""),
      VALUE(REGEXEXTRACT(T$3:T$6, ""^\d+"")),
      0
    )
  )
) &amp; ""/17"""),"7/17")</f>
        <v>7/17</v>
      </c>
      <c r="U2" s="10" t="str">
        <f>IFERROR(__xludf.DUMMYFUNCTION("SUM(
  ARRAYFORMULA(
    IF(
      REGEXMATCH(U$3:U$6, ""/(14|0|2|1)$""),
      VALUE(REGEXEXTRACT(U$3:U$6, ""^\d+"")),
      0
    )
  )
) &amp; ""/17"""),"2/17")</f>
        <v>2/17</v>
      </c>
      <c r="V2" s="10" t="str">
        <f>IFERROR(__xludf.DUMMYFUNCTION("SUM(
  ARRAYFORMULA(
    IF(
      REGEXMATCH(V$3:V$6, ""/(14|0|2|1)$""),
      VALUE(REGEXEXTRACT(V$3:V$6, ""^\d+"")),
      0
    )
  )
) &amp; ""/17"""),"1/17")</f>
        <v>1/17</v>
      </c>
      <c r="W2" s="10" t="str">
        <f>IFERROR(__xludf.DUMMYFUNCTION("SUM(
  ARRAYFORMULA(
    IF(
      REGEXMATCH(W$3:W$6, ""/(14|0|2|1)$""),
      VALUE(REGEXEXTRACT(W$3:W$6, ""^\d+"")),
      0
    )
  )
) &amp; ""/17"""),"0/17")</f>
        <v>0/17</v>
      </c>
      <c r="X2" s="10" t="str">
        <f>IFERROR(__xludf.DUMMYFUNCTION("SUM(
  ARRAYFORMULA(
    IF(
      REGEXMATCH(X$3:X$6, ""/(14|0|2|1)$""),
      VALUE(REGEXEXTRACT(X$3:X$6, ""^\d+"")),
      0
    )
  )
) &amp; ""/17"""),"4/17")</f>
        <v>4/17</v>
      </c>
      <c r="Y2" s="10" t="str">
        <f>IFERROR(__xludf.DUMMYFUNCTION("SUM(
  ARRAYFORMULA(
    IF(
      REGEXMATCH(Y$3:Y$6, ""/(14|0|2|1)$""),
      VALUE(REGEXEXTRACT(Y$3:Y$6, ""^\d+"")),
      0
    )
  )
) &amp; ""/17"""),"3/17")</f>
        <v>3/17</v>
      </c>
      <c r="Z2" s="10" t="str">
        <f>IFERROR(__xludf.DUMMYFUNCTION("SUM(
  ARRAYFORMULA(
    IF(
      REGEXMATCH(Z$3:Z$6, ""/(14|0|2|1)$""),
      VALUE(REGEXEXTRACT(Z$3:Z$6, ""^\d+"")),
      0
    )
  )
) &amp; ""/17"""),"2/17")</f>
        <v>2/17</v>
      </c>
      <c r="AA2" s="10" t="str">
        <f>IFERROR(__xludf.DUMMYFUNCTION("SUM(
  ARRAYFORMULA(
    IF(
      REGEXMATCH(AA$3:AA$6, ""/(12|0|2|1)$""),
      VALUE(REGEXEXTRACT(AA$3:AA$6, ""^\d+"")),
      0
    )
  )
) &amp; ""/15"""),"1/15")</f>
        <v>1/15</v>
      </c>
      <c r="AB2" s="10" t="str">
        <f>IFERROR(__xludf.DUMMYFUNCTION("SUM(
  ARRAYFORMULA(
    IF(
      REGEXMATCH(AB$3:AB$6, ""/(12|0|3|1)$""),
      VALUE(REGEXEXTRACT(AB$3:AB$6, ""^\d+"")),
      0
    )
  )
) &amp; ""/17"""),"0/17")</f>
        <v>0/17</v>
      </c>
      <c r="AC2" s="10" t="str">
        <f>IFERROR(__xludf.DUMMYFUNCTION("SUM(
  ARRAYFORMULA(
    IF(
      REGEXMATCH(AC$3:AC$6, ""/(2|0|2|1)$""),
      VALUE(REGEXEXTRACT(AC$3:AC$6, ""^\d+"")),
      0
    )
  )
) &amp; ""/5"""),"4/5")</f>
        <v>4/5</v>
      </c>
      <c r="AD2" s="10" t="str">
        <f>IFERROR(__xludf.DUMMYFUNCTION("SUM(
  ARRAYFORMULA(
    IF(
      REGEXMATCH(AD$3:AD$6, ""/(14|0|2|1)$""),
      VALUE(REGEXEXTRACT(AD$3:AD$6, ""^\d+"")),
      0
    )
  )
) &amp; ""/17"""),"7/17")</f>
        <v>7/17</v>
      </c>
      <c r="AE2" s="10" t="str">
        <f>IFERROR(__xludf.DUMMYFUNCTION("SUM(
  ARRAYFORMULA(
    IF(
      REGEXMATCH(AE$3:AE$6, ""/(10|1|3|4)$""),
      VALUE(REGEXEXTRACT(AE$3:AE$6, ""^\d+"")),
      0
    )
  )
) &amp; ""/18"""),"13/18")</f>
        <v>13/18</v>
      </c>
      <c r="AF2" s="10" t="str">
        <f>IFERROR(__xludf.DUMMYFUNCTION("SUM(
  ARRAYFORMULA(
    IF(
      REGEXMATCH(AF$3:AF$6, ""/(14|0|2|1)$""),
      VALUE(REGEXEXTRACT(AF$3:AF$6, ""^\d+"")),
      0
    )
  )
) &amp; ""/17"""),"6/17")</f>
        <v>6/17</v>
      </c>
      <c r="AG2" s="10" t="str">
        <f>IFERROR(__xludf.DUMMYFUNCTION("SUM(
  ARRAYFORMULA(
    IF(
      REGEXMATCH(AG$3:AG$6, ""/(0|0|3|2)$""),
      VALUE(REGEXEXTRACT(AG$3:AG$6, ""^\d+"")),
      0
    )
  )
) &amp; ""/5"""),"1/5")</f>
        <v>1/5</v>
      </c>
      <c r="AH2" s="10" t="str">
        <f>IFERROR(__xludf.DUMMYFUNCTION("SUM(
  ARRAYFORMULA(
    IF(
      REGEXMATCH(AH$3:AH$6, ""/(3|0|2|0)$""),
      VALUE(REGEXEXTRACT(AH$3:AH$6, ""^\d+"")),
      0
    )
  )
) &amp; ""/5"""),"3/5")</f>
        <v>3/5</v>
      </c>
      <c r="AI2" s="10" t="str">
        <f>IFERROR(__xludf.DUMMYFUNCTION("SUM(
  ARRAYFORMULA(
    IF(
      REGEXMATCH(AI$3:AI$6, ""/(2|3)$""),
      VALUE(REGEXEXTRACT(AI$3:AI$6, ""^\d+"")),
      0
    )
  )
) &amp; ""/5"""),"3/5")</f>
        <v>3/5</v>
      </c>
      <c r="AJ2" s="10" t="str">
        <f>IFERROR(__xludf.DUMMYFUNCTION("SUM(
  ARRAYFORMULA(
    IF(
      REGEXMATCH(AJ$3:AJ$6, ""/(2|3)$""),
      VALUE(REGEXEXTRACT(AJ$3:AJ$6, ""^\d+"")),
      0
    )
  )
) &amp; ""/5"""),"2/5")</f>
        <v>2/5</v>
      </c>
      <c r="AK2" s="10" t="str">
        <f>IFERROR(__xludf.DUMMYFUNCTION("SUM(
  ARRAYFORMULA(
    IF(
      REGEXMATCH(AK$3:AK$6, ""/(2|3)$""),
      VALUE(REGEXEXTRACT(AK$3:AK$6, ""^\d+"")),
      0
    )
  )
) &amp; ""/5"""),"2/5")</f>
        <v>2/5</v>
      </c>
      <c r="AL2" s="10" t="str">
        <f>IFERROR(__xludf.DUMMYFUNCTION("SUM(
  ARRAYFORMULA(
    IF(
      REGEXMATCH(AL$3:AL$6, ""/(2|3)$""),
      VALUE(REGEXEXTRACT(AL$3:AL$6, ""^\d+"")),
      0
    )
  )
) &amp; ""/5"""),"3/5")</f>
        <v>3/5</v>
      </c>
      <c r="AM2" s="10" t="str">
        <f>IFERROR(__xludf.DUMMYFUNCTION("SUM(
  ARRAYFORMULA(
    IF(
      REGEXMATCH(AM$3:AM$6, ""/(14|0|2|1)$""),
      VALUE(REGEXEXTRACT(AM$3:AM$6, ""^\d+"")),
      0
    )
  )
) &amp; ""/17"""),"8/17")</f>
        <v>8/17</v>
      </c>
      <c r="AN2" s="10" t="str">
        <f>IFERROR(__xludf.DUMMYFUNCTION("SUM(
  ARRAYFORMULA(
    IF(
      REGEXMATCH(AN$3:AN$6, ""/(14|0|2|1)$""),
      VALUE(REGEXEXTRACT(AN$3:AN$6, ""^\d+"")),
      0
    )
  )
) &amp; ""/17"""),"9/17")</f>
        <v>9/17</v>
      </c>
      <c r="AO2" s="10" t="str">
        <f>IFERROR(__xludf.DUMMYFUNCTION("SUM(
  ARRAYFORMULA(
    IF(
      REGEXMATCH(AO$3:AO$6, ""/(2|3)$""),
      VALUE(REGEXEXTRACT(AO$3:AO$6, ""^\d+"")),
      0
    )
  )
) &amp; ""/5"""),"4/5")</f>
        <v>4/5</v>
      </c>
      <c r="AP2" s="10" t="str">
        <f>IFERROR(__xludf.DUMMYFUNCTION("SUM(
  ARRAYFORMULA(
    IF(
      REGEXMATCH(AP$3:AP$6, ""/(2|3)$""),
      VALUE(REGEXEXTRACT(AP$3:AP$6, ""^\d+"")),
      0
    )
  )
) &amp; ""/5"""),"3/5")</f>
        <v>3/5</v>
      </c>
      <c r="AQ2" s="10" t="str">
        <f>IFERROR(__xludf.DUMMYFUNCTION("SUM(
  ARRAYFORMULA(
    IF(
      REGEXMATCH(AQ$3:AQ$6, ""/(2|3)$""),
      VALUE(REGEXEXTRACT(AQ$3:AQ$6, ""^\d+"")),
      0
    )
  )
) &amp; ""/5"""),"0/5")</f>
        <v>0/5</v>
      </c>
      <c r="AR2" s="10" t="str">
        <f>IFERROR(__xludf.DUMMYFUNCTION("SUM(
  ARRAYFORMULA(
    IF(
      REGEXMATCH(AR$3:AR$6, ""/(2|3)$""),
      VALUE(REGEXEXTRACT(AR$3:AR$6, ""^\d+"")),
      0
    )
  )
) &amp; ""/5"""),"1/5")</f>
        <v>1/5</v>
      </c>
      <c r="AS2" s="10" t="str">
        <f>IFERROR(__xludf.DUMMYFUNCTION("SUM(
  ARRAYFORMULA(
    IF(
      REGEXMATCH(AS$3:AS$6, ""/(2|3)$""),
      VALUE(REGEXEXTRACT(AS$3:AS$6, ""^\d+"")),
      0
    )
  )
) &amp; ""/5"""),"2/5")</f>
        <v>2/5</v>
      </c>
      <c r="AT2" s="10" t="str">
        <f>IFERROR(__xludf.DUMMYFUNCTION("SUM(
  ARRAYFORMULA(
    IF(
      REGEXMATCH(AT$3:AT$6, ""/(2|3)$""),
      VALUE(REGEXEXTRACT(AT$3:AT$6, ""^\d+"")),
      0
    )
  )
) &amp; ""/5"""),"0/5")</f>
        <v>0/5</v>
      </c>
      <c r="AU2" s="10" t="str">
        <f>IFERROR(__xludf.DUMMYFUNCTION("SUM(
  ARRAYFORMULA(
    IF(
      REGEXMATCH(AU$3:AU$6, ""/(14|0|2|1)$""),
      VALUE(REGEXEXTRACT(AU$3:AU$6, ""^\d+"")),
      0
    )
  )
) &amp; ""/17"""),"0/17")</f>
        <v>0/17</v>
      </c>
      <c r="AV2" s="11"/>
      <c r="AW2" s="9"/>
      <c r="AX2" s="9"/>
      <c r="AY2" s="10" t="str">
        <f>IFERROR(__xludf.DUMMYFUNCTION("SUM(
  ARRAYFORMULA(
    IF(
      REGEXMATCH(AY$3:AY$6, ""/(29|21|8|3)$""),
      VALUE(REGEXEXTRACT(AY$3:AY$6, ""^\d+"")),
      0
    )
  )
) &amp; ""/61"""),"48/61")</f>
        <v>48/61</v>
      </c>
      <c r="AZ2" s="10" t="str">
        <f>IFERROR(__xludf.DUMMYFUNCTION("SUM(
  ARRAYFORMULA(
    IF(
      REGEXMATCH(AZ$3:AZ$6, ""/(29|21|10|1)$""),
      VALUE(REGEXEXTRACT(AZ$3:AZ$6, ""^\d+"")),
      0
    )
  )
) &amp; ""/61"""),"44/61")</f>
        <v>44/61</v>
      </c>
      <c r="BA2" s="10" t="str">
        <f>IFERROR(__xludf.DUMMYFUNCTION("SUM(
  ARRAYFORMULA(
    IF(
      REGEXMATCH(BA$3:BA$6, ""/(23|21|11|1)$""),
      VALUE(REGEXEXTRACT(BA$3:BA$6, ""^\d+"")),
      0
    )
  )
) &amp; ""/62"""),"56/62")</f>
        <v>56/62</v>
      </c>
      <c r="BB2" s="12" t="str">
        <f>IFERROR(__xludf.DUMMYFUNCTION("SUM(
  ARRAYFORMULA(
    IF(
      REGEXMATCH(BB$3:BB$6, ""/(28|21|9|3)$""),
      VALUE(REGEXEXTRACT(BB$3:BB$6, ""^\d+"")),
      0
    )
  )
) &amp; ""/61"""),"52/61")</f>
        <v>52/61</v>
      </c>
      <c r="BC2" s="9"/>
      <c r="BD2" s="9"/>
      <c r="BE2" s="9"/>
      <c r="BF2" s="10" t="s">
        <v>52</v>
      </c>
      <c r="BG2" s="11"/>
      <c r="BH2" s="9"/>
      <c r="BI2" s="9"/>
      <c r="BJ2" s="13" t="s">
        <v>53</v>
      </c>
      <c r="BK2" s="12" t="s">
        <v>54</v>
      </c>
      <c r="BL2" s="9"/>
      <c r="BM2" s="9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</row>
    <row r="3">
      <c r="A3" s="6" t="str">
        <f>IFERROR(__xludf.DUMMYFUNCTION("""Common (1) ["" &amp;
SUM(ARRAYFORMULA(IFERROR(VALUE(REGEXEXTRACT(TOCOL({B3:O3, S3:AU3, AY3:AZ3, BF3}, 1), ""^(\d+)"")), 0))) &amp;
""/"" &amp;
SUM(ARRAYFORMULA(IFERROR(VALUE(REGEXEXTRACT(TOCOL({B3:O3, S3:AU3, AY3:AZ3, BF3}, 1), ""/(\d+)"")), 0))) &amp;
""]  OP: ["" &amp;
S"&amp;"UM(ARRAYFORMULA(IFERROR(VALUE(REGEXEXTRACT(B3:O3, ""^(\d+)"")), 0))) &amp;
""/"" &amp;
SUM(ARRAYFORMULA(IFERROR(VALUE(REGEXEXTRACT(B3:O3, ""/(\d+)"")), 0))) &amp;
""] ("" &amp;
TEXT(
  SUM(ARRAYFORMULA(IFERROR(VALUE(REGEXEXTRACT(B3:O3, ""^(\d+)"")), 0))) /
  SUM(ARRAYFOR"&amp;"MULA(IFERROR(VALUE(REGEXEXTRACT(B3:O3, ""/(\d+)"")), 0))),
  ""0.0%""
) &amp;
"")"""),"Common (1) [1040/1361]  OP: [897/1050] (85.4%)")</f>
        <v>Common (1) [1040/1361]  OP: [897/1050] (85.4%)</v>
      </c>
      <c r="B3" s="14" t="str">
        <f t="shared" ref="B3:P3" si="1">COUNTIF(B$7:B1001, 1)&amp; "/75"</f>
        <v>9/75</v>
      </c>
      <c r="C3" s="14" t="str">
        <f t="shared" si="1"/>
        <v>16/75</v>
      </c>
      <c r="D3" s="14" t="str">
        <f t="shared" si="1"/>
        <v>67/75</v>
      </c>
      <c r="E3" s="15" t="str">
        <f t="shared" si="1"/>
        <v>57/75</v>
      </c>
      <c r="F3" s="15" t="str">
        <f t="shared" si="1"/>
        <v>76/75</v>
      </c>
      <c r="G3" s="15" t="str">
        <f t="shared" si="1"/>
        <v>75/75</v>
      </c>
      <c r="H3" s="15" t="str">
        <f t="shared" si="1"/>
        <v>75/75</v>
      </c>
      <c r="I3" s="14" t="str">
        <f t="shared" si="1"/>
        <v>74/75</v>
      </c>
      <c r="J3" s="14" t="str">
        <f t="shared" si="1"/>
        <v>75/75</v>
      </c>
      <c r="K3" s="14" t="str">
        <f t="shared" si="1"/>
        <v>75/75</v>
      </c>
      <c r="L3" s="14" t="str">
        <f t="shared" si="1"/>
        <v>75/75</v>
      </c>
      <c r="M3" s="14" t="str">
        <f t="shared" si="1"/>
        <v>75/75</v>
      </c>
      <c r="N3" s="14" t="str">
        <f t="shared" si="1"/>
        <v>73/75</v>
      </c>
      <c r="O3" s="14" t="str">
        <f t="shared" si="1"/>
        <v>75/75</v>
      </c>
      <c r="P3" s="14" t="str">
        <f t="shared" si="1"/>
        <v>73/75</v>
      </c>
      <c r="Q3" s="9"/>
      <c r="R3" s="9"/>
      <c r="S3" s="16" t="str">
        <f t="shared" ref="S3:Z3" si="2">COUNTIF(S$7:S1001, 1)&amp; "/14"</f>
        <v>7/14</v>
      </c>
      <c r="T3" s="16" t="str">
        <f t="shared" si="2"/>
        <v>7/14</v>
      </c>
      <c r="U3" s="16" t="str">
        <f t="shared" si="2"/>
        <v>2/14</v>
      </c>
      <c r="V3" s="16" t="str">
        <f t="shared" si="2"/>
        <v>0/14</v>
      </c>
      <c r="W3" s="16" t="str">
        <f t="shared" si="2"/>
        <v>0/14</v>
      </c>
      <c r="X3" s="16" t="str">
        <f t="shared" si="2"/>
        <v>4/14</v>
      </c>
      <c r="Y3" s="16" t="str">
        <f t="shared" si="2"/>
        <v>3/14</v>
      </c>
      <c r="Z3" s="16" t="str">
        <f t="shared" si="2"/>
        <v>1/14</v>
      </c>
      <c r="AA3" s="16" t="str">
        <f>COUNTIF(AA$7:AA1001, 1)&amp; "/12"</f>
        <v>1/12</v>
      </c>
      <c r="AB3" s="16" t="str">
        <f>COUNTIF(AB$7:AB1001, 1)&amp; "/11"</f>
        <v>8/11</v>
      </c>
      <c r="AC3" s="16" t="str">
        <f>COUNTIF(AC$7:AC1001, 1)&amp; "/2"</f>
        <v>2/2</v>
      </c>
      <c r="AD3" s="16" t="str">
        <f>COUNTIF(AD$7:AD1001, 1)&amp; "/14"</f>
        <v>7/14</v>
      </c>
      <c r="AE3" s="16" t="str">
        <f>COUNTIF(AE$7:AE1001, 1)&amp; "/10"</f>
        <v>8/10</v>
      </c>
      <c r="AF3" s="16" t="str">
        <f>COUNTIF(AF$7:AF1001, 1)&amp; "/14"</f>
        <v>6/14</v>
      </c>
      <c r="AG3" s="16" t="str">
        <f t="shared" ref="AG3:AL3" si="3">COUNTIF(AG$7:AG1001, 1)&amp; "/3"</f>
        <v>0/3</v>
      </c>
      <c r="AH3" s="16" t="str">
        <f t="shared" si="3"/>
        <v>2/3</v>
      </c>
      <c r="AI3" s="16" t="str">
        <f t="shared" si="3"/>
        <v>2/3</v>
      </c>
      <c r="AJ3" s="16" t="str">
        <f t="shared" si="3"/>
        <v>2/3</v>
      </c>
      <c r="AK3" s="16" t="str">
        <f t="shared" si="3"/>
        <v>2/3</v>
      </c>
      <c r="AL3" s="16" t="str">
        <f t="shared" si="3"/>
        <v>2/3</v>
      </c>
      <c r="AM3" s="16" t="str">
        <f t="shared" ref="AM3:AN3" si="4">COUNTIF(AM$7:AM1001, 1)&amp; "/14"</f>
        <v>7/14</v>
      </c>
      <c r="AN3" s="16" t="str">
        <f t="shared" si="4"/>
        <v>8/14</v>
      </c>
      <c r="AO3" s="16" t="str">
        <f t="shared" ref="AO3:AT3" si="5">COUNTIF(AO$7:AO1001, 1)&amp; "/3"</f>
        <v>3/3</v>
      </c>
      <c r="AP3" s="16" t="str">
        <f t="shared" si="5"/>
        <v>2/3</v>
      </c>
      <c r="AQ3" s="16" t="str">
        <f t="shared" si="5"/>
        <v>0/3</v>
      </c>
      <c r="AR3" s="16" t="str">
        <f t="shared" si="5"/>
        <v>1/3</v>
      </c>
      <c r="AS3" s="16" t="str">
        <f t="shared" si="5"/>
        <v>1/3</v>
      </c>
      <c r="AT3" s="16" t="str">
        <f t="shared" si="5"/>
        <v>0/3</v>
      </c>
      <c r="AU3" s="16" t="str">
        <f>COUNTIF(AU$7:AU1001, 1)&amp; "/14"</f>
        <v>0/14</v>
      </c>
      <c r="AV3" s="11"/>
      <c r="AW3" s="9"/>
      <c r="AX3" s="9"/>
      <c r="AY3" s="16" t="str">
        <f t="shared" ref="AY3:AZ3" si="6">COUNTIF(AY$7:AY1001, 1)&amp; "/29"</f>
        <v>26/29</v>
      </c>
      <c r="AZ3" s="16" t="str">
        <f t="shared" si="6"/>
        <v>29/29</v>
      </c>
      <c r="BA3" s="16" t="str">
        <f>COUNTIF(BA$7:BA1001, 1)&amp; "/23"</f>
        <v>29/23</v>
      </c>
      <c r="BB3" s="17" t="str">
        <f>COUNTIF(BB$7:BB1001, 1)&amp; "/28"</f>
        <v>29/28</v>
      </c>
      <c r="BC3" s="9"/>
      <c r="BD3" s="9"/>
      <c r="BE3" s="9"/>
      <c r="BF3" s="18"/>
      <c r="BG3" s="11"/>
      <c r="BH3" s="9"/>
      <c r="BI3" s="9"/>
      <c r="BJ3" s="13" t="s">
        <v>55</v>
      </c>
      <c r="BK3" s="12" t="s">
        <v>56</v>
      </c>
      <c r="BL3" s="9"/>
      <c r="BM3" s="9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</row>
    <row r="4">
      <c r="A4" s="6" t="str">
        <f>IFERROR(__xludf.DUMMYFUNCTION("""Rare (2) ["" &amp;
SUM(ARRAYFORMULA(IFERROR(VALUE(REGEXEXTRACT(TOCOL({B4:O4, S4:AU4, AY4:AZ4, BF4}, 1), ""^(\d+)"")), 0))) &amp;
""/"" &amp;
SUM(ARRAYFORMULA(IFERROR(VALUE(REGEXEXTRACT(TOCOL({B4:O4, S4:AU4, AY4:AZ4, BF4}, 1), ""/(\d+)"")), 0))) &amp;
""]  OP: ["" &amp;
SUM"&amp;"(ARRAYFORMULA(IFERROR(VALUE(REGEXEXTRACT(B4:O4, ""^(\d+)"")), 0))) &amp;
""/"" &amp;
SUM(ARRAYFORMULA(IFERROR(VALUE(REGEXEXTRACT(B4:O4, ""/(\d+)"")), 0))) &amp;
""] ("" &amp;
TEXT(
  SUM(ARRAYFORMULA(IFERROR(VALUE(REGEXEXTRACT(B4:O4, ""^(\d+)"")), 0))) /
  SUM(ARRAYFORMU"&amp;"LA(IFERROR(VALUE(REGEXEXTRACT(B4:O4, ""/(\d+)"")), 0))),
  ""0.0%""
) &amp;
"")"""),"Rare (2) [304/406]  OP: [275/363] (75.8%)")</f>
        <v>Rare (2) [304/406]  OP: [275/363] (75.8%)</v>
      </c>
      <c r="B4" s="7" t="str">
        <f>COUNTIF(B$7:B1001, 2)&amp; "/26"</f>
        <v>3/26</v>
      </c>
      <c r="C4" s="7" t="str">
        <f>COUNTIF(C$7:C1001, 2)&amp; "/25"</f>
        <v>7/25</v>
      </c>
      <c r="D4" s="7" t="str">
        <f t="shared" ref="D4:P4" si="7">COUNTIF(D$7:D1001, 2)&amp; "/26"</f>
        <v>14/26</v>
      </c>
      <c r="E4" s="8" t="str">
        <f t="shared" si="7"/>
        <v>9/26</v>
      </c>
      <c r="F4" s="8" t="str">
        <f t="shared" si="7"/>
        <v>21/26</v>
      </c>
      <c r="G4" s="8" t="str">
        <f t="shared" si="7"/>
        <v>21/26</v>
      </c>
      <c r="H4" s="8" t="str">
        <f t="shared" si="7"/>
        <v>25/26</v>
      </c>
      <c r="I4" s="7" t="str">
        <f t="shared" si="7"/>
        <v>25/26</v>
      </c>
      <c r="J4" s="7" t="str">
        <f t="shared" si="7"/>
        <v>26/26</v>
      </c>
      <c r="K4" s="7" t="str">
        <f t="shared" si="7"/>
        <v>26/26</v>
      </c>
      <c r="L4" s="7" t="str">
        <f t="shared" si="7"/>
        <v>22/26</v>
      </c>
      <c r="M4" s="7" t="str">
        <f t="shared" si="7"/>
        <v>26/26</v>
      </c>
      <c r="N4" s="7" t="str">
        <f t="shared" si="7"/>
        <v>25/26</v>
      </c>
      <c r="O4" s="7" t="str">
        <f t="shared" si="7"/>
        <v>25/26</v>
      </c>
      <c r="P4" s="7" t="str">
        <f t="shared" si="7"/>
        <v>19/26</v>
      </c>
      <c r="Q4" s="9"/>
      <c r="R4" s="9"/>
      <c r="S4" s="10" t="str">
        <f t="shared" ref="S4:AD4" si="8">COUNTIF(S$7:S1001, 2)&amp; "/0"</f>
        <v>0/0</v>
      </c>
      <c r="T4" s="10" t="str">
        <f t="shared" si="8"/>
        <v>0/0</v>
      </c>
      <c r="U4" s="10" t="str">
        <f t="shared" si="8"/>
        <v>0/0</v>
      </c>
      <c r="V4" s="10" t="str">
        <f t="shared" si="8"/>
        <v>0/0</v>
      </c>
      <c r="W4" s="10" t="str">
        <f t="shared" si="8"/>
        <v>0/0</v>
      </c>
      <c r="X4" s="10" t="str">
        <f t="shared" si="8"/>
        <v>0/0</v>
      </c>
      <c r="Y4" s="10" t="str">
        <f t="shared" si="8"/>
        <v>0/0</v>
      </c>
      <c r="Z4" s="10" t="str">
        <f t="shared" si="8"/>
        <v>0/0</v>
      </c>
      <c r="AA4" s="10" t="str">
        <f t="shared" si="8"/>
        <v>0/0</v>
      </c>
      <c r="AB4" s="10" t="str">
        <f t="shared" si="8"/>
        <v>0/0</v>
      </c>
      <c r="AC4" s="10" t="str">
        <f t="shared" si="8"/>
        <v>0/0</v>
      </c>
      <c r="AD4" s="10" t="str">
        <f t="shared" si="8"/>
        <v>0/0</v>
      </c>
      <c r="AE4" s="10" t="str">
        <f>COUNTIF(AE$7:AE1001, 2)&amp; "/1"</f>
        <v>0/1</v>
      </c>
      <c r="AF4" s="10" t="str">
        <f t="shared" ref="AF4:AU4" si="9">COUNTIF(AF$7:AF1001, 2)&amp; "/0"</f>
        <v>0/0</v>
      </c>
      <c r="AG4" s="10" t="str">
        <f t="shared" si="9"/>
        <v>0/0</v>
      </c>
      <c r="AH4" s="10" t="str">
        <f t="shared" si="9"/>
        <v>0/0</v>
      </c>
      <c r="AI4" s="10" t="str">
        <f t="shared" si="9"/>
        <v>0/0</v>
      </c>
      <c r="AJ4" s="10" t="str">
        <f t="shared" si="9"/>
        <v>0/0</v>
      </c>
      <c r="AK4" s="10" t="str">
        <f t="shared" si="9"/>
        <v>0/0</v>
      </c>
      <c r="AL4" s="10" t="str">
        <f t="shared" si="9"/>
        <v>0/0</v>
      </c>
      <c r="AM4" s="10" t="str">
        <f t="shared" si="9"/>
        <v>0/0</v>
      </c>
      <c r="AN4" s="10" t="str">
        <f t="shared" si="9"/>
        <v>0/0</v>
      </c>
      <c r="AO4" s="10" t="str">
        <f t="shared" si="9"/>
        <v>0/0</v>
      </c>
      <c r="AP4" s="10" t="str">
        <f t="shared" si="9"/>
        <v>0/0</v>
      </c>
      <c r="AQ4" s="10" t="str">
        <f t="shared" si="9"/>
        <v>0/0</v>
      </c>
      <c r="AR4" s="10" t="str">
        <f t="shared" si="9"/>
        <v>0/0</v>
      </c>
      <c r="AS4" s="10" t="str">
        <f t="shared" si="9"/>
        <v>0/0</v>
      </c>
      <c r="AT4" s="10" t="str">
        <f t="shared" si="9"/>
        <v>0/0</v>
      </c>
      <c r="AU4" s="10" t="str">
        <f t="shared" si="9"/>
        <v>0/0</v>
      </c>
      <c r="AV4" s="11"/>
      <c r="AW4" s="9"/>
      <c r="AX4" s="9"/>
      <c r="AY4" s="10" t="str">
        <f t="shared" ref="AY4:BB4" si="10">COUNTIF(AY$7:AY1001, 2)&amp; "/21"</f>
        <v>15/21</v>
      </c>
      <c r="AZ4" s="10" t="str">
        <f t="shared" si="10"/>
        <v>14/21</v>
      </c>
      <c r="BA4" s="10" t="str">
        <f t="shared" si="10"/>
        <v>21/21</v>
      </c>
      <c r="BB4" s="12" t="str">
        <f t="shared" si="10"/>
        <v>17/21</v>
      </c>
      <c r="BC4" s="9"/>
      <c r="BD4" s="9"/>
      <c r="BE4" s="9"/>
      <c r="BF4" s="18"/>
      <c r="BG4" s="11"/>
      <c r="BH4" s="9"/>
      <c r="BI4" s="9"/>
      <c r="BJ4" s="13" t="s">
        <v>49</v>
      </c>
      <c r="BK4" s="12" t="s">
        <v>57</v>
      </c>
      <c r="BL4" s="9"/>
      <c r="BM4" s="9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</row>
    <row r="5">
      <c r="A5" s="6" t="str">
        <f>IFERROR(__xludf.DUMMYFUNCTION("""Super Rare (3) ["" &amp;
SUM(ARRAYFORMULA(IFERROR(VALUE(REGEXEXTRACT(TOCOL({B5:O5, S5:AU5, AY5:AZ5, BF5}, 1), ""^(\d+)"")), 0))) &amp;
""/"" &amp;
SUM(ARRAYFORMULA(IFERROR(VALUE(REGEXEXTRACT(TOCOL({B5:O5, S5:AU5, AY5:AZ5, BF5}, 1), ""/(\d+)"")), 0))) &amp;
""]  OP: ["""&amp;" &amp;
SUM(ARRAYFORMULA(IFERROR(VALUE(REGEXEXTRACT(B5:O5, ""^(\d+)"")), 0))) &amp;
""/"" &amp;
SUM(ARRAYFORMULA(IFERROR(VALUE(REGEXEXTRACT(B5:O5, ""/(\d+)"")), 0))) &amp;
""] ("" &amp;
TEXT(
  SUM(ARRAYFORMULA(IFERROR(VALUE(REGEXEXTRACT(B5:O5, ""^(\d+)"")), 0))) /
  SUM(ARRA"&amp;"YFORMULA(IFERROR(VALUE(REGEXEXTRACT(B5:O5, ""/(\d+)"")), 0))),
  ""0.0%""
) &amp;
"")"""),"Super Rare (3) [102/248]  OP: [84/169] (49.7%)")</f>
        <v>Super Rare (3) [102/248]  OP: [84/169] (49.7%)</v>
      </c>
      <c r="B5" s="7" t="str">
        <f t="shared" ref="B5:M5" si="11">COUNTIF(B$7:B1001, 3)&amp; "/12"</f>
        <v>3/12</v>
      </c>
      <c r="C5" s="7" t="str">
        <f t="shared" si="11"/>
        <v>3/12</v>
      </c>
      <c r="D5" s="7" t="str">
        <f t="shared" si="11"/>
        <v>4/12</v>
      </c>
      <c r="E5" s="8" t="str">
        <f t="shared" si="11"/>
        <v>3/12</v>
      </c>
      <c r="F5" s="8" t="str">
        <f t="shared" si="11"/>
        <v>5/12</v>
      </c>
      <c r="G5" s="8" t="str">
        <f t="shared" si="11"/>
        <v>9/12</v>
      </c>
      <c r="H5" s="8" t="str">
        <f t="shared" si="11"/>
        <v>8/12</v>
      </c>
      <c r="I5" s="7" t="str">
        <f t="shared" si="11"/>
        <v>6/12</v>
      </c>
      <c r="J5" s="7" t="str">
        <f t="shared" si="11"/>
        <v>7/12</v>
      </c>
      <c r="K5" s="7" t="str">
        <f t="shared" si="11"/>
        <v>9/12</v>
      </c>
      <c r="L5" s="7" t="str">
        <f t="shared" si="11"/>
        <v>5/12</v>
      </c>
      <c r="M5" s="7" t="str">
        <f t="shared" si="11"/>
        <v>10/12</v>
      </c>
      <c r="N5" s="7" t="str">
        <f>COUNTIF(N$7:N1001, 3)&amp; "/13"</f>
        <v>8/13</v>
      </c>
      <c r="O5" s="7" t="str">
        <f t="shared" ref="O5:P5" si="12">COUNTIF(O$7:O1001, 3)&amp; "/12"</f>
        <v>4/12</v>
      </c>
      <c r="P5" s="7" t="str">
        <f t="shared" si="12"/>
        <v>1/12</v>
      </c>
      <c r="Q5" s="9"/>
      <c r="R5" s="9"/>
      <c r="S5" s="10" t="str">
        <f t="shared" ref="S5:AA5" si="13">COUNTIF(S$7:S1001, 3)&amp; "/2"</f>
        <v>0/2</v>
      </c>
      <c r="T5" s="10" t="str">
        <f t="shared" si="13"/>
        <v>0/2</v>
      </c>
      <c r="U5" s="10" t="str">
        <f t="shared" si="13"/>
        <v>0/2</v>
      </c>
      <c r="V5" s="10" t="str">
        <f t="shared" si="13"/>
        <v>1/2</v>
      </c>
      <c r="W5" s="10" t="str">
        <f t="shared" si="13"/>
        <v>0/2</v>
      </c>
      <c r="X5" s="10" t="str">
        <f t="shared" si="13"/>
        <v>0/2</v>
      </c>
      <c r="Y5" s="10" t="str">
        <f t="shared" si="13"/>
        <v>0/2</v>
      </c>
      <c r="Z5" s="10" t="str">
        <f t="shared" si="13"/>
        <v>1/2</v>
      </c>
      <c r="AA5" s="10" t="str">
        <f t="shared" si="13"/>
        <v>0/2</v>
      </c>
      <c r="AB5" s="10" t="str">
        <f>COUNTIF(AB$7:AB1001, 3)&amp; "/3"</f>
        <v>0/3</v>
      </c>
      <c r="AC5" s="10" t="str">
        <f t="shared" ref="AC5:AD5" si="14">COUNTIF(AC$7:AC1001, 3)&amp; "/2"</f>
        <v>1/2</v>
      </c>
      <c r="AD5" s="10" t="str">
        <f t="shared" si="14"/>
        <v>0/2</v>
      </c>
      <c r="AE5" s="10" t="str">
        <f>COUNTIF(AE$7:AE1001, 3)&amp; "/4"</f>
        <v>2/4</v>
      </c>
      <c r="AF5" s="10" t="str">
        <f t="shared" ref="AF5:AU5" si="15">COUNTIF(AF$7:AF1001, 3)&amp; "/2"</f>
        <v>0/2</v>
      </c>
      <c r="AG5" s="10" t="str">
        <f t="shared" si="15"/>
        <v>1/2</v>
      </c>
      <c r="AH5" s="10" t="str">
        <f t="shared" si="15"/>
        <v>1/2</v>
      </c>
      <c r="AI5" s="10" t="str">
        <f t="shared" si="15"/>
        <v>1/2</v>
      </c>
      <c r="AJ5" s="10" t="str">
        <f t="shared" si="15"/>
        <v>0/2</v>
      </c>
      <c r="AK5" s="10" t="str">
        <f t="shared" si="15"/>
        <v>0/2</v>
      </c>
      <c r="AL5" s="10" t="str">
        <f t="shared" si="15"/>
        <v>1/2</v>
      </c>
      <c r="AM5" s="10" t="str">
        <f t="shared" si="15"/>
        <v>1/2</v>
      </c>
      <c r="AN5" s="10" t="str">
        <f t="shared" si="15"/>
        <v>1/2</v>
      </c>
      <c r="AO5" s="10" t="str">
        <f t="shared" si="15"/>
        <v>1/2</v>
      </c>
      <c r="AP5" s="10" t="str">
        <f t="shared" si="15"/>
        <v>1/2</v>
      </c>
      <c r="AQ5" s="10" t="str">
        <f t="shared" si="15"/>
        <v>0/2</v>
      </c>
      <c r="AR5" s="10" t="str">
        <f t="shared" si="15"/>
        <v>0/2</v>
      </c>
      <c r="AS5" s="10" t="str">
        <f t="shared" si="15"/>
        <v>1/2</v>
      </c>
      <c r="AT5" s="10" t="str">
        <f t="shared" si="15"/>
        <v>0/2</v>
      </c>
      <c r="AU5" s="10" t="str">
        <f t="shared" si="15"/>
        <v>0/2</v>
      </c>
      <c r="AV5" s="11"/>
      <c r="AW5" s="9"/>
      <c r="AX5" s="9"/>
      <c r="AY5" s="10" t="str">
        <f>COUNTIF(AY$7:AY1001, 3)&amp; "/8"</f>
        <v>4/8</v>
      </c>
      <c r="AZ5" s="10" t="str">
        <f>COUNTIF(AZ$7:AZ1001, 3)&amp; "/10"</f>
        <v>0/10</v>
      </c>
      <c r="BA5" s="10" t="str">
        <f>COUNTIF(BA$7:BA1001, 3)&amp; "/11"</f>
        <v>5/11</v>
      </c>
      <c r="BB5" s="12" t="str">
        <f>COUNTIF(BB$7:BB1001, 3)&amp; "/9"</f>
        <v>5/9</v>
      </c>
      <c r="BC5" s="9"/>
      <c r="BD5" s="9"/>
      <c r="BE5" s="9"/>
      <c r="BF5" s="18"/>
      <c r="BG5" s="11"/>
      <c r="BH5" s="9"/>
      <c r="BI5" s="9"/>
      <c r="BJ5" s="13" t="s">
        <v>58</v>
      </c>
      <c r="BK5" s="12" t="s">
        <v>59</v>
      </c>
      <c r="BL5" s="9"/>
      <c r="BM5" s="9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>
      <c r="A6" s="6" t="str">
        <f>IFERROR(__xludf.DUMMYFUNCTION("""Leader (4) ["" &amp;
SUM(ARRAYFORMULA(IFERROR(VALUE(REGEXEXTRACT(TOCOL({B6:O6, S6:AU6, AY6:AZ6, BF6}, 1), ""^(\d+)"")), 0))) &amp;
""/"" &amp;
SUM(ARRAYFORMULA(IFERROR(VALUE(REGEXEXTRACT(TOCOL({B6:O6, S6:AU6, AY6:AZ6, BF6}, 1), ""/(\d+)"")), 0))) &amp;
""]  OP: ["" &amp;
S"&amp;"UM(ARRAYFORMULA(IFERROR(VALUE(REGEXEXTRACT(B6:O6, ""^(\d+)"")), 0))) &amp;
""/"" &amp;
SUM(ARRAYFORMULA(IFERROR(VALUE(REGEXEXTRACT(B6:O6, ""/(\d+)"")), 0))) &amp;
""] ("" &amp;
TEXT(
  SUM(ARRAYFORMULA(IFERROR(VALUE(REGEXEXTRACT(B6:O6, ""^(\d+)"")), 0))) /
  SUM(ARRAYFOR"&amp;"MULA(IFERROR(VALUE(REGEXEXTRACT(B6:O6, ""/(\d+)"")), 0))),
  ""0.0%""
) &amp;
"")"""),"Leader (4) [68/116]  OP: [60/91] (65.9%)")</f>
        <v>Leader (4) [68/116]  OP: [60/91] (65.9%)</v>
      </c>
      <c r="B6" s="19" t="str">
        <f t="shared" ref="B6:D6" si="16">COUNTIF(B$7:B1001, 4)&amp; "/8"</f>
        <v>0/8</v>
      </c>
      <c r="C6" s="19" t="str">
        <f t="shared" si="16"/>
        <v>0/8</v>
      </c>
      <c r="D6" s="19" t="str">
        <f t="shared" si="16"/>
        <v>0/8</v>
      </c>
      <c r="E6" s="20" t="str">
        <f t="shared" ref="E6:N6" si="17">COUNTIF(E$7:E1001, 4)&amp; "/6"</f>
        <v>0/6</v>
      </c>
      <c r="F6" s="20" t="str">
        <f t="shared" si="17"/>
        <v>5/6</v>
      </c>
      <c r="G6" s="20" t="str">
        <f t="shared" si="17"/>
        <v>6/6</v>
      </c>
      <c r="H6" s="20" t="str">
        <f t="shared" si="17"/>
        <v>6/6</v>
      </c>
      <c r="I6" s="19" t="str">
        <f t="shared" si="17"/>
        <v>6/6</v>
      </c>
      <c r="J6" s="19" t="str">
        <f t="shared" si="17"/>
        <v>6/6</v>
      </c>
      <c r="K6" s="19" t="str">
        <f t="shared" si="17"/>
        <v>6/6</v>
      </c>
      <c r="L6" s="19" t="str">
        <f t="shared" si="17"/>
        <v>6/6</v>
      </c>
      <c r="M6" s="19" t="str">
        <f t="shared" si="17"/>
        <v>6/6</v>
      </c>
      <c r="N6" s="19" t="str">
        <f t="shared" si="17"/>
        <v>6/6</v>
      </c>
      <c r="O6" s="19" t="str">
        <f>COUNTIF(O$7:O1001, 4)&amp; "/7"</f>
        <v>7/7</v>
      </c>
      <c r="P6" s="19" t="str">
        <f>COUNTIF(P$7:P1001, 4)&amp; "/6"</f>
        <v>6/6</v>
      </c>
      <c r="Q6" s="9"/>
      <c r="R6" s="9"/>
      <c r="S6" s="21" t="str">
        <f t="shared" ref="S6:AA6" si="18">COUNTIF(S$7:S1001, 4)&amp; "/1"</f>
        <v>0/1</v>
      </c>
      <c r="T6" s="21" t="str">
        <f t="shared" si="18"/>
        <v>0/1</v>
      </c>
      <c r="U6" s="21" t="str">
        <f t="shared" si="18"/>
        <v>0/1</v>
      </c>
      <c r="V6" s="21" t="str">
        <f t="shared" si="18"/>
        <v>0/1</v>
      </c>
      <c r="W6" s="21" t="str">
        <f t="shared" si="18"/>
        <v>0/1</v>
      </c>
      <c r="X6" s="21" t="str">
        <f t="shared" si="18"/>
        <v>0/1</v>
      </c>
      <c r="Y6" s="21" t="str">
        <f t="shared" si="18"/>
        <v>0/1</v>
      </c>
      <c r="Z6" s="21" t="str">
        <f t="shared" si="18"/>
        <v>0/1</v>
      </c>
      <c r="AA6" s="21" t="str">
        <f t="shared" si="18"/>
        <v>0/1</v>
      </c>
      <c r="AB6" s="21" t="str">
        <f>COUNTIF(AB$7:AB1001, 4)&amp; "/3"</f>
        <v>0/3</v>
      </c>
      <c r="AC6" s="21" t="str">
        <f t="shared" ref="AC6:AD6" si="19">COUNTIF(AC$7:AC1001, 4)&amp; "/1"</f>
        <v>1/1</v>
      </c>
      <c r="AD6" s="21" t="str">
        <f t="shared" si="19"/>
        <v>0/1</v>
      </c>
      <c r="AE6" s="21" t="str">
        <f>COUNTIF(AE$7:AE1001, 4)&amp; "/3"</f>
        <v>3/3</v>
      </c>
      <c r="AF6" s="21" t="str">
        <f>COUNTIF(AF$7:AF1001, 4)&amp; "/1"</f>
        <v>0/1</v>
      </c>
      <c r="AG6" s="21" t="str">
        <f t="shared" ref="AG6:AL6" si="20">COUNTIF(AG$7:AG1001, 4)&amp; "/0"</f>
        <v>0/0</v>
      </c>
      <c r="AH6" s="21" t="str">
        <f t="shared" si="20"/>
        <v>0/0</v>
      </c>
      <c r="AI6" s="21" t="str">
        <f t="shared" si="20"/>
        <v>0/0</v>
      </c>
      <c r="AJ6" s="21" t="str">
        <f t="shared" si="20"/>
        <v>0/0</v>
      </c>
      <c r="AK6" s="21" t="str">
        <f t="shared" si="20"/>
        <v>0/0</v>
      </c>
      <c r="AL6" s="21" t="str">
        <f t="shared" si="20"/>
        <v>0/0</v>
      </c>
      <c r="AM6" s="21" t="str">
        <f t="shared" ref="AM6:AN6" si="21">COUNTIF(AM$7:AM1001, 4)&amp; "/1"</f>
        <v>0/1</v>
      </c>
      <c r="AN6" s="21" t="str">
        <f t="shared" si="21"/>
        <v>0/1</v>
      </c>
      <c r="AO6" s="21" t="str">
        <f t="shared" ref="AO6:AT6" si="22">COUNTIF(AO$7:AO1001, 4)&amp; "/0"</f>
        <v>0/0</v>
      </c>
      <c r="AP6" s="21" t="str">
        <f t="shared" si="22"/>
        <v>0/0</v>
      </c>
      <c r="AQ6" s="21" t="str">
        <f t="shared" si="22"/>
        <v>0/0</v>
      </c>
      <c r="AR6" s="21" t="str">
        <f t="shared" si="22"/>
        <v>0/0</v>
      </c>
      <c r="AS6" s="21" t="str">
        <f t="shared" si="22"/>
        <v>0/0</v>
      </c>
      <c r="AT6" s="21" t="str">
        <f t="shared" si="22"/>
        <v>0/0</v>
      </c>
      <c r="AU6" s="21" t="str">
        <f>COUNTIF(AU$7:AU1001, 4)&amp; "/1"</f>
        <v>0/1</v>
      </c>
      <c r="AV6" s="11"/>
      <c r="AW6" s="9"/>
      <c r="AX6" s="9"/>
      <c r="AY6" s="21" t="str">
        <f>COUNTIF(AY$7:AY1001, 4)&amp; "/3"</f>
        <v>3/3</v>
      </c>
      <c r="AZ6" s="10" t="str">
        <f t="shared" ref="AZ6:BA6" si="23">COUNTIF(AZ$7:AZ1001, 4)&amp; "/1"</f>
        <v>1/1</v>
      </c>
      <c r="BA6" s="10" t="str">
        <f t="shared" si="23"/>
        <v>1/1</v>
      </c>
      <c r="BB6" s="12" t="str">
        <f>COUNTIF(BB$7:BB1001, 4)&amp; "/3"</f>
        <v>1/3</v>
      </c>
      <c r="BC6" s="9"/>
      <c r="BD6" s="9"/>
      <c r="BE6" s="9"/>
      <c r="BF6" s="18"/>
      <c r="BG6" s="11"/>
      <c r="BH6" s="9"/>
      <c r="BI6" s="9"/>
      <c r="BJ6" s="18"/>
      <c r="BK6" s="22"/>
      <c r="BL6" s="9"/>
      <c r="BM6" s="9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</row>
    <row r="7">
      <c r="A7" s="23">
        <v>1.0</v>
      </c>
      <c r="B7" s="24"/>
      <c r="C7" s="24"/>
      <c r="D7" s="24"/>
      <c r="E7" s="24"/>
      <c r="F7" s="25">
        <v>4.0</v>
      </c>
      <c r="G7" s="25">
        <v>4.0</v>
      </c>
      <c r="H7" s="25">
        <v>4.0</v>
      </c>
      <c r="I7" s="25">
        <v>4.0</v>
      </c>
      <c r="J7" s="25">
        <v>4.0</v>
      </c>
      <c r="K7" s="25">
        <v>4.0</v>
      </c>
      <c r="L7" s="25">
        <v>4.0</v>
      </c>
      <c r="M7" s="25">
        <v>4.0</v>
      </c>
      <c r="N7" s="25">
        <v>4.0</v>
      </c>
      <c r="O7" s="25">
        <v>4.0</v>
      </c>
      <c r="P7" s="26">
        <v>4.0</v>
      </c>
      <c r="Q7" s="9"/>
      <c r="R7" s="27"/>
      <c r="S7" s="24"/>
      <c r="T7" s="24"/>
      <c r="U7" s="24"/>
      <c r="V7" s="24" t="s">
        <v>60</v>
      </c>
      <c r="W7" s="24"/>
      <c r="X7" s="24"/>
      <c r="Y7" s="24"/>
      <c r="Z7" s="24"/>
      <c r="AA7" s="24"/>
      <c r="AB7" s="24"/>
      <c r="AC7" s="25">
        <v>4.0</v>
      </c>
      <c r="AD7" s="24"/>
      <c r="AE7" s="28">
        <v>4.0</v>
      </c>
      <c r="AF7" s="24"/>
      <c r="AH7" s="29"/>
      <c r="AJ7" s="30" t="s">
        <v>61</v>
      </c>
      <c r="AK7" s="25">
        <v>1.0</v>
      </c>
      <c r="AL7" s="29"/>
      <c r="AM7" s="24" t="s">
        <v>62</v>
      </c>
      <c r="AN7" s="24"/>
      <c r="AO7" s="29"/>
      <c r="AP7" s="25">
        <v>1.0</v>
      </c>
      <c r="AS7" s="25">
        <v>1.0</v>
      </c>
      <c r="AT7" s="31"/>
      <c r="AU7" s="24"/>
      <c r="AV7" s="11"/>
      <c r="AW7" s="9"/>
      <c r="AX7" s="9"/>
      <c r="AY7" s="32">
        <v>4.0</v>
      </c>
      <c r="AZ7" s="33">
        <v>1.0</v>
      </c>
      <c r="BA7" s="34">
        <v>4.0</v>
      </c>
      <c r="BB7" s="35">
        <v>4.0</v>
      </c>
      <c r="BC7" s="9"/>
      <c r="BD7" s="9"/>
      <c r="BE7" s="9"/>
      <c r="BF7" s="36" t="s">
        <v>63</v>
      </c>
      <c r="BG7" s="9"/>
      <c r="BH7" s="9"/>
      <c r="BI7" s="9"/>
      <c r="BJ7" s="37" t="s">
        <v>1</v>
      </c>
      <c r="BK7" s="38">
        <v>46024.0</v>
      </c>
      <c r="BL7" s="9"/>
      <c r="BM7" s="9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</row>
    <row r="8">
      <c r="A8" s="39">
        <v>2.0</v>
      </c>
      <c r="B8" s="24"/>
      <c r="C8" s="24"/>
      <c r="D8" s="25">
        <v>1.0</v>
      </c>
      <c r="E8" s="25">
        <v>2.0</v>
      </c>
      <c r="F8" s="25">
        <v>4.0</v>
      </c>
      <c r="G8" s="25">
        <v>1.0</v>
      </c>
      <c r="H8" s="25">
        <v>2.0</v>
      </c>
      <c r="I8" s="25">
        <v>4.0</v>
      </c>
      <c r="J8" s="40">
        <v>2.0</v>
      </c>
      <c r="K8" s="25">
        <v>4.0</v>
      </c>
      <c r="L8" s="25">
        <v>1.0</v>
      </c>
      <c r="M8" s="25">
        <v>1.0</v>
      </c>
      <c r="N8" s="25">
        <v>4.0</v>
      </c>
      <c r="O8" s="25">
        <v>1.0</v>
      </c>
      <c r="P8" s="26">
        <v>4.0</v>
      </c>
      <c r="Q8" s="9"/>
      <c r="R8" s="9"/>
      <c r="S8" s="32">
        <v>1.0</v>
      </c>
      <c r="T8" s="25">
        <v>1.0</v>
      </c>
      <c r="Z8" s="25">
        <v>3.0</v>
      </c>
      <c r="AB8" s="24"/>
      <c r="AC8" s="29"/>
      <c r="AE8" s="28">
        <v>4.0</v>
      </c>
      <c r="AG8" s="25">
        <v>3.0</v>
      </c>
      <c r="AI8" s="25">
        <v>3.0</v>
      </c>
      <c r="AJ8" s="25">
        <v>1.0</v>
      </c>
      <c r="AK8" s="25">
        <v>1.0</v>
      </c>
      <c r="AL8" s="25">
        <v>1.0</v>
      </c>
      <c r="AM8" s="25">
        <v>1.0</v>
      </c>
      <c r="AN8" s="29"/>
      <c r="AO8" s="25">
        <v>3.0</v>
      </c>
      <c r="AP8" s="25">
        <v>3.0</v>
      </c>
      <c r="AS8" s="31"/>
      <c r="AT8" s="31"/>
      <c r="AU8" s="31"/>
      <c r="AV8" s="11"/>
      <c r="AW8" s="9"/>
      <c r="AX8" s="9"/>
      <c r="AY8" s="32">
        <v>2.0</v>
      </c>
      <c r="AZ8" s="25">
        <v>2.0</v>
      </c>
      <c r="BA8" s="34">
        <v>1.0</v>
      </c>
      <c r="BB8" s="41"/>
      <c r="BC8" s="9"/>
      <c r="BD8" s="9"/>
      <c r="BE8" s="9"/>
      <c r="BF8" s="42"/>
      <c r="BG8" s="9"/>
      <c r="BH8" s="9"/>
      <c r="BI8" s="9"/>
      <c r="BJ8" s="37" t="s">
        <v>2</v>
      </c>
      <c r="BK8" s="43" t="s">
        <v>64</v>
      </c>
      <c r="BL8" s="9"/>
      <c r="BM8" s="9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>
      <c r="A9" s="39">
        <v>3.0</v>
      </c>
      <c r="B9" s="24"/>
      <c r="D9" s="25">
        <v>2.0</v>
      </c>
      <c r="E9" s="25">
        <v>1.0</v>
      </c>
      <c r="F9" s="25">
        <v>1.0</v>
      </c>
      <c r="G9" s="40">
        <v>1.0</v>
      </c>
      <c r="H9" s="25">
        <v>2.0</v>
      </c>
      <c r="I9" s="25">
        <v>1.0</v>
      </c>
      <c r="J9" s="25">
        <v>1.0</v>
      </c>
      <c r="K9" s="25">
        <v>4.0</v>
      </c>
      <c r="L9" s="25">
        <v>1.0</v>
      </c>
      <c r="M9" s="25">
        <v>1.0</v>
      </c>
      <c r="N9" s="25">
        <v>4.0</v>
      </c>
      <c r="O9" s="25">
        <v>1.0</v>
      </c>
      <c r="P9" s="26">
        <v>2.0</v>
      </c>
      <c r="Q9" s="9"/>
      <c r="R9" s="9"/>
      <c r="S9" s="44"/>
      <c r="U9" s="29"/>
      <c r="V9" s="25">
        <v>3.0</v>
      </c>
      <c r="Y9" s="29"/>
      <c r="Z9" s="32">
        <v>1.0</v>
      </c>
      <c r="AB9" s="24"/>
      <c r="AC9" s="25">
        <v>1.0</v>
      </c>
      <c r="AD9" s="29"/>
      <c r="AE9" s="25">
        <v>4.0</v>
      </c>
      <c r="AF9" s="29"/>
      <c r="AH9" s="25">
        <v>1.0</v>
      </c>
      <c r="AI9" s="25">
        <v>1.0</v>
      </c>
      <c r="AJ9" s="25">
        <v>1.0</v>
      </c>
      <c r="AK9" s="29"/>
      <c r="AL9" s="25">
        <v>1.0</v>
      </c>
      <c r="AM9" s="30" t="s">
        <v>65</v>
      </c>
      <c r="AO9" s="25">
        <v>1.0</v>
      </c>
      <c r="AQ9" s="29"/>
      <c r="AR9" s="29"/>
      <c r="AS9" s="29"/>
      <c r="AT9" s="31"/>
      <c r="AU9" s="31"/>
      <c r="AV9" s="11"/>
      <c r="AW9" s="9"/>
      <c r="AX9" s="9"/>
      <c r="AY9" s="45"/>
      <c r="AZ9" s="25">
        <v>2.0</v>
      </c>
      <c r="BA9" s="46">
        <v>3.0</v>
      </c>
      <c r="BB9" s="41"/>
      <c r="BC9" s="9"/>
      <c r="BD9" s="9"/>
      <c r="BE9" s="9"/>
      <c r="BF9" s="42"/>
      <c r="BG9" s="9"/>
      <c r="BH9" s="9"/>
      <c r="BI9" s="9"/>
      <c r="BJ9" s="37" t="s">
        <v>3</v>
      </c>
      <c r="BK9" s="43" t="s">
        <v>64</v>
      </c>
      <c r="BL9" s="9"/>
      <c r="BM9" s="9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>
      <c r="A10" s="39">
        <v>4.0</v>
      </c>
      <c r="B10" s="47"/>
      <c r="C10" s="25">
        <v>3.0</v>
      </c>
      <c r="D10" s="25">
        <v>1.0</v>
      </c>
      <c r="E10" s="25">
        <v>1.0</v>
      </c>
      <c r="F10" s="25">
        <v>1.0</v>
      </c>
      <c r="G10" s="25">
        <v>1.0</v>
      </c>
      <c r="H10" s="25">
        <v>2.0</v>
      </c>
      <c r="I10" s="25">
        <v>1.0</v>
      </c>
      <c r="J10" s="25">
        <v>3.0</v>
      </c>
      <c r="K10" s="25">
        <v>2.0</v>
      </c>
      <c r="L10" s="25">
        <v>3.0</v>
      </c>
      <c r="M10" s="25">
        <v>1.0</v>
      </c>
      <c r="N10" s="25">
        <v>4.0</v>
      </c>
      <c r="O10" s="25">
        <v>1.0</v>
      </c>
      <c r="P10" s="26">
        <v>1.0</v>
      </c>
      <c r="Q10" s="9"/>
      <c r="R10" s="9"/>
      <c r="S10" s="44"/>
      <c r="T10" s="25">
        <v>1.0</v>
      </c>
      <c r="V10" s="29"/>
      <c r="W10" s="29"/>
      <c r="X10" s="29"/>
      <c r="AB10" s="25">
        <v>1.0</v>
      </c>
      <c r="AC10" s="25">
        <v>3.0</v>
      </c>
      <c r="AE10" s="25">
        <v>1.0</v>
      </c>
      <c r="AH10" s="25">
        <v>3.0</v>
      </c>
      <c r="AI10" s="29"/>
      <c r="AJ10" s="29"/>
      <c r="AK10" s="29"/>
      <c r="AN10" s="25">
        <v>1.0</v>
      </c>
      <c r="AO10" s="25">
        <v>1.0</v>
      </c>
      <c r="AP10" s="29"/>
      <c r="AQ10" s="29"/>
      <c r="AR10" s="25">
        <v>1.0</v>
      </c>
      <c r="AS10" s="31"/>
      <c r="AT10" s="29"/>
      <c r="AU10" s="29"/>
      <c r="AV10" s="11"/>
      <c r="AW10" s="9"/>
      <c r="AX10" s="9"/>
      <c r="AY10" s="48" t="s">
        <v>66</v>
      </c>
      <c r="AZ10" s="25">
        <v>1.0</v>
      </c>
      <c r="BA10" s="34">
        <v>1.0</v>
      </c>
      <c r="BB10" s="26">
        <v>1.0</v>
      </c>
      <c r="BC10" s="9"/>
      <c r="BD10" s="9"/>
      <c r="BE10" s="9"/>
      <c r="BF10" s="42"/>
      <c r="BG10" s="9"/>
      <c r="BH10" s="9"/>
      <c r="BI10" s="9"/>
      <c r="BJ10" s="37" t="s">
        <v>4</v>
      </c>
      <c r="BK10" s="43" t="s">
        <v>67</v>
      </c>
      <c r="BL10" s="9"/>
      <c r="BM10" s="9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>
      <c r="A11" s="39">
        <v>5.0</v>
      </c>
      <c r="B11" s="49"/>
      <c r="C11" s="25">
        <v>1.0</v>
      </c>
      <c r="D11" s="25">
        <v>1.0</v>
      </c>
      <c r="E11" s="25">
        <v>1.0</v>
      </c>
      <c r="F11" s="40">
        <v>2.0</v>
      </c>
      <c r="G11" s="25">
        <v>1.0</v>
      </c>
      <c r="H11" s="25">
        <v>2.0</v>
      </c>
      <c r="I11" s="25">
        <v>1.0</v>
      </c>
      <c r="J11" s="25">
        <v>2.0</v>
      </c>
      <c r="K11" s="47" t="s">
        <v>68</v>
      </c>
      <c r="L11" s="25">
        <v>1.0</v>
      </c>
      <c r="M11" s="25">
        <v>1.0</v>
      </c>
      <c r="N11" s="25">
        <v>1.0</v>
      </c>
      <c r="O11" s="25">
        <v>1.0</v>
      </c>
      <c r="P11" s="26">
        <v>1.0</v>
      </c>
      <c r="Q11" s="9"/>
      <c r="R11" s="9"/>
      <c r="S11" s="32">
        <v>1.0</v>
      </c>
      <c r="U11" s="25">
        <v>1.0</v>
      </c>
      <c r="Y11" s="25">
        <v>1.0</v>
      </c>
      <c r="Z11" s="29"/>
      <c r="AA11" s="29"/>
      <c r="AB11" s="25">
        <v>1.0</v>
      </c>
      <c r="AC11" s="25">
        <v>1.0</v>
      </c>
      <c r="AD11" s="25">
        <v>1.0</v>
      </c>
      <c r="AE11" s="49"/>
      <c r="AG11" s="29"/>
      <c r="AH11" s="25">
        <v>1.0</v>
      </c>
      <c r="AI11" s="25">
        <v>1.0</v>
      </c>
      <c r="AJ11" s="29"/>
      <c r="AL11" s="25">
        <v>3.0</v>
      </c>
      <c r="AM11" s="25">
        <v>1.0</v>
      </c>
      <c r="AN11" s="25">
        <v>3.0</v>
      </c>
      <c r="AO11" s="25">
        <v>1.0</v>
      </c>
      <c r="AP11" s="25">
        <v>1.0</v>
      </c>
      <c r="AR11" s="29"/>
      <c r="AS11" s="25">
        <v>3.0</v>
      </c>
      <c r="AT11" s="29"/>
      <c r="AU11" s="31"/>
      <c r="AV11" s="11"/>
      <c r="AW11" s="9"/>
      <c r="AX11" s="9"/>
      <c r="AY11" s="32">
        <v>1.0</v>
      </c>
      <c r="AZ11" s="25">
        <v>1.0</v>
      </c>
      <c r="BA11" s="46">
        <v>2.0</v>
      </c>
      <c r="BB11" s="26">
        <v>1.0</v>
      </c>
      <c r="BC11" s="9"/>
      <c r="BD11" s="9"/>
      <c r="BE11" s="9"/>
      <c r="BF11" s="42"/>
      <c r="BG11" s="9"/>
      <c r="BH11" s="9"/>
      <c r="BI11" s="9"/>
      <c r="BJ11" s="37" t="s">
        <v>5</v>
      </c>
      <c r="BK11" s="43" t="s">
        <v>67</v>
      </c>
      <c r="BL11" s="9"/>
      <c r="BM11" s="9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>
      <c r="A12" s="39">
        <v>6.0</v>
      </c>
      <c r="B12" s="25">
        <v>1.0</v>
      </c>
      <c r="D12" s="25">
        <v>1.0</v>
      </c>
      <c r="E12" s="25">
        <v>1.0</v>
      </c>
      <c r="F12" s="47"/>
      <c r="G12" s="25">
        <v>1.0</v>
      </c>
      <c r="H12" s="25">
        <v>1.0</v>
      </c>
      <c r="I12" s="25">
        <v>1.0</v>
      </c>
      <c r="J12" s="25">
        <v>1.0</v>
      </c>
      <c r="K12" s="25">
        <v>1.0</v>
      </c>
      <c r="L12" s="25">
        <v>1.0</v>
      </c>
      <c r="M12" s="25">
        <v>2.0</v>
      </c>
      <c r="N12" s="25">
        <v>1.0</v>
      </c>
      <c r="O12" s="25">
        <v>1.0</v>
      </c>
      <c r="P12" s="26">
        <v>1.0</v>
      </c>
      <c r="Q12" s="9"/>
      <c r="R12" s="9"/>
      <c r="S12" s="44"/>
      <c r="T12" s="25">
        <v>1.0</v>
      </c>
      <c r="X12" s="25">
        <v>1.0</v>
      </c>
      <c r="Z12" s="30" t="s">
        <v>69</v>
      </c>
      <c r="AB12" s="29"/>
      <c r="AC12" s="50"/>
      <c r="AD12" s="25">
        <v>1.0</v>
      </c>
      <c r="AF12" s="47" t="s">
        <v>70</v>
      </c>
      <c r="AG12" s="51"/>
      <c r="AH12" s="52"/>
      <c r="AI12" s="52"/>
      <c r="AJ12" s="52"/>
      <c r="AK12" s="52"/>
      <c r="AL12" s="53"/>
      <c r="AM12" s="25">
        <v>1.0</v>
      </c>
      <c r="AN12" s="25">
        <v>1.0</v>
      </c>
      <c r="AO12" s="51"/>
      <c r="AP12" s="52"/>
      <c r="AQ12" s="52"/>
      <c r="AR12" s="52"/>
      <c r="AS12" s="52"/>
      <c r="AT12" s="53"/>
      <c r="AU12" s="31"/>
      <c r="AV12" s="11"/>
      <c r="AW12" s="9"/>
      <c r="AX12" s="9"/>
      <c r="AY12" s="54"/>
      <c r="AZ12" s="29"/>
      <c r="BA12" s="46">
        <v>2.0</v>
      </c>
      <c r="BB12" s="26">
        <v>1.0</v>
      </c>
      <c r="BC12" s="9"/>
      <c r="BD12" s="9"/>
      <c r="BE12" s="9"/>
      <c r="BF12" s="42"/>
      <c r="BG12" s="9"/>
      <c r="BH12" s="9"/>
      <c r="BI12" s="9"/>
      <c r="BJ12" s="37" t="s">
        <v>6</v>
      </c>
      <c r="BK12" s="43" t="s">
        <v>67</v>
      </c>
      <c r="BL12" s="9"/>
      <c r="BM12" s="9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>
      <c r="A13" s="39">
        <v>7.0</v>
      </c>
      <c r="D13" s="25">
        <v>1.0</v>
      </c>
      <c r="E13" s="25">
        <v>1.0</v>
      </c>
      <c r="F13" s="47"/>
      <c r="G13" s="40">
        <v>3.0</v>
      </c>
      <c r="H13" s="25">
        <v>1.0</v>
      </c>
      <c r="I13" s="25">
        <v>3.0</v>
      </c>
      <c r="J13" s="25">
        <v>1.0</v>
      </c>
      <c r="K13" s="25">
        <v>1.0</v>
      </c>
      <c r="L13" s="25">
        <v>1.0</v>
      </c>
      <c r="M13" s="25">
        <v>1.0</v>
      </c>
      <c r="N13" s="25">
        <v>3.0</v>
      </c>
      <c r="O13" s="25">
        <v>1.0</v>
      </c>
      <c r="P13" s="55"/>
      <c r="Q13" s="9"/>
      <c r="R13" s="9"/>
      <c r="S13" s="44"/>
      <c r="T13" s="25">
        <v>1.0</v>
      </c>
      <c r="Y13" s="25">
        <v>1.0</v>
      </c>
      <c r="AB13" s="25">
        <v>1.0</v>
      </c>
      <c r="AC13" s="56"/>
      <c r="AD13" s="25">
        <v>1.0</v>
      </c>
      <c r="AE13" s="25">
        <v>1.0</v>
      </c>
      <c r="AF13" s="25">
        <v>1.0</v>
      </c>
      <c r="AG13" s="11"/>
      <c r="AH13" s="9"/>
      <c r="AI13" s="9"/>
      <c r="AJ13" s="9"/>
      <c r="AK13" s="57"/>
      <c r="AL13" s="58"/>
      <c r="AM13" s="25">
        <v>1.0</v>
      </c>
      <c r="AN13" s="25">
        <v>1.0</v>
      </c>
      <c r="AO13" s="44"/>
      <c r="AP13" s="57"/>
      <c r="AQ13" s="57"/>
      <c r="AR13" s="57"/>
      <c r="AS13" s="57"/>
      <c r="AT13" s="58"/>
      <c r="AU13" s="31"/>
      <c r="AV13" s="11"/>
      <c r="AW13" s="9"/>
      <c r="AX13" s="9"/>
      <c r="AY13" s="32">
        <v>1.0</v>
      </c>
      <c r="AZ13" s="25">
        <v>1.0</v>
      </c>
      <c r="BA13" s="34">
        <v>1.0</v>
      </c>
      <c r="BB13" s="59"/>
      <c r="BC13" s="9"/>
      <c r="BD13" s="9"/>
      <c r="BE13" s="9"/>
      <c r="BF13" s="42"/>
      <c r="BG13" s="9"/>
      <c r="BH13" s="9"/>
      <c r="BI13" s="9"/>
      <c r="BJ13" s="37" t="s">
        <v>7</v>
      </c>
      <c r="BK13" s="43" t="s">
        <v>67</v>
      </c>
      <c r="BL13" s="9"/>
      <c r="BM13" s="9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>
      <c r="A14" s="39">
        <v>8.0</v>
      </c>
      <c r="C14" s="25">
        <v>2.0</v>
      </c>
      <c r="D14" s="25">
        <v>1.0</v>
      </c>
      <c r="E14" s="25">
        <v>2.0</v>
      </c>
      <c r="F14" s="25">
        <v>1.0</v>
      </c>
      <c r="G14" s="25">
        <v>1.0</v>
      </c>
      <c r="H14" s="25">
        <v>1.0</v>
      </c>
      <c r="I14" s="25">
        <v>2.0</v>
      </c>
      <c r="J14" s="25">
        <v>1.0</v>
      </c>
      <c r="K14" s="25">
        <v>1.0</v>
      </c>
      <c r="L14" s="25">
        <v>2.0</v>
      </c>
      <c r="M14" s="25">
        <v>2.0</v>
      </c>
      <c r="N14" s="25">
        <v>1.0</v>
      </c>
      <c r="O14" s="25">
        <v>1.0</v>
      </c>
      <c r="P14" s="55"/>
      <c r="Q14" s="9"/>
      <c r="R14" s="9"/>
      <c r="S14" s="32">
        <v>1.0</v>
      </c>
      <c r="T14" s="25">
        <v>1.0</v>
      </c>
      <c r="X14" s="25">
        <v>1.0</v>
      </c>
      <c r="AB14" s="25">
        <v>1.0</v>
      </c>
      <c r="AC14" s="56"/>
      <c r="AE14" s="25">
        <v>3.0</v>
      </c>
      <c r="AG14" s="11"/>
      <c r="AH14" s="9"/>
      <c r="AI14" s="9"/>
      <c r="AJ14" s="9"/>
      <c r="AK14" s="57"/>
      <c r="AL14" s="58"/>
      <c r="AM14" s="25">
        <v>1.0</v>
      </c>
      <c r="AN14" s="25">
        <v>1.0</v>
      </c>
      <c r="AO14" s="44"/>
      <c r="AP14" s="57"/>
      <c r="AQ14" s="57"/>
      <c r="AR14" s="57"/>
      <c r="AS14" s="57"/>
      <c r="AT14" s="58"/>
      <c r="AU14" s="31"/>
      <c r="AV14" s="11"/>
      <c r="AW14" s="9"/>
      <c r="AX14" s="9"/>
      <c r="AY14" s="60">
        <v>2.0</v>
      </c>
      <c r="AZ14" s="49"/>
      <c r="BA14" s="46">
        <v>2.0</v>
      </c>
      <c r="BB14" s="26">
        <v>2.0</v>
      </c>
      <c r="BC14" s="9"/>
      <c r="BD14" s="9"/>
      <c r="BE14" s="9"/>
      <c r="BF14" s="42"/>
      <c r="BG14" s="9"/>
      <c r="BH14" s="9"/>
      <c r="BI14" s="9"/>
      <c r="BJ14" s="37" t="s">
        <v>8</v>
      </c>
      <c r="BK14" s="43" t="s">
        <v>67</v>
      </c>
      <c r="BL14" s="9"/>
      <c r="BM14" s="9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>
      <c r="A15" s="39">
        <v>9.0</v>
      </c>
      <c r="D15" s="25">
        <v>1.0</v>
      </c>
      <c r="F15" s="25">
        <v>1.0</v>
      </c>
      <c r="G15" s="25">
        <v>3.0</v>
      </c>
      <c r="H15" s="25">
        <v>1.0</v>
      </c>
      <c r="I15" s="25">
        <v>1.0</v>
      </c>
      <c r="J15" s="25">
        <v>3.0</v>
      </c>
      <c r="K15" s="25">
        <v>2.0</v>
      </c>
      <c r="L15" s="25">
        <v>1.0</v>
      </c>
      <c r="M15" s="25">
        <v>2.0</v>
      </c>
      <c r="N15" s="25">
        <v>1.0</v>
      </c>
      <c r="O15" s="25">
        <v>3.0</v>
      </c>
      <c r="P15" s="26">
        <v>1.0</v>
      </c>
      <c r="Q15" s="9"/>
      <c r="R15" s="9"/>
      <c r="S15" s="32">
        <v>1.0</v>
      </c>
      <c r="T15" s="47" t="s">
        <v>71</v>
      </c>
      <c r="U15" s="47" t="s">
        <v>72</v>
      </c>
      <c r="AC15" s="56"/>
      <c r="AE15" s="25">
        <v>1.0</v>
      </c>
      <c r="AG15" s="11"/>
      <c r="AH15" s="9"/>
      <c r="AI15" s="9"/>
      <c r="AJ15" s="9"/>
      <c r="AK15" s="57"/>
      <c r="AL15" s="58"/>
      <c r="AO15" s="44"/>
      <c r="AP15" s="57"/>
      <c r="AQ15" s="57"/>
      <c r="AR15" s="57"/>
      <c r="AS15" s="57"/>
      <c r="AT15" s="58"/>
      <c r="AU15" s="31"/>
      <c r="AV15" s="11"/>
      <c r="AW15" s="9"/>
      <c r="AX15" s="9"/>
      <c r="AY15" s="32">
        <v>1.0</v>
      </c>
      <c r="AZ15" s="25">
        <v>1.0</v>
      </c>
      <c r="BA15" s="34">
        <v>1.0</v>
      </c>
      <c r="BB15" s="26">
        <v>1.0</v>
      </c>
      <c r="BC15" s="9"/>
      <c r="BD15" s="9"/>
      <c r="BE15" s="9"/>
      <c r="BF15" s="42"/>
      <c r="BG15" s="9"/>
      <c r="BH15" s="9"/>
      <c r="BI15" s="9"/>
      <c r="BJ15" s="37" t="s">
        <v>9</v>
      </c>
      <c r="BK15" s="43" t="s">
        <v>67</v>
      </c>
      <c r="BL15" s="9"/>
      <c r="BM15" s="9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>
      <c r="A16" s="39">
        <v>10.0</v>
      </c>
      <c r="D16" s="25">
        <v>1.0</v>
      </c>
      <c r="E16" s="25">
        <v>1.0</v>
      </c>
      <c r="F16" s="25">
        <v>1.0</v>
      </c>
      <c r="G16" s="25">
        <v>2.0</v>
      </c>
      <c r="H16" s="25">
        <v>2.0</v>
      </c>
      <c r="I16" s="25">
        <v>1.0</v>
      </c>
      <c r="J16" s="25">
        <v>1.0</v>
      </c>
      <c r="K16" s="25">
        <v>1.0</v>
      </c>
      <c r="L16" s="25">
        <v>3.0</v>
      </c>
      <c r="M16" s="25">
        <v>1.0</v>
      </c>
      <c r="N16" s="25">
        <v>1.0</v>
      </c>
      <c r="O16" s="25">
        <v>1.0</v>
      </c>
      <c r="P16" s="26">
        <v>1.0</v>
      </c>
      <c r="Q16" s="9"/>
      <c r="R16" s="9"/>
      <c r="S16" s="32">
        <v>1.0</v>
      </c>
      <c r="X16" s="25">
        <v>1.0</v>
      </c>
      <c r="Y16" s="29"/>
      <c r="AA16" s="29"/>
      <c r="AC16" s="56"/>
      <c r="AD16" s="29"/>
      <c r="AE16" s="25">
        <v>1.0</v>
      </c>
      <c r="AF16" s="25">
        <v>1.0</v>
      </c>
      <c r="AG16" s="11"/>
      <c r="AH16" s="9"/>
      <c r="AI16" s="9"/>
      <c r="AJ16" s="9"/>
      <c r="AK16" s="57"/>
      <c r="AL16" s="58"/>
      <c r="AO16" s="44"/>
      <c r="AP16" s="57"/>
      <c r="AQ16" s="57"/>
      <c r="AR16" s="57"/>
      <c r="AS16" s="57"/>
      <c r="AT16" s="58"/>
      <c r="AU16" s="31"/>
      <c r="AV16" s="11"/>
      <c r="AW16" s="9"/>
      <c r="AX16" s="9"/>
      <c r="AY16" s="32">
        <v>2.0</v>
      </c>
      <c r="AZ16" s="25">
        <v>4.0</v>
      </c>
      <c r="BA16" s="46">
        <v>2.0</v>
      </c>
      <c r="BB16" s="26">
        <v>1.0</v>
      </c>
      <c r="BC16" s="9"/>
      <c r="BD16" s="9"/>
      <c r="BE16" s="9"/>
      <c r="BF16" s="42"/>
      <c r="BG16" s="9"/>
      <c r="BH16" s="9"/>
      <c r="BI16" s="9"/>
      <c r="BJ16" s="37" t="s">
        <v>10</v>
      </c>
      <c r="BK16" s="43" t="s">
        <v>64</v>
      </c>
      <c r="BL16" s="9"/>
      <c r="BM16" s="9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>
      <c r="A17" s="39">
        <v>11.0</v>
      </c>
      <c r="C17" s="49"/>
      <c r="E17" s="25">
        <v>1.0</v>
      </c>
      <c r="F17" s="40">
        <v>1.0</v>
      </c>
      <c r="G17" s="25">
        <v>2.0</v>
      </c>
      <c r="H17" s="25">
        <v>1.0</v>
      </c>
      <c r="I17" s="25">
        <v>1.0</v>
      </c>
      <c r="J17" s="25">
        <v>1.0</v>
      </c>
      <c r="K17" s="25">
        <v>2.0</v>
      </c>
      <c r="L17" s="25">
        <v>1.0</v>
      </c>
      <c r="M17" s="25">
        <v>1.0</v>
      </c>
      <c r="N17" s="25">
        <v>1.0</v>
      </c>
      <c r="O17" s="25">
        <v>1.0</v>
      </c>
      <c r="P17" s="26">
        <v>2.0</v>
      </c>
      <c r="Q17" s="9"/>
      <c r="R17" s="9"/>
      <c r="S17" s="32">
        <v>1.0</v>
      </c>
      <c r="T17" s="25">
        <v>1.0</v>
      </c>
      <c r="W17" s="29"/>
      <c r="AB17" s="25">
        <v>1.0</v>
      </c>
      <c r="AC17" s="56"/>
      <c r="AD17" s="25">
        <v>1.0</v>
      </c>
      <c r="AE17" s="29"/>
      <c r="AG17" s="11"/>
      <c r="AH17" s="9"/>
      <c r="AI17" s="9"/>
      <c r="AJ17" s="9"/>
      <c r="AK17" s="57"/>
      <c r="AL17" s="58"/>
      <c r="AM17" s="25">
        <v>1.0</v>
      </c>
      <c r="AO17" s="44"/>
      <c r="AP17" s="57"/>
      <c r="AQ17" s="57"/>
      <c r="AR17" s="57"/>
      <c r="AS17" s="57"/>
      <c r="AT17" s="58"/>
      <c r="AU17" s="31"/>
      <c r="AV17" s="11"/>
      <c r="AW17" s="9"/>
      <c r="AX17" s="9"/>
      <c r="AY17" s="32">
        <v>1.0</v>
      </c>
      <c r="AZ17" s="29"/>
      <c r="BA17" s="34">
        <v>1.0</v>
      </c>
      <c r="BB17" s="61">
        <v>1.0</v>
      </c>
      <c r="BC17" s="9"/>
      <c r="BD17" s="9"/>
      <c r="BE17" s="9"/>
      <c r="BF17" s="42"/>
      <c r="BG17" s="9"/>
      <c r="BH17" s="9"/>
      <c r="BI17" s="9"/>
      <c r="BJ17" s="37" t="s">
        <v>11</v>
      </c>
      <c r="BK17" s="43" t="s">
        <v>67</v>
      </c>
      <c r="BL17" s="9"/>
      <c r="BM17" s="9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>
      <c r="A18" s="39">
        <v>12.0</v>
      </c>
      <c r="D18" s="49"/>
      <c r="E18" s="25">
        <v>1.0</v>
      </c>
      <c r="F18" s="25">
        <v>1.0</v>
      </c>
      <c r="G18" s="25">
        <v>1.0</v>
      </c>
      <c r="H18" s="25">
        <v>1.0</v>
      </c>
      <c r="I18" s="25">
        <v>1.0</v>
      </c>
      <c r="J18" s="25">
        <v>1.0</v>
      </c>
      <c r="K18" s="25">
        <v>1.0</v>
      </c>
      <c r="L18" s="25">
        <v>1.0</v>
      </c>
      <c r="M18" s="25">
        <v>1.0</v>
      </c>
      <c r="N18" s="25">
        <v>2.0</v>
      </c>
      <c r="O18" s="25">
        <v>1.0</v>
      </c>
      <c r="P18" s="26">
        <v>1.0</v>
      </c>
      <c r="Q18" s="9"/>
      <c r="R18" s="9"/>
      <c r="S18" s="54"/>
      <c r="T18" s="25">
        <v>1.0</v>
      </c>
      <c r="X18" s="29"/>
      <c r="AC18" s="56"/>
      <c r="AE18" s="25">
        <v>1.0</v>
      </c>
      <c r="AG18" s="11"/>
      <c r="AH18" s="9"/>
      <c r="AI18" s="9"/>
      <c r="AJ18" s="9"/>
      <c r="AK18" s="57"/>
      <c r="AL18" s="58"/>
      <c r="AO18" s="44"/>
      <c r="AP18" s="57"/>
      <c r="AQ18" s="57"/>
      <c r="AR18" s="57"/>
      <c r="AS18" s="57"/>
      <c r="AT18" s="58"/>
      <c r="AU18" s="31"/>
      <c r="AV18" s="11"/>
      <c r="AW18" s="9"/>
      <c r="AX18" s="9"/>
      <c r="AY18" s="32">
        <v>3.0</v>
      </c>
      <c r="AZ18" s="25">
        <v>1.0</v>
      </c>
      <c r="BA18" s="46">
        <v>2.0</v>
      </c>
      <c r="BB18" s="61">
        <v>3.0</v>
      </c>
      <c r="BC18" s="9"/>
      <c r="BD18" s="9"/>
      <c r="BE18" s="9"/>
      <c r="BF18" s="42"/>
      <c r="BG18" s="9"/>
      <c r="BH18" s="9"/>
      <c r="BI18" s="9"/>
      <c r="BJ18" s="37" t="s">
        <v>12</v>
      </c>
      <c r="BK18" s="43" t="s">
        <v>73</v>
      </c>
      <c r="BL18" s="9"/>
      <c r="BM18" s="9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</row>
    <row r="19">
      <c r="A19" s="39">
        <v>13.0</v>
      </c>
      <c r="B19" s="49"/>
      <c r="C19" s="47"/>
      <c r="D19" s="47"/>
      <c r="E19" s="47"/>
      <c r="F19" s="25">
        <v>1.0</v>
      </c>
      <c r="G19" s="25">
        <v>2.0</v>
      </c>
      <c r="H19" s="25">
        <v>1.0</v>
      </c>
      <c r="I19" s="25">
        <v>1.0</v>
      </c>
      <c r="J19" s="25">
        <v>2.0</v>
      </c>
      <c r="K19" s="25">
        <v>1.0</v>
      </c>
      <c r="L19" s="25">
        <v>2.0</v>
      </c>
      <c r="M19" s="25">
        <v>1.0</v>
      </c>
      <c r="N19" s="25">
        <v>1.0</v>
      </c>
      <c r="O19" s="25">
        <v>3.0</v>
      </c>
      <c r="P19" s="26">
        <v>1.0</v>
      </c>
      <c r="Q19" s="9"/>
      <c r="R19" s="9"/>
      <c r="S19" s="54"/>
      <c r="T19" s="29"/>
      <c r="U19" s="25">
        <v>1.0</v>
      </c>
      <c r="AB19" s="29"/>
      <c r="AC19" s="56"/>
      <c r="AD19" s="25">
        <v>1.0</v>
      </c>
      <c r="AE19" s="29"/>
      <c r="AF19" s="25">
        <v>1.0</v>
      </c>
      <c r="AG19" s="11"/>
      <c r="AH19" s="9"/>
      <c r="AI19" s="9"/>
      <c r="AJ19" s="9"/>
      <c r="AK19" s="57"/>
      <c r="AL19" s="58"/>
      <c r="AM19" s="25">
        <v>1.0</v>
      </c>
      <c r="AN19" s="25">
        <v>1.0</v>
      </c>
      <c r="AO19" s="44"/>
      <c r="AP19" s="57"/>
      <c r="AQ19" s="57"/>
      <c r="AR19" s="57"/>
      <c r="AS19" s="57"/>
      <c r="AT19" s="58"/>
      <c r="AU19" s="31"/>
      <c r="AV19" s="11"/>
      <c r="AW19" s="9"/>
      <c r="AX19" s="9"/>
      <c r="AY19" s="45"/>
      <c r="AZ19" s="25">
        <v>1.0</v>
      </c>
      <c r="BA19" s="46">
        <v>2.0</v>
      </c>
      <c r="BB19" s="61">
        <v>3.0</v>
      </c>
      <c r="BC19" s="9"/>
      <c r="BD19" s="9"/>
      <c r="BE19" s="9"/>
      <c r="BF19" s="42"/>
      <c r="BG19" s="9"/>
      <c r="BH19" s="9"/>
      <c r="BI19" s="9"/>
      <c r="BJ19" s="37" t="s">
        <v>13</v>
      </c>
      <c r="BK19" s="43" t="s">
        <v>64</v>
      </c>
      <c r="BL19" s="9"/>
      <c r="BM19" s="9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</row>
    <row r="20">
      <c r="A20" s="39">
        <v>14.0</v>
      </c>
      <c r="C20" s="25">
        <v>1.0</v>
      </c>
      <c r="F20" s="25">
        <v>1.0</v>
      </c>
      <c r="G20" s="25">
        <v>1.0</v>
      </c>
      <c r="H20" s="25">
        <v>1.0</v>
      </c>
      <c r="I20" s="25">
        <v>2.0</v>
      </c>
      <c r="J20" s="25">
        <v>1.0</v>
      </c>
      <c r="K20" s="25">
        <v>1.0</v>
      </c>
      <c r="L20" s="25">
        <v>2.0</v>
      </c>
      <c r="M20" s="25">
        <v>3.0</v>
      </c>
      <c r="N20" s="25">
        <v>1.0</v>
      </c>
      <c r="O20" s="25">
        <v>2.0</v>
      </c>
      <c r="P20" s="62"/>
      <c r="Q20" s="9"/>
      <c r="R20" s="9"/>
      <c r="S20" s="32">
        <v>1.0</v>
      </c>
      <c r="X20" s="25">
        <v>1.0</v>
      </c>
      <c r="Y20" s="25">
        <v>1.0</v>
      </c>
      <c r="AA20" s="25">
        <v>1.0</v>
      </c>
      <c r="AB20" s="25">
        <v>1.0</v>
      </c>
      <c r="AC20" s="56"/>
      <c r="AD20" s="25">
        <v>1.0</v>
      </c>
      <c r="AE20" s="25">
        <v>1.0</v>
      </c>
      <c r="AG20" s="11"/>
      <c r="AH20" s="9"/>
      <c r="AI20" s="9"/>
      <c r="AJ20" s="9"/>
      <c r="AK20" s="57"/>
      <c r="AL20" s="58"/>
      <c r="AM20" s="29"/>
      <c r="AN20" s="25">
        <v>1.0</v>
      </c>
      <c r="AO20" s="44"/>
      <c r="AP20" s="57"/>
      <c r="AQ20" s="57"/>
      <c r="AR20" s="57"/>
      <c r="AS20" s="57"/>
      <c r="AT20" s="58"/>
      <c r="AU20" s="29"/>
      <c r="AV20" s="11"/>
      <c r="AW20" s="9"/>
      <c r="AX20" s="9"/>
      <c r="AY20" s="32">
        <v>2.0</v>
      </c>
      <c r="AZ20" s="25">
        <v>1.0</v>
      </c>
      <c r="BA20" s="34">
        <v>1.0</v>
      </c>
      <c r="BB20" s="61">
        <v>1.0</v>
      </c>
      <c r="BC20" s="9"/>
      <c r="BD20" s="9"/>
      <c r="BE20" s="9"/>
      <c r="BF20" s="28">
        <v>1.0</v>
      </c>
      <c r="BG20" s="9"/>
      <c r="BH20" s="9"/>
      <c r="BI20" s="9"/>
      <c r="BJ20" s="37" t="s">
        <v>14</v>
      </c>
      <c r="BK20" s="43" t="s">
        <v>74</v>
      </c>
      <c r="BL20" s="9"/>
      <c r="BM20" s="9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</row>
    <row r="21">
      <c r="A21" s="39">
        <v>15.0</v>
      </c>
      <c r="C21" s="25">
        <v>1.0</v>
      </c>
      <c r="D21" s="25">
        <v>1.0</v>
      </c>
      <c r="E21" s="49"/>
      <c r="F21" s="40">
        <v>2.0</v>
      </c>
      <c r="G21" s="25">
        <v>1.0</v>
      </c>
      <c r="H21" s="25">
        <v>3.0</v>
      </c>
      <c r="I21" s="25">
        <v>2.0</v>
      </c>
      <c r="J21" s="25">
        <v>2.0</v>
      </c>
      <c r="K21" s="25">
        <v>1.0</v>
      </c>
      <c r="L21" s="25">
        <v>1.0</v>
      </c>
      <c r="M21" s="25">
        <v>3.0</v>
      </c>
      <c r="N21" s="25">
        <v>1.0</v>
      </c>
      <c r="O21" s="25">
        <v>2.0</v>
      </c>
      <c r="P21" s="26">
        <v>1.0</v>
      </c>
      <c r="Q21" s="9"/>
      <c r="R21" s="9"/>
      <c r="S21" s="44"/>
      <c r="AB21" s="25">
        <v>1.0</v>
      </c>
      <c r="AC21" s="56"/>
      <c r="AE21" s="25">
        <v>3.0</v>
      </c>
      <c r="AF21" s="25">
        <v>1.0</v>
      </c>
      <c r="AG21" s="11"/>
      <c r="AH21" s="9"/>
      <c r="AI21" s="9"/>
      <c r="AJ21" s="9"/>
      <c r="AK21" s="57"/>
      <c r="AL21" s="58"/>
      <c r="AM21" s="25">
        <v>3.0</v>
      </c>
      <c r="AO21" s="44"/>
      <c r="AP21" s="57"/>
      <c r="AQ21" s="57"/>
      <c r="AR21" s="57"/>
      <c r="AS21" s="57"/>
      <c r="AT21" s="58"/>
      <c r="AU21" s="31"/>
      <c r="AV21" s="11"/>
      <c r="AW21" s="9"/>
      <c r="AX21" s="9"/>
      <c r="AY21" s="45"/>
      <c r="AZ21" s="29"/>
      <c r="BA21" s="34">
        <v>1.0</v>
      </c>
      <c r="BB21" s="61">
        <v>2.0</v>
      </c>
      <c r="BC21" s="9"/>
      <c r="BD21" s="9"/>
      <c r="BE21" s="9"/>
      <c r="BF21" s="42"/>
      <c r="BG21" s="9"/>
      <c r="BH21" s="9"/>
      <c r="BI21" s="9"/>
      <c r="BJ21" s="63"/>
      <c r="BK21" s="56"/>
      <c r="BL21" s="9"/>
      <c r="BM21" s="9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</row>
    <row r="22">
      <c r="A22" s="39">
        <v>16.0</v>
      </c>
      <c r="B22" s="25">
        <v>2.0</v>
      </c>
      <c r="D22" s="49"/>
      <c r="E22" s="25">
        <v>2.0</v>
      </c>
      <c r="F22" s="40">
        <v>2.0</v>
      </c>
      <c r="G22" s="25">
        <v>1.0</v>
      </c>
      <c r="H22" s="25">
        <v>2.0</v>
      </c>
      <c r="I22" s="25">
        <v>2.0</v>
      </c>
      <c r="J22" s="25">
        <v>1.0</v>
      </c>
      <c r="K22" s="25">
        <v>3.0</v>
      </c>
      <c r="L22" s="25">
        <v>1.0</v>
      </c>
      <c r="M22" s="25">
        <v>1.0</v>
      </c>
      <c r="N22" s="25">
        <v>2.0</v>
      </c>
      <c r="O22" s="25">
        <v>2.0</v>
      </c>
      <c r="P22" s="26">
        <v>1.0</v>
      </c>
      <c r="Q22" s="9"/>
      <c r="R22" s="9"/>
      <c r="S22" s="44"/>
      <c r="AA22" s="50"/>
      <c r="AB22" s="25">
        <v>1.0</v>
      </c>
      <c r="AC22" s="56"/>
      <c r="AF22" s="25">
        <v>1.0</v>
      </c>
      <c r="AG22" s="11"/>
      <c r="AH22" s="9"/>
      <c r="AI22" s="9"/>
      <c r="AJ22" s="9"/>
      <c r="AK22" s="57"/>
      <c r="AL22" s="58"/>
      <c r="AN22" s="25">
        <v>1.0</v>
      </c>
      <c r="AO22" s="44"/>
      <c r="AP22" s="57"/>
      <c r="AQ22" s="57"/>
      <c r="AR22" s="57"/>
      <c r="AS22" s="57"/>
      <c r="AT22" s="58"/>
      <c r="AU22" s="31"/>
      <c r="AV22" s="11"/>
      <c r="AW22" s="9"/>
      <c r="AX22" s="9"/>
      <c r="AY22" s="32">
        <v>1.0</v>
      </c>
      <c r="AZ22" s="25">
        <v>1.0</v>
      </c>
      <c r="BA22" s="34">
        <v>1.0</v>
      </c>
      <c r="BB22" s="61">
        <v>1.0</v>
      </c>
      <c r="BC22" s="9"/>
      <c r="BD22" s="9"/>
      <c r="BE22" s="9"/>
      <c r="BF22" s="42"/>
      <c r="BG22" s="9"/>
      <c r="BH22" s="9"/>
      <c r="BI22" s="9"/>
      <c r="BJ22" s="37" t="s">
        <v>49</v>
      </c>
      <c r="BK22" s="43" t="s">
        <v>57</v>
      </c>
      <c r="BL22" s="9"/>
      <c r="BM22" s="9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</row>
    <row r="23">
      <c r="A23" s="39">
        <v>17.0</v>
      </c>
      <c r="B23" s="49"/>
      <c r="C23" s="49"/>
      <c r="D23" s="25">
        <v>1.0</v>
      </c>
      <c r="E23" s="25">
        <v>1.0</v>
      </c>
      <c r="F23" s="25">
        <v>2.0</v>
      </c>
      <c r="G23" s="25">
        <v>1.0</v>
      </c>
      <c r="H23" s="25">
        <v>1.0</v>
      </c>
      <c r="I23" s="25">
        <v>1.0</v>
      </c>
      <c r="J23" s="25">
        <v>1.0</v>
      </c>
      <c r="K23" s="25">
        <v>1.0</v>
      </c>
      <c r="L23" s="25">
        <v>1.0</v>
      </c>
      <c r="M23" s="25">
        <v>1.0</v>
      </c>
      <c r="N23" s="25">
        <v>2.0</v>
      </c>
      <c r="O23" s="25">
        <v>1.0</v>
      </c>
      <c r="P23" s="26">
        <v>1.0</v>
      </c>
      <c r="Q23" s="9"/>
      <c r="R23" s="9"/>
      <c r="S23" s="64"/>
      <c r="T23" s="65"/>
      <c r="U23" s="65"/>
      <c r="V23" s="65"/>
      <c r="W23" s="65"/>
      <c r="X23" s="65"/>
      <c r="Y23" s="65"/>
      <c r="Z23" s="65"/>
      <c r="AA23" s="56"/>
      <c r="AB23" s="30" t="s">
        <v>75</v>
      </c>
      <c r="AC23" s="42"/>
      <c r="AD23" s="25">
        <v>1.0</v>
      </c>
      <c r="AF23" s="25">
        <v>1.0</v>
      </c>
      <c r="AG23" s="44"/>
      <c r="AH23" s="57"/>
      <c r="AI23" s="57"/>
      <c r="AJ23" s="57"/>
      <c r="AK23" s="57"/>
      <c r="AL23" s="58"/>
      <c r="AN23" s="25">
        <v>1.0</v>
      </c>
      <c r="AO23" s="44"/>
      <c r="AP23" s="57"/>
      <c r="AQ23" s="57"/>
      <c r="AR23" s="57"/>
      <c r="AS23" s="57"/>
      <c r="AT23" s="58"/>
      <c r="AU23" s="31"/>
      <c r="AV23" s="11"/>
      <c r="AW23" s="9"/>
      <c r="AX23" s="9"/>
      <c r="AY23" s="44"/>
      <c r="AZ23" s="49"/>
      <c r="BA23" s="46">
        <v>2.0</v>
      </c>
      <c r="BB23" s="61">
        <v>1.0</v>
      </c>
      <c r="BC23" s="9"/>
      <c r="BD23" s="9"/>
      <c r="BE23" s="9"/>
      <c r="BF23" s="42"/>
      <c r="BG23" s="9"/>
      <c r="BH23" s="9"/>
      <c r="BI23" s="9"/>
      <c r="BJ23" s="63"/>
      <c r="BK23" s="56"/>
      <c r="BL23" s="9"/>
      <c r="BM23" s="9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</row>
    <row r="24">
      <c r="A24" s="39">
        <v>18.0</v>
      </c>
      <c r="C24" s="25">
        <v>2.0</v>
      </c>
      <c r="D24" s="49"/>
      <c r="E24" s="25">
        <v>1.0</v>
      </c>
      <c r="F24" s="25">
        <v>1.0</v>
      </c>
      <c r="G24" s="25">
        <v>2.0</v>
      </c>
      <c r="H24" s="25">
        <v>1.0</v>
      </c>
      <c r="I24" s="25">
        <v>2.0</v>
      </c>
      <c r="J24" s="25">
        <v>1.0</v>
      </c>
      <c r="K24" s="25">
        <v>1.0</v>
      </c>
      <c r="L24" s="49"/>
      <c r="M24" s="25">
        <v>2.0</v>
      </c>
      <c r="N24" s="25">
        <v>1.0</v>
      </c>
      <c r="O24" s="25">
        <v>2.0</v>
      </c>
      <c r="P24" s="26">
        <v>1.0</v>
      </c>
      <c r="Q24" s="9"/>
      <c r="R24" s="9"/>
      <c r="S24" s="57"/>
      <c r="T24" s="9"/>
      <c r="U24" s="9"/>
      <c r="V24" s="9"/>
      <c r="W24" s="9"/>
      <c r="X24" s="9"/>
      <c r="Y24" s="9"/>
      <c r="Z24" s="9"/>
      <c r="AA24" s="9"/>
      <c r="AB24" s="52"/>
      <c r="AC24" s="57"/>
      <c r="AD24" s="53"/>
      <c r="AE24" s="25">
        <v>1.0</v>
      </c>
      <c r="AF24" s="66" t="s">
        <v>76</v>
      </c>
      <c r="AG24" s="57"/>
      <c r="AH24" s="57"/>
      <c r="AI24" s="57"/>
      <c r="AJ24" s="57"/>
      <c r="AK24" s="57"/>
      <c r="AL24" s="57"/>
      <c r="AM24" s="52"/>
      <c r="AN24" s="52"/>
      <c r="AO24" s="57"/>
      <c r="AP24" s="57"/>
      <c r="AQ24" s="57"/>
      <c r="AR24" s="57"/>
      <c r="AS24" s="57"/>
      <c r="AT24" s="57"/>
      <c r="AU24" s="52"/>
      <c r="AV24" s="9"/>
      <c r="AW24" s="9"/>
      <c r="AX24" s="9"/>
      <c r="AY24" s="32">
        <v>1.0</v>
      </c>
      <c r="AZ24" s="25">
        <v>2.0</v>
      </c>
      <c r="BA24" s="46">
        <v>3.0</v>
      </c>
      <c r="BB24" s="61">
        <v>2.0</v>
      </c>
      <c r="BC24" s="9"/>
      <c r="BD24" s="9"/>
      <c r="BE24" s="9"/>
      <c r="BF24" s="42"/>
      <c r="BG24" s="9"/>
      <c r="BH24" s="9"/>
      <c r="BI24" s="9"/>
      <c r="BJ24" s="37" t="s">
        <v>77</v>
      </c>
      <c r="BK24" s="36" t="s">
        <v>78</v>
      </c>
      <c r="BL24" s="9"/>
      <c r="BM24" s="9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</row>
    <row r="25">
      <c r="A25" s="39">
        <v>19.0</v>
      </c>
      <c r="D25" s="25">
        <v>1.0</v>
      </c>
      <c r="E25" s="24"/>
      <c r="F25" s="25">
        <v>2.0</v>
      </c>
      <c r="G25" s="25">
        <v>1.0</v>
      </c>
      <c r="H25" s="25">
        <v>4.0</v>
      </c>
      <c r="I25" s="25">
        <v>1.0</v>
      </c>
      <c r="J25" s="25">
        <v>1.0</v>
      </c>
      <c r="K25" s="25">
        <v>2.0</v>
      </c>
      <c r="L25" s="25">
        <v>1.0</v>
      </c>
      <c r="M25" s="25">
        <v>1.0</v>
      </c>
      <c r="N25" s="25">
        <v>2.0</v>
      </c>
      <c r="O25" s="25">
        <v>1.0</v>
      </c>
      <c r="P25" s="26">
        <v>1.0</v>
      </c>
      <c r="Q25" s="9"/>
      <c r="R25" s="9"/>
      <c r="S25" s="9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8"/>
      <c r="AE25" s="25">
        <v>1.0</v>
      </c>
      <c r="AF25" s="44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9"/>
      <c r="AW25" s="9"/>
      <c r="AX25" s="9"/>
      <c r="AY25" s="32">
        <v>2.0</v>
      </c>
      <c r="AZ25" s="25">
        <v>2.0</v>
      </c>
      <c r="BA25" s="34">
        <v>1.0</v>
      </c>
      <c r="BB25" s="61">
        <v>2.0</v>
      </c>
      <c r="BC25" s="9"/>
      <c r="BD25" s="9"/>
      <c r="BE25" s="9"/>
      <c r="BF25" s="42"/>
      <c r="BG25" s="9"/>
      <c r="BH25" s="9"/>
      <c r="BI25" s="9"/>
      <c r="BJ25" s="37" t="s">
        <v>79</v>
      </c>
      <c r="BK25" s="36" t="s">
        <v>78</v>
      </c>
      <c r="BL25" s="9"/>
      <c r="BM25" s="9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</row>
    <row r="26">
      <c r="A26" s="39">
        <v>20.0</v>
      </c>
      <c r="D26" s="25">
        <v>1.0</v>
      </c>
      <c r="E26" s="24"/>
      <c r="F26" s="25">
        <v>1.0</v>
      </c>
      <c r="G26" s="25">
        <v>4.0</v>
      </c>
      <c r="H26" s="40">
        <v>1.0</v>
      </c>
      <c r="I26" s="25">
        <v>1.0</v>
      </c>
      <c r="J26" s="25">
        <v>2.0</v>
      </c>
      <c r="K26" s="25">
        <v>1.0</v>
      </c>
      <c r="L26" s="25">
        <v>1.0</v>
      </c>
      <c r="M26" s="25">
        <v>4.0</v>
      </c>
      <c r="N26" s="25">
        <v>1.0</v>
      </c>
      <c r="O26" s="25">
        <v>4.0</v>
      </c>
      <c r="P26" s="62"/>
      <c r="Q26" s="9"/>
      <c r="R26" s="9"/>
      <c r="S26" s="57"/>
      <c r="T26" s="57"/>
      <c r="U26" s="57"/>
      <c r="V26" s="57"/>
      <c r="W26" s="57"/>
      <c r="X26" s="57"/>
      <c r="Y26" s="57"/>
      <c r="Z26" s="57"/>
      <c r="AA26" s="57"/>
      <c r="AB26" s="9"/>
      <c r="AC26" s="57"/>
      <c r="AD26" s="57"/>
      <c r="AE26" s="52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9"/>
      <c r="AW26" s="9"/>
      <c r="AX26" s="9"/>
      <c r="AY26" s="32">
        <v>1.0</v>
      </c>
      <c r="AZ26" s="49"/>
      <c r="BA26" s="34">
        <v>1.0</v>
      </c>
      <c r="BB26" s="61">
        <v>1.0</v>
      </c>
      <c r="BC26" s="9"/>
      <c r="BD26" s="9"/>
      <c r="BE26" s="9"/>
      <c r="BF26" s="67" t="s">
        <v>80</v>
      </c>
      <c r="BG26" s="9"/>
      <c r="BH26" s="9"/>
      <c r="BI26" s="9"/>
      <c r="BJ26" s="68"/>
      <c r="BK26" s="52"/>
      <c r="BL26" s="9"/>
      <c r="BM26" s="9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</row>
    <row r="27">
      <c r="A27" s="39">
        <v>21.0</v>
      </c>
      <c r="D27" s="24"/>
      <c r="F27" s="25">
        <v>1.0</v>
      </c>
      <c r="G27" s="25">
        <v>4.0</v>
      </c>
      <c r="H27" s="25">
        <v>2.0</v>
      </c>
      <c r="I27" s="25">
        <v>4.0</v>
      </c>
      <c r="J27" s="25">
        <v>1.0</v>
      </c>
      <c r="K27" s="25">
        <v>1.0</v>
      </c>
      <c r="L27" s="25">
        <v>4.0</v>
      </c>
      <c r="M27" s="25">
        <v>1.0</v>
      </c>
      <c r="N27" s="25">
        <v>1.0</v>
      </c>
      <c r="O27" s="25">
        <v>1.0</v>
      </c>
      <c r="P27" s="26">
        <v>1.0</v>
      </c>
      <c r="Q27" s="9"/>
      <c r="R27" s="9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9"/>
      <c r="AW27" s="9"/>
      <c r="AX27" s="9"/>
      <c r="AY27" s="32">
        <v>4.0</v>
      </c>
      <c r="AZ27" s="25">
        <v>1.0</v>
      </c>
      <c r="BA27" s="34">
        <v>1.0</v>
      </c>
      <c r="BB27" s="61">
        <v>1.0</v>
      </c>
      <c r="BC27" s="9"/>
      <c r="BD27" s="9"/>
      <c r="BE27" s="9"/>
      <c r="BF27" s="42"/>
      <c r="BG27" s="9"/>
      <c r="BH27" s="9"/>
      <c r="BI27" s="9"/>
      <c r="BJ27" s="69"/>
      <c r="BK27" s="57"/>
      <c r="BL27" s="9"/>
      <c r="BM27" s="9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</row>
    <row r="28">
      <c r="A28" s="39">
        <v>22.0</v>
      </c>
      <c r="D28" s="24"/>
      <c r="E28" s="25">
        <v>1.0</v>
      </c>
      <c r="F28" s="25">
        <v>4.0</v>
      </c>
      <c r="G28" s="25">
        <v>4.0</v>
      </c>
      <c r="H28" s="46">
        <v>2.0</v>
      </c>
      <c r="I28" s="25">
        <v>1.0</v>
      </c>
      <c r="J28" s="25">
        <v>4.0</v>
      </c>
      <c r="K28" s="25">
        <v>4.0</v>
      </c>
      <c r="L28" s="25">
        <v>4.0</v>
      </c>
      <c r="M28" s="25">
        <v>1.0</v>
      </c>
      <c r="N28" s="25">
        <v>1.0</v>
      </c>
      <c r="O28" s="25">
        <v>1.0</v>
      </c>
      <c r="P28" s="26">
        <v>4.0</v>
      </c>
      <c r="Q28" s="9"/>
      <c r="R28" s="9"/>
      <c r="S28" s="70" t="s">
        <v>81</v>
      </c>
      <c r="T28" s="71"/>
      <c r="U28" s="70" t="s">
        <v>51</v>
      </c>
      <c r="V28" s="71"/>
      <c r="W28" s="57"/>
      <c r="X28" s="70" t="s">
        <v>81</v>
      </c>
      <c r="Y28" s="71"/>
      <c r="Z28" s="70" t="s">
        <v>51</v>
      </c>
      <c r="AA28" s="71"/>
      <c r="AB28" s="57"/>
      <c r="AC28" s="70" t="s">
        <v>82</v>
      </c>
      <c r="AD28" s="71"/>
      <c r="AE28" s="70" t="s">
        <v>51</v>
      </c>
      <c r="AF28" s="71"/>
      <c r="AG28" s="57"/>
      <c r="AH28" s="70" t="s">
        <v>82</v>
      </c>
      <c r="AI28" s="71"/>
      <c r="AJ28" s="70" t="s">
        <v>51</v>
      </c>
      <c r="AK28" s="71"/>
      <c r="AL28" s="57"/>
      <c r="AM28" s="70" t="s">
        <v>83</v>
      </c>
      <c r="AN28" s="71"/>
      <c r="AO28" s="70" t="s">
        <v>51</v>
      </c>
      <c r="AP28" s="71"/>
      <c r="AQ28" s="57"/>
      <c r="AR28" s="57"/>
      <c r="AS28" s="57"/>
      <c r="AT28" s="57"/>
      <c r="AU28" s="57"/>
      <c r="AV28" s="9"/>
      <c r="AW28" s="9"/>
      <c r="AX28" s="9"/>
      <c r="AY28" s="32">
        <v>3.0</v>
      </c>
      <c r="AZ28" s="25">
        <v>2.0</v>
      </c>
      <c r="BA28" s="46">
        <v>2.0</v>
      </c>
      <c r="BB28" s="61">
        <v>2.0</v>
      </c>
      <c r="BC28" s="9"/>
      <c r="BD28" s="9"/>
      <c r="BE28" s="9"/>
      <c r="BF28" s="42"/>
      <c r="BG28" s="9"/>
      <c r="BH28" s="9"/>
      <c r="BI28" s="9"/>
      <c r="BJ28" s="69"/>
      <c r="BK28" s="57"/>
      <c r="BL28" s="9"/>
      <c r="BM28" s="9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</row>
    <row r="29">
      <c r="A29" s="39">
        <v>23.0</v>
      </c>
      <c r="D29" s="25">
        <v>1.0</v>
      </c>
      <c r="E29" s="25">
        <v>1.0</v>
      </c>
      <c r="F29" s="25">
        <v>2.0</v>
      </c>
      <c r="G29" s="25">
        <v>2.0</v>
      </c>
      <c r="H29" s="25">
        <v>1.0</v>
      </c>
      <c r="I29" s="47"/>
      <c r="J29" s="47"/>
      <c r="K29" s="25">
        <v>1.0</v>
      </c>
      <c r="L29" s="25">
        <v>2.0</v>
      </c>
      <c r="M29" s="25">
        <v>1.0</v>
      </c>
      <c r="N29" s="25">
        <v>3.0</v>
      </c>
      <c r="O29" s="25">
        <v>2.0</v>
      </c>
      <c r="P29" s="26">
        <v>2.0</v>
      </c>
      <c r="Q29" s="9"/>
      <c r="R29" s="9"/>
      <c r="S29" s="72" t="s">
        <v>84</v>
      </c>
      <c r="T29" s="73"/>
      <c r="U29" s="73"/>
      <c r="V29" s="74"/>
      <c r="W29" s="57"/>
      <c r="X29" s="75" t="s">
        <v>85</v>
      </c>
      <c r="Y29" s="76"/>
      <c r="Z29" s="76"/>
      <c r="AA29" s="71"/>
      <c r="AB29" s="57"/>
      <c r="AC29" s="75" t="s">
        <v>86</v>
      </c>
      <c r="AD29" s="76"/>
      <c r="AE29" s="76"/>
      <c r="AF29" s="71"/>
      <c r="AG29" s="57"/>
      <c r="AH29" s="75" t="s">
        <v>87</v>
      </c>
      <c r="AI29" s="76"/>
      <c r="AJ29" s="76"/>
      <c r="AK29" s="71"/>
      <c r="AL29" s="57"/>
      <c r="AM29" s="32" t="s">
        <v>88</v>
      </c>
      <c r="AO29" s="25" t="s">
        <v>89</v>
      </c>
      <c r="AP29" s="77"/>
      <c r="AQ29" s="57"/>
      <c r="AR29" s="57"/>
      <c r="AS29" s="57"/>
      <c r="AT29" s="57"/>
      <c r="AU29" s="57"/>
      <c r="AV29" s="9"/>
      <c r="AW29" s="9"/>
      <c r="AX29" s="9"/>
      <c r="AY29" s="32">
        <v>2.0</v>
      </c>
      <c r="AZ29" s="25">
        <v>1.0</v>
      </c>
      <c r="BA29" s="34">
        <v>1.0</v>
      </c>
      <c r="BB29" s="61">
        <v>2.0</v>
      </c>
      <c r="BC29" s="9"/>
      <c r="BD29" s="9"/>
      <c r="BE29" s="9"/>
      <c r="BF29" s="42"/>
      <c r="BG29" s="9"/>
      <c r="BH29" s="9"/>
      <c r="BI29" s="9"/>
      <c r="BJ29" s="69"/>
      <c r="BK29" s="57"/>
      <c r="BL29" s="9"/>
      <c r="BM29" s="9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</row>
    <row r="30">
      <c r="A30" s="39">
        <v>24.0</v>
      </c>
      <c r="B30" s="25">
        <v>3.0</v>
      </c>
      <c r="D30" s="25">
        <v>2.0</v>
      </c>
      <c r="E30" s="47"/>
      <c r="F30" s="25">
        <v>1.0</v>
      </c>
      <c r="G30" s="25">
        <v>1.0</v>
      </c>
      <c r="H30" s="40">
        <v>1.0</v>
      </c>
      <c r="I30" s="25">
        <v>1.0</v>
      </c>
      <c r="J30" s="25">
        <v>1.0</v>
      </c>
      <c r="K30" s="25">
        <v>1.0</v>
      </c>
      <c r="L30" s="25">
        <v>1.0</v>
      </c>
      <c r="M30" s="25">
        <v>1.0</v>
      </c>
      <c r="N30" s="25">
        <v>1.0</v>
      </c>
      <c r="O30" s="25">
        <v>1.0</v>
      </c>
      <c r="P30" s="26">
        <v>2.0</v>
      </c>
      <c r="Q30" s="9"/>
      <c r="R30" s="9"/>
      <c r="S30" s="32" t="s">
        <v>90</v>
      </c>
      <c r="U30" s="25" t="s">
        <v>91</v>
      </c>
      <c r="V30" s="77"/>
      <c r="W30" s="57"/>
      <c r="X30" s="32" t="s">
        <v>90</v>
      </c>
      <c r="Z30" s="25" t="s">
        <v>92</v>
      </c>
      <c r="AA30" s="77"/>
      <c r="AB30" s="57"/>
      <c r="AC30" s="32" t="s">
        <v>93</v>
      </c>
      <c r="AE30" s="25" t="s">
        <v>94</v>
      </c>
      <c r="AF30" s="77"/>
      <c r="AG30" s="57"/>
      <c r="AH30" s="78" t="s">
        <v>95</v>
      </c>
      <c r="AJ30" s="79" t="s">
        <v>96</v>
      </c>
      <c r="AK30" s="77"/>
      <c r="AL30" s="57"/>
      <c r="AM30" s="32" t="s">
        <v>88</v>
      </c>
      <c r="AO30" s="25" t="s">
        <v>97</v>
      </c>
      <c r="AP30" s="77"/>
      <c r="AQ30" s="57"/>
      <c r="AR30" s="57"/>
      <c r="AS30" s="57"/>
      <c r="AT30" s="57"/>
      <c r="AU30" s="57"/>
      <c r="AV30" s="9"/>
      <c r="AW30" s="9"/>
      <c r="AX30" s="9"/>
      <c r="AY30" s="32">
        <v>1.0</v>
      </c>
      <c r="AZ30" s="25">
        <v>1.0</v>
      </c>
      <c r="BA30" s="47" t="s">
        <v>98</v>
      </c>
      <c r="BB30" s="61">
        <v>1.0</v>
      </c>
      <c r="BC30" s="9"/>
      <c r="BD30" s="9"/>
      <c r="BE30" s="9"/>
      <c r="BF30" s="67" t="s">
        <v>99</v>
      </c>
      <c r="BG30" s="9"/>
      <c r="BH30" s="9"/>
      <c r="BI30" s="9"/>
      <c r="BJ30" s="69"/>
      <c r="BK30" s="57"/>
      <c r="BL30" s="9"/>
      <c r="BM30" s="9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</row>
    <row r="31">
      <c r="A31" s="39">
        <v>25.0</v>
      </c>
      <c r="B31" s="29"/>
      <c r="C31" s="24"/>
      <c r="D31" s="25">
        <v>3.0</v>
      </c>
      <c r="E31" s="25">
        <v>1.0</v>
      </c>
      <c r="F31" s="25">
        <v>1.0</v>
      </c>
      <c r="G31" s="25">
        <v>2.0</v>
      </c>
      <c r="H31" s="25">
        <v>1.0</v>
      </c>
      <c r="I31" s="25">
        <v>1.0</v>
      </c>
      <c r="J31" s="25">
        <v>1.0</v>
      </c>
      <c r="K31" s="25">
        <v>2.0</v>
      </c>
      <c r="L31" s="25">
        <v>1.0</v>
      </c>
      <c r="M31" s="25">
        <v>1.0</v>
      </c>
      <c r="N31" s="25">
        <v>1.0</v>
      </c>
      <c r="O31" s="25">
        <v>1.0</v>
      </c>
      <c r="P31" s="26">
        <v>2.0</v>
      </c>
      <c r="Q31" s="9"/>
      <c r="R31" s="9"/>
      <c r="S31" s="32" t="s">
        <v>93</v>
      </c>
      <c r="U31" s="25" t="s">
        <v>100</v>
      </c>
      <c r="V31" s="77"/>
      <c r="W31" s="57"/>
      <c r="X31" s="32" t="s">
        <v>93</v>
      </c>
      <c r="Z31" s="25" t="s">
        <v>101</v>
      </c>
      <c r="AA31" s="77"/>
      <c r="AB31" s="57"/>
      <c r="AC31" s="32" t="s">
        <v>102</v>
      </c>
      <c r="AE31" s="25" t="s">
        <v>103</v>
      </c>
      <c r="AF31" s="77"/>
      <c r="AG31" s="57"/>
      <c r="AH31" s="78" t="s">
        <v>104</v>
      </c>
      <c r="AJ31" s="79" t="s">
        <v>96</v>
      </c>
      <c r="AK31" s="77"/>
      <c r="AL31" s="57"/>
      <c r="AM31" s="32" t="s">
        <v>105</v>
      </c>
      <c r="AO31" s="25" t="s">
        <v>106</v>
      </c>
      <c r="AP31" s="77"/>
      <c r="AQ31" s="57"/>
      <c r="AR31" s="57"/>
      <c r="AS31" s="57"/>
      <c r="AT31" s="57"/>
      <c r="AU31" s="57"/>
      <c r="AV31" s="9"/>
      <c r="AW31" s="9"/>
      <c r="AX31" s="9"/>
      <c r="AY31" s="32">
        <v>1.0</v>
      </c>
      <c r="AZ31" s="25">
        <v>2.0</v>
      </c>
      <c r="BA31" s="46">
        <v>2.0</v>
      </c>
      <c r="BB31" s="61">
        <v>3.0</v>
      </c>
      <c r="BC31" s="9"/>
      <c r="BD31" s="9"/>
      <c r="BE31" s="9"/>
      <c r="BF31" s="42"/>
      <c r="BG31" s="9"/>
      <c r="BH31" s="9"/>
      <c r="BI31" s="9"/>
      <c r="BJ31" s="69"/>
      <c r="BK31" s="57"/>
      <c r="BL31" s="9"/>
      <c r="BM31" s="9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</row>
    <row r="32">
      <c r="A32" s="39">
        <v>26.0</v>
      </c>
      <c r="B32" s="49"/>
      <c r="C32" s="24"/>
      <c r="D32" s="25">
        <v>1.0</v>
      </c>
      <c r="E32" s="25">
        <v>2.0</v>
      </c>
      <c r="F32" s="25">
        <v>1.0</v>
      </c>
      <c r="G32" s="25">
        <v>1.0</v>
      </c>
      <c r="H32" s="25">
        <v>3.0</v>
      </c>
      <c r="I32" s="25">
        <v>1.0</v>
      </c>
      <c r="J32" s="25">
        <v>2.0</v>
      </c>
      <c r="K32" s="25">
        <v>1.0</v>
      </c>
      <c r="L32" s="25">
        <v>1.0</v>
      </c>
      <c r="M32" s="25">
        <v>1.0</v>
      </c>
      <c r="N32" s="25">
        <v>1.0</v>
      </c>
      <c r="O32" s="25">
        <v>1.0</v>
      </c>
      <c r="P32" s="26">
        <v>1.0</v>
      </c>
      <c r="Q32" s="9"/>
      <c r="R32" s="9"/>
      <c r="S32" s="32" t="s">
        <v>107</v>
      </c>
      <c r="U32" s="25" t="s">
        <v>108</v>
      </c>
      <c r="V32" s="77"/>
      <c r="W32" s="57"/>
      <c r="X32" s="32" t="s">
        <v>107</v>
      </c>
      <c r="Z32" s="25" t="s">
        <v>109</v>
      </c>
      <c r="AA32" s="77"/>
      <c r="AB32" s="57"/>
      <c r="AC32" s="32" t="s">
        <v>110</v>
      </c>
      <c r="AE32" s="25" t="s">
        <v>111</v>
      </c>
      <c r="AF32" s="77"/>
      <c r="AG32" s="57"/>
      <c r="AH32" s="78" t="s">
        <v>112</v>
      </c>
      <c r="AJ32" s="79" t="s">
        <v>96</v>
      </c>
      <c r="AK32" s="77"/>
      <c r="AL32" s="57"/>
      <c r="AM32" s="32" t="s">
        <v>113</v>
      </c>
      <c r="AO32" s="25" t="s">
        <v>114</v>
      </c>
      <c r="AP32" s="77"/>
      <c r="AQ32" s="57"/>
      <c r="AR32" s="57"/>
      <c r="AS32" s="57"/>
      <c r="AT32" s="57"/>
      <c r="AU32" s="57"/>
      <c r="AV32" s="9"/>
      <c r="AW32" s="9"/>
      <c r="AX32" s="9"/>
      <c r="AY32" s="32">
        <v>1.0</v>
      </c>
      <c r="AZ32" s="29"/>
      <c r="BA32" s="46">
        <v>3.0</v>
      </c>
      <c r="BB32" s="61">
        <v>1.0</v>
      </c>
      <c r="BC32" s="9"/>
      <c r="BD32" s="9"/>
      <c r="BE32" s="9"/>
      <c r="BF32" s="67" t="s">
        <v>80</v>
      </c>
      <c r="BG32" s="9"/>
      <c r="BH32" s="9"/>
      <c r="BI32" s="9"/>
      <c r="BJ32" s="69"/>
      <c r="BK32" s="57"/>
      <c r="BL32" s="9"/>
      <c r="BM32" s="9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</row>
    <row r="33">
      <c r="A33" s="39">
        <v>27.0</v>
      </c>
      <c r="D33" s="25">
        <v>1.0</v>
      </c>
      <c r="E33" s="25">
        <v>1.0</v>
      </c>
      <c r="F33" s="25">
        <v>1.0</v>
      </c>
      <c r="G33" s="25">
        <v>1.0</v>
      </c>
      <c r="H33" s="25">
        <v>1.0</v>
      </c>
      <c r="I33" s="25">
        <v>1.0</v>
      </c>
      <c r="J33" s="25">
        <v>1.0</v>
      </c>
      <c r="K33" s="25">
        <v>1.0</v>
      </c>
      <c r="L33" s="25">
        <v>1.0</v>
      </c>
      <c r="M33" s="25">
        <v>1.0</v>
      </c>
      <c r="N33" s="25">
        <v>2.0</v>
      </c>
      <c r="O33" s="25">
        <v>2.0</v>
      </c>
      <c r="P33" s="26">
        <v>1.0</v>
      </c>
      <c r="Q33" s="9"/>
      <c r="R33" s="9"/>
      <c r="S33" s="32" t="s">
        <v>115</v>
      </c>
      <c r="U33" s="25" t="s">
        <v>116</v>
      </c>
      <c r="V33" s="77"/>
      <c r="W33" s="57"/>
      <c r="X33" s="32" t="s">
        <v>115</v>
      </c>
      <c r="Z33" s="25" t="s">
        <v>117</v>
      </c>
      <c r="AA33" s="77"/>
      <c r="AB33" s="57"/>
      <c r="AC33" s="32" t="s">
        <v>118</v>
      </c>
      <c r="AE33" s="25" t="s">
        <v>119</v>
      </c>
      <c r="AF33" s="77"/>
      <c r="AG33" s="57"/>
      <c r="AH33" s="78" t="s">
        <v>120</v>
      </c>
      <c r="AJ33" s="79" t="s">
        <v>96</v>
      </c>
      <c r="AK33" s="77"/>
      <c r="AL33" s="57"/>
      <c r="AM33" s="80" t="s">
        <v>121</v>
      </c>
      <c r="AN33" s="73"/>
      <c r="AO33" s="81" t="s">
        <v>122</v>
      </c>
      <c r="AP33" s="74"/>
      <c r="AQ33" s="57"/>
      <c r="AR33" s="57"/>
      <c r="AS33" s="57"/>
      <c r="AT33" s="57"/>
      <c r="AU33" s="57"/>
      <c r="AV33" s="9"/>
      <c r="AW33" s="9"/>
      <c r="AX33" s="9"/>
      <c r="AY33" s="32">
        <v>2.0</v>
      </c>
      <c r="AZ33" s="25">
        <v>1.0</v>
      </c>
      <c r="BA33" s="46">
        <v>2.0</v>
      </c>
      <c r="BB33" s="61">
        <v>2.0</v>
      </c>
      <c r="BC33" s="9"/>
      <c r="BD33" s="9"/>
      <c r="BE33" s="9"/>
      <c r="BF33" s="42"/>
      <c r="BG33" s="9"/>
      <c r="BH33" s="9"/>
      <c r="BI33" s="9"/>
      <c r="BJ33" s="69"/>
      <c r="BK33" s="57"/>
      <c r="BL33" s="9"/>
      <c r="BM33" s="9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</row>
    <row r="34">
      <c r="A34" s="39">
        <v>28.0</v>
      </c>
      <c r="C34" s="25">
        <v>1.0</v>
      </c>
      <c r="D34" s="25">
        <v>2.0</v>
      </c>
      <c r="E34" s="49"/>
      <c r="F34" s="25">
        <v>1.0</v>
      </c>
      <c r="G34" s="25">
        <v>1.0</v>
      </c>
      <c r="H34" s="25">
        <v>1.0</v>
      </c>
      <c r="I34" s="25">
        <v>1.0</v>
      </c>
      <c r="J34" s="25">
        <v>1.0</v>
      </c>
      <c r="K34" s="25">
        <v>1.0</v>
      </c>
      <c r="L34" s="25">
        <v>2.0</v>
      </c>
      <c r="M34" s="25">
        <v>2.0</v>
      </c>
      <c r="N34" s="25">
        <v>3.0</v>
      </c>
      <c r="O34" s="25">
        <v>1.0</v>
      </c>
      <c r="P34" s="26">
        <v>1.0</v>
      </c>
      <c r="Q34" s="9"/>
      <c r="R34" s="9"/>
      <c r="S34" s="32" t="s">
        <v>123</v>
      </c>
      <c r="U34" s="25" t="s">
        <v>124</v>
      </c>
      <c r="V34" s="77"/>
      <c r="W34" s="57"/>
      <c r="X34" s="32" t="s">
        <v>123</v>
      </c>
      <c r="Z34" s="25" t="s">
        <v>125</v>
      </c>
      <c r="AA34" s="77"/>
      <c r="AB34" s="57"/>
      <c r="AC34" s="32" t="s">
        <v>126</v>
      </c>
      <c r="AE34" s="25" t="s">
        <v>127</v>
      </c>
      <c r="AF34" s="77"/>
      <c r="AG34" s="57"/>
      <c r="AH34" s="78" t="s">
        <v>128</v>
      </c>
      <c r="AJ34" s="79" t="s">
        <v>96</v>
      </c>
      <c r="AK34" s="7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9"/>
      <c r="AW34" s="9"/>
      <c r="AX34" s="9"/>
      <c r="AY34" s="32">
        <v>2.0</v>
      </c>
      <c r="AZ34" s="25">
        <v>2.0</v>
      </c>
      <c r="BA34" s="34">
        <v>1.0</v>
      </c>
      <c r="BB34" s="61">
        <v>2.0</v>
      </c>
      <c r="BC34" s="9"/>
      <c r="BD34" s="9"/>
      <c r="BE34" s="9"/>
      <c r="BF34" s="42"/>
      <c r="BG34" s="9"/>
      <c r="BH34" s="9"/>
      <c r="BI34" s="9"/>
      <c r="BJ34" s="69"/>
      <c r="BK34" s="57"/>
      <c r="BL34" s="9"/>
      <c r="BM34" s="9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</row>
    <row r="35">
      <c r="A35" s="39">
        <v>29.0</v>
      </c>
      <c r="B35" s="25">
        <v>1.0</v>
      </c>
      <c r="C35" s="49"/>
      <c r="E35" s="25">
        <v>1.0</v>
      </c>
      <c r="F35" s="25">
        <v>1.0</v>
      </c>
      <c r="G35" s="25">
        <v>1.0</v>
      </c>
      <c r="H35" s="25">
        <v>3.0</v>
      </c>
      <c r="I35" s="25">
        <v>1.0</v>
      </c>
      <c r="J35" s="25">
        <v>1.0</v>
      </c>
      <c r="K35" s="25">
        <v>2.0</v>
      </c>
      <c r="L35" s="25">
        <v>1.0</v>
      </c>
      <c r="M35" s="25">
        <v>1.0</v>
      </c>
      <c r="N35" s="25">
        <v>1.0</v>
      </c>
      <c r="O35" s="25">
        <v>2.0</v>
      </c>
      <c r="P35" s="26">
        <v>1.0</v>
      </c>
      <c r="Q35" s="9"/>
      <c r="R35" s="9"/>
      <c r="S35" s="32" t="s">
        <v>129</v>
      </c>
      <c r="U35" s="25" t="s">
        <v>130</v>
      </c>
      <c r="V35" s="77"/>
      <c r="W35" s="57"/>
      <c r="X35" s="32" t="s">
        <v>129</v>
      </c>
      <c r="Z35" s="25" t="s">
        <v>131</v>
      </c>
      <c r="AA35" s="77"/>
      <c r="AB35" s="57"/>
      <c r="AC35" s="75" t="s">
        <v>132</v>
      </c>
      <c r="AD35" s="76"/>
      <c r="AE35" s="76"/>
      <c r="AF35" s="71"/>
      <c r="AG35" s="57"/>
      <c r="AH35" s="78" t="s">
        <v>133</v>
      </c>
      <c r="AJ35" s="79" t="s">
        <v>96</v>
      </c>
      <c r="AK35" s="77"/>
      <c r="AL35" s="57"/>
      <c r="AM35" s="70" t="s">
        <v>134</v>
      </c>
      <c r="AN35" s="71"/>
      <c r="AO35" s="70" t="s">
        <v>51</v>
      </c>
      <c r="AP35" s="71"/>
      <c r="AQ35" s="57"/>
      <c r="AR35" s="57"/>
      <c r="AS35" s="57"/>
      <c r="AT35" s="57"/>
      <c r="AU35" s="57"/>
      <c r="AV35" s="9"/>
      <c r="AW35" s="9"/>
      <c r="AX35" s="9"/>
      <c r="AY35" s="32">
        <v>1.0</v>
      </c>
      <c r="AZ35" s="25">
        <v>1.0</v>
      </c>
      <c r="BA35" s="34">
        <v>1.0</v>
      </c>
      <c r="BB35" s="61">
        <v>1.0</v>
      </c>
      <c r="BC35" s="9"/>
      <c r="BD35" s="9"/>
      <c r="BE35" s="9"/>
      <c r="BF35" s="28">
        <v>1.0</v>
      </c>
      <c r="BG35" s="9"/>
      <c r="BH35" s="9"/>
      <c r="BI35" s="9"/>
      <c r="BJ35" s="69"/>
      <c r="BK35" s="57"/>
      <c r="BL35" s="9"/>
      <c r="BM35" s="9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</row>
    <row r="36">
      <c r="A36" s="39">
        <v>30.0</v>
      </c>
      <c r="C36" s="47"/>
      <c r="D36" s="25">
        <v>2.0</v>
      </c>
      <c r="E36" s="49"/>
      <c r="F36" s="25">
        <v>2.0</v>
      </c>
      <c r="G36" s="25">
        <v>1.0</v>
      </c>
      <c r="H36" s="25">
        <v>1.0</v>
      </c>
      <c r="I36" s="25">
        <v>2.0</v>
      </c>
      <c r="J36" s="25">
        <v>1.0</v>
      </c>
      <c r="K36" s="25">
        <v>3.0</v>
      </c>
      <c r="L36" s="25">
        <v>2.0</v>
      </c>
      <c r="M36" s="25">
        <v>3.0</v>
      </c>
      <c r="N36" s="25">
        <v>1.0</v>
      </c>
      <c r="O36" s="25">
        <v>1.0</v>
      </c>
      <c r="P36" s="26">
        <v>1.0</v>
      </c>
      <c r="Q36" s="9"/>
      <c r="R36" s="9"/>
      <c r="S36" s="32" t="s">
        <v>135</v>
      </c>
      <c r="U36" s="25" t="s">
        <v>136</v>
      </c>
      <c r="V36" s="77"/>
      <c r="W36" s="57"/>
      <c r="X36" s="75" t="s">
        <v>137</v>
      </c>
      <c r="Y36" s="76"/>
      <c r="Z36" s="76"/>
      <c r="AA36" s="71"/>
      <c r="AB36" s="57"/>
      <c r="AC36" s="82" t="s">
        <v>95</v>
      </c>
      <c r="AE36" s="83" t="s">
        <v>94</v>
      </c>
      <c r="AF36" s="77"/>
      <c r="AG36" s="57"/>
      <c r="AH36" s="78" t="s">
        <v>138</v>
      </c>
      <c r="AJ36" s="79" t="s">
        <v>96</v>
      </c>
      <c r="AK36" s="77"/>
      <c r="AL36" s="57"/>
      <c r="AM36" s="84" t="s">
        <v>139</v>
      </c>
      <c r="AO36" s="85" t="s">
        <v>94</v>
      </c>
      <c r="AP36" s="77"/>
      <c r="AQ36" s="57"/>
      <c r="AR36" s="57"/>
      <c r="AS36" s="57"/>
      <c r="AT36" s="57"/>
      <c r="AU36" s="57"/>
      <c r="AV36" s="9"/>
      <c r="AW36" s="9"/>
      <c r="AX36" s="9"/>
      <c r="AY36" s="32">
        <v>1.0</v>
      </c>
      <c r="AZ36" s="25">
        <v>1.0</v>
      </c>
      <c r="BA36" s="34">
        <v>1.0</v>
      </c>
      <c r="BB36" s="61">
        <v>2.0</v>
      </c>
      <c r="BC36" s="9"/>
      <c r="BD36" s="9"/>
      <c r="BE36" s="9"/>
      <c r="BF36" s="42"/>
      <c r="BG36" s="9"/>
      <c r="BH36" s="9"/>
      <c r="BI36" s="9"/>
      <c r="BJ36" s="69"/>
      <c r="BK36" s="57"/>
      <c r="BL36" s="9"/>
      <c r="BM36" s="9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</row>
    <row r="37">
      <c r="A37" s="39">
        <v>31.0</v>
      </c>
      <c r="B37" s="24"/>
      <c r="D37" s="25">
        <v>1.0</v>
      </c>
      <c r="E37" s="25">
        <v>3.0</v>
      </c>
      <c r="F37" s="25">
        <v>1.0</v>
      </c>
      <c r="G37" s="40">
        <v>1.0</v>
      </c>
      <c r="H37" s="25">
        <v>1.0</v>
      </c>
      <c r="I37" s="25">
        <v>1.0</v>
      </c>
      <c r="J37" s="25">
        <v>2.0</v>
      </c>
      <c r="K37" s="25">
        <v>1.0</v>
      </c>
      <c r="L37" s="47" t="s">
        <v>140</v>
      </c>
      <c r="M37" s="25">
        <v>2.0</v>
      </c>
      <c r="N37" s="25">
        <v>2.0</v>
      </c>
      <c r="O37" s="47" t="s">
        <v>141</v>
      </c>
      <c r="P37" s="26">
        <v>1.0</v>
      </c>
      <c r="Q37" s="9"/>
      <c r="R37" s="9"/>
      <c r="S37" s="32" t="s">
        <v>142</v>
      </c>
      <c r="U37" s="25" t="s">
        <v>143</v>
      </c>
      <c r="V37" s="77"/>
      <c r="W37" s="57"/>
      <c r="X37" s="82" t="s">
        <v>90</v>
      </c>
      <c r="Z37" s="83" t="s">
        <v>144</v>
      </c>
      <c r="AA37" s="77"/>
      <c r="AB37" s="57"/>
      <c r="AC37" s="82" t="s">
        <v>145</v>
      </c>
      <c r="AE37" s="83" t="s">
        <v>103</v>
      </c>
      <c r="AF37" s="77"/>
      <c r="AG37" s="86"/>
      <c r="AH37" s="78" t="s">
        <v>102</v>
      </c>
      <c r="AJ37" s="79" t="s">
        <v>96</v>
      </c>
      <c r="AK37" s="77"/>
      <c r="AL37" s="57"/>
      <c r="AM37" s="84" t="s">
        <v>146</v>
      </c>
      <c r="AO37" s="85" t="s">
        <v>147</v>
      </c>
      <c r="AP37" s="77"/>
      <c r="AQ37" s="57"/>
      <c r="AR37" s="57"/>
      <c r="AS37" s="57"/>
      <c r="AT37" s="57"/>
      <c r="AU37" s="57"/>
      <c r="AV37" s="9"/>
      <c r="AW37" s="9"/>
      <c r="AX37" s="9"/>
      <c r="AY37" s="32">
        <v>2.0</v>
      </c>
      <c r="AZ37" s="49"/>
      <c r="BA37" s="34">
        <v>3.0</v>
      </c>
      <c r="BB37" s="61">
        <v>2.0</v>
      </c>
      <c r="BC37" s="9"/>
      <c r="BD37" s="9"/>
      <c r="BE37" s="9"/>
      <c r="BF37" s="42"/>
      <c r="BG37" s="9"/>
      <c r="BH37" s="9"/>
      <c r="BI37" s="9"/>
      <c r="BJ37" s="69"/>
      <c r="BK37" s="57"/>
      <c r="BL37" s="9"/>
      <c r="BM37" s="9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</row>
    <row r="38">
      <c r="A38" s="39">
        <v>32.0</v>
      </c>
      <c r="E38" s="25">
        <v>1.0</v>
      </c>
      <c r="F38" s="25">
        <v>3.0</v>
      </c>
      <c r="G38" s="25">
        <v>1.0</v>
      </c>
      <c r="H38" s="25">
        <v>2.0</v>
      </c>
      <c r="I38" s="25">
        <v>1.0</v>
      </c>
      <c r="J38" s="25">
        <v>1.0</v>
      </c>
      <c r="K38" s="25">
        <v>3.0</v>
      </c>
      <c r="L38" s="25">
        <v>1.0</v>
      </c>
      <c r="M38" s="25">
        <v>1.0</v>
      </c>
      <c r="N38" s="25">
        <v>1.0</v>
      </c>
      <c r="O38" s="25">
        <v>1.0</v>
      </c>
      <c r="P38" s="55"/>
      <c r="Q38" s="9"/>
      <c r="R38" s="9"/>
      <c r="S38" s="75" t="s">
        <v>148</v>
      </c>
      <c r="T38" s="76"/>
      <c r="U38" s="76"/>
      <c r="V38" s="71"/>
      <c r="W38" s="57"/>
      <c r="X38" s="82" t="s">
        <v>93</v>
      </c>
      <c r="Z38" s="83" t="s">
        <v>149</v>
      </c>
      <c r="AA38" s="77"/>
      <c r="AB38" s="57"/>
      <c r="AC38" s="82" t="s">
        <v>104</v>
      </c>
      <c r="AE38" s="83" t="s">
        <v>111</v>
      </c>
      <c r="AF38" s="77"/>
      <c r="AG38" s="57"/>
      <c r="AH38" s="87" t="s">
        <v>150</v>
      </c>
      <c r="AI38" s="73"/>
      <c r="AJ38" s="88" t="s">
        <v>96</v>
      </c>
      <c r="AK38" s="74"/>
      <c r="AL38" s="57"/>
      <c r="AM38" s="84" t="s">
        <v>151</v>
      </c>
      <c r="AO38" s="85" t="s">
        <v>152</v>
      </c>
      <c r="AP38" s="77"/>
      <c r="AQ38" s="57"/>
      <c r="AR38" s="57"/>
      <c r="AS38" s="57"/>
      <c r="AT38" s="57"/>
      <c r="AU38" s="57"/>
      <c r="AV38" s="9"/>
      <c r="AW38" s="9"/>
      <c r="AX38" s="9"/>
      <c r="AY38" s="32">
        <v>1.0</v>
      </c>
      <c r="AZ38" s="25">
        <v>1.0</v>
      </c>
      <c r="BA38" s="34">
        <v>1.0</v>
      </c>
      <c r="BB38" s="61">
        <v>2.0</v>
      </c>
      <c r="BC38" s="9"/>
      <c r="BD38" s="9"/>
      <c r="BE38" s="9"/>
      <c r="BF38" s="42"/>
      <c r="BG38" s="9"/>
      <c r="BH38" s="9"/>
      <c r="BI38" s="9"/>
      <c r="BJ38" s="69"/>
      <c r="BK38" s="57"/>
      <c r="BL38" s="9"/>
      <c r="BM38" s="9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</row>
    <row r="39">
      <c r="A39" s="39">
        <v>33.0</v>
      </c>
      <c r="B39" s="25">
        <v>1.0</v>
      </c>
      <c r="C39" s="25">
        <v>1.0</v>
      </c>
      <c r="E39" s="25">
        <v>1.0</v>
      </c>
      <c r="F39" s="25">
        <v>1.0</v>
      </c>
      <c r="G39" s="25">
        <v>2.0</v>
      </c>
      <c r="H39" s="25">
        <v>1.0</v>
      </c>
      <c r="I39" s="25">
        <v>1.0</v>
      </c>
      <c r="J39" s="25">
        <v>1.0</v>
      </c>
      <c r="K39" s="25">
        <v>1.0</v>
      </c>
      <c r="L39" s="25">
        <v>1.0</v>
      </c>
      <c r="M39" s="25">
        <v>1.0</v>
      </c>
      <c r="N39" s="25">
        <v>1.0</v>
      </c>
      <c r="O39" s="47" t="s">
        <v>153</v>
      </c>
      <c r="P39" s="26">
        <v>1.0</v>
      </c>
      <c r="Q39" s="9"/>
      <c r="R39" s="9"/>
      <c r="S39" s="32" t="s">
        <v>90</v>
      </c>
      <c r="U39" s="25" t="s">
        <v>154</v>
      </c>
      <c r="V39" s="77"/>
      <c r="W39" s="57"/>
      <c r="X39" s="82" t="s">
        <v>107</v>
      </c>
      <c r="Z39" s="83" t="s">
        <v>155</v>
      </c>
      <c r="AA39" s="77"/>
      <c r="AB39" s="57"/>
      <c r="AC39" s="82" t="s">
        <v>156</v>
      </c>
      <c r="AE39" s="83" t="s">
        <v>119</v>
      </c>
      <c r="AF39" s="77"/>
      <c r="AG39" s="57"/>
      <c r="AH39" s="57"/>
      <c r="AI39" s="57"/>
      <c r="AJ39" s="57"/>
      <c r="AK39" s="57"/>
      <c r="AL39" s="57"/>
      <c r="AM39" s="84" t="s">
        <v>126</v>
      </c>
      <c r="AO39" s="85" t="s">
        <v>157</v>
      </c>
      <c r="AP39" s="77"/>
      <c r="AQ39" s="57"/>
      <c r="AR39" s="57"/>
      <c r="AS39" s="57"/>
      <c r="AT39" s="57"/>
      <c r="AU39" s="57"/>
      <c r="AV39" s="9"/>
      <c r="AW39" s="9"/>
      <c r="AX39" s="9"/>
      <c r="AY39" s="32">
        <v>2.0</v>
      </c>
      <c r="AZ39" s="25">
        <v>1.0</v>
      </c>
      <c r="BA39" s="34">
        <v>1.0</v>
      </c>
      <c r="BB39" s="61">
        <v>1.0</v>
      </c>
      <c r="BC39" s="9"/>
      <c r="BD39" s="9"/>
      <c r="BE39" s="9"/>
      <c r="BF39" s="42"/>
      <c r="BG39" s="9"/>
      <c r="BH39" s="9"/>
      <c r="BI39" s="9"/>
      <c r="BJ39" s="69"/>
      <c r="BK39" s="57"/>
      <c r="BL39" s="9"/>
      <c r="BM39" s="9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</row>
    <row r="40">
      <c r="A40" s="39">
        <v>34.0</v>
      </c>
      <c r="C40" s="25">
        <v>1.0</v>
      </c>
      <c r="D40" s="25">
        <v>1.0</v>
      </c>
      <c r="F40" s="40">
        <v>2.0</v>
      </c>
      <c r="G40" s="40">
        <v>1.0</v>
      </c>
      <c r="H40" s="25">
        <v>1.0</v>
      </c>
      <c r="I40" s="25">
        <v>2.0</v>
      </c>
      <c r="J40" s="40">
        <v>2.0</v>
      </c>
      <c r="K40" s="25">
        <v>1.0</v>
      </c>
      <c r="L40" s="25">
        <v>1.0</v>
      </c>
      <c r="M40" s="25">
        <v>3.0</v>
      </c>
      <c r="N40" s="25">
        <v>1.0</v>
      </c>
      <c r="O40" s="25">
        <v>2.0</v>
      </c>
      <c r="P40" s="26">
        <v>1.0</v>
      </c>
      <c r="Q40" s="9"/>
      <c r="R40" s="9"/>
      <c r="S40" s="32" t="s">
        <v>93</v>
      </c>
      <c r="U40" s="25" t="s">
        <v>158</v>
      </c>
      <c r="V40" s="77"/>
      <c r="W40" s="57"/>
      <c r="X40" s="82" t="s">
        <v>115</v>
      </c>
      <c r="Z40" s="83" t="s">
        <v>159</v>
      </c>
      <c r="AA40" s="77"/>
      <c r="AB40" s="57"/>
      <c r="AC40" s="82" t="s">
        <v>129</v>
      </c>
      <c r="AE40" s="83" t="s">
        <v>127</v>
      </c>
      <c r="AF40" s="77"/>
      <c r="AG40" s="57"/>
      <c r="AH40" s="70" t="s">
        <v>160</v>
      </c>
      <c r="AI40" s="71"/>
      <c r="AJ40" s="70" t="s">
        <v>51</v>
      </c>
      <c r="AK40" s="71"/>
      <c r="AL40" s="57"/>
      <c r="AM40" s="84" t="s">
        <v>161</v>
      </c>
      <c r="AO40" s="85" t="s">
        <v>162</v>
      </c>
      <c r="AP40" s="77"/>
      <c r="AQ40" s="57"/>
      <c r="AR40" s="57"/>
      <c r="AS40" s="57"/>
      <c r="AT40" s="57"/>
      <c r="AU40" s="57"/>
      <c r="AV40" s="9"/>
      <c r="AW40" s="9"/>
      <c r="AX40" s="9"/>
      <c r="AY40" s="54"/>
      <c r="AZ40" s="25">
        <v>1.0</v>
      </c>
      <c r="BA40" s="46">
        <v>2.0</v>
      </c>
      <c r="BB40" s="61">
        <v>1.0</v>
      </c>
      <c r="BC40" s="9"/>
      <c r="BD40" s="9"/>
      <c r="BE40" s="9"/>
      <c r="BF40" s="42"/>
      <c r="BG40" s="9"/>
      <c r="BH40" s="9"/>
      <c r="BI40" s="9"/>
      <c r="BJ40" s="69"/>
      <c r="BK40" s="57"/>
      <c r="BL40" s="9"/>
      <c r="BM40" s="9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</row>
    <row r="41">
      <c r="A41" s="39">
        <v>35.0</v>
      </c>
      <c r="B41" s="49"/>
      <c r="C41" s="25">
        <v>1.0</v>
      </c>
      <c r="D41" s="25">
        <v>1.0</v>
      </c>
      <c r="E41" s="49"/>
      <c r="F41" s="25">
        <v>1.0</v>
      </c>
      <c r="G41" s="47" t="s">
        <v>163</v>
      </c>
      <c r="H41" s="25">
        <v>1.0</v>
      </c>
      <c r="I41" s="25">
        <v>1.0</v>
      </c>
      <c r="J41" s="25">
        <v>1.0</v>
      </c>
      <c r="K41" s="25">
        <v>1.0</v>
      </c>
      <c r="L41" s="25">
        <v>1.0</v>
      </c>
      <c r="M41" s="25">
        <v>1.0</v>
      </c>
      <c r="N41" s="25">
        <v>1.0</v>
      </c>
      <c r="O41" s="25">
        <v>1.0</v>
      </c>
      <c r="P41" s="89"/>
      <c r="Q41" s="9"/>
      <c r="R41" s="9"/>
      <c r="S41" s="32" t="s">
        <v>107</v>
      </c>
      <c r="U41" s="25" t="s">
        <v>164</v>
      </c>
      <c r="V41" s="77"/>
      <c r="W41" s="57"/>
      <c r="X41" s="82" t="s">
        <v>123</v>
      </c>
      <c r="Z41" s="83" t="s">
        <v>165</v>
      </c>
      <c r="AA41" s="77"/>
      <c r="AB41" s="57"/>
      <c r="AC41" s="82" t="s">
        <v>166</v>
      </c>
      <c r="AE41" s="83" t="s">
        <v>167</v>
      </c>
      <c r="AF41" s="77"/>
      <c r="AG41" s="57"/>
      <c r="AH41" s="32" t="s">
        <v>95</v>
      </c>
      <c r="AJ41" s="25" t="s">
        <v>168</v>
      </c>
      <c r="AK41" s="77"/>
      <c r="AL41" s="57"/>
      <c r="AM41" s="84" t="s">
        <v>110</v>
      </c>
      <c r="AO41" s="85" t="s">
        <v>169</v>
      </c>
      <c r="AP41" s="77"/>
      <c r="AQ41" s="57"/>
      <c r="AR41" s="57"/>
      <c r="AS41" s="57"/>
      <c r="AT41" s="57"/>
      <c r="AU41" s="57"/>
      <c r="AV41" s="9"/>
      <c r="AW41" s="9"/>
      <c r="AX41" s="9"/>
      <c r="AY41" s="32">
        <v>1.0</v>
      </c>
      <c r="AZ41" s="47"/>
      <c r="BA41" s="46">
        <v>2.0</v>
      </c>
      <c r="BB41" s="61">
        <v>1.0</v>
      </c>
      <c r="BC41" s="9"/>
      <c r="BD41" s="9"/>
      <c r="BE41" s="9"/>
      <c r="BF41" s="42"/>
      <c r="BG41" s="9"/>
      <c r="BH41" s="9"/>
      <c r="BI41" s="9"/>
      <c r="BJ41" s="69"/>
      <c r="BK41" s="57"/>
      <c r="BL41" s="9"/>
      <c r="BM41" s="9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</row>
    <row r="42">
      <c r="A42" s="39">
        <v>36.0</v>
      </c>
      <c r="C42" s="47"/>
      <c r="D42" s="25">
        <v>1.0</v>
      </c>
      <c r="E42" s="25">
        <v>1.0</v>
      </c>
      <c r="F42" s="25">
        <v>1.0</v>
      </c>
      <c r="G42" s="25">
        <v>2.0</v>
      </c>
      <c r="H42" s="25">
        <v>2.0</v>
      </c>
      <c r="I42" s="25">
        <v>2.0</v>
      </c>
      <c r="J42" s="25">
        <v>1.0</v>
      </c>
      <c r="K42" s="25">
        <v>1.0</v>
      </c>
      <c r="L42" s="25">
        <v>1.0</v>
      </c>
      <c r="M42" s="25">
        <v>1.0</v>
      </c>
      <c r="N42" s="25">
        <v>1.0</v>
      </c>
      <c r="O42" s="25">
        <v>1.0</v>
      </c>
      <c r="P42" s="26">
        <v>1.0</v>
      </c>
      <c r="Q42" s="9"/>
      <c r="R42" s="9"/>
      <c r="S42" s="32" t="s">
        <v>115</v>
      </c>
      <c r="U42" s="25" t="s">
        <v>169</v>
      </c>
      <c r="V42" s="77"/>
      <c r="W42" s="57"/>
      <c r="X42" s="82" t="s">
        <v>129</v>
      </c>
      <c r="Z42" s="83" t="s">
        <v>170</v>
      </c>
      <c r="AA42" s="77"/>
      <c r="AB42" s="57"/>
      <c r="AC42" s="75" t="s">
        <v>171</v>
      </c>
      <c r="AD42" s="76"/>
      <c r="AE42" s="76"/>
      <c r="AF42" s="71"/>
      <c r="AG42" s="57"/>
      <c r="AH42" s="32" t="s">
        <v>139</v>
      </c>
      <c r="AJ42" s="25" t="s">
        <v>94</v>
      </c>
      <c r="AK42" s="77"/>
      <c r="AL42" s="57"/>
      <c r="AM42" s="90" t="s">
        <v>172</v>
      </c>
      <c r="AO42" s="91" t="s">
        <v>173</v>
      </c>
      <c r="AP42" s="77"/>
      <c r="AQ42" s="57"/>
      <c r="AR42" s="57"/>
      <c r="AS42" s="57"/>
      <c r="AT42" s="57"/>
      <c r="AU42" s="57"/>
      <c r="AV42" s="9"/>
      <c r="AW42" s="9"/>
      <c r="AX42" s="9"/>
      <c r="AY42" s="32">
        <v>1.0</v>
      </c>
      <c r="AZ42" s="25">
        <v>2.0</v>
      </c>
      <c r="BA42" s="34">
        <v>1.0</v>
      </c>
      <c r="BB42" s="61">
        <v>3.0</v>
      </c>
      <c r="BC42" s="9"/>
      <c r="BD42" s="9"/>
      <c r="BE42" s="9"/>
      <c r="BF42" s="42"/>
      <c r="BG42" s="9"/>
      <c r="BH42" s="9"/>
      <c r="BI42" s="9"/>
      <c r="BJ42" s="57"/>
      <c r="BK42" s="57"/>
      <c r="BL42" s="9"/>
      <c r="BM42" s="9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</row>
    <row r="43">
      <c r="A43" s="39">
        <v>37.0</v>
      </c>
      <c r="C43" s="25">
        <v>1.0</v>
      </c>
      <c r="D43" s="25">
        <v>1.0</v>
      </c>
      <c r="E43" s="25">
        <v>1.0</v>
      </c>
      <c r="F43" s="25">
        <v>2.0</v>
      </c>
      <c r="G43" s="25">
        <v>1.0</v>
      </c>
      <c r="H43" s="40">
        <v>1.0</v>
      </c>
      <c r="I43" s="25">
        <v>1.0</v>
      </c>
      <c r="J43" s="47"/>
      <c r="K43" s="25">
        <v>2.0</v>
      </c>
      <c r="L43" s="25">
        <v>1.0</v>
      </c>
      <c r="M43" s="25">
        <v>2.0</v>
      </c>
      <c r="N43" s="25">
        <v>2.0</v>
      </c>
      <c r="O43" s="25">
        <v>2.0</v>
      </c>
      <c r="P43" s="26">
        <v>1.0</v>
      </c>
      <c r="Q43" s="9"/>
      <c r="R43" s="9"/>
      <c r="S43" s="32" t="s">
        <v>123</v>
      </c>
      <c r="U43" s="25" t="s">
        <v>174</v>
      </c>
      <c r="V43" s="77"/>
      <c r="W43" s="57"/>
      <c r="X43" s="75" t="s">
        <v>175</v>
      </c>
      <c r="Y43" s="76"/>
      <c r="Z43" s="76"/>
      <c r="AA43" s="71"/>
      <c r="AB43" s="57"/>
      <c r="AC43" s="32" t="s">
        <v>176</v>
      </c>
      <c r="AE43" s="25" t="s">
        <v>94</v>
      </c>
      <c r="AF43" s="77"/>
      <c r="AG43" s="57"/>
      <c r="AH43" s="32" t="s">
        <v>177</v>
      </c>
      <c r="AJ43" s="25" t="s">
        <v>103</v>
      </c>
      <c r="AK43" s="77"/>
      <c r="AL43" s="57"/>
      <c r="AM43" s="92" t="s">
        <v>178</v>
      </c>
      <c r="AN43" s="71"/>
      <c r="AO43" s="92" t="s">
        <v>51</v>
      </c>
      <c r="AP43" s="71"/>
      <c r="AQ43" s="57"/>
      <c r="AR43" s="57"/>
      <c r="AS43" s="57"/>
      <c r="AT43" s="57"/>
      <c r="AU43" s="57"/>
      <c r="AV43" s="9"/>
      <c r="AW43" s="9"/>
      <c r="AX43" s="9"/>
      <c r="AY43" s="32">
        <v>1.0</v>
      </c>
      <c r="AZ43" s="46">
        <v>2.0</v>
      </c>
      <c r="BA43" s="46">
        <v>2.0</v>
      </c>
      <c r="BB43" s="61">
        <v>1.0</v>
      </c>
      <c r="BC43" s="9"/>
      <c r="BD43" s="9"/>
      <c r="BE43" s="9"/>
      <c r="BF43" s="42"/>
      <c r="BG43" s="9"/>
      <c r="BH43" s="9"/>
      <c r="BI43" s="9"/>
      <c r="BJ43" s="57"/>
      <c r="BK43" s="57"/>
      <c r="BL43" s="9"/>
      <c r="BM43" s="9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</row>
    <row r="44">
      <c r="A44" s="39">
        <v>38.0</v>
      </c>
      <c r="D44" s="25">
        <v>2.0</v>
      </c>
      <c r="F44" s="25">
        <v>1.0</v>
      </c>
      <c r="G44" s="25">
        <v>1.0</v>
      </c>
      <c r="H44" s="25">
        <v>4.0</v>
      </c>
      <c r="I44" s="25">
        <v>1.0</v>
      </c>
      <c r="J44" s="25">
        <v>1.0</v>
      </c>
      <c r="K44" s="25">
        <v>1.0</v>
      </c>
      <c r="L44" s="49"/>
      <c r="M44" s="25">
        <v>1.0</v>
      </c>
      <c r="N44" s="25">
        <v>1.0</v>
      </c>
      <c r="O44" s="25">
        <v>1.0</v>
      </c>
      <c r="P44" s="26">
        <v>2.0</v>
      </c>
      <c r="Q44" s="9"/>
      <c r="R44" s="9"/>
      <c r="S44" s="32" t="s">
        <v>129</v>
      </c>
      <c r="U44" s="25" t="s">
        <v>179</v>
      </c>
      <c r="V44" s="77"/>
      <c r="W44" s="57"/>
      <c r="X44" s="82" t="s">
        <v>90</v>
      </c>
      <c r="Z44" s="83" t="s">
        <v>180</v>
      </c>
      <c r="AA44" s="77"/>
      <c r="AB44" s="57"/>
      <c r="AC44" s="32" t="s">
        <v>181</v>
      </c>
      <c r="AE44" s="25" t="s">
        <v>103</v>
      </c>
      <c r="AF44" s="77"/>
      <c r="AG44" s="57"/>
      <c r="AH44" s="32" t="s">
        <v>182</v>
      </c>
      <c r="AJ44" s="25" t="s">
        <v>111</v>
      </c>
      <c r="AK44" s="77"/>
      <c r="AL44" s="57"/>
      <c r="AM44" s="93" t="s">
        <v>183</v>
      </c>
      <c r="AO44" s="79" t="s">
        <v>96</v>
      </c>
      <c r="AP44" s="77"/>
      <c r="AQ44" s="57"/>
      <c r="AR44" s="57"/>
      <c r="AS44" s="57"/>
      <c r="AT44" s="57"/>
      <c r="AU44" s="57"/>
      <c r="AV44" s="9"/>
      <c r="AW44" s="9"/>
      <c r="AX44" s="9"/>
      <c r="AY44" s="32">
        <v>1.0</v>
      </c>
      <c r="AZ44" s="25">
        <v>1.0</v>
      </c>
      <c r="BA44" s="34">
        <v>1.0</v>
      </c>
      <c r="BB44" s="59"/>
      <c r="BC44" s="9"/>
      <c r="BD44" s="9"/>
      <c r="BE44" s="9"/>
      <c r="BF44" s="42"/>
      <c r="BG44" s="9"/>
      <c r="BH44" s="9"/>
      <c r="BI44" s="9"/>
      <c r="BJ44" s="57"/>
      <c r="BK44" s="57"/>
      <c r="BL44" s="9"/>
      <c r="BM44" s="9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</row>
    <row r="45">
      <c r="A45" s="39">
        <v>39.0</v>
      </c>
      <c r="B45" s="25">
        <v>1.0</v>
      </c>
      <c r="C45" s="25">
        <v>1.0</v>
      </c>
      <c r="D45" s="25">
        <v>1.0</v>
      </c>
      <c r="E45" s="24"/>
      <c r="F45" s="25">
        <v>1.0</v>
      </c>
      <c r="G45" s="25">
        <v>2.0</v>
      </c>
      <c r="H45" s="25">
        <v>1.0</v>
      </c>
      <c r="I45" s="25">
        <v>2.0</v>
      </c>
      <c r="J45" s="25">
        <v>2.0</v>
      </c>
      <c r="K45" s="25">
        <v>1.0</v>
      </c>
      <c r="L45" s="25">
        <v>1.0</v>
      </c>
      <c r="M45" s="25">
        <v>2.0</v>
      </c>
      <c r="N45" s="25">
        <v>1.0</v>
      </c>
      <c r="O45" s="25">
        <v>1.0</v>
      </c>
      <c r="P45" s="26">
        <v>4.0</v>
      </c>
      <c r="Q45" s="9"/>
      <c r="R45" s="9"/>
      <c r="S45" s="32" t="s">
        <v>135</v>
      </c>
      <c r="U45" s="25" t="s">
        <v>184</v>
      </c>
      <c r="V45" s="77"/>
      <c r="W45" s="57"/>
      <c r="X45" s="82" t="s">
        <v>93</v>
      </c>
      <c r="Z45" s="83" t="s">
        <v>180</v>
      </c>
      <c r="AA45" s="77"/>
      <c r="AB45" s="57"/>
      <c r="AC45" s="32" t="s">
        <v>185</v>
      </c>
      <c r="AE45" s="25" t="s">
        <v>111</v>
      </c>
      <c r="AF45" s="77"/>
      <c r="AG45" s="57"/>
      <c r="AH45" s="32" t="s">
        <v>186</v>
      </c>
      <c r="AJ45" s="25" t="s">
        <v>119</v>
      </c>
      <c r="AK45" s="77"/>
      <c r="AL45" s="57"/>
      <c r="AM45" s="93" t="s">
        <v>181</v>
      </c>
      <c r="AO45" s="79" t="s">
        <v>187</v>
      </c>
      <c r="AP45" s="77"/>
      <c r="AQ45" s="57"/>
      <c r="AR45" s="57"/>
      <c r="AS45" s="57"/>
      <c r="AT45" s="57"/>
      <c r="AU45" s="57"/>
      <c r="AV45" s="9"/>
      <c r="AW45" s="9"/>
      <c r="AX45" s="9"/>
      <c r="AY45" s="45"/>
      <c r="AZ45" s="25">
        <v>1.0</v>
      </c>
      <c r="BA45" s="46">
        <v>2.0</v>
      </c>
      <c r="BB45" s="61">
        <v>2.0</v>
      </c>
      <c r="BC45" s="9"/>
      <c r="BD45" s="9"/>
      <c r="BE45" s="9"/>
      <c r="BF45" s="42"/>
      <c r="BG45" s="9"/>
      <c r="BH45" s="9"/>
      <c r="BI45" s="9"/>
      <c r="BJ45" s="57"/>
      <c r="BK45" s="57"/>
      <c r="BL45" s="9"/>
      <c r="BM45" s="9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</row>
    <row r="46">
      <c r="A46" s="39">
        <v>40.0</v>
      </c>
      <c r="B46" s="29"/>
      <c r="C46" s="25">
        <v>2.0</v>
      </c>
      <c r="D46" s="24"/>
      <c r="E46" s="24"/>
      <c r="F46" s="25">
        <v>1.0</v>
      </c>
      <c r="G46" s="25">
        <v>1.0</v>
      </c>
      <c r="H46" s="25">
        <v>1.0</v>
      </c>
      <c r="I46" s="25">
        <v>1.0</v>
      </c>
      <c r="J46" s="25">
        <v>1.0</v>
      </c>
      <c r="K46" s="25">
        <v>1.0</v>
      </c>
      <c r="L46" s="25">
        <v>4.0</v>
      </c>
      <c r="M46" s="25">
        <v>4.0</v>
      </c>
      <c r="N46" s="25">
        <v>2.0</v>
      </c>
      <c r="O46" s="25">
        <v>4.0</v>
      </c>
      <c r="P46" s="62"/>
      <c r="Q46" s="9"/>
      <c r="R46" s="9"/>
      <c r="S46" s="32" t="s">
        <v>142</v>
      </c>
      <c r="U46" s="25" t="s">
        <v>147</v>
      </c>
      <c r="V46" s="77"/>
      <c r="W46" s="57"/>
      <c r="X46" s="82" t="s">
        <v>107</v>
      </c>
      <c r="Z46" s="83" t="s">
        <v>188</v>
      </c>
      <c r="AA46" s="77"/>
      <c r="AB46" s="57"/>
      <c r="AC46" s="32" t="s">
        <v>189</v>
      </c>
      <c r="AE46" s="25" t="s">
        <v>119</v>
      </c>
      <c r="AF46" s="77"/>
      <c r="AG46" s="57"/>
      <c r="AH46" s="32" t="s">
        <v>93</v>
      </c>
      <c r="AJ46" s="25" t="s">
        <v>127</v>
      </c>
      <c r="AK46" s="77"/>
      <c r="AL46" s="57"/>
      <c r="AM46" s="93" t="s">
        <v>190</v>
      </c>
      <c r="AO46" s="79" t="s">
        <v>191</v>
      </c>
      <c r="AP46" s="77"/>
      <c r="AQ46" s="57"/>
      <c r="AR46" s="57"/>
      <c r="AS46" s="57"/>
      <c r="AT46" s="57"/>
      <c r="AU46" s="57"/>
      <c r="AV46" s="9"/>
      <c r="AW46" s="9"/>
      <c r="AX46" s="9"/>
      <c r="AY46" s="32">
        <v>4.0</v>
      </c>
      <c r="AZ46" s="49"/>
      <c r="BA46" s="34">
        <v>1.0</v>
      </c>
      <c r="BB46" s="61">
        <v>2.0</v>
      </c>
      <c r="BC46" s="9"/>
      <c r="BD46" s="9"/>
      <c r="BE46" s="9"/>
      <c r="BF46" s="42"/>
      <c r="BG46" s="9"/>
      <c r="BH46" s="9"/>
      <c r="BI46" s="9"/>
      <c r="BJ46" s="57"/>
      <c r="BK46" s="57"/>
      <c r="BL46" s="9"/>
      <c r="BM46" s="9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</row>
    <row r="47">
      <c r="A47" s="39">
        <v>41.0</v>
      </c>
      <c r="B47" s="49"/>
      <c r="C47" s="25">
        <v>2.0</v>
      </c>
      <c r="D47" s="47"/>
      <c r="E47" s="25">
        <v>1.0</v>
      </c>
      <c r="F47" s="25">
        <v>4.0</v>
      </c>
      <c r="G47" s="40">
        <v>1.0</v>
      </c>
      <c r="H47" s="40">
        <v>1.0</v>
      </c>
      <c r="I47" s="25">
        <v>1.0</v>
      </c>
      <c r="J47" s="25">
        <v>1.0</v>
      </c>
      <c r="K47" s="25">
        <v>2.0</v>
      </c>
      <c r="L47" s="25">
        <v>4.0</v>
      </c>
      <c r="M47" s="25">
        <v>4.0</v>
      </c>
      <c r="N47" s="25">
        <v>1.0</v>
      </c>
      <c r="O47" s="25">
        <v>4.0</v>
      </c>
      <c r="P47" s="26">
        <v>1.0</v>
      </c>
      <c r="Q47" s="9"/>
      <c r="R47" s="9"/>
      <c r="S47" s="75" t="s">
        <v>192</v>
      </c>
      <c r="T47" s="76"/>
      <c r="U47" s="76"/>
      <c r="V47" s="71"/>
      <c r="W47" s="57"/>
      <c r="X47" s="82" t="s">
        <v>115</v>
      </c>
      <c r="Z47" s="83" t="s">
        <v>193</v>
      </c>
      <c r="AA47" s="77"/>
      <c r="AB47" s="57"/>
      <c r="AC47" s="32" t="s">
        <v>161</v>
      </c>
      <c r="AE47" s="25" t="s">
        <v>127</v>
      </c>
      <c r="AF47" s="77"/>
      <c r="AG47" s="57"/>
      <c r="AH47" s="32" t="s">
        <v>194</v>
      </c>
      <c r="AJ47" s="25" t="s">
        <v>167</v>
      </c>
      <c r="AK47" s="77"/>
      <c r="AL47" s="57"/>
      <c r="AM47" s="93" t="s">
        <v>195</v>
      </c>
      <c r="AO47" s="79" t="s">
        <v>196</v>
      </c>
      <c r="AP47" s="77"/>
      <c r="AQ47" s="57"/>
      <c r="AR47" s="57"/>
      <c r="AS47" s="57"/>
      <c r="AT47" s="57"/>
      <c r="AU47" s="57"/>
      <c r="AV47" s="9"/>
      <c r="AW47" s="9"/>
      <c r="AX47" s="9"/>
      <c r="AY47" s="32">
        <v>1.0</v>
      </c>
      <c r="AZ47" s="49"/>
      <c r="BA47" s="46">
        <v>2.0</v>
      </c>
      <c r="BB47" s="61">
        <v>1.0</v>
      </c>
      <c r="BC47" s="9"/>
      <c r="BD47" s="9"/>
      <c r="BE47" s="9"/>
      <c r="BF47" s="42"/>
      <c r="BG47" s="9"/>
      <c r="BH47" s="9"/>
      <c r="BI47" s="9"/>
      <c r="BJ47" s="57"/>
      <c r="BK47" s="57"/>
      <c r="BL47" s="9"/>
      <c r="BM47" s="9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</row>
    <row r="48">
      <c r="A48" s="39">
        <v>42.0</v>
      </c>
      <c r="C48" s="49"/>
      <c r="D48" s="25">
        <v>1.0</v>
      </c>
      <c r="E48" s="25">
        <v>1.0</v>
      </c>
      <c r="F48" s="25">
        <v>2.0</v>
      </c>
      <c r="G48" s="25">
        <v>4.0</v>
      </c>
      <c r="H48" s="25">
        <v>1.0</v>
      </c>
      <c r="I48" s="25">
        <v>1.0</v>
      </c>
      <c r="J48" s="25">
        <v>4.0</v>
      </c>
      <c r="K48" s="25">
        <v>4.0</v>
      </c>
      <c r="L48" s="25">
        <v>1.0</v>
      </c>
      <c r="M48" s="25">
        <v>1.0</v>
      </c>
      <c r="N48" s="25">
        <v>3.0</v>
      </c>
      <c r="O48" s="25">
        <v>2.0</v>
      </c>
      <c r="P48" s="26">
        <v>2.0</v>
      </c>
      <c r="Q48" s="9"/>
      <c r="R48" s="9"/>
      <c r="S48" s="32" t="s">
        <v>90</v>
      </c>
      <c r="U48" s="25" t="s">
        <v>197</v>
      </c>
      <c r="V48" s="77"/>
      <c r="W48" s="57"/>
      <c r="X48" s="82" t="s">
        <v>123</v>
      </c>
      <c r="Z48" s="83" t="s">
        <v>193</v>
      </c>
      <c r="AA48" s="77"/>
      <c r="AB48" s="57"/>
      <c r="AC48" s="32" t="s">
        <v>198</v>
      </c>
      <c r="AE48" s="25" t="s">
        <v>167</v>
      </c>
      <c r="AF48" s="77"/>
      <c r="AG48" s="57"/>
      <c r="AH48" s="32" t="s">
        <v>107</v>
      </c>
      <c r="AJ48" s="25" t="s">
        <v>199</v>
      </c>
      <c r="AK48" s="77"/>
      <c r="AL48" s="57"/>
      <c r="AM48" s="93" t="s">
        <v>198</v>
      </c>
      <c r="AO48" s="79" t="s">
        <v>200</v>
      </c>
      <c r="AP48" s="77"/>
      <c r="AQ48" s="57"/>
      <c r="AR48" s="57"/>
      <c r="AS48" s="57"/>
      <c r="AT48" s="57"/>
      <c r="AU48" s="57"/>
      <c r="AV48" s="9"/>
      <c r="AW48" s="9"/>
      <c r="AX48" s="9"/>
      <c r="AY48" s="32">
        <v>2.0</v>
      </c>
      <c r="AZ48" s="25">
        <v>1.0</v>
      </c>
      <c r="BA48" s="47" t="s">
        <v>141</v>
      </c>
      <c r="BB48" s="26">
        <v>1.0</v>
      </c>
      <c r="BC48" s="9"/>
      <c r="BD48" s="9"/>
      <c r="BE48" s="9"/>
      <c r="BF48" s="42"/>
      <c r="BG48" s="9"/>
      <c r="BH48" s="9"/>
      <c r="BI48" s="9"/>
      <c r="BJ48" s="57"/>
      <c r="BK48" s="57"/>
      <c r="BL48" s="9"/>
      <c r="BM48" s="9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</row>
    <row r="49">
      <c r="A49" s="39">
        <v>43.0</v>
      </c>
      <c r="C49" s="25">
        <v>1.0</v>
      </c>
      <c r="D49" s="25">
        <v>1.0</v>
      </c>
      <c r="E49" s="25">
        <v>2.0</v>
      </c>
      <c r="F49" s="25">
        <v>3.0</v>
      </c>
      <c r="G49" s="25">
        <v>3.0</v>
      </c>
      <c r="H49" s="40">
        <v>1.0</v>
      </c>
      <c r="I49" s="47"/>
      <c r="J49" s="25">
        <v>1.0</v>
      </c>
      <c r="K49" s="25">
        <v>1.0</v>
      </c>
      <c r="L49" s="25">
        <v>1.0</v>
      </c>
      <c r="M49" s="25">
        <v>2.0</v>
      </c>
      <c r="N49" s="25">
        <v>2.0</v>
      </c>
      <c r="O49" s="25">
        <v>2.0</v>
      </c>
      <c r="P49" s="26">
        <v>1.0</v>
      </c>
      <c r="Q49" s="9"/>
      <c r="R49" s="9"/>
      <c r="S49" s="32" t="s">
        <v>93</v>
      </c>
      <c r="U49" s="25" t="s">
        <v>201</v>
      </c>
      <c r="V49" s="77"/>
      <c r="W49" s="57"/>
      <c r="X49" s="82" t="s">
        <v>129</v>
      </c>
      <c r="Z49" s="83" t="s">
        <v>202</v>
      </c>
      <c r="AA49" s="77"/>
      <c r="AB49" s="57"/>
      <c r="AC49" s="75" t="s">
        <v>203</v>
      </c>
      <c r="AD49" s="76"/>
      <c r="AE49" s="76"/>
      <c r="AF49" s="71"/>
      <c r="AG49" s="57"/>
      <c r="AH49" s="32" t="s">
        <v>90</v>
      </c>
      <c r="AJ49" s="25" t="s">
        <v>204</v>
      </c>
      <c r="AK49" s="77"/>
      <c r="AL49" s="57"/>
      <c r="AM49" s="93" t="s">
        <v>112</v>
      </c>
      <c r="AO49" s="79" t="s">
        <v>205</v>
      </c>
      <c r="AP49" s="77"/>
      <c r="AQ49" s="57"/>
      <c r="AR49" s="57"/>
      <c r="AS49" s="57"/>
      <c r="AT49" s="57"/>
      <c r="AU49" s="57"/>
      <c r="AV49" s="9"/>
      <c r="AW49" s="9"/>
      <c r="AX49" s="9"/>
      <c r="AY49" s="32">
        <v>2.0</v>
      </c>
      <c r="AZ49" s="25">
        <v>1.0</v>
      </c>
      <c r="BA49" s="46">
        <v>2.0</v>
      </c>
      <c r="BB49" s="26">
        <v>2.0</v>
      </c>
      <c r="BC49" s="9"/>
      <c r="BD49" s="9"/>
      <c r="BE49" s="9"/>
      <c r="BF49" s="42"/>
      <c r="BG49" s="9"/>
      <c r="BH49" s="9"/>
      <c r="BI49" s="9"/>
      <c r="BJ49" s="57"/>
      <c r="BK49" s="57"/>
      <c r="BL49" s="9"/>
      <c r="BM49" s="9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</row>
    <row r="50">
      <c r="A50" s="39">
        <v>44.0</v>
      </c>
      <c r="D50" s="25">
        <v>2.0</v>
      </c>
      <c r="E50" s="47"/>
      <c r="F50" s="25">
        <v>1.0</v>
      </c>
      <c r="G50" s="25">
        <v>1.0</v>
      </c>
      <c r="H50" s="40">
        <v>1.0</v>
      </c>
      <c r="I50" s="25">
        <v>1.0</v>
      </c>
      <c r="J50" s="25">
        <v>1.0</v>
      </c>
      <c r="K50" s="25">
        <v>1.0</v>
      </c>
      <c r="L50" s="25">
        <v>1.0</v>
      </c>
      <c r="M50" s="25">
        <v>2.0</v>
      </c>
      <c r="N50" s="25">
        <v>1.0</v>
      </c>
      <c r="O50" s="25">
        <v>1.0</v>
      </c>
      <c r="P50" s="26">
        <v>1.0</v>
      </c>
      <c r="Q50" s="9"/>
      <c r="R50" s="9"/>
      <c r="S50" s="32" t="s">
        <v>107</v>
      </c>
      <c r="U50" s="25" t="s">
        <v>206</v>
      </c>
      <c r="V50" s="77"/>
      <c r="W50" s="57"/>
      <c r="X50" s="75" t="s">
        <v>207</v>
      </c>
      <c r="Y50" s="76"/>
      <c r="Z50" s="76"/>
      <c r="AA50" s="71"/>
      <c r="AB50" s="57"/>
      <c r="AC50" s="32" t="s">
        <v>208</v>
      </c>
      <c r="AE50" s="25" t="s">
        <v>94</v>
      </c>
      <c r="AF50" s="77"/>
      <c r="AG50" s="57"/>
      <c r="AH50" s="94" t="s">
        <v>209</v>
      </c>
      <c r="AJ50" s="30" t="s">
        <v>210</v>
      </c>
      <c r="AK50" s="77"/>
      <c r="AL50" s="57"/>
      <c r="AM50" s="95" t="s">
        <v>107</v>
      </c>
      <c r="AO50" s="96" t="s">
        <v>211</v>
      </c>
      <c r="AP50" s="77"/>
      <c r="AQ50" s="57"/>
      <c r="AR50" s="57"/>
      <c r="AS50" s="57"/>
      <c r="AT50" s="57"/>
      <c r="AU50" s="57"/>
      <c r="AV50" s="9"/>
      <c r="AW50" s="9"/>
      <c r="AX50" s="9"/>
      <c r="AY50" s="32">
        <v>1.0</v>
      </c>
      <c r="AZ50" s="29"/>
      <c r="BA50" s="34">
        <v>1.0</v>
      </c>
      <c r="BB50" s="26">
        <v>3.0</v>
      </c>
      <c r="BC50" s="9"/>
      <c r="BD50" s="9"/>
      <c r="BE50" s="9"/>
      <c r="BF50" s="28">
        <v>1.0</v>
      </c>
      <c r="BG50" s="9"/>
      <c r="BH50" s="9"/>
      <c r="BI50" s="9"/>
      <c r="BJ50" s="57"/>
      <c r="BK50" s="57"/>
      <c r="BL50" s="9"/>
      <c r="BM50" s="9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</row>
    <row r="51">
      <c r="A51" s="39">
        <v>45.0</v>
      </c>
      <c r="C51" s="25">
        <v>1.0</v>
      </c>
      <c r="D51" s="25">
        <v>1.0</v>
      </c>
      <c r="E51" s="25">
        <v>2.0</v>
      </c>
      <c r="F51" s="25">
        <v>1.0</v>
      </c>
      <c r="G51" s="25">
        <v>1.0</v>
      </c>
      <c r="H51" s="47"/>
      <c r="I51" s="25">
        <v>1.0</v>
      </c>
      <c r="J51" s="25">
        <v>1.0</v>
      </c>
      <c r="K51" s="25">
        <v>2.0</v>
      </c>
      <c r="L51" s="25">
        <v>1.0</v>
      </c>
      <c r="M51" s="25">
        <v>1.0</v>
      </c>
      <c r="N51" s="25">
        <v>1.0</v>
      </c>
      <c r="O51" s="25">
        <v>1.0</v>
      </c>
      <c r="P51" s="26">
        <v>1.0</v>
      </c>
      <c r="Q51" s="9"/>
      <c r="R51" s="9"/>
      <c r="S51" s="32" t="s">
        <v>115</v>
      </c>
      <c r="U51" s="25" t="s">
        <v>212</v>
      </c>
      <c r="V51" s="77"/>
      <c r="W51" s="57"/>
      <c r="X51" s="82" t="s">
        <v>90</v>
      </c>
      <c r="Z51" s="83" t="s">
        <v>213</v>
      </c>
      <c r="AA51" s="77"/>
      <c r="AB51" s="57"/>
      <c r="AC51" s="32" t="s">
        <v>123</v>
      </c>
      <c r="AE51" s="25" t="s">
        <v>103</v>
      </c>
      <c r="AF51" s="77"/>
      <c r="AG51" s="57"/>
      <c r="AH51" s="32" t="s">
        <v>102</v>
      </c>
      <c r="AJ51" s="25" t="s">
        <v>214</v>
      </c>
      <c r="AK51" s="77"/>
      <c r="AL51" s="57"/>
      <c r="AM51" s="92" t="s">
        <v>215</v>
      </c>
      <c r="AN51" s="71"/>
      <c r="AO51" s="92" t="s">
        <v>51</v>
      </c>
      <c r="AP51" s="71"/>
      <c r="AQ51" s="57"/>
      <c r="AR51" s="57"/>
      <c r="AS51" s="57"/>
      <c r="AT51" s="57"/>
      <c r="AU51" s="57"/>
      <c r="AV51" s="9"/>
      <c r="AW51" s="9"/>
      <c r="AX51" s="9"/>
      <c r="AY51" s="32">
        <v>1.0</v>
      </c>
      <c r="AZ51" s="29"/>
      <c r="BA51" s="46">
        <v>3.0</v>
      </c>
      <c r="BB51" s="26">
        <v>1.0</v>
      </c>
      <c r="BC51" s="9"/>
      <c r="BD51" s="9"/>
      <c r="BE51" s="9"/>
      <c r="BF51" s="42"/>
      <c r="BG51" s="9"/>
      <c r="BH51" s="9"/>
      <c r="BI51" s="9"/>
      <c r="BJ51" s="57"/>
      <c r="BK51" s="57"/>
      <c r="BL51" s="9"/>
      <c r="BM51" s="9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</row>
    <row r="52">
      <c r="A52" s="39">
        <v>46.0</v>
      </c>
      <c r="B52" s="25">
        <v>2.0</v>
      </c>
      <c r="C52" s="25">
        <v>1.0</v>
      </c>
      <c r="D52" s="25">
        <v>1.0</v>
      </c>
      <c r="F52" s="25">
        <v>1.0</v>
      </c>
      <c r="G52" s="40">
        <v>1.0</v>
      </c>
      <c r="H52" s="25">
        <v>2.0</v>
      </c>
      <c r="I52" s="25">
        <v>2.0</v>
      </c>
      <c r="J52" s="25">
        <v>3.0</v>
      </c>
      <c r="K52" s="25">
        <v>3.0</v>
      </c>
      <c r="L52" s="25">
        <v>1.0</v>
      </c>
      <c r="M52" s="25">
        <v>1.0</v>
      </c>
      <c r="N52" s="25">
        <v>2.0</v>
      </c>
      <c r="O52" s="25">
        <v>1.0</v>
      </c>
      <c r="P52" s="55"/>
      <c r="Q52" s="9"/>
      <c r="R52" s="9"/>
      <c r="S52" s="32" t="s">
        <v>123</v>
      </c>
      <c r="U52" s="25" t="s">
        <v>216</v>
      </c>
      <c r="V52" s="77"/>
      <c r="W52" s="57"/>
      <c r="X52" s="82" t="s">
        <v>93</v>
      </c>
      <c r="Z52" s="83" t="s">
        <v>217</v>
      </c>
      <c r="AA52" s="77"/>
      <c r="AB52" s="57"/>
      <c r="AC52" s="32" t="s">
        <v>218</v>
      </c>
      <c r="AE52" s="25" t="s">
        <v>111</v>
      </c>
      <c r="AF52" s="77"/>
      <c r="AG52" s="57"/>
      <c r="AH52" s="32" t="s">
        <v>219</v>
      </c>
      <c r="AJ52" s="25" t="s">
        <v>220</v>
      </c>
      <c r="AK52" s="77"/>
      <c r="AL52" s="57"/>
      <c r="AM52" s="93" t="s">
        <v>139</v>
      </c>
      <c r="AO52" s="79" t="s">
        <v>221</v>
      </c>
      <c r="AP52" s="77"/>
      <c r="AQ52" s="57"/>
      <c r="AR52" s="57"/>
      <c r="AS52" s="57"/>
      <c r="AT52" s="57"/>
      <c r="AU52" s="57"/>
      <c r="AV52" s="9"/>
      <c r="AW52" s="9"/>
      <c r="AX52" s="9"/>
      <c r="AY52" s="32">
        <v>3.0</v>
      </c>
      <c r="AZ52" s="25">
        <v>1.0</v>
      </c>
      <c r="BA52" s="34">
        <v>1.0</v>
      </c>
      <c r="BB52" s="26">
        <v>1.0</v>
      </c>
      <c r="BC52" s="9"/>
      <c r="BD52" s="9"/>
      <c r="BE52" s="9"/>
      <c r="BF52" s="42"/>
      <c r="BG52" s="9"/>
      <c r="BH52" s="9"/>
      <c r="BI52" s="9"/>
      <c r="BJ52" s="57"/>
      <c r="BK52" s="57"/>
      <c r="BL52" s="9"/>
      <c r="BM52" s="9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</row>
    <row r="53">
      <c r="A53" s="39">
        <v>47.0</v>
      </c>
      <c r="B53" s="25">
        <v>3.0</v>
      </c>
      <c r="C53" s="49"/>
      <c r="D53" s="49"/>
      <c r="E53" s="25">
        <v>1.0</v>
      </c>
      <c r="F53" s="25">
        <v>1.0</v>
      </c>
      <c r="G53" s="49"/>
      <c r="H53" s="25">
        <v>2.0</v>
      </c>
      <c r="I53" s="97" t="s">
        <v>222</v>
      </c>
      <c r="J53" s="25">
        <v>1.0</v>
      </c>
      <c r="K53" s="25">
        <v>1.0</v>
      </c>
      <c r="L53" s="25">
        <v>2.0</v>
      </c>
      <c r="M53" s="25">
        <v>2.0</v>
      </c>
      <c r="N53" s="25">
        <v>1.0</v>
      </c>
      <c r="O53" s="25">
        <v>2.0</v>
      </c>
      <c r="P53" s="62"/>
      <c r="Q53" s="9"/>
      <c r="R53" s="9"/>
      <c r="S53" s="32" t="s">
        <v>129</v>
      </c>
      <c r="U53" s="25" t="s">
        <v>223</v>
      </c>
      <c r="V53" s="77"/>
      <c r="W53" s="57"/>
      <c r="X53" s="82" t="s">
        <v>107</v>
      </c>
      <c r="Z53" s="83" t="s">
        <v>217</v>
      </c>
      <c r="AA53" s="77"/>
      <c r="AB53" s="57"/>
      <c r="AC53" s="32" t="s">
        <v>224</v>
      </c>
      <c r="AE53" s="25" t="s">
        <v>119</v>
      </c>
      <c r="AF53" s="77"/>
      <c r="AG53" s="57"/>
      <c r="AH53" s="78" t="s">
        <v>139</v>
      </c>
      <c r="AJ53" s="98" t="s">
        <v>221</v>
      </c>
      <c r="AK53" s="77"/>
      <c r="AL53" s="57"/>
      <c r="AM53" s="93" t="s">
        <v>225</v>
      </c>
      <c r="AO53" s="79" t="s">
        <v>226</v>
      </c>
      <c r="AP53" s="77"/>
      <c r="AQ53" s="57"/>
      <c r="AR53" s="57"/>
      <c r="AS53" s="57"/>
      <c r="AT53" s="57"/>
      <c r="AU53" s="57"/>
      <c r="AV53" s="9"/>
      <c r="AW53" s="9"/>
      <c r="AX53" s="9"/>
      <c r="AY53" s="32">
        <v>1.0</v>
      </c>
      <c r="AZ53" s="25">
        <v>1.0</v>
      </c>
      <c r="BA53" s="34">
        <v>1.0</v>
      </c>
      <c r="BB53" s="26">
        <v>2.0</v>
      </c>
      <c r="BC53" s="9"/>
      <c r="BD53" s="9"/>
      <c r="BE53" s="9"/>
      <c r="BF53" s="42"/>
      <c r="BG53" s="9"/>
      <c r="BH53" s="9"/>
      <c r="BI53" s="9"/>
      <c r="BJ53" s="57"/>
      <c r="BK53" s="57"/>
      <c r="BL53" s="9"/>
      <c r="BM53" s="9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</row>
    <row r="54">
      <c r="A54" s="39">
        <v>48.0</v>
      </c>
      <c r="D54" s="25">
        <v>1.0</v>
      </c>
      <c r="E54" s="25">
        <v>1.0</v>
      </c>
      <c r="F54" s="25">
        <v>1.0</v>
      </c>
      <c r="G54" s="25">
        <v>1.0</v>
      </c>
      <c r="H54" s="40">
        <v>1.0</v>
      </c>
      <c r="I54" s="25">
        <v>1.0</v>
      </c>
      <c r="J54" s="25">
        <v>3.0</v>
      </c>
      <c r="K54" s="25">
        <v>1.0</v>
      </c>
      <c r="L54" s="25">
        <v>2.0</v>
      </c>
      <c r="M54" s="25">
        <v>1.0</v>
      </c>
      <c r="N54" s="25">
        <v>1.0</v>
      </c>
      <c r="O54" s="25">
        <v>1.0</v>
      </c>
      <c r="P54" s="26">
        <v>1.0</v>
      </c>
      <c r="Q54" s="9"/>
      <c r="R54" s="9"/>
      <c r="S54" s="32" t="s">
        <v>135</v>
      </c>
      <c r="U54" s="25" t="s">
        <v>227</v>
      </c>
      <c r="V54" s="77"/>
      <c r="W54" s="57"/>
      <c r="X54" s="82" t="s">
        <v>115</v>
      </c>
      <c r="Z54" s="83" t="s">
        <v>228</v>
      </c>
      <c r="AA54" s="77"/>
      <c r="AB54" s="57"/>
      <c r="AC54" s="32" t="s">
        <v>194</v>
      </c>
      <c r="AE54" s="25" t="s">
        <v>127</v>
      </c>
      <c r="AF54" s="77"/>
      <c r="AG54" s="57"/>
      <c r="AH54" s="32" t="s">
        <v>176</v>
      </c>
      <c r="AJ54" s="25" t="s">
        <v>229</v>
      </c>
      <c r="AK54" s="77"/>
      <c r="AL54" s="57"/>
      <c r="AM54" s="95" t="s">
        <v>230</v>
      </c>
      <c r="AO54" s="96" t="s">
        <v>231</v>
      </c>
      <c r="AP54" s="77"/>
      <c r="AQ54" s="57"/>
      <c r="AR54" s="57"/>
      <c r="AS54" s="57"/>
      <c r="AT54" s="57"/>
      <c r="AU54" s="57"/>
      <c r="AV54" s="9"/>
      <c r="AW54" s="9"/>
      <c r="AX54" s="9"/>
      <c r="AY54" s="32">
        <v>3.0</v>
      </c>
      <c r="AZ54" s="25">
        <v>2.0</v>
      </c>
      <c r="BA54" s="46">
        <v>2.0</v>
      </c>
      <c r="BB54" s="59"/>
      <c r="BC54" s="9"/>
      <c r="BD54" s="9"/>
      <c r="BE54" s="9"/>
      <c r="BF54" s="42"/>
      <c r="BG54" s="9"/>
      <c r="BH54" s="9"/>
      <c r="BI54" s="9"/>
      <c r="BJ54" s="57"/>
      <c r="BK54" s="57"/>
      <c r="BL54" s="9"/>
      <c r="BM54" s="9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</row>
    <row r="55">
      <c r="A55" s="39">
        <v>49.0</v>
      </c>
      <c r="B55" s="25">
        <v>2.0</v>
      </c>
      <c r="C55" s="24"/>
      <c r="D55" s="25">
        <v>1.0</v>
      </c>
      <c r="E55" s="25">
        <v>1.0</v>
      </c>
      <c r="F55" s="25">
        <v>1.0</v>
      </c>
      <c r="G55" s="25">
        <v>1.0</v>
      </c>
      <c r="H55" s="25">
        <v>1.0</v>
      </c>
      <c r="I55" s="25">
        <v>1.0</v>
      </c>
      <c r="J55" s="25">
        <v>1.0</v>
      </c>
      <c r="K55" s="25">
        <v>2.0</v>
      </c>
      <c r="L55" s="25">
        <v>2.0</v>
      </c>
      <c r="M55" s="25">
        <v>1.0</v>
      </c>
      <c r="N55" s="25">
        <v>1.0</v>
      </c>
      <c r="O55" s="25">
        <v>3.0</v>
      </c>
      <c r="P55" s="26">
        <v>1.0</v>
      </c>
      <c r="Q55" s="9"/>
      <c r="R55" s="9"/>
      <c r="S55" s="32" t="s">
        <v>142</v>
      </c>
      <c r="U55" s="25" t="s">
        <v>232</v>
      </c>
      <c r="V55" s="77"/>
      <c r="W55" s="57"/>
      <c r="X55" s="82" t="s">
        <v>123</v>
      </c>
      <c r="Z55" s="83" t="s">
        <v>233</v>
      </c>
      <c r="AA55" s="77"/>
      <c r="AB55" s="57"/>
      <c r="AC55" s="32" t="s">
        <v>234</v>
      </c>
      <c r="AE55" s="25" t="s">
        <v>167</v>
      </c>
      <c r="AF55" s="77"/>
      <c r="AG55" s="57"/>
      <c r="AH55" s="32" t="s">
        <v>235</v>
      </c>
      <c r="AJ55" s="25" t="s">
        <v>236</v>
      </c>
      <c r="AK55" s="77"/>
      <c r="AL55" s="57"/>
      <c r="AM55" s="93" t="s">
        <v>95</v>
      </c>
      <c r="AO55" s="79" t="s">
        <v>237</v>
      </c>
      <c r="AP55" s="77"/>
      <c r="AQ55" s="57"/>
      <c r="AR55" s="57"/>
      <c r="AS55" s="57"/>
      <c r="AT55" s="57"/>
      <c r="AU55" s="57"/>
      <c r="AV55" s="9"/>
      <c r="AW55" s="9"/>
      <c r="AX55" s="9"/>
      <c r="AY55" s="32">
        <v>2.0</v>
      </c>
      <c r="AZ55" s="25">
        <v>2.0</v>
      </c>
      <c r="BA55" s="34">
        <v>1.0</v>
      </c>
      <c r="BB55" s="26">
        <v>1.0</v>
      </c>
      <c r="BC55" s="9"/>
      <c r="BD55" s="9"/>
      <c r="BE55" s="9"/>
      <c r="BF55" s="42"/>
      <c r="BG55" s="9"/>
      <c r="BH55" s="9"/>
      <c r="BI55" s="9"/>
      <c r="BJ55" s="57"/>
      <c r="BK55" s="57"/>
      <c r="BL55" s="9"/>
      <c r="BM55" s="9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</row>
    <row r="56">
      <c r="A56" s="39">
        <v>50.0</v>
      </c>
      <c r="C56" s="49"/>
      <c r="D56" s="25">
        <v>1.0</v>
      </c>
      <c r="E56" s="25">
        <v>1.0</v>
      </c>
      <c r="F56" s="25">
        <v>2.0</v>
      </c>
      <c r="G56" s="25">
        <v>2.0</v>
      </c>
      <c r="H56" s="40">
        <v>1.0</v>
      </c>
      <c r="I56" s="25">
        <v>1.0</v>
      </c>
      <c r="J56" s="25">
        <v>2.0</v>
      </c>
      <c r="K56" s="25">
        <v>1.0</v>
      </c>
      <c r="L56" s="25">
        <v>1.0</v>
      </c>
      <c r="M56" s="25">
        <v>1.0</v>
      </c>
      <c r="N56" s="25">
        <v>1.0</v>
      </c>
      <c r="O56" s="25">
        <v>1.0</v>
      </c>
      <c r="P56" s="26">
        <v>1.0</v>
      </c>
      <c r="Q56" s="9"/>
      <c r="R56" s="9"/>
      <c r="S56" s="75" t="s">
        <v>86</v>
      </c>
      <c r="T56" s="76"/>
      <c r="U56" s="76"/>
      <c r="V56" s="71"/>
      <c r="W56" s="57"/>
      <c r="X56" s="99" t="s">
        <v>129</v>
      </c>
      <c r="Y56" s="73"/>
      <c r="Z56" s="100" t="s">
        <v>238</v>
      </c>
      <c r="AA56" s="74"/>
      <c r="AB56" s="57"/>
      <c r="AC56" s="75" t="s">
        <v>239</v>
      </c>
      <c r="AD56" s="76"/>
      <c r="AE56" s="76"/>
      <c r="AF56" s="71"/>
      <c r="AG56" s="57"/>
      <c r="AH56" s="94" t="s">
        <v>240</v>
      </c>
      <c r="AJ56" s="30" t="s">
        <v>241</v>
      </c>
      <c r="AK56" s="77"/>
      <c r="AL56" s="9"/>
      <c r="AM56" s="101" t="s">
        <v>209</v>
      </c>
      <c r="AO56" s="102" t="s">
        <v>242</v>
      </c>
      <c r="AP56" s="77"/>
      <c r="AQ56" s="57"/>
      <c r="AR56" s="57"/>
      <c r="AS56" s="57"/>
      <c r="AT56" s="57"/>
      <c r="AU56" s="57"/>
      <c r="AV56" s="9"/>
      <c r="AW56" s="9"/>
      <c r="AX56" s="9"/>
      <c r="AY56" s="32">
        <v>1.0</v>
      </c>
      <c r="AZ56" s="25">
        <v>2.0</v>
      </c>
      <c r="BA56" s="34">
        <v>1.0</v>
      </c>
      <c r="BB56" s="26">
        <v>2.0</v>
      </c>
      <c r="BC56" s="9"/>
      <c r="BD56" s="9"/>
      <c r="BE56" s="9"/>
      <c r="BF56" s="42"/>
      <c r="BG56" s="9"/>
      <c r="BH56" s="9"/>
      <c r="BI56" s="9"/>
      <c r="BJ56" s="57"/>
      <c r="BK56" s="57"/>
      <c r="BL56" s="9"/>
      <c r="BM56" s="9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</row>
    <row r="57">
      <c r="A57" s="39">
        <v>51.0</v>
      </c>
      <c r="B57" s="25">
        <v>3.0</v>
      </c>
      <c r="C57" s="47"/>
      <c r="D57" s="49"/>
      <c r="E57" s="49"/>
      <c r="F57" s="47"/>
      <c r="G57" s="25">
        <v>2.0</v>
      </c>
      <c r="H57" s="47" t="s">
        <v>243</v>
      </c>
      <c r="I57" s="25">
        <v>1.0</v>
      </c>
      <c r="J57" s="25">
        <v>2.0</v>
      </c>
      <c r="K57" s="25">
        <v>1.0</v>
      </c>
      <c r="L57" s="47"/>
      <c r="M57" s="25">
        <v>1.0</v>
      </c>
      <c r="N57" s="25">
        <v>2.0</v>
      </c>
      <c r="O57" s="25">
        <v>1.0</v>
      </c>
      <c r="P57" s="26">
        <v>1.0</v>
      </c>
      <c r="Q57" s="9"/>
      <c r="R57" s="9"/>
      <c r="S57" s="32" t="s">
        <v>90</v>
      </c>
      <c r="U57" s="25" t="s">
        <v>244</v>
      </c>
      <c r="V57" s="77"/>
      <c r="W57" s="57"/>
      <c r="X57" s="75" t="s">
        <v>245</v>
      </c>
      <c r="Y57" s="76"/>
      <c r="Z57" s="76"/>
      <c r="AA57" s="71"/>
      <c r="AB57" s="57"/>
      <c r="AC57" s="82" t="s">
        <v>246</v>
      </c>
      <c r="AE57" s="83" t="s">
        <v>94</v>
      </c>
      <c r="AF57" s="77"/>
      <c r="AG57" s="57"/>
      <c r="AH57" s="32" t="s">
        <v>107</v>
      </c>
      <c r="AJ57" s="25" t="s">
        <v>247</v>
      </c>
      <c r="AK57" s="77"/>
      <c r="AL57" s="9"/>
      <c r="AM57" s="103" t="s">
        <v>90</v>
      </c>
      <c r="AN57" s="73"/>
      <c r="AO57" s="104" t="s">
        <v>248</v>
      </c>
      <c r="AP57" s="74"/>
      <c r="AQ57" s="57"/>
      <c r="AR57" s="57"/>
      <c r="AS57" s="57"/>
      <c r="AT57" s="57"/>
      <c r="AU57" s="57"/>
      <c r="AV57" s="9"/>
      <c r="AW57" s="9"/>
      <c r="AX57" s="9"/>
      <c r="AY57" s="32">
        <v>2.0</v>
      </c>
      <c r="AZ57" s="25">
        <v>1.0</v>
      </c>
      <c r="BA57" s="34">
        <v>1.0</v>
      </c>
      <c r="BB57" s="26">
        <v>1.0</v>
      </c>
      <c r="BC57" s="9"/>
      <c r="BD57" s="9"/>
      <c r="BE57" s="9"/>
      <c r="BF57" s="42"/>
      <c r="BG57" s="9"/>
      <c r="BH57" s="9"/>
      <c r="BI57" s="9"/>
      <c r="BJ57" s="57"/>
      <c r="BK57" s="57"/>
      <c r="BL57" s="9"/>
      <c r="BM57" s="9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</row>
    <row r="58">
      <c r="A58" s="39">
        <v>52.0</v>
      </c>
      <c r="B58" s="25">
        <v>1.0</v>
      </c>
      <c r="D58" s="25">
        <v>1.0</v>
      </c>
      <c r="E58" s="25">
        <v>1.0</v>
      </c>
      <c r="F58" s="25">
        <v>1.0</v>
      </c>
      <c r="G58" s="25">
        <v>1.0</v>
      </c>
      <c r="H58" s="25">
        <v>1.0</v>
      </c>
      <c r="I58" s="25">
        <v>2.0</v>
      </c>
      <c r="J58" s="25">
        <v>1.0</v>
      </c>
      <c r="K58" s="25">
        <v>1.0</v>
      </c>
      <c r="L58" s="25">
        <v>1.0</v>
      </c>
      <c r="M58" s="25">
        <v>1.0</v>
      </c>
      <c r="N58" s="25">
        <v>1.0</v>
      </c>
      <c r="O58" s="25">
        <v>1.0</v>
      </c>
      <c r="P58" s="89"/>
      <c r="Q58" s="9"/>
      <c r="R58" s="9"/>
      <c r="S58" s="32" t="s">
        <v>93</v>
      </c>
      <c r="U58" s="25" t="s">
        <v>249</v>
      </c>
      <c r="V58" s="77"/>
      <c r="W58" s="57"/>
      <c r="X58" s="32" t="s">
        <v>90</v>
      </c>
      <c r="Z58" s="25" t="s">
        <v>213</v>
      </c>
      <c r="AA58" s="77"/>
      <c r="AB58" s="57"/>
      <c r="AC58" s="84" t="s">
        <v>183</v>
      </c>
      <c r="AE58" s="85" t="s">
        <v>103</v>
      </c>
      <c r="AF58" s="77"/>
      <c r="AG58" s="57"/>
      <c r="AH58" s="32" t="s">
        <v>93</v>
      </c>
      <c r="AJ58" s="25" t="s">
        <v>250</v>
      </c>
      <c r="AK58" s="77"/>
      <c r="AL58" s="9"/>
      <c r="AM58" s="9"/>
      <c r="AN58" s="9"/>
      <c r="AO58" s="57"/>
      <c r="AP58" s="57"/>
      <c r="AQ58" s="57"/>
      <c r="AR58" s="57"/>
      <c r="AS58" s="57"/>
      <c r="AT58" s="57"/>
      <c r="AU58" s="57"/>
      <c r="AV58" s="9"/>
      <c r="AW58" s="9"/>
      <c r="AX58" s="9"/>
      <c r="AY58" s="54"/>
      <c r="AZ58" s="29"/>
      <c r="BA58" s="46">
        <v>2.0</v>
      </c>
      <c r="BB58" s="26">
        <v>2.0</v>
      </c>
      <c r="BC58" s="9"/>
      <c r="BD58" s="9"/>
      <c r="BE58" s="9"/>
      <c r="BF58" s="42"/>
      <c r="BG58" s="9"/>
      <c r="BH58" s="9"/>
      <c r="BI58" s="9"/>
      <c r="BJ58" s="57"/>
      <c r="BK58" s="57"/>
      <c r="BL58" s="9"/>
      <c r="BM58" s="9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</row>
    <row r="59">
      <c r="A59" s="39">
        <v>53.0</v>
      </c>
      <c r="D59" s="25">
        <v>1.0</v>
      </c>
      <c r="E59" s="25">
        <v>1.0</v>
      </c>
      <c r="F59" s="25">
        <v>1.0</v>
      </c>
      <c r="G59" s="25">
        <v>1.0</v>
      </c>
      <c r="H59" s="25">
        <v>2.0</v>
      </c>
      <c r="I59" s="25">
        <v>2.0</v>
      </c>
      <c r="J59" s="25">
        <v>1.0</v>
      </c>
      <c r="K59" s="25">
        <v>1.0</v>
      </c>
      <c r="L59" s="25">
        <v>1.0</v>
      </c>
      <c r="M59" s="25">
        <v>2.0</v>
      </c>
      <c r="N59" s="25">
        <v>1.0</v>
      </c>
      <c r="O59" s="25">
        <v>1.0</v>
      </c>
      <c r="P59" s="55"/>
      <c r="Q59" s="9"/>
      <c r="R59" s="9"/>
      <c r="S59" s="32" t="s">
        <v>107</v>
      </c>
      <c r="U59" s="25" t="s">
        <v>251</v>
      </c>
      <c r="V59" s="77"/>
      <c r="W59" s="57"/>
      <c r="X59" s="32" t="s">
        <v>93</v>
      </c>
      <c r="Z59" s="25" t="s">
        <v>217</v>
      </c>
      <c r="AA59" s="77"/>
      <c r="AB59" s="57"/>
      <c r="AC59" s="82" t="s">
        <v>252</v>
      </c>
      <c r="AE59" s="83" t="s">
        <v>111</v>
      </c>
      <c r="AF59" s="77"/>
      <c r="AG59" s="57"/>
      <c r="AH59" s="32" t="s">
        <v>107</v>
      </c>
      <c r="AJ59" s="25" t="s">
        <v>253</v>
      </c>
      <c r="AK59" s="77"/>
      <c r="AL59" s="9"/>
      <c r="AM59" s="70" t="s">
        <v>254</v>
      </c>
      <c r="AN59" s="71"/>
      <c r="AO59" s="70" t="s">
        <v>51</v>
      </c>
      <c r="AP59" s="71"/>
      <c r="AQ59" s="57"/>
      <c r="AR59" s="57"/>
      <c r="AS59" s="57"/>
      <c r="AT59" s="57"/>
      <c r="AU59" s="57"/>
      <c r="AV59" s="9"/>
      <c r="AW59" s="9"/>
      <c r="AX59" s="9"/>
      <c r="AY59" s="32">
        <v>1.0</v>
      </c>
      <c r="AZ59" s="25">
        <v>1.0</v>
      </c>
      <c r="BA59" s="47" t="s">
        <v>255</v>
      </c>
      <c r="BB59" s="26">
        <v>1.0</v>
      </c>
      <c r="BC59" s="9"/>
      <c r="BD59" s="9"/>
      <c r="BE59" s="9"/>
      <c r="BF59" s="42"/>
      <c r="BG59" s="9"/>
      <c r="BH59" s="9"/>
      <c r="BI59" s="9"/>
      <c r="BJ59" s="57"/>
      <c r="BK59" s="57"/>
      <c r="BL59" s="9"/>
      <c r="BM59" s="9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</row>
    <row r="60">
      <c r="A60" s="39">
        <v>54.0</v>
      </c>
      <c r="B60" s="49"/>
      <c r="D60" s="25">
        <v>1.0</v>
      </c>
      <c r="E60" s="25">
        <v>1.0</v>
      </c>
      <c r="F60" s="25">
        <v>1.0</v>
      </c>
      <c r="G60" s="25">
        <v>1.0</v>
      </c>
      <c r="H60" s="25">
        <v>2.0</v>
      </c>
      <c r="I60" s="25">
        <v>1.0</v>
      </c>
      <c r="J60" s="25">
        <v>1.0</v>
      </c>
      <c r="K60" s="25">
        <v>1.0</v>
      </c>
      <c r="L60" s="47" t="s">
        <v>256</v>
      </c>
      <c r="M60" s="25">
        <v>1.0</v>
      </c>
      <c r="N60" s="25">
        <v>3.0</v>
      </c>
      <c r="O60" s="25">
        <v>1.0</v>
      </c>
      <c r="P60" s="26">
        <v>1.0</v>
      </c>
      <c r="Q60" s="9"/>
      <c r="R60" s="9"/>
      <c r="S60" s="32" t="s">
        <v>115</v>
      </c>
      <c r="U60" s="25" t="s">
        <v>257</v>
      </c>
      <c r="V60" s="77"/>
      <c r="W60" s="57"/>
      <c r="X60" s="80" t="s">
        <v>107</v>
      </c>
      <c r="Y60" s="73"/>
      <c r="Z60" s="81" t="s">
        <v>258</v>
      </c>
      <c r="AA60" s="74"/>
      <c r="AB60" s="57"/>
      <c r="AC60" s="82" t="s">
        <v>259</v>
      </c>
      <c r="AE60" s="83" t="s">
        <v>119</v>
      </c>
      <c r="AF60" s="77"/>
      <c r="AG60" s="57"/>
      <c r="AH60" s="94" t="s">
        <v>252</v>
      </c>
      <c r="AJ60" s="30" t="s">
        <v>260</v>
      </c>
      <c r="AK60" s="77"/>
      <c r="AL60" s="9"/>
      <c r="AM60" s="99" t="s">
        <v>261</v>
      </c>
      <c r="AN60" s="73"/>
      <c r="AO60" s="100" t="s">
        <v>261</v>
      </c>
      <c r="AP60" s="74"/>
      <c r="AQ60" s="57"/>
      <c r="AR60" s="57"/>
      <c r="AS60" s="57"/>
      <c r="AT60" s="57"/>
      <c r="AU60" s="57"/>
      <c r="AV60" s="9"/>
      <c r="AW60" s="9"/>
      <c r="AX60" s="9"/>
      <c r="AY60" s="32">
        <v>2.0</v>
      </c>
      <c r="AZ60" s="25">
        <v>2.0</v>
      </c>
      <c r="BA60" s="34">
        <v>1.0</v>
      </c>
      <c r="BB60" s="41"/>
      <c r="BC60" s="9"/>
      <c r="BD60" s="9"/>
      <c r="BE60" s="9"/>
      <c r="BF60" s="42"/>
      <c r="BG60" s="9"/>
      <c r="BH60" s="9"/>
      <c r="BI60" s="9"/>
      <c r="BJ60" s="57"/>
      <c r="BK60" s="57"/>
      <c r="BL60" s="9"/>
      <c r="BM60" s="9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</row>
    <row r="61">
      <c r="A61" s="39">
        <v>55.0</v>
      </c>
      <c r="B61" s="25">
        <v>1.0</v>
      </c>
      <c r="D61" s="25">
        <v>1.0</v>
      </c>
      <c r="E61" s="25">
        <v>1.0</v>
      </c>
      <c r="F61" s="25">
        <v>2.0</v>
      </c>
      <c r="G61" s="25">
        <v>1.0</v>
      </c>
      <c r="H61" s="40">
        <v>1.0</v>
      </c>
      <c r="I61" s="25">
        <v>1.0</v>
      </c>
      <c r="J61" s="25">
        <v>1.0</v>
      </c>
      <c r="K61" s="25">
        <v>2.0</v>
      </c>
      <c r="L61" s="25">
        <v>1.0</v>
      </c>
      <c r="M61" s="25">
        <v>1.0</v>
      </c>
      <c r="N61" s="25">
        <v>1.0</v>
      </c>
      <c r="O61" s="25">
        <v>1.0</v>
      </c>
      <c r="P61" s="26">
        <v>2.0</v>
      </c>
      <c r="Q61" s="9"/>
      <c r="R61" s="9"/>
      <c r="S61" s="32" t="s">
        <v>123</v>
      </c>
      <c r="U61" s="25" t="s">
        <v>262</v>
      </c>
      <c r="V61" s="77"/>
      <c r="W61" s="57"/>
      <c r="X61" s="75" t="s">
        <v>263</v>
      </c>
      <c r="Y61" s="76"/>
      <c r="Z61" s="76"/>
      <c r="AA61" s="71"/>
      <c r="AB61" s="57"/>
      <c r="AC61" s="82" t="s">
        <v>264</v>
      </c>
      <c r="AE61" s="83" t="s">
        <v>127</v>
      </c>
      <c r="AF61" s="77"/>
      <c r="AG61" s="57"/>
      <c r="AH61" s="94" t="s">
        <v>265</v>
      </c>
      <c r="AJ61" s="30" t="s">
        <v>266</v>
      </c>
      <c r="AK61" s="77"/>
      <c r="AL61" s="9"/>
      <c r="AM61" s="9"/>
      <c r="AN61" s="9"/>
      <c r="AO61" s="57"/>
      <c r="AP61" s="57"/>
      <c r="AQ61" s="57"/>
      <c r="AR61" s="57"/>
      <c r="AS61" s="57"/>
      <c r="AT61" s="57"/>
      <c r="AU61" s="57"/>
      <c r="AV61" s="9"/>
      <c r="AW61" s="9"/>
      <c r="AX61" s="9"/>
      <c r="AY61" s="32">
        <v>1.0</v>
      </c>
      <c r="AZ61" s="25">
        <v>2.0</v>
      </c>
      <c r="BA61" s="47" t="s">
        <v>267</v>
      </c>
      <c r="BB61" s="26">
        <v>1.0</v>
      </c>
      <c r="BC61" s="9"/>
      <c r="BD61" s="9"/>
      <c r="BE61" s="9"/>
      <c r="BF61" s="42"/>
      <c r="BG61" s="9"/>
      <c r="BH61" s="9"/>
      <c r="BI61" s="9"/>
      <c r="BJ61" s="57"/>
      <c r="BK61" s="57"/>
      <c r="BL61" s="9"/>
      <c r="BM61" s="9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</row>
    <row r="62">
      <c r="A62" s="39">
        <v>56.0</v>
      </c>
      <c r="D62" s="25">
        <v>1.0</v>
      </c>
      <c r="E62" s="49"/>
      <c r="F62" s="25">
        <v>1.0</v>
      </c>
      <c r="G62" s="105">
        <v>1.0</v>
      </c>
      <c r="H62" s="25">
        <v>1.0</v>
      </c>
      <c r="I62" s="25">
        <v>1.0</v>
      </c>
      <c r="J62" s="25">
        <v>2.0</v>
      </c>
      <c r="K62" s="25">
        <v>1.0</v>
      </c>
      <c r="L62" s="25">
        <v>2.0</v>
      </c>
      <c r="M62" s="25">
        <v>3.0</v>
      </c>
      <c r="N62" s="25">
        <v>1.0</v>
      </c>
      <c r="O62" s="25">
        <v>1.0</v>
      </c>
      <c r="P62" s="26">
        <v>1.0</v>
      </c>
      <c r="Q62" s="9"/>
      <c r="R62" s="9"/>
      <c r="S62" s="32" t="s">
        <v>129</v>
      </c>
      <c r="U62" s="25" t="s">
        <v>268</v>
      </c>
      <c r="V62" s="77"/>
      <c r="W62" s="57"/>
      <c r="X62" s="82" t="s">
        <v>90</v>
      </c>
      <c r="Z62" s="83" t="s">
        <v>213</v>
      </c>
      <c r="AA62" s="77"/>
      <c r="AB62" s="57"/>
      <c r="AC62" s="82" t="s">
        <v>120</v>
      </c>
      <c r="AE62" s="83" t="s">
        <v>167</v>
      </c>
      <c r="AF62" s="77"/>
      <c r="AG62" s="57"/>
      <c r="AH62" s="32" t="s">
        <v>269</v>
      </c>
      <c r="AJ62" s="25" t="s">
        <v>270</v>
      </c>
      <c r="AK62" s="77"/>
      <c r="AL62" s="9"/>
      <c r="AM62" s="9"/>
      <c r="AN62" s="9"/>
      <c r="AO62" s="57"/>
      <c r="AP62" s="57"/>
      <c r="AQ62" s="57"/>
      <c r="AR62" s="57"/>
      <c r="AS62" s="57"/>
      <c r="AT62" s="57"/>
      <c r="AU62" s="57"/>
      <c r="AV62" s="9"/>
      <c r="AW62" s="9"/>
      <c r="AX62" s="9"/>
      <c r="AY62" s="45"/>
      <c r="AZ62" s="29"/>
      <c r="BA62" s="34">
        <v>1.0</v>
      </c>
      <c r="BB62" s="26">
        <v>1.0</v>
      </c>
      <c r="BC62" s="9"/>
      <c r="BD62" s="9"/>
      <c r="BE62" s="9"/>
      <c r="BF62" s="42"/>
      <c r="BG62" s="9"/>
      <c r="BH62" s="9"/>
      <c r="BI62" s="9"/>
      <c r="BJ62" s="57"/>
      <c r="BK62" s="57"/>
      <c r="BL62" s="9"/>
      <c r="BM62" s="9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</row>
    <row r="63">
      <c r="A63" s="39">
        <v>57.0</v>
      </c>
      <c r="D63" s="49"/>
      <c r="E63" s="25">
        <v>1.0</v>
      </c>
      <c r="F63" s="25">
        <v>2.0</v>
      </c>
      <c r="G63" s="25">
        <v>1.0</v>
      </c>
      <c r="H63" s="106" t="s">
        <v>222</v>
      </c>
      <c r="I63" s="25">
        <v>4.0</v>
      </c>
      <c r="J63" s="25">
        <v>2.0</v>
      </c>
      <c r="K63" s="25">
        <v>2.0</v>
      </c>
      <c r="L63" s="25">
        <v>1.0</v>
      </c>
      <c r="M63" s="25">
        <v>1.0</v>
      </c>
      <c r="N63" s="25">
        <v>2.0</v>
      </c>
      <c r="O63" s="25">
        <v>1.0</v>
      </c>
      <c r="P63" s="26">
        <v>1.0</v>
      </c>
      <c r="Q63" s="9"/>
      <c r="R63" s="9"/>
      <c r="S63" s="75" t="s">
        <v>271</v>
      </c>
      <c r="T63" s="76"/>
      <c r="U63" s="76"/>
      <c r="V63" s="71"/>
      <c r="W63" s="57"/>
      <c r="X63" s="82" t="s">
        <v>90</v>
      </c>
      <c r="Z63" s="83" t="s">
        <v>217</v>
      </c>
      <c r="AA63" s="77"/>
      <c r="AB63" s="57"/>
      <c r="AC63" s="75" t="s">
        <v>272</v>
      </c>
      <c r="AD63" s="76"/>
      <c r="AE63" s="76"/>
      <c r="AF63" s="71"/>
      <c r="AG63" s="57"/>
      <c r="AH63" s="94" t="s">
        <v>107</v>
      </c>
      <c r="AJ63" s="30" t="s">
        <v>273</v>
      </c>
      <c r="AK63" s="77"/>
      <c r="AL63" s="9"/>
      <c r="AM63" s="9"/>
      <c r="AN63" s="9"/>
      <c r="AO63" s="57"/>
      <c r="AP63" s="57"/>
      <c r="AQ63" s="57"/>
      <c r="AR63" s="57"/>
      <c r="AS63" s="57"/>
      <c r="AT63" s="57"/>
      <c r="AU63" s="57"/>
      <c r="AV63" s="9"/>
      <c r="AW63" s="9"/>
      <c r="AX63" s="9"/>
      <c r="AY63" s="54"/>
      <c r="AZ63" s="25">
        <v>1.0</v>
      </c>
      <c r="BA63" s="46">
        <v>2.0</v>
      </c>
      <c r="BB63" s="26">
        <v>1.0</v>
      </c>
      <c r="BC63" s="9"/>
      <c r="BD63" s="9"/>
      <c r="BE63" s="9"/>
      <c r="BF63" s="28">
        <v>1.0</v>
      </c>
      <c r="BG63" s="9"/>
      <c r="BH63" s="9"/>
      <c r="BI63" s="9"/>
      <c r="BJ63" s="57"/>
      <c r="BK63" s="57"/>
      <c r="BL63" s="9"/>
      <c r="BM63" s="9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</row>
    <row r="64">
      <c r="A64" s="39">
        <v>58.0</v>
      </c>
      <c r="B64" s="49"/>
      <c r="C64" s="49"/>
      <c r="D64" s="24"/>
      <c r="E64" s="24"/>
      <c r="F64" s="25">
        <v>1.0</v>
      </c>
      <c r="G64" s="97" t="s">
        <v>274</v>
      </c>
      <c r="H64" s="25">
        <v>1.0</v>
      </c>
      <c r="I64" s="25">
        <v>4.0</v>
      </c>
      <c r="J64" s="25">
        <v>1.0</v>
      </c>
      <c r="K64" s="25">
        <v>3.0</v>
      </c>
      <c r="L64" s="25">
        <v>1.0</v>
      </c>
      <c r="M64" s="25">
        <v>1.0</v>
      </c>
      <c r="N64" s="25">
        <v>2.0</v>
      </c>
      <c r="O64" s="25">
        <v>2.0</v>
      </c>
      <c r="P64" s="26">
        <v>4.0</v>
      </c>
      <c r="Q64" s="9"/>
      <c r="R64" s="9"/>
      <c r="S64" s="32" t="s">
        <v>90</v>
      </c>
      <c r="U64" s="25" t="s">
        <v>275</v>
      </c>
      <c r="V64" s="77"/>
      <c r="W64" s="57"/>
      <c r="X64" s="82" t="s">
        <v>90</v>
      </c>
      <c r="Z64" s="83" t="s">
        <v>217</v>
      </c>
      <c r="AA64" s="77"/>
      <c r="AB64" s="57"/>
      <c r="AC64" s="82" t="s">
        <v>276</v>
      </c>
      <c r="AE64" s="83" t="s">
        <v>94</v>
      </c>
      <c r="AF64" s="77"/>
      <c r="AG64" s="57"/>
      <c r="AH64" s="80" t="s">
        <v>104</v>
      </c>
      <c r="AI64" s="73"/>
      <c r="AJ64" s="81" t="s">
        <v>277</v>
      </c>
      <c r="AK64" s="74"/>
      <c r="AL64" s="9"/>
      <c r="AM64" s="9"/>
      <c r="AN64" s="9"/>
      <c r="AO64" s="57"/>
      <c r="AP64" s="57"/>
      <c r="AQ64" s="57"/>
      <c r="AR64" s="57"/>
      <c r="AS64" s="57"/>
      <c r="AT64" s="57"/>
      <c r="AU64" s="57"/>
      <c r="AV64" s="9"/>
      <c r="AW64" s="9"/>
      <c r="AX64" s="9"/>
      <c r="AY64" s="32">
        <v>1.0</v>
      </c>
      <c r="AZ64" s="49"/>
      <c r="BA64" s="46">
        <v>2.0</v>
      </c>
      <c r="BB64" s="59"/>
      <c r="BC64" s="9"/>
      <c r="BD64" s="9"/>
      <c r="BE64" s="9"/>
      <c r="BF64" s="28">
        <v>1.0</v>
      </c>
      <c r="BG64" s="9"/>
      <c r="BH64" s="9"/>
      <c r="BI64" s="9"/>
      <c r="BJ64" s="57"/>
      <c r="BK64" s="57"/>
      <c r="BL64" s="9"/>
      <c r="BM64" s="9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</row>
    <row r="65">
      <c r="A65" s="39">
        <v>59.0</v>
      </c>
      <c r="E65" s="25">
        <v>1.0</v>
      </c>
      <c r="F65" s="25">
        <v>1.0</v>
      </c>
      <c r="G65" s="25">
        <v>1.0</v>
      </c>
      <c r="H65" s="25">
        <v>4.0</v>
      </c>
      <c r="I65" s="25">
        <v>1.0</v>
      </c>
      <c r="J65" s="25">
        <v>1.0</v>
      </c>
      <c r="K65" s="25">
        <v>2.0</v>
      </c>
      <c r="L65" s="25">
        <v>1.0</v>
      </c>
      <c r="M65" s="25">
        <v>1.0</v>
      </c>
      <c r="N65" s="25">
        <v>1.0</v>
      </c>
      <c r="O65" s="25">
        <v>1.0</v>
      </c>
      <c r="P65" s="26">
        <v>1.0</v>
      </c>
      <c r="Q65" s="9"/>
      <c r="R65" s="9"/>
      <c r="S65" s="32" t="s">
        <v>93</v>
      </c>
      <c r="U65" s="25" t="s">
        <v>278</v>
      </c>
      <c r="V65" s="77"/>
      <c r="W65" s="57"/>
      <c r="X65" s="82" t="s">
        <v>90</v>
      </c>
      <c r="Z65" s="83" t="s">
        <v>228</v>
      </c>
      <c r="AA65" s="77"/>
      <c r="AB65" s="57"/>
      <c r="AC65" s="82" t="s">
        <v>279</v>
      </c>
      <c r="AE65" s="83" t="s">
        <v>103</v>
      </c>
      <c r="AF65" s="77"/>
      <c r="AG65" s="57"/>
      <c r="AH65" s="57"/>
      <c r="AI65" s="57"/>
      <c r="AJ65" s="57"/>
      <c r="AK65" s="57"/>
      <c r="AL65" s="9"/>
      <c r="AM65" s="9"/>
      <c r="AN65" s="9"/>
      <c r="AO65" s="57"/>
      <c r="AP65" s="57"/>
      <c r="AQ65" s="57"/>
      <c r="AR65" s="57"/>
      <c r="AS65" s="57"/>
      <c r="AT65" s="57"/>
      <c r="AU65" s="57"/>
      <c r="AV65" s="9"/>
      <c r="AW65" s="9"/>
      <c r="AX65" s="9"/>
      <c r="AY65" s="45"/>
      <c r="AZ65" s="25">
        <v>1.0</v>
      </c>
      <c r="BA65" s="46">
        <v>2.0</v>
      </c>
      <c r="BB65" s="41"/>
      <c r="BC65" s="9"/>
      <c r="BD65" s="9"/>
      <c r="BE65" s="9"/>
      <c r="BF65" s="28">
        <v>1.0</v>
      </c>
      <c r="BG65" s="9"/>
      <c r="BH65" s="9"/>
      <c r="BI65" s="9"/>
      <c r="BJ65" s="57"/>
      <c r="BK65" s="57"/>
      <c r="BL65" s="9"/>
      <c r="BM65" s="9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</row>
    <row r="66">
      <c r="A66" s="39">
        <v>60.0</v>
      </c>
      <c r="B66" s="24"/>
      <c r="D66" s="25">
        <v>1.0</v>
      </c>
      <c r="E66" s="47"/>
      <c r="F66" s="24"/>
      <c r="G66" s="25">
        <v>1.0</v>
      </c>
      <c r="H66" s="40">
        <v>1.0</v>
      </c>
      <c r="I66" s="25">
        <v>2.0</v>
      </c>
      <c r="J66" s="25">
        <v>1.0</v>
      </c>
      <c r="K66" s="25">
        <v>1.0</v>
      </c>
      <c r="L66" s="25">
        <v>2.0</v>
      </c>
      <c r="M66" s="25">
        <v>2.0</v>
      </c>
      <c r="N66" s="25">
        <v>1.0</v>
      </c>
      <c r="O66" s="25">
        <v>4.0</v>
      </c>
      <c r="P66" s="26">
        <v>3.0</v>
      </c>
      <c r="Q66" s="9"/>
      <c r="R66" s="9"/>
      <c r="S66" s="32" t="s">
        <v>107</v>
      </c>
      <c r="U66" s="25" t="s">
        <v>280</v>
      </c>
      <c r="V66" s="77"/>
      <c r="W66" s="57"/>
      <c r="X66" s="82" t="s">
        <v>90</v>
      </c>
      <c r="Z66" s="83" t="s">
        <v>233</v>
      </c>
      <c r="AA66" s="77"/>
      <c r="AB66" s="57"/>
      <c r="AC66" s="82" t="s">
        <v>156</v>
      </c>
      <c r="AE66" s="83" t="s">
        <v>111</v>
      </c>
      <c r="AF66" s="77"/>
      <c r="AG66" s="57"/>
      <c r="AH66" s="70" t="s">
        <v>281</v>
      </c>
      <c r="AI66" s="71"/>
      <c r="AJ66" s="70" t="s">
        <v>51</v>
      </c>
      <c r="AK66" s="71"/>
      <c r="AL66" s="9"/>
      <c r="AM66" s="9"/>
      <c r="AN66" s="9"/>
      <c r="AO66" s="57"/>
      <c r="AP66" s="57"/>
      <c r="AQ66" s="57"/>
      <c r="AR66" s="57"/>
      <c r="AS66" s="57"/>
      <c r="AT66" s="57"/>
      <c r="AU66" s="57"/>
      <c r="AV66" s="9"/>
      <c r="AW66" s="9"/>
      <c r="AX66" s="9"/>
      <c r="AY66" s="32">
        <v>1.0</v>
      </c>
      <c r="AZ66" s="25">
        <v>1.0</v>
      </c>
      <c r="BA66" s="34">
        <v>1.0</v>
      </c>
      <c r="BB66" s="26">
        <v>1.0</v>
      </c>
      <c r="BC66" s="9"/>
      <c r="BD66" s="9"/>
      <c r="BE66" s="9"/>
      <c r="BF66" s="28">
        <v>1.0</v>
      </c>
      <c r="BG66" s="9"/>
      <c r="BH66" s="9"/>
      <c r="BI66" s="9"/>
      <c r="BJ66" s="57"/>
      <c r="BK66" s="57"/>
      <c r="BL66" s="9"/>
      <c r="BM66" s="9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</row>
    <row r="67">
      <c r="A67" s="39">
        <v>61.0</v>
      </c>
      <c r="B67" s="24"/>
      <c r="D67" s="25">
        <v>1.0</v>
      </c>
      <c r="E67" s="25">
        <v>1.0</v>
      </c>
      <c r="F67" s="25">
        <v>1.0</v>
      </c>
      <c r="G67" s="25">
        <v>2.0</v>
      </c>
      <c r="H67" s="25">
        <v>1.0</v>
      </c>
      <c r="I67" s="25">
        <v>1.0</v>
      </c>
      <c r="J67" s="25">
        <v>4.0</v>
      </c>
      <c r="K67" s="25">
        <v>1.0</v>
      </c>
      <c r="L67" s="25">
        <v>1.0</v>
      </c>
      <c r="M67" s="25">
        <v>4.0</v>
      </c>
      <c r="N67" s="25">
        <v>1.0</v>
      </c>
      <c r="O67" s="25">
        <v>2.0</v>
      </c>
      <c r="P67" s="26">
        <v>2.0</v>
      </c>
      <c r="Q67" s="9"/>
      <c r="R67" s="9"/>
      <c r="S67" s="32" t="s">
        <v>115</v>
      </c>
      <c r="U67" s="25" t="s">
        <v>282</v>
      </c>
      <c r="V67" s="77"/>
      <c r="W67" s="57"/>
      <c r="X67" s="82" t="s">
        <v>90</v>
      </c>
      <c r="Z67" s="83" t="s">
        <v>238</v>
      </c>
      <c r="AA67" s="77"/>
      <c r="AB67" s="57"/>
      <c r="AC67" s="82" t="s">
        <v>283</v>
      </c>
      <c r="AE67" s="83" t="s">
        <v>119</v>
      </c>
      <c r="AF67" s="77"/>
      <c r="AG67" s="57"/>
      <c r="AH67" s="32" t="s">
        <v>194</v>
      </c>
      <c r="AJ67" s="25" t="s">
        <v>284</v>
      </c>
      <c r="AK67" s="77"/>
      <c r="AL67" s="9"/>
      <c r="AM67" s="9"/>
      <c r="AN67" s="9"/>
      <c r="AO67" s="57"/>
      <c r="AP67" s="57"/>
      <c r="AQ67" s="57"/>
      <c r="AR67" s="57"/>
      <c r="AS67" s="57"/>
      <c r="AT67" s="57"/>
      <c r="AU67" s="57"/>
      <c r="AV67" s="9"/>
      <c r="AW67" s="9"/>
      <c r="AX67" s="9"/>
      <c r="AY67" s="107"/>
      <c r="AZ67" s="108"/>
      <c r="BA67" s="109"/>
      <c r="BB67" s="110"/>
      <c r="BC67" s="9"/>
      <c r="BD67" s="9"/>
      <c r="BE67" s="9"/>
      <c r="BF67" s="28">
        <v>1.0</v>
      </c>
      <c r="BG67" s="9"/>
      <c r="BH67" s="9"/>
      <c r="BI67" s="9"/>
      <c r="BJ67" s="57"/>
      <c r="BK67" s="57"/>
      <c r="BL67" s="9"/>
      <c r="BM67" s="9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</row>
    <row r="68">
      <c r="A68" s="39">
        <v>62.0</v>
      </c>
      <c r="B68" s="24"/>
      <c r="C68" s="47"/>
      <c r="D68" s="49"/>
      <c r="E68" s="25">
        <v>1.0</v>
      </c>
      <c r="F68" s="25">
        <v>1.0</v>
      </c>
      <c r="G68" s="47"/>
      <c r="H68" s="25">
        <v>1.0</v>
      </c>
      <c r="I68" s="25">
        <v>1.0</v>
      </c>
      <c r="J68" s="25">
        <v>4.0</v>
      </c>
      <c r="K68" s="25">
        <v>2.0</v>
      </c>
      <c r="L68" s="25">
        <v>4.0</v>
      </c>
      <c r="M68" s="25">
        <v>2.0</v>
      </c>
      <c r="N68" s="25">
        <v>1.0</v>
      </c>
      <c r="O68" s="25">
        <v>1.0</v>
      </c>
      <c r="P68" s="26">
        <v>1.0</v>
      </c>
      <c r="Q68" s="9"/>
      <c r="R68" s="9"/>
      <c r="S68" s="32" t="s">
        <v>123</v>
      </c>
      <c r="U68" s="25" t="s">
        <v>285</v>
      </c>
      <c r="V68" s="77"/>
      <c r="W68" s="57"/>
      <c r="X68" s="82" t="s">
        <v>90</v>
      </c>
      <c r="Z68" s="83" t="s">
        <v>286</v>
      </c>
      <c r="AA68" s="77"/>
      <c r="AB68" s="57"/>
      <c r="AC68" s="82" t="s">
        <v>102</v>
      </c>
      <c r="AE68" s="83" t="s">
        <v>127</v>
      </c>
      <c r="AF68" s="77"/>
      <c r="AG68" s="57"/>
      <c r="AH68" s="32" t="s">
        <v>107</v>
      </c>
      <c r="AJ68" s="25" t="s">
        <v>199</v>
      </c>
      <c r="AK68" s="77"/>
      <c r="AL68" s="9"/>
      <c r="AM68" s="9"/>
      <c r="AN68" s="9"/>
      <c r="AO68" s="57"/>
      <c r="AP68" s="57"/>
      <c r="AQ68" s="57"/>
      <c r="AR68" s="57"/>
      <c r="AS68" s="57"/>
      <c r="AT68" s="57"/>
      <c r="AU68" s="57"/>
      <c r="AV68" s="9"/>
      <c r="AW68" s="9"/>
      <c r="AX68" s="9"/>
      <c r="AY68" s="9"/>
      <c r="AZ68" s="9"/>
      <c r="BA68" s="111" t="s">
        <v>287</v>
      </c>
      <c r="BB68" s="9"/>
      <c r="BC68" s="9"/>
      <c r="BD68" s="9"/>
      <c r="BE68" s="9"/>
      <c r="BF68" s="42"/>
      <c r="BG68" s="9"/>
      <c r="BH68" s="9"/>
      <c r="BI68" s="9"/>
      <c r="BJ68" s="57"/>
      <c r="BK68" s="57"/>
      <c r="BL68" s="9"/>
      <c r="BM68" s="9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</row>
    <row r="69">
      <c r="A69" s="39">
        <v>63.0</v>
      </c>
      <c r="D69" s="25">
        <v>1.0</v>
      </c>
      <c r="E69" s="49"/>
      <c r="F69" s="25">
        <v>1.0</v>
      </c>
      <c r="G69" s="25">
        <v>1.0</v>
      </c>
      <c r="H69" s="25">
        <v>1.0</v>
      </c>
      <c r="I69" s="25">
        <v>2.0</v>
      </c>
      <c r="J69" s="25">
        <v>1.0</v>
      </c>
      <c r="K69" s="25">
        <v>2.0</v>
      </c>
      <c r="L69" s="25">
        <v>1.0</v>
      </c>
      <c r="M69" s="25">
        <v>3.0</v>
      </c>
      <c r="N69" s="25">
        <v>1.0</v>
      </c>
      <c r="O69" s="25">
        <v>2.0</v>
      </c>
      <c r="P69" s="26">
        <v>2.0</v>
      </c>
      <c r="Q69" s="9"/>
      <c r="R69" s="9"/>
      <c r="S69" s="32" t="s">
        <v>129</v>
      </c>
      <c r="U69" s="25" t="s">
        <v>288</v>
      </c>
      <c r="V69" s="77"/>
      <c r="W69" s="57"/>
      <c r="X69" s="82" t="s">
        <v>90</v>
      </c>
      <c r="Z69" s="83" t="s">
        <v>289</v>
      </c>
      <c r="AA69" s="77"/>
      <c r="AB69" s="57"/>
      <c r="AC69" s="99" t="s">
        <v>95</v>
      </c>
      <c r="AD69" s="73"/>
      <c r="AE69" s="100" t="s">
        <v>167</v>
      </c>
      <c r="AF69" s="74"/>
      <c r="AG69" s="57"/>
      <c r="AH69" s="32" t="s">
        <v>139</v>
      </c>
      <c r="AJ69" s="25" t="s">
        <v>221</v>
      </c>
      <c r="AK69" s="77"/>
      <c r="AL69" s="9"/>
      <c r="AM69" s="9"/>
      <c r="AN69" s="9"/>
      <c r="AO69" s="57"/>
      <c r="AP69" s="57"/>
      <c r="AQ69" s="57"/>
      <c r="AR69" s="57"/>
      <c r="AS69" s="57"/>
      <c r="AT69" s="57"/>
      <c r="AU69" s="57"/>
      <c r="AV69" s="9"/>
      <c r="AW69" s="9"/>
      <c r="AX69" s="9"/>
      <c r="AY69" s="57"/>
      <c r="AZ69" s="57"/>
      <c r="BA69" s="9"/>
      <c r="BB69" s="57"/>
      <c r="BC69" s="9"/>
      <c r="BD69" s="9"/>
      <c r="BE69" s="9"/>
      <c r="BF69" s="28">
        <v>1.0</v>
      </c>
      <c r="BG69" s="9"/>
      <c r="BH69" s="9"/>
      <c r="BI69" s="9"/>
      <c r="BJ69" s="57"/>
      <c r="BK69" s="57"/>
      <c r="BL69" s="9"/>
      <c r="BM69" s="9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</row>
    <row r="70">
      <c r="A70" s="39">
        <v>64.0</v>
      </c>
      <c r="C70" s="49"/>
      <c r="D70" s="25">
        <v>1.0</v>
      </c>
      <c r="E70" s="47"/>
      <c r="F70" s="40">
        <v>2.0</v>
      </c>
      <c r="G70" s="25">
        <v>1.0</v>
      </c>
      <c r="H70" s="25">
        <v>3.0</v>
      </c>
      <c r="I70" s="25">
        <v>1.0</v>
      </c>
      <c r="J70" s="25">
        <v>1.0</v>
      </c>
      <c r="K70" s="25">
        <v>1.0</v>
      </c>
      <c r="L70" s="25">
        <v>1.0</v>
      </c>
      <c r="M70" s="25">
        <v>1.0</v>
      </c>
      <c r="N70" s="25">
        <v>3.0</v>
      </c>
      <c r="O70" s="25">
        <v>1.0</v>
      </c>
      <c r="P70" s="26">
        <v>1.0</v>
      </c>
      <c r="Q70" s="9"/>
      <c r="R70" s="9"/>
      <c r="S70" s="75" t="s">
        <v>171</v>
      </c>
      <c r="T70" s="76"/>
      <c r="U70" s="76"/>
      <c r="V70" s="71"/>
      <c r="W70" s="57"/>
      <c r="X70" s="82" t="s">
        <v>90</v>
      </c>
      <c r="Z70" s="83" t="s">
        <v>290</v>
      </c>
      <c r="AA70" s="77"/>
      <c r="AB70" s="57"/>
      <c r="AC70" s="75" t="s">
        <v>291</v>
      </c>
      <c r="AD70" s="76"/>
      <c r="AE70" s="76"/>
      <c r="AF70" s="71"/>
      <c r="AG70" s="57"/>
      <c r="AH70" s="32" t="s">
        <v>176</v>
      </c>
      <c r="AJ70" s="25" t="s">
        <v>229</v>
      </c>
      <c r="AK70" s="7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9"/>
      <c r="AW70" s="9"/>
      <c r="AX70" s="9"/>
      <c r="AY70" s="57"/>
      <c r="AZ70" s="57"/>
      <c r="BA70" s="9"/>
      <c r="BB70" s="57"/>
      <c r="BC70" s="9"/>
      <c r="BD70" s="9"/>
      <c r="BE70" s="9"/>
      <c r="BF70" s="42"/>
      <c r="BG70" s="9"/>
      <c r="BH70" s="9"/>
      <c r="BI70" s="9"/>
      <c r="BJ70" s="57"/>
      <c r="BK70" s="57"/>
      <c r="BL70" s="9"/>
      <c r="BM70" s="9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</row>
    <row r="71">
      <c r="A71" s="39">
        <v>65.0</v>
      </c>
      <c r="C71" s="49"/>
      <c r="D71" s="25">
        <v>1.0</v>
      </c>
      <c r="E71" s="25">
        <v>1.0</v>
      </c>
      <c r="F71" s="25">
        <v>1.0</v>
      </c>
      <c r="G71" s="25">
        <v>2.0</v>
      </c>
      <c r="H71" s="25">
        <v>1.0</v>
      </c>
      <c r="I71" s="25">
        <v>1.0</v>
      </c>
      <c r="J71" s="47"/>
      <c r="K71" s="25">
        <v>2.0</v>
      </c>
      <c r="L71" s="25">
        <v>1.0</v>
      </c>
      <c r="M71" s="25">
        <v>1.0</v>
      </c>
      <c r="N71" s="25">
        <v>2.0</v>
      </c>
      <c r="O71" s="25">
        <v>1.0</v>
      </c>
      <c r="P71" s="26">
        <v>1.0</v>
      </c>
      <c r="Q71" s="9"/>
      <c r="R71" s="9"/>
      <c r="S71" s="32" t="s">
        <v>90</v>
      </c>
      <c r="U71" s="25" t="s">
        <v>292</v>
      </c>
      <c r="V71" s="77"/>
      <c r="W71" s="57"/>
      <c r="X71" s="82" t="s">
        <v>90</v>
      </c>
      <c r="Z71" s="83" t="s">
        <v>293</v>
      </c>
      <c r="AA71" s="77"/>
      <c r="AB71" s="57"/>
      <c r="AC71" s="32" t="s">
        <v>294</v>
      </c>
      <c r="AE71" s="25" t="s">
        <v>94</v>
      </c>
      <c r="AF71" s="77"/>
      <c r="AG71" s="57"/>
      <c r="AH71" s="32" t="s">
        <v>235</v>
      </c>
      <c r="AJ71" s="25" t="s">
        <v>236</v>
      </c>
      <c r="AK71" s="7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9"/>
      <c r="AW71" s="9"/>
      <c r="AX71" s="9"/>
      <c r="AY71" s="57"/>
      <c r="AZ71" s="57"/>
      <c r="BA71" s="9"/>
      <c r="BB71" s="57"/>
      <c r="BC71" s="9"/>
      <c r="BD71" s="9"/>
      <c r="BE71" s="9"/>
      <c r="BF71" s="42"/>
      <c r="BG71" s="9"/>
      <c r="BH71" s="9"/>
      <c r="BI71" s="9"/>
      <c r="BJ71" s="57"/>
      <c r="BK71" s="57"/>
      <c r="BL71" s="9"/>
      <c r="BM71" s="9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</row>
    <row r="72">
      <c r="A72" s="39">
        <v>66.0</v>
      </c>
      <c r="D72" s="47"/>
      <c r="E72" s="49"/>
      <c r="F72" s="25">
        <v>1.0</v>
      </c>
      <c r="G72" s="25">
        <v>1.0</v>
      </c>
      <c r="H72" s="46">
        <v>2.0</v>
      </c>
      <c r="I72" s="25">
        <v>1.0</v>
      </c>
      <c r="J72" s="25">
        <v>1.0</v>
      </c>
      <c r="K72" s="25">
        <v>1.0</v>
      </c>
      <c r="L72" s="25">
        <v>2.0</v>
      </c>
      <c r="M72" s="25">
        <v>1.0</v>
      </c>
      <c r="N72" s="47"/>
      <c r="O72" s="25">
        <v>1.0</v>
      </c>
      <c r="P72" s="26">
        <v>2.0</v>
      </c>
      <c r="Q72" s="9"/>
      <c r="R72" s="9"/>
      <c r="S72" s="32" t="s">
        <v>93</v>
      </c>
      <c r="U72" s="25" t="s">
        <v>295</v>
      </c>
      <c r="V72" s="77"/>
      <c r="W72" s="57"/>
      <c r="X72" s="82" t="s">
        <v>90</v>
      </c>
      <c r="Z72" s="83" t="s">
        <v>296</v>
      </c>
      <c r="AA72" s="77"/>
      <c r="AB72" s="57"/>
      <c r="AC72" s="32" t="s">
        <v>297</v>
      </c>
      <c r="AE72" s="25" t="s">
        <v>103</v>
      </c>
      <c r="AF72" s="77"/>
      <c r="AG72" s="57"/>
      <c r="AH72" s="94" t="s">
        <v>240</v>
      </c>
      <c r="AJ72" s="30" t="s">
        <v>241</v>
      </c>
      <c r="AK72" s="7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9"/>
      <c r="AW72" s="9"/>
      <c r="AX72" s="9"/>
      <c r="AY72" s="57"/>
      <c r="AZ72" s="57"/>
      <c r="BA72" s="9"/>
      <c r="BB72" s="57"/>
      <c r="BC72" s="9"/>
      <c r="BD72" s="9"/>
      <c r="BE72" s="9"/>
      <c r="BF72" s="42"/>
      <c r="BG72" s="9"/>
      <c r="BH72" s="9"/>
      <c r="BI72" s="9"/>
      <c r="BJ72" s="57"/>
      <c r="BK72" s="57"/>
      <c r="BL72" s="9"/>
      <c r="BM72" s="9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</row>
    <row r="73">
      <c r="A73" s="39">
        <v>67.0</v>
      </c>
      <c r="B73" s="29"/>
      <c r="D73" s="25">
        <v>1.0</v>
      </c>
      <c r="E73" s="25">
        <v>1.0</v>
      </c>
      <c r="F73" s="49"/>
      <c r="G73" s="25">
        <v>2.0</v>
      </c>
      <c r="H73" s="25">
        <v>1.0</v>
      </c>
      <c r="I73" s="25">
        <v>2.0</v>
      </c>
      <c r="J73" s="25">
        <v>1.0</v>
      </c>
      <c r="K73" s="25">
        <v>2.0</v>
      </c>
      <c r="L73" s="47"/>
      <c r="M73" s="25">
        <v>1.0</v>
      </c>
      <c r="N73" s="25">
        <v>2.0</v>
      </c>
      <c r="O73" s="25">
        <v>1.0</v>
      </c>
      <c r="P73" s="26">
        <v>2.0</v>
      </c>
      <c r="Q73" s="9"/>
      <c r="R73" s="9"/>
      <c r="S73" s="32" t="s">
        <v>107</v>
      </c>
      <c r="U73" s="25" t="s">
        <v>298</v>
      </c>
      <c r="V73" s="77"/>
      <c r="W73" s="57"/>
      <c r="X73" s="82" t="s">
        <v>90</v>
      </c>
      <c r="Z73" s="83" t="s">
        <v>299</v>
      </c>
      <c r="AA73" s="77"/>
      <c r="AB73" s="57"/>
      <c r="AC73" s="32" t="s">
        <v>183</v>
      </c>
      <c r="AE73" s="25" t="s">
        <v>111</v>
      </c>
      <c r="AF73" s="77"/>
      <c r="AG73" s="57"/>
      <c r="AH73" s="32" t="s">
        <v>107</v>
      </c>
      <c r="AJ73" s="25" t="s">
        <v>300</v>
      </c>
      <c r="AK73" s="7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9"/>
      <c r="AW73" s="9"/>
      <c r="AX73" s="9"/>
      <c r="AY73" s="57"/>
      <c r="AZ73" s="57"/>
      <c r="BA73" s="9"/>
      <c r="BB73" s="57"/>
      <c r="BC73" s="9"/>
      <c r="BD73" s="9"/>
      <c r="BE73" s="9"/>
      <c r="BF73" s="42"/>
      <c r="BG73" s="9"/>
      <c r="BH73" s="9"/>
      <c r="BI73" s="9"/>
      <c r="BJ73" s="57"/>
      <c r="BK73" s="57"/>
      <c r="BL73" s="9"/>
      <c r="BM73" s="9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</row>
    <row r="74">
      <c r="A74" s="39">
        <v>68.0</v>
      </c>
      <c r="C74" s="25">
        <v>2.0</v>
      </c>
      <c r="D74" s="25">
        <v>1.0</v>
      </c>
      <c r="E74" s="25">
        <v>1.0</v>
      </c>
      <c r="F74" s="25">
        <v>1.0</v>
      </c>
      <c r="G74" s="25">
        <v>1.0</v>
      </c>
      <c r="H74" s="25">
        <v>1.0</v>
      </c>
      <c r="I74" s="25">
        <v>1.0</v>
      </c>
      <c r="J74" s="25">
        <v>1.0</v>
      </c>
      <c r="K74" s="25">
        <v>1.0</v>
      </c>
      <c r="L74" s="25">
        <v>1.0</v>
      </c>
      <c r="M74" s="25">
        <v>1.0</v>
      </c>
      <c r="N74" s="25">
        <v>1.0</v>
      </c>
      <c r="O74" s="25">
        <v>1.0</v>
      </c>
      <c r="P74" s="26">
        <v>1.0</v>
      </c>
      <c r="Q74" s="9"/>
      <c r="R74" s="9"/>
      <c r="S74" s="32" t="s">
        <v>115</v>
      </c>
      <c r="U74" s="25" t="s">
        <v>301</v>
      </c>
      <c r="V74" s="77"/>
      <c r="W74" s="57"/>
      <c r="X74" s="82" t="s">
        <v>90</v>
      </c>
      <c r="Z74" s="83" t="s">
        <v>302</v>
      </c>
      <c r="AA74" s="77"/>
      <c r="AB74" s="57"/>
      <c r="AC74" s="32" t="s">
        <v>303</v>
      </c>
      <c r="AE74" s="25" t="s">
        <v>119</v>
      </c>
      <c r="AF74" s="77"/>
      <c r="AG74" s="57"/>
      <c r="AH74" s="32" t="s">
        <v>177</v>
      </c>
      <c r="AJ74" s="25" t="s">
        <v>304</v>
      </c>
      <c r="AK74" s="7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9"/>
      <c r="AW74" s="9"/>
      <c r="AX74" s="9"/>
      <c r="AY74" s="57"/>
      <c r="AZ74" s="57"/>
      <c r="BA74" s="9"/>
      <c r="BB74" s="57"/>
      <c r="BC74" s="9"/>
      <c r="BD74" s="9"/>
      <c r="BE74" s="9"/>
      <c r="BF74" s="28">
        <v>1.0</v>
      </c>
      <c r="BG74" s="9"/>
      <c r="BH74" s="9"/>
      <c r="BI74" s="9"/>
      <c r="BJ74" s="57"/>
      <c r="BK74" s="57"/>
      <c r="BL74" s="9"/>
      <c r="BM74" s="9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</row>
    <row r="75">
      <c r="A75" s="39">
        <v>69.0</v>
      </c>
      <c r="B75" s="49"/>
      <c r="D75" s="25">
        <v>1.0</v>
      </c>
      <c r="F75" s="47"/>
      <c r="G75" s="47"/>
      <c r="H75" s="25">
        <v>1.0</v>
      </c>
      <c r="I75" s="25">
        <v>3.0</v>
      </c>
      <c r="J75" s="40">
        <v>2.0</v>
      </c>
      <c r="K75" s="25">
        <v>1.0</v>
      </c>
      <c r="L75" s="25">
        <v>2.0</v>
      </c>
      <c r="M75" s="25">
        <v>1.0</v>
      </c>
      <c r="N75" s="25">
        <v>1.0</v>
      </c>
      <c r="O75" s="47"/>
      <c r="P75" s="26">
        <v>1.0</v>
      </c>
      <c r="Q75" s="9"/>
      <c r="R75" s="9"/>
      <c r="S75" s="32" t="s">
        <v>123</v>
      </c>
      <c r="U75" s="25" t="s">
        <v>305</v>
      </c>
      <c r="V75" s="77"/>
      <c r="W75" s="57"/>
      <c r="X75" s="82" t="s">
        <v>90</v>
      </c>
      <c r="Z75" s="83" t="s">
        <v>306</v>
      </c>
      <c r="AA75" s="77"/>
      <c r="AB75" s="57"/>
      <c r="AC75" s="32" t="s">
        <v>110</v>
      </c>
      <c r="AE75" s="25" t="s">
        <v>127</v>
      </c>
      <c r="AF75" s="77"/>
      <c r="AG75" s="57"/>
      <c r="AH75" s="94" t="s">
        <v>186</v>
      </c>
      <c r="AJ75" s="30" t="s">
        <v>307</v>
      </c>
      <c r="AK75" s="7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9"/>
      <c r="AW75" s="9"/>
      <c r="AX75" s="9"/>
      <c r="AY75" s="57"/>
      <c r="AZ75" s="57"/>
      <c r="BA75" s="9"/>
      <c r="BB75" s="57"/>
      <c r="BC75" s="9"/>
      <c r="BD75" s="9"/>
      <c r="BE75" s="9"/>
      <c r="BF75" s="28">
        <v>1.0</v>
      </c>
      <c r="BG75" s="9"/>
      <c r="BH75" s="9"/>
      <c r="BI75" s="9"/>
      <c r="BJ75" s="57"/>
      <c r="BK75" s="57"/>
      <c r="BL75" s="9"/>
      <c r="BM75" s="9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</row>
    <row r="76">
      <c r="A76" s="39">
        <v>70.0</v>
      </c>
      <c r="B76" s="29"/>
      <c r="D76" s="49"/>
      <c r="E76" s="25">
        <v>1.0</v>
      </c>
      <c r="F76" s="25">
        <v>1.0</v>
      </c>
      <c r="G76" s="25">
        <v>1.0</v>
      </c>
      <c r="H76" s="25">
        <v>1.0</v>
      </c>
      <c r="I76" s="25">
        <v>1.0</v>
      </c>
      <c r="J76" s="25">
        <v>1.0</v>
      </c>
      <c r="K76" s="25">
        <v>1.0</v>
      </c>
      <c r="L76" s="47"/>
      <c r="M76" s="25">
        <v>2.0</v>
      </c>
      <c r="N76" s="25">
        <v>1.0</v>
      </c>
      <c r="O76" s="25">
        <v>1.0</v>
      </c>
      <c r="P76" s="26">
        <v>1.0</v>
      </c>
      <c r="Q76" s="9"/>
      <c r="R76" s="9"/>
      <c r="S76" s="32" t="s">
        <v>129</v>
      </c>
      <c r="U76" s="25" t="s">
        <v>308</v>
      </c>
      <c r="V76" s="77"/>
      <c r="W76" s="57"/>
      <c r="X76" s="82" t="s">
        <v>90</v>
      </c>
      <c r="Z76" s="83" t="s">
        <v>309</v>
      </c>
      <c r="AA76" s="77"/>
      <c r="AB76" s="57"/>
      <c r="AC76" s="80" t="s">
        <v>310</v>
      </c>
      <c r="AD76" s="73"/>
      <c r="AE76" s="81" t="s">
        <v>167</v>
      </c>
      <c r="AF76" s="74"/>
      <c r="AG76" s="57"/>
      <c r="AH76" s="32" t="s">
        <v>107</v>
      </c>
      <c r="AJ76" s="25" t="s">
        <v>311</v>
      </c>
      <c r="AK76" s="7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9"/>
      <c r="AW76" s="9"/>
      <c r="AX76" s="9"/>
      <c r="AY76" s="57"/>
      <c r="AZ76" s="57"/>
      <c r="BA76" s="9"/>
      <c r="BB76" s="57"/>
      <c r="BC76" s="9"/>
      <c r="BD76" s="9"/>
      <c r="BE76" s="9"/>
      <c r="BF76" s="28">
        <v>1.0</v>
      </c>
      <c r="BG76" s="9"/>
      <c r="BH76" s="9"/>
      <c r="BI76" s="9"/>
      <c r="BJ76" s="57"/>
      <c r="BK76" s="57"/>
      <c r="BL76" s="9"/>
      <c r="BM76" s="9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</row>
    <row r="77">
      <c r="A77" s="39">
        <v>71.0</v>
      </c>
      <c r="B77" s="32">
        <v>1.0</v>
      </c>
      <c r="C77" s="24"/>
      <c r="D77" s="25">
        <v>2.0</v>
      </c>
      <c r="F77" s="25">
        <v>2.0</v>
      </c>
      <c r="G77" s="25">
        <v>1.0</v>
      </c>
      <c r="H77" s="25">
        <v>2.0</v>
      </c>
      <c r="I77" s="25">
        <v>1.0</v>
      </c>
      <c r="J77" s="25">
        <v>1.0</v>
      </c>
      <c r="K77" s="29"/>
      <c r="L77" s="25">
        <v>2.0</v>
      </c>
      <c r="M77" s="25">
        <v>2.0</v>
      </c>
      <c r="N77" s="25">
        <v>1.0</v>
      </c>
      <c r="O77" s="25">
        <v>1.0</v>
      </c>
      <c r="P77" s="26">
        <v>1.0</v>
      </c>
      <c r="Q77" s="9"/>
      <c r="R77" s="9"/>
      <c r="S77" s="75" t="s">
        <v>203</v>
      </c>
      <c r="T77" s="76"/>
      <c r="U77" s="76"/>
      <c r="V77" s="71"/>
      <c r="W77" s="57"/>
      <c r="X77" s="82" t="s">
        <v>90</v>
      </c>
      <c r="Z77" s="83" t="s">
        <v>312</v>
      </c>
      <c r="AA77" s="77"/>
      <c r="AB77" s="57"/>
      <c r="AC77" s="72" t="s">
        <v>313</v>
      </c>
      <c r="AD77" s="73"/>
      <c r="AE77" s="73"/>
      <c r="AF77" s="74"/>
      <c r="AG77" s="57"/>
      <c r="AH77" s="32" t="s">
        <v>123</v>
      </c>
      <c r="AJ77" s="25" t="s">
        <v>314</v>
      </c>
      <c r="AK77" s="7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9"/>
      <c r="AW77" s="9"/>
      <c r="AX77" s="9"/>
      <c r="AY77" s="57"/>
      <c r="AZ77" s="57"/>
      <c r="BA77" s="9"/>
      <c r="BB77" s="57"/>
      <c r="BC77" s="9"/>
      <c r="BD77" s="9"/>
      <c r="BE77" s="9"/>
      <c r="BF77" s="42"/>
      <c r="BG77" s="9"/>
      <c r="BH77" s="9"/>
      <c r="BI77" s="9"/>
      <c r="BJ77" s="57"/>
      <c r="BK77" s="57"/>
      <c r="BL77" s="9"/>
      <c r="BM77" s="9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</row>
    <row r="78">
      <c r="A78" s="39">
        <v>72.0</v>
      </c>
      <c r="C78" s="24"/>
      <c r="D78" s="25">
        <v>2.0</v>
      </c>
      <c r="E78" s="49"/>
      <c r="F78" s="25">
        <v>1.0</v>
      </c>
      <c r="G78" s="25">
        <v>1.0</v>
      </c>
      <c r="H78" s="47" t="s">
        <v>315</v>
      </c>
      <c r="I78" s="25">
        <v>1.0</v>
      </c>
      <c r="J78" s="25">
        <v>3.0</v>
      </c>
      <c r="K78" s="25">
        <v>3.0</v>
      </c>
      <c r="L78" s="25">
        <v>1.0</v>
      </c>
      <c r="M78" s="25">
        <v>1.0</v>
      </c>
      <c r="N78" s="25">
        <v>2.0</v>
      </c>
      <c r="O78" s="25">
        <v>1.0</v>
      </c>
      <c r="P78" s="26">
        <v>1.0</v>
      </c>
      <c r="Q78" s="9"/>
      <c r="R78" s="9"/>
      <c r="S78" s="32" t="s">
        <v>90</v>
      </c>
      <c r="U78" s="25" t="s">
        <v>316</v>
      </c>
      <c r="V78" s="77"/>
      <c r="W78" s="57"/>
      <c r="X78" s="82" t="s">
        <v>90</v>
      </c>
      <c r="Z78" s="83" t="s">
        <v>317</v>
      </c>
      <c r="AA78" s="77"/>
      <c r="AB78" s="57"/>
      <c r="AC78" s="82" t="s">
        <v>107</v>
      </c>
      <c r="AE78" s="83" t="s">
        <v>94</v>
      </c>
      <c r="AF78" s="77"/>
      <c r="AG78" s="57"/>
      <c r="AH78" s="80" t="s">
        <v>129</v>
      </c>
      <c r="AI78" s="73"/>
      <c r="AJ78" s="81" t="s">
        <v>318</v>
      </c>
      <c r="AK78" s="74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9"/>
      <c r="AW78" s="9"/>
      <c r="AX78" s="9"/>
      <c r="AY78" s="57"/>
      <c r="AZ78" s="57"/>
      <c r="BA78" s="9"/>
      <c r="BB78" s="57"/>
      <c r="BC78" s="9"/>
      <c r="BD78" s="9"/>
      <c r="BE78" s="9"/>
      <c r="BF78" s="42"/>
      <c r="BG78" s="9"/>
      <c r="BH78" s="9"/>
      <c r="BI78" s="9"/>
      <c r="BJ78" s="57"/>
      <c r="BK78" s="57"/>
      <c r="BL78" s="9"/>
      <c r="BM78" s="9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</row>
    <row r="79">
      <c r="A79" s="39">
        <v>73.0</v>
      </c>
      <c r="B79" s="49"/>
      <c r="C79" s="49"/>
      <c r="D79" s="25">
        <v>1.0</v>
      </c>
      <c r="E79" s="25">
        <v>1.0</v>
      </c>
      <c r="F79" s="40">
        <v>1.0</v>
      </c>
      <c r="G79" s="25">
        <v>1.0</v>
      </c>
      <c r="H79" s="25">
        <v>2.0</v>
      </c>
      <c r="I79" s="25">
        <v>1.0</v>
      </c>
      <c r="J79" s="25">
        <v>1.0</v>
      </c>
      <c r="K79" s="25">
        <v>1.0</v>
      </c>
      <c r="L79" s="49"/>
      <c r="M79" s="25">
        <v>3.0</v>
      </c>
      <c r="N79" s="25">
        <v>1.0</v>
      </c>
      <c r="O79" s="25">
        <v>1.0</v>
      </c>
      <c r="P79" s="26">
        <v>1.0</v>
      </c>
      <c r="Q79" s="9"/>
      <c r="R79" s="9"/>
      <c r="S79" s="32" t="s">
        <v>93</v>
      </c>
      <c r="U79" s="25" t="s">
        <v>319</v>
      </c>
      <c r="V79" s="77"/>
      <c r="W79" s="57"/>
      <c r="X79" s="82" t="s">
        <v>90</v>
      </c>
      <c r="Z79" s="83" t="s">
        <v>320</v>
      </c>
      <c r="AA79" s="77"/>
      <c r="AB79" s="57"/>
      <c r="AC79" s="82" t="s">
        <v>209</v>
      </c>
      <c r="AE79" s="83" t="s">
        <v>103</v>
      </c>
      <c r="AF79" s="7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9"/>
      <c r="AW79" s="9"/>
      <c r="AX79" s="9"/>
      <c r="AY79" s="57"/>
      <c r="AZ79" s="57"/>
      <c r="BA79" s="9"/>
      <c r="BB79" s="57"/>
      <c r="BC79" s="9"/>
      <c r="BD79" s="9"/>
      <c r="BE79" s="9"/>
      <c r="BF79" s="28">
        <v>1.0</v>
      </c>
      <c r="BG79" s="9"/>
      <c r="BH79" s="9"/>
      <c r="BI79" s="9"/>
      <c r="BJ79" s="57"/>
      <c r="BK79" s="57"/>
      <c r="BL79" s="9"/>
      <c r="BM79" s="9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</row>
    <row r="80">
      <c r="A80" s="39">
        <v>74.0</v>
      </c>
      <c r="B80" s="49"/>
      <c r="E80" s="49"/>
      <c r="F80" s="47"/>
      <c r="G80" s="25">
        <v>2.0</v>
      </c>
      <c r="H80" s="25">
        <v>1.0</v>
      </c>
      <c r="I80" s="25">
        <v>3.0</v>
      </c>
      <c r="J80" s="25">
        <v>1.0</v>
      </c>
      <c r="K80" s="25">
        <v>1.0</v>
      </c>
      <c r="L80" s="25">
        <v>1.0</v>
      </c>
      <c r="M80" s="25">
        <v>1.0</v>
      </c>
      <c r="N80" s="25">
        <v>1.0</v>
      </c>
      <c r="O80" s="25">
        <v>2.0</v>
      </c>
      <c r="P80" s="26">
        <v>1.0</v>
      </c>
      <c r="Q80" s="9"/>
      <c r="R80" s="9"/>
      <c r="S80" s="32" t="s">
        <v>107</v>
      </c>
      <c r="U80" s="25" t="s">
        <v>321</v>
      </c>
      <c r="V80" s="77"/>
      <c r="W80" s="57"/>
      <c r="X80" s="82" t="s">
        <v>90</v>
      </c>
      <c r="Z80" s="83" t="s">
        <v>322</v>
      </c>
      <c r="AA80" s="77"/>
      <c r="AB80" s="57"/>
      <c r="AC80" s="82" t="s">
        <v>323</v>
      </c>
      <c r="AE80" s="83" t="s">
        <v>111</v>
      </c>
      <c r="AF80" s="7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9"/>
      <c r="AW80" s="9"/>
      <c r="AX80" s="9"/>
      <c r="AY80" s="57"/>
      <c r="AZ80" s="57"/>
      <c r="BA80" s="9"/>
      <c r="BB80" s="57"/>
      <c r="BC80" s="9"/>
      <c r="BD80" s="9"/>
      <c r="BE80" s="9"/>
      <c r="BF80" s="28">
        <v>1.0</v>
      </c>
      <c r="BG80" s="9"/>
      <c r="BH80" s="9"/>
      <c r="BI80" s="9"/>
      <c r="BJ80" s="57"/>
      <c r="BK80" s="57"/>
      <c r="BL80" s="9"/>
      <c r="BM80" s="9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</row>
    <row r="81">
      <c r="A81" s="39">
        <v>75.0</v>
      </c>
      <c r="C81" s="25">
        <v>2.0</v>
      </c>
      <c r="D81" s="25">
        <v>1.0</v>
      </c>
      <c r="F81" s="25">
        <v>1.0</v>
      </c>
      <c r="G81" s="25">
        <v>1.0</v>
      </c>
      <c r="H81" s="40">
        <v>1.0</v>
      </c>
      <c r="I81" s="25">
        <v>1.0</v>
      </c>
      <c r="J81" s="25">
        <v>1.0</v>
      </c>
      <c r="K81" s="25">
        <v>1.0</v>
      </c>
      <c r="L81" s="25">
        <v>1.0</v>
      </c>
      <c r="M81" s="25">
        <v>1.0</v>
      </c>
      <c r="N81" s="25">
        <v>1.0</v>
      </c>
      <c r="O81" s="25">
        <v>1.0</v>
      </c>
      <c r="P81" s="26">
        <v>1.0</v>
      </c>
      <c r="Q81" s="9"/>
      <c r="R81" s="9"/>
      <c r="S81" s="32" t="s">
        <v>115</v>
      </c>
      <c r="U81" s="25" t="s">
        <v>324</v>
      </c>
      <c r="V81" s="77"/>
      <c r="W81" s="57"/>
      <c r="X81" s="82" t="s">
        <v>90</v>
      </c>
      <c r="Z81" s="83" t="s">
        <v>325</v>
      </c>
      <c r="AA81" s="77"/>
      <c r="AB81" s="57"/>
      <c r="AC81" s="82" t="s">
        <v>219</v>
      </c>
      <c r="AE81" s="83" t="s">
        <v>119</v>
      </c>
      <c r="AF81" s="7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9"/>
      <c r="AW81" s="9"/>
      <c r="AX81" s="9"/>
      <c r="AY81" s="57"/>
      <c r="AZ81" s="57"/>
      <c r="BA81" s="9"/>
      <c r="BB81" s="57"/>
      <c r="BC81" s="9"/>
      <c r="BD81" s="9"/>
      <c r="BE81" s="9"/>
      <c r="BF81" s="28">
        <v>1.0</v>
      </c>
      <c r="BG81" s="9"/>
      <c r="BH81" s="9"/>
      <c r="BI81" s="9"/>
      <c r="BJ81" s="57"/>
      <c r="BK81" s="57"/>
      <c r="BL81" s="9"/>
      <c r="BM81" s="9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</row>
    <row r="82">
      <c r="A82" s="39">
        <v>76.0</v>
      </c>
      <c r="C82" s="49"/>
      <c r="D82" s="24"/>
      <c r="E82" s="112" t="s">
        <v>66</v>
      </c>
      <c r="F82" s="49"/>
      <c r="G82" s="25">
        <v>1.0</v>
      </c>
      <c r="H82" s="40">
        <v>1.0</v>
      </c>
      <c r="I82" s="25">
        <v>1.0</v>
      </c>
      <c r="J82" s="25">
        <v>2.0</v>
      </c>
      <c r="K82" s="25">
        <v>1.0</v>
      </c>
      <c r="L82" s="25">
        <v>1.0</v>
      </c>
      <c r="M82" s="25">
        <v>1.0</v>
      </c>
      <c r="N82" s="25">
        <v>2.0</v>
      </c>
      <c r="O82" s="25">
        <v>2.0</v>
      </c>
      <c r="P82" s="26">
        <v>1.0</v>
      </c>
      <c r="Q82" s="9"/>
      <c r="R82" s="9"/>
      <c r="S82" s="32" t="s">
        <v>123</v>
      </c>
      <c r="U82" s="25" t="s">
        <v>326</v>
      </c>
      <c r="V82" s="77"/>
      <c r="W82" s="57"/>
      <c r="X82" s="82" t="s">
        <v>90</v>
      </c>
      <c r="Z82" s="83" t="s">
        <v>327</v>
      </c>
      <c r="AA82" s="77"/>
      <c r="AB82" s="57"/>
      <c r="AC82" s="82" t="s">
        <v>139</v>
      </c>
      <c r="AE82" s="83" t="s">
        <v>127</v>
      </c>
      <c r="AF82" s="7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9"/>
      <c r="AW82" s="9"/>
      <c r="AX82" s="9"/>
      <c r="AY82" s="57"/>
      <c r="AZ82" s="57"/>
      <c r="BA82" s="9"/>
      <c r="BB82" s="57"/>
      <c r="BC82" s="9"/>
      <c r="BD82" s="9"/>
      <c r="BE82" s="9"/>
      <c r="BF82" s="42"/>
      <c r="BG82" s="9"/>
      <c r="BH82" s="9"/>
      <c r="BI82" s="9"/>
      <c r="BJ82" s="57"/>
      <c r="BK82" s="57"/>
      <c r="BL82" s="9"/>
      <c r="BM82" s="9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</row>
    <row r="83">
      <c r="A83" s="39">
        <v>77.0</v>
      </c>
      <c r="D83" s="24"/>
      <c r="E83" s="25">
        <v>1.0</v>
      </c>
      <c r="F83" s="25">
        <v>1.0</v>
      </c>
      <c r="G83" s="25">
        <v>2.0</v>
      </c>
      <c r="H83" s="25">
        <v>2.0</v>
      </c>
      <c r="I83" s="25">
        <v>2.0</v>
      </c>
      <c r="J83" s="25">
        <v>1.0</v>
      </c>
      <c r="K83" s="25">
        <v>1.0</v>
      </c>
      <c r="L83" s="25">
        <v>1.0</v>
      </c>
      <c r="M83" s="25">
        <v>1.0</v>
      </c>
      <c r="N83" s="25">
        <v>1.0</v>
      </c>
      <c r="O83" s="25">
        <v>1.0</v>
      </c>
      <c r="P83" s="26">
        <v>2.0</v>
      </c>
      <c r="Q83" s="9"/>
      <c r="R83" s="9"/>
      <c r="S83" s="32" t="s">
        <v>129</v>
      </c>
      <c r="U83" s="25" t="s">
        <v>328</v>
      </c>
      <c r="V83" s="77"/>
      <c r="W83" s="57"/>
      <c r="X83" s="82" t="s">
        <v>90</v>
      </c>
      <c r="Z83" s="83" t="s">
        <v>329</v>
      </c>
      <c r="AA83" s="77"/>
      <c r="AB83" s="57"/>
      <c r="AC83" s="82" t="s">
        <v>330</v>
      </c>
      <c r="AE83" s="83" t="s">
        <v>167</v>
      </c>
      <c r="AF83" s="7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9"/>
      <c r="AW83" s="9"/>
      <c r="AX83" s="9"/>
      <c r="AY83" s="57"/>
      <c r="AZ83" s="57"/>
      <c r="BA83" s="9"/>
      <c r="BB83" s="57"/>
      <c r="BC83" s="9"/>
      <c r="BD83" s="9"/>
      <c r="BE83" s="9"/>
      <c r="BF83" s="42"/>
      <c r="BG83" s="9"/>
      <c r="BH83" s="9"/>
      <c r="BI83" s="9"/>
      <c r="BJ83" s="57"/>
      <c r="BK83" s="57"/>
      <c r="BL83" s="9"/>
      <c r="BM83" s="9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</row>
    <row r="84">
      <c r="A84" s="39">
        <v>78.0</v>
      </c>
      <c r="B84" s="29"/>
      <c r="D84" s="25">
        <v>3.0</v>
      </c>
      <c r="E84" s="25">
        <v>1.0</v>
      </c>
      <c r="F84" s="25">
        <v>1.0</v>
      </c>
      <c r="G84" s="25">
        <v>1.0</v>
      </c>
      <c r="H84" s="40">
        <v>1.0</v>
      </c>
      <c r="I84" s="25">
        <v>1.0</v>
      </c>
      <c r="J84" s="25">
        <v>2.0</v>
      </c>
      <c r="K84" s="25">
        <v>2.0</v>
      </c>
      <c r="L84" s="25">
        <v>1.0</v>
      </c>
      <c r="M84" s="25">
        <v>1.0</v>
      </c>
      <c r="N84" s="25">
        <v>1.0</v>
      </c>
      <c r="O84" s="25">
        <v>1.0</v>
      </c>
      <c r="P84" s="55"/>
      <c r="Q84" s="9"/>
      <c r="R84" s="9"/>
      <c r="S84" s="75" t="s">
        <v>331</v>
      </c>
      <c r="T84" s="76"/>
      <c r="U84" s="76"/>
      <c r="V84" s="71"/>
      <c r="W84" s="57"/>
      <c r="X84" s="82" t="s">
        <v>90</v>
      </c>
      <c r="Z84" s="83" t="s">
        <v>332</v>
      </c>
      <c r="AA84" s="77"/>
      <c r="AB84" s="57"/>
      <c r="AC84" s="75" t="s">
        <v>333</v>
      </c>
      <c r="AD84" s="76"/>
      <c r="AE84" s="76"/>
      <c r="AF84" s="71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9"/>
      <c r="AW84" s="9"/>
      <c r="AX84" s="9"/>
      <c r="AY84" s="57"/>
      <c r="AZ84" s="57"/>
      <c r="BA84" s="9"/>
      <c r="BB84" s="57"/>
      <c r="BC84" s="9"/>
      <c r="BD84" s="9"/>
      <c r="BE84" s="9"/>
      <c r="BF84" s="42"/>
      <c r="BG84" s="9"/>
      <c r="BH84" s="9"/>
      <c r="BI84" s="9"/>
      <c r="BJ84" s="57"/>
      <c r="BK84" s="57"/>
      <c r="BL84" s="9"/>
      <c r="BM84" s="9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</row>
    <row r="85">
      <c r="A85" s="39">
        <v>79.0</v>
      </c>
      <c r="B85" s="49"/>
      <c r="D85" s="25">
        <v>1.0</v>
      </c>
      <c r="E85" s="25">
        <v>1.0</v>
      </c>
      <c r="F85" s="25">
        <v>1.0</v>
      </c>
      <c r="G85" s="25">
        <v>1.0</v>
      </c>
      <c r="H85" s="25">
        <v>4.0</v>
      </c>
      <c r="I85" s="47"/>
      <c r="J85" s="25">
        <v>1.0</v>
      </c>
      <c r="K85" s="25">
        <v>1.0</v>
      </c>
      <c r="L85" s="25">
        <v>1.0</v>
      </c>
      <c r="M85" s="25">
        <v>2.0</v>
      </c>
      <c r="N85" s="25">
        <v>4.0</v>
      </c>
      <c r="O85" s="25">
        <v>4.0</v>
      </c>
      <c r="P85" s="26">
        <v>1.0</v>
      </c>
      <c r="Q85" s="9"/>
      <c r="R85" s="9"/>
      <c r="S85" s="32" t="s">
        <v>90</v>
      </c>
      <c r="U85" s="25" t="s">
        <v>334</v>
      </c>
      <c r="V85" s="77"/>
      <c r="W85" s="57"/>
      <c r="X85" s="82" t="s">
        <v>90</v>
      </c>
      <c r="Z85" s="83" t="s">
        <v>335</v>
      </c>
      <c r="AA85" s="77"/>
      <c r="AB85" s="57"/>
      <c r="AC85" s="82" t="s">
        <v>120</v>
      </c>
      <c r="AE85" s="83" t="s">
        <v>94</v>
      </c>
      <c r="AF85" s="7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9"/>
      <c r="AW85" s="9"/>
      <c r="AX85" s="9"/>
      <c r="AY85" s="57"/>
      <c r="AZ85" s="57"/>
      <c r="BA85" s="9"/>
      <c r="BB85" s="57"/>
      <c r="BC85" s="9"/>
      <c r="BD85" s="9"/>
      <c r="BE85" s="9"/>
      <c r="BF85" s="42"/>
      <c r="BG85" s="9"/>
      <c r="BH85" s="9"/>
      <c r="BI85" s="9"/>
      <c r="BJ85" s="57"/>
      <c r="BK85" s="57"/>
      <c r="BL85" s="9"/>
      <c r="BM85" s="9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</row>
    <row r="86">
      <c r="A86" s="39">
        <v>80.0</v>
      </c>
      <c r="D86" s="47"/>
      <c r="F86" s="25">
        <v>1.0</v>
      </c>
      <c r="G86" s="25">
        <v>4.0</v>
      </c>
      <c r="H86" s="25">
        <v>2.0</v>
      </c>
      <c r="I86" s="25">
        <v>2.0</v>
      </c>
      <c r="J86" s="25">
        <v>1.0</v>
      </c>
      <c r="K86" s="25">
        <v>1.0</v>
      </c>
      <c r="L86" s="25">
        <v>2.0</v>
      </c>
      <c r="M86" s="25">
        <v>1.0</v>
      </c>
      <c r="N86" s="25">
        <v>2.0</v>
      </c>
      <c r="O86" s="25">
        <v>4.0</v>
      </c>
      <c r="P86" s="26">
        <v>2.0</v>
      </c>
      <c r="Q86" s="9"/>
      <c r="R86" s="9"/>
      <c r="S86" s="32" t="s">
        <v>93</v>
      </c>
      <c r="U86" s="25" t="s">
        <v>336</v>
      </c>
      <c r="V86" s="77"/>
      <c r="W86" s="57"/>
      <c r="X86" s="82" t="s">
        <v>90</v>
      </c>
      <c r="Z86" s="83" t="s">
        <v>337</v>
      </c>
      <c r="AA86" s="77"/>
      <c r="AB86" s="57"/>
      <c r="AC86" s="82" t="s">
        <v>230</v>
      </c>
      <c r="AE86" s="83" t="s">
        <v>103</v>
      </c>
      <c r="AF86" s="7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9"/>
      <c r="AW86" s="9"/>
      <c r="AX86" s="9"/>
      <c r="AY86" s="57"/>
      <c r="AZ86" s="57"/>
      <c r="BA86" s="9"/>
      <c r="BB86" s="57"/>
      <c r="BC86" s="9"/>
      <c r="BD86" s="9"/>
      <c r="BE86" s="9"/>
      <c r="BF86" s="42"/>
      <c r="BG86" s="9"/>
      <c r="BH86" s="9"/>
      <c r="BI86" s="9"/>
      <c r="BJ86" s="57"/>
      <c r="BK86" s="57"/>
      <c r="BL86" s="9"/>
      <c r="BM86" s="9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</row>
    <row r="87">
      <c r="A87" s="39">
        <v>81.0</v>
      </c>
      <c r="D87" s="49"/>
      <c r="E87" s="49"/>
      <c r="F87" s="40">
        <v>1.0</v>
      </c>
      <c r="G87" s="25">
        <v>2.0</v>
      </c>
      <c r="H87" s="40">
        <v>1.0</v>
      </c>
      <c r="I87" s="25">
        <v>1.0</v>
      </c>
      <c r="J87" s="25">
        <v>4.0</v>
      </c>
      <c r="K87" s="25">
        <v>1.0</v>
      </c>
      <c r="L87" s="25">
        <v>1.0</v>
      </c>
      <c r="M87" s="25">
        <v>4.0</v>
      </c>
      <c r="N87" s="25">
        <v>1.0</v>
      </c>
      <c r="O87" s="25">
        <v>1.0</v>
      </c>
      <c r="P87" s="26">
        <v>1.0</v>
      </c>
      <c r="Q87" s="9"/>
      <c r="R87" s="9"/>
      <c r="S87" s="32" t="s">
        <v>107</v>
      </c>
      <c r="U87" s="25" t="s">
        <v>338</v>
      </c>
      <c r="V87" s="77"/>
      <c r="W87" s="57"/>
      <c r="X87" s="82" t="s">
        <v>90</v>
      </c>
      <c r="Z87" s="83" t="s">
        <v>339</v>
      </c>
      <c r="AA87" s="77"/>
      <c r="AB87" s="57"/>
      <c r="AC87" s="82" t="s">
        <v>340</v>
      </c>
      <c r="AE87" s="83" t="s">
        <v>111</v>
      </c>
      <c r="AF87" s="7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9"/>
      <c r="AW87" s="9"/>
      <c r="AX87" s="9"/>
      <c r="AY87" s="57"/>
      <c r="AZ87" s="57"/>
      <c r="BA87" s="9"/>
      <c r="BB87" s="57"/>
      <c r="BC87" s="9"/>
      <c r="BD87" s="9"/>
      <c r="BE87" s="9"/>
      <c r="BF87" s="28">
        <v>1.0</v>
      </c>
      <c r="BG87" s="9"/>
      <c r="BH87" s="9"/>
      <c r="BI87" s="9"/>
      <c r="BJ87" s="57"/>
      <c r="BK87" s="57"/>
      <c r="BL87" s="9"/>
      <c r="BM87" s="9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</row>
    <row r="88">
      <c r="A88" s="39">
        <v>82.0</v>
      </c>
      <c r="D88" s="25">
        <v>1.0</v>
      </c>
      <c r="E88" s="25">
        <v>2.0</v>
      </c>
      <c r="F88" s="97"/>
      <c r="G88" s="40">
        <v>1.0</v>
      </c>
      <c r="H88" s="40">
        <v>1.0</v>
      </c>
      <c r="I88" s="25">
        <v>2.0</v>
      </c>
      <c r="J88" s="25">
        <v>1.0</v>
      </c>
      <c r="K88" s="25">
        <v>3.0</v>
      </c>
      <c r="L88" s="25">
        <v>2.0</v>
      </c>
      <c r="M88" s="25">
        <v>1.0</v>
      </c>
      <c r="N88" s="25">
        <v>3.0</v>
      </c>
      <c r="O88" s="25">
        <v>1.0</v>
      </c>
      <c r="P88" s="26">
        <v>1.0</v>
      </c>
      <c r="Q88" s="9"/>
      <c r="R88" s="9"/>
      <c r="S88" s="32" t="s">
        <v>115</v>
      </c>
      <c r="U88" s="25" t="s">
        <v>341</v>
      </c>
      <c r="V88" s="77"/>
      <c r="W88" s="57"/>
      <c r="X88" s="75" t="s">
        <v>87</v>
      </c>
      <c r="Y88" s="76"/>
      <c r="Z88" s="76"/>
      <c r="AA88" s="71"/>
      <c r="AB88" s="57"/>
      <c r="AC88" s="82" t="s">
        <v>235</v>
      </c>
      <c r="AE88" s="83" t="s">
        <v>119</v>
      </c>
      <c r="AF88" s="7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9"/>
      <c r="AW88" s="9"/>
      <c r="AX88" s="9"/>
      <c r="AY88" s="57"/>
      <c r="AZ88" s="57"/>
      <c r="BA88" s="9"/>
      <c r="BB88" s="57"/>
      <c r="BC88" s="9"/>
      <c r="BD88" s="9"/>
      <c r="BE88" s="9"/>
      <c r="BF88" s="28">
        <v>1.0</v>
      </c>
      <c r="BG88" s="9"/>
      <c r="BH88" s="9"/>
      <c r="BI88" s="9"/>
      <c r="BJ88" s="57"/>
      <c r="BK88" s="57"/>
      <c r="BL88" s="9"/>
      <c r="BM88" s="9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</row>
    <row r="89">
      <c r="A89" s="39">
        <v>83.0</v>
      </c>
      <c r="C89" s="49"/>
      <c r="D89" s="25">
        <v>1.0</v>
      </c>
      <c r="E89" s="25">
        <v>3.0</v>
      </c>
      <c r="F89" s="25">
        <v>1.0</v>
      </c>
      <c r="G89" s="40">
        <v>1.0</v>
      </c>
      <c r="H89" s="40">
        <v>1.0</v>
      </c>
      <c r="I89" s="25">
        <v>1.0</v>
      </c>
      <c r="J89" s="25">
        <v>2.0</v>
      </c>
      <c r="K89" s="25">
        <v>1.0</v>
      </c>
      <c r="L89" s="25">
        <v>2.0</v>
      </c>
      <c r="M89" s="25">
        <v>1.0</v>
      </c>
      <c r="N89" s="25">
        <v>2.0</v>
      </c>
      <c r="O89" s="25">
        <v>1.0</v>
      </c>
      <c r="P89" s="26">
        <v>1.0</v>
      </c>
      <c r="Q89" s="9"/>
      <c r="R89" s="9"/>
      <c r="S89" s="32" t="s">
        <v>123</v>
      </c>
      <c r="U89" s="25" t="s">
        <v>342</v>
      </c>
      <c r="V89" s="77"/>
      <c r="W89" s="57"/>
      <c r="X89" s="113" t="s">
        <v>112</v>
      </c>
      <c r="Y89" s="73"/>
      <c r="Z89" s="114" t="s">
        <v>213</v>
      </c>
      <c r="AA89" s="74"/>
      <c r="AB89" s="57"/>
      <c r="AC89" s="82" t="s">
        <v>151</v>
      </c>
      <c r="AE89" s="83" t="s">
        <v>127</v>
      </c>
      <c r="AF89" s="7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9"/>
      <c r="AW89" s="9"/>
      <c r="AX89" s="9"/>
      <c r="AY89" s="57"/>
      <c r="AZ89" s="57"/>
      <c r="BA89" s="9"/>
      <c r="BB89" s="57"/>
      <c r="BC89" s="9"/>
      <c r="BD89" s="9"/>
      <c r="BE89" s="9"/>
      <c r="BF89" s="42"/>
      <c r="BG89" s="9"/>
      <c r="BH89" s="9"/>
      <c r="BI89" s="9"/>
      <c r="BJ89" s="57"/>
      <c r="BK89" s="57"/>
      <c r="BL89" s="9"/>
      <c r="BM89" s="9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</row>
    <row r="90">
      <c r="A90" s="39">
        <v>84.0</v>
      </c>
      <c r="D90" s="25">
        <v>1.0</v>
      </c>
      <c r="E90" s="25">
        <v>1.0</v>
      </c>
      <c r="F90" s="25">
        <v>1.0</v>
      </c>
      <c r="G90" s="25">
        <v>1.0</v>
      </c>
      <c r="H90" s="25">
        <v>1.0</v>
      </c>
      <c r="I90" s="25">
        <v>3.0</v>
      </c>
      <c r="J90" s="25">
        <v>1.0</v>
      </c>
      <c r="K90" s="25">
        <v>1.0</v>
      </c>
      <c r="L90" s="25">
        <v>2.0</v>
      </c>
      <c r="M90" s="25">
        <v>1.0</v>
      </c>
      <c r="N90" s="25">
        <v>2.0</v>
      </c>
      <c r="O90" s="47"/>
      <c r="P90" s="26">
        <v>1.0</v>
      </c>
      <c r="Q90" s="9"/>
      <c r="R90" s="9"/>
      <c r="S90" s="32" t="s">
        <v>129</v>
      </c>
      <c r="U90" s="25" t="s">
        <v>343</v>
      </c>
      <c r="V90" s="77"/>
      <c r="W90" s="57"/>
      <c r="X90" s="75" t="s">
        <v>344</v>
      </c>
      <c r="Y90" s="76"/>
      <c r="Z90" s="76"/>
      <c r="AA90" s="71"/>
      <c r="AB90" s="57"/>
      <c r="AC90" s="82" t="s">
        <v>177</v>
      </c>
      <c r="AE90" s="83" t="s">
        <v>167</v>
      </c>
      <c r="AF90" s="7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9"/>
      <c r="AW90" s="9"/>
      <c r="AX90" s="9"/>
      <c r="AY90" s="57"/>
      <c r="AZ90" s="57"/>
      <c r="BA90" s="9"/>
      <c r="BB90" s="57"/>
      <c r="BC90" s="9"/>
      <c r="BD90" s="9"/>
      <c r="BE90" s="9"/>
      <c r="BF90" s="42"/>
      <c r="BG90" s="9"/>
      <c r="BH90" s="9"/>
      <c r="BI90" s="9"/>
      <c r="BJ90" s="57"/>
      <c r="BK90" s="57"/>
      <c r="BL90" s="9"/>
      <c r="BM90" s="9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</row>
    <row r="91">
      <c r="A91" s="39">
        <v>85.0</v>
      </c>
      <c r="C91" s="47"/>
      <c r="D91" s="25">
        <v>1.0</v>
      </c>
      <c r="F91" s="25">
        <v>1.0</v>
      </c>
      <c r="G91" s="40">
        <v>1.0</v>
      </c>
      <c r="H91" s="47" t="s">
        <v>345</v>
      </c>
      <c r="I91" s="25">
        <v>1.0</v>
      </c>
      <c r="J91" s="25">
        <v>1.0</v>
      </c>
      <c r="K91" s="25">
        <v>1.0</v>
      </c>
      <c r="L91" s="25">
        <v>1.0</v>
      </c>
      <c r="M91" s="25">
        <v>1.0</v>
      </c>
      <c r="N91" s="25">
        <v>1.0</v>
      </c>
      <c r="O91" s="25">
        <v>1.0</v>
      </c>
      <c r="P91" s="26">
        <v>2.0</v>
      </c>
      <c r="Q91" s="9"/>
      <c r="R91" s="9"/>
      <c r="S91" s="75" t="s">
        <v>272</v>
      </c>
      <c r="T91" s="76"/>
      <c r="U91" s="76"/>
      <c r="V91" s="71"/>
      <c r="W91" s="57"/>
      <c r="X91" s="113" t="s">
        <v>252</v>
      </c>
      <c r="Y91" s="73"/>
      <c r="Z91" s="114" t="s">
        <v>213</v>
      </c>
      <c r="AA91" s="74"/>
      <c r="AB91" s="57"/>
      <c r="AC91" s="82" t="s">
        <v>279</v>
      </c>
      <c r="AE91" s="83" t="s">
        <v>199</v>
      </c>
      <c r="AF91" s="7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9"/>
      <c r="AW91" s="9"/>
      <c r="AX91" s="9"/>
      <c r="AY91" s="57"/>
      <c r="AZ91" s="57"/>
      <c r="BA91" s="9"/>
      <c r="BB91" s="57"/>
      <c r="BC91" s="9"/>
      <c r="BD91" s="9"/>
      <c r="BE91" s="9"/>
      <c r="BF91" s="28">
        <v>1.0</v>
      </c>
      <c r="BG91" s="9"/>
      <c r="BH91" s="9"/>
      <c r="BI91" s="9"/>
      <c r="BJ91" s="57"/>
      <c r="BK91" s="57"/>
      <c r="BL91" s="9"/>
      <c r="BM91" s="9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</row>
    <row r="92">
      <c r="A92" s="39">
        <v>86.0</v>
      </c>
      <c r="B92" s="32">
        <v>1.0</v>
      </c>
      <c r="D92" s="49"/>
      <c r="E92" s="25">
        <v>1.0</v>
      </c>
      <c r="F92" s="25">
        <v>2.0</v>
      </c>
      <c r="G92" s="25">
        <v>3.0</v>
      </c>
      <c r="H92" s="40">
        <v>1.0</v>
      </c>
      <c r="I92" s="25">
        <v>1.0</v>
      </c>
      <c r="J92" s="25">
        <v>2.0</v>
      </c>
      <c r="K92" s="25">
        <v>2.0</v>
      </c>
      <c r="L92" s="25">
        <v>1.0</v>
      </c>
      <c r="M92" s="25">
        <v>2.0</v>
      </c>
      <c r="O92" s="25">
        <v>1.0</v>
      </c>
      <c r="P92" s="55"/>
      <c r="Q92" s="9"/>
      <c r="R92" s="9"/>
      <c r="S92" s="32" t="s">
        <v>90</v>
      </c>
      <c r="U92" s="25" t="s">
        <v>346</v>
      </c>
      <c r="V92" s="77"/>
      <c r="W92" s="57"/>
      <c r="X92" s="75" t="s">
        <v>77</v>
      </c>
      <c r="Y92" s="76"/>
      <c r="Z92" s="76"/>
      <c r="AA92" s="71"/>
      <c r="AB92" s="57"/>
      <c r="AC92" s="75" t="s">
        <v>175</v>
      </c>
      <c r="AD92" s="76"/>
      <c r="AE92" s="76"/>
      <c r="AF92" s="71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9"/>
      <c r="AW92" s="9"/>
      <c r="AX92" s="9"/>
      <c r="AY92" s="57"/>
      <c r="AZ92" s="57"/>
      <c r="BA92" s="9"/>
      <c r="BB92" s="57"/>
      <c r="BC92" s="9"/>
      <c r="BD92" s="9"/>
      <c r="BE92" s="9"/>
      <c r="BF92" s="42"/>
      <c r="BG92" s="9"/>
      <c r="BH92" s="9"/>
      <c r="BI92" s="9"/>
      <c r="BJ92" s="57"/>
      <c r="BK92" s="57"/>
      <c r="BL92" s="9"/>
      <c r="BM92" s="9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</row>
    <row r="93">
      <c r="A93" s="39">
        <v>87.0</v>
      </c>
      <c r="D93" s="25">
        <v>1.0</v>
      </c>
      <c r="E93" s="25">
        <v>1.0</v>
      </c>
      <c r="F93" s="25">
        <v>1.0</v>
      </c>
      <c r="G93" s="25">
        <v>1.0</v>
      </c>
      <c r="H93" s="25">
        <v>1.0</v>
      </c>
      <c r="I93" s="25"/>
      <c r="J93" s="25">
        <v>1.0</v>
      </c>
      <c r="K93" s="25">
        <v>1.0</v>
      </c>
      <c r="L93" s="25">
        <v>1.0</v>
      </c>
      <c r="M93" s="25">
        <v>3.0</v>
      </c>
      <c r="N93" s="25">
        <v>1.0</v>
      </c>
      <c r="O93" s="25">
        <v>2.0</v>
      </c>
      <c r="P93" s="26">
        <v>1.0</v>
      </c>
      <c r="Q93" s="9"/>
      <c r="R93" s="9"/>
      <c r="S93" s="32" t="s">
        <v>93</v>
      </c>
      <c r="U93" s="25" t="s">
        <v>347</v>
      </c>
      <c r="V93" s="77"/>
      <c r="W93" s="57"/>
      <c r="X93" s="80" t="s">
        <v>209</v>
      </c>
      <c r="Y93" s="73"/>
      <c r="Z93" s="81" t="s">
        <v>213</v>
      </c>
      <c r="AA93" s="74"/>
      <c r="AB93" s="57"/>
      <c r="AC93" s="82" t="s">
        <v>177</v>
      </c>
      <c r="AE93" s="83" t="s">
        <v>94</v>
      </c>
      <c r="AF93" s="7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9"/>
      <c r="AW93" s="9"/>
      <c r="AX93" s="9"/>
      <c r="AY93" s="57"/>
      <c r="AZ93" s="57"/>
      <c r="BA93" s="9"/>
      <c r="BB93" s="57"/>
      <c r="BC93" s="9"/>
      <c r="BD93" s="9"/>
      <c r="BE93" s="9"/>
      <c r="BF93" s="42"/>
      <c r="BG93" s="9"/>
      <c r="BH93" s="9"/>
      <c r="BI93" s="9"/>
      <c r="BJ93" s="57"/>
      <c r="BK93" s="57"/>
      <c r="BL93" s="9"/>
      <c r="BM93" s="9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</row>
    <row r="94">
      <c r="A94" s="39">
        <v>88.0</v>
      </c>
      <c r="D94" s="25">
        <v>1.0</v>
      </c>
      <c r="F94" s="25">
        <v>2.0</v>
      </c>
      <c r="G94" s="25">
        <v>1.0</v>
      </c>
      <c r="H94" s="40">
        <v>1.0</v>
      </c>
      <c r="I94" s="25">
        <v>1.0</v>
      </c>
      <c r="J94" s="25">
        <v>1.0</v>
      </c>
      <c r="K94" s="25">
        <v>1.0</v>
      </c>
      <c r="L94" s="25">
        <v>1.0</v>
      </c>
      <c r="M94" s="25">
        <v>1.0</v>
      </c>
      <c r="N94" s="25">
        <v>1.0</v>
      </c>
      <c r="O94" s="25">
        <v>1.0</v>
      </c>
      <c r="P94" s="26">
        <v>2.0</v>
      </c>
      <c r="Q94" s="9"/>
      <c r="R94" s="9"/>
      <c r="S94" s="32" t="s">
        <v>107</v>
      </c>
      <c r="U94" s="25" t="s">
        <v>348</v>
      </c>
      <c r="V94" s="77"/>
      <c r="W94" s="57"/>
      <c r="X94" s="57"/>
      <c r="Y94" s="57"/>
      <c r="Z94" s="57"/>
      <c r="AA94" s="57"/>
      <c r="AB94" s="57"/>
      <c r="AC94" s="82" t="s">
        <v>349</v>
      </c>
      <c r="AE94" s="83" t="s">
        <v>103</v>
      </c>
      <c r="AF94" s="7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9"/>
      <c r="AW94" s="9"/>
      <c r="AX94" s="9"/>
      <c r="AY94" s="57"/>
      <c r="AZ94" s="57"/>
      <c r="BA94" s="9"/>
      <c r="BB94" s="57"/>
      <c r="BC94" s="9"/>
      <c r="BD94" s="9"/>
      <c r="BE94" s="9"/>
      <c r="BF94" s="42"/>
      <c r="BG94" s="9"/>
      <c r="BH94" s="9"/>
      <c r="BI94" s="9"/>
      <c r="BJ94" s="57"/>
      <c r="BK94" s="57"/>
      <c r="BL94" s="9"/>
      <c r="BM94" s="9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</row>
    <row r="95">
      <c r="A95" s="39">
        <v>89.0</v>
      </c>
      <c r="C95" s="49"/>
      <c r="D95" s="25">
        <v>2.0</v>
      </c>
      <c r="E95" s="49"/>
      <c r="F95" s="25">
        <v>1.0</v>
      </c>
      <c r="G95" s="25">
        <v>1.0</v>
      </c>
      <c r="H95" s="25">
        <v>1.0</v>
      </c>
      <c r="I95" s="25">
        <v>1.0</v>
      </c>
      <c r="J95" s="25">
        <v>1.0</v>
      </c>
      <c r="K95" s="25">
        <v>1.0</v>
      </c>
      <c r="L95" s="25">
        <v>1.0</v>
      </c>
      <c r="M95" s="25">
        <v>2.0</v>
      </c>
      <c r="N95" s="49"/>
      <c r="O95" s="25">
        <v>1.0</v>
      </c>
      <c r="P95" s="26">
        <v>1.0</v>
      </c>
      <c r="Q95" s="9"/>
      <c r="R95" s="9"/>
      <c r="S95" s="32" t="s">
        <v>115</v>
      </c>
      <c r="U95" s="25" t="s">
        <v>221</v>
      </c>
      <c r="V95" s="77"/>
      <c r="W95" s="57"/>
      <c r="X95" s="9"/>
      <c r="Y95" s="9"/>
      <c r="Z95" s="9"/>
      <c r="AA95" s="9"/>
      <c r="AB95" s="57"/>
      <c r="AC95" s="82" t="s">
        <v>186</v>
      </c>
      <c r="AE95" s="83" t="s">
        <v>111</v>
      </c>
      <c r="AF95" s="7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9"/>
      <c r="AW95" s="9"/>
      <c r="AX95" s="9"/>
      <c r="AY95" s="57"/>
      <c r="AZ95" s="57"/>
      <c r="BA95" s="9"/>
      <c r="BB95" s="57"/>
      <c r="BC95" s="9"/>
      <c r="BD95" s="9"/>
      <c r="BE95" s="9"/>
      <c r="BF95" s="42"/>
      <c r="BG95" s="9"/>
      <c r="BH95" s="9"/>
      <c r="BI95" s="9"/>
      <c r="BJ95" s="57"/>
      <c r="BK95" s="57"/>
      <c r="BL95" s="9"/>
      <c r="BM95" s="9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</row>
    <row r="96">
      <c r="A96" s="39">
        <v>90.0</v>
      </c>
      <c r="D96" s="25">
        <v>2.0</v>
      </c>
      <c r="E96" s="29"/>
      <c r="F96" s="25">
        <v>1.0</v>
      </c>
      <c r="G96" s="25">
        <v>2.0</v>
      </c>
      <c r="H96" s="25">
        <v>1.0</v>
      </c>
      <c r="I96" s="25">
        <v>1.0</v>
      </c>
      <c r="J96" s="25">
        <v>2.0</v>
      </c>
      <c r="K96" s="25">
        <v>2.0</v>
      </c>
      <c r="L96" s="25">
        <v>1.0</v>
      </c>
      <c r="M96" s="25">
        <v>1.0</v>
      </c>
      <c r="N96" s="25">
        <v>1.0</v>
      </c>
      <c r="O96" s="25">
        <v>2.0</v>
      </c>
      <c r="P96" s="26">
        <v>1.0</v>
      </c>
      <c r="Q96" s="9"/>
      <c r="R96" s="9"/>
      <c r="S96" s="32" t="s">
        <v>123</v>
      </c>
      <c r="U96" s="25" t="s">
        <v>350</v>
      </c>
      <c r="V96" s="77"/>
      <c r="W96" s="57"/>
      <c r="X96" s="9"/>
      <c r="Y96" s="9"/>
      <c r="Z96" s="9"/>
      <c r="AA96" s="9"/>
      <c r="AB96" s="57"/>
      <c r="AC96" s="82" t="s">
        <v>139</v>
      </c>
      <c r="AE96" s="83" t="s">
        <v>119</v>
      </c>
      <c r="AF96" s="7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9"/>
      <c r="AW96" s="9"/>
      <c r="AX96" s="9"/>
      <c r="AY96" s="57"/>
      <c r="AZ96" s="57"/>
      <c r="BA96" s="9"/>
      <c r="BB96" s="57"/>
      <c r="BC96" s="9"/>
      <c r="BD96" s="9"/>
      <c r="BE96" s="9"/>
      <c r="BF96" s="42"/>
      <c r="BG96" s="9"/>
      <c r="BH96" s="9"/>
      <c r="BI96" s="9"/>
      <c r="BJ96" s="57"/>
      <c r="BK96" s="57"/>
      <c r="BL96" s="9"/>
      <c r="BM96" s="9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</row>
    <row r="97">
      <c r="A97" s="39">
        <v>91.0</v>
      </c>
      <c r="B97" s="24"/>
      <c r="D97" s="25">
        <v>1.0</v>
      </c>
      <c r="E97" s="25">
        <v>1.0</v>
      </c>
      <c r="F97" s="25">
        <v>3.0</v>
      </c>
      <c r="G97" s="25">
        <v>1.0</v>
      </c>
      <c r="H97" s="25">
        <v>2.0</v>
      </c>
      <c r="I97" s="25">
        <v>2.0</v>
      </c>
      <c r="J97" s="25">
        <v>1.0</v>
      </c>
      <c r="K97" s="25">
        <v>1.0</v>
      </c>
      <c r="L97" s="25">
        <v>1.0</v>
      </c>
      <c r="M97" s="25">
        <v>1.0</v>
      </c>
      <c r="N97" s="49"/>
      <c r="O97" s="47"/>
      <c r="P97" s="26">
        <v>1.0</v>
      </c>
      <c r="Q97" s="9"/>
      <c r="R97" s="9"/>
      <c r="S97" s="80" t="s">
        <v>129</v>
      </c>
      <c r="T97" s="73"/>
      <c r="U97" s="25" t="s">
        <v>351</v>
      </c>
      <c r="V97" s="77"/>
      <c r="W97" s="57"/>
      <c r="X97" s="9"/>
      <c r="Y97" s="9"/>
      <c r="Z97" s="9"/>
      <c r="AA97" s="9"/>
      <c r="AB97" s="57"/>
      <c r="AC97" s="82" t="s">
        <v>352</v>
      </c>
      <c r="AE97" s="83" t="s">
        <v>127</v>
      </c>
      <c r="AF97" s="7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9"/>
      <c r="AW97" s="9"/>
      <c r="AX97" s="9"/>
      <c r="AY97" s="57"/>
      <c r="AZ97" s="57"/>
      <c r="BA97" s="9"/>
      <c r="BB97" s="57"/>
      <c r="BC97" s="9"/>
      <c r="BD97" s="9"/>
      <c r="BE97" s="9"/>
      <c r="BF97" s="42"/>
      <c r="BG97" s="9"/>
      <c r="BH97" s="9"/>
      <c r="BI97" s="9"/>
      <c r="BJ97" s="57"/>
      <c r="BK97" s="57"/>
      <c r="BL97" s="9"/>
      <c r="BM97" s="9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</row>
    <row r="98">
      <c r="A98" s="39">
        <v>92.0</v>
      </c>
      <c r="D98" s="47"/>
      <c r="E98" s="49"/>
      <c r="F98" s="25">
        <v>1.0</v>
      </c>
      <c r="G98" s="25">
        <v>2.0</v>
      </c>
      <c r="H98" s="40">
        <v>1.0</v>
      </c>
      <c r="I98" s="25">
        <v>2.0</v>
      </c>
      <c r="J98" s="25">
        <v>1.0</v>
      </c>
      <c r="K98" s="25">
        <v>1.0</v>
      </c>
      <c r="L98" s="25">
        <v>3.0</v>
      </c>
      <c r="M98" s="25">
        <v>1.0</v>
      </c>
      <c r="N98" s="25">
        <v>1.0</v>
      </c>
      <c r="O98" s="25">
        <v>2.0</v>
      </c>
      <c r="P98" s="62"/>
      <c r="Q98" s="9"/>
      <c r="R98" s="9"/>
      <c r="S98" s="75" t="s">
        <v>291</v>
      </c>
      <c r="T98" s="76"/>
      <c r="U98" s="76"/>
      <c r="V98" s="71"/>
      <c r="W98" s="57"/>
      <c r="X98" s="9"/>
      <c r="Y98" s="9"/>
      <c r="Z98" s="9"/>
      <c r="AA98" s="9"/>
      <c r="AB98" s="57"/>
      <c r="AC98" s="82" t="s">
        <v>107</v>
      </c>
      <c r="AE98" s="83" t="s">
        <v>167</v>
      </c>
      <c r="AF98" s="7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9"/>
      <c r="AW98" s="9"/>
      <c r="AX98" s="9"/>
      <c r="AY98" s="57"/>
      <c r="AZ98" s="57"/>
      <c r="BA98" s="9"/>
      <c r="BB98" s="57"/>
      <c r="BC98" s="9"/>
      <c r="BD98" s="9"/>
      <c r="BE98" s="9"/>
      <c r="BF98" s="28">
        <v>1.0</v>
      </c>
      <c r="BG98" s="9"/>
      <c r="BH98" s="9"/>
      <c r="BI98" s="9"/>
      <c r="BJ98" s="57"/>
      <c r="BK98" s="57"/>
      <c r="BL98" s="9"/>
      <c r="BM98" s="9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</row>
    <row r="99">
      <c r="A99" s="39">
        <v>93.0</v>
      </c>
      <c r="B99" s="49"/>
      <c r="C99" s="24"/>
      <c r="D99" s="25">
        <v>1.0</v>
      </c>
      <c r="F99" s="25">
        <v>3.0</v>
      </c>
      <c r="G99" s="25">
        <v>3.0</v>
      </c>
      <c r="H99" s="25">
        <v>2.0</v>
      </c>
      <c r="I99" s="25">
        <v>1.0</v>
      </c>
      <c r="J99" s="25">
        <v>3.0</v>
      </c>
      <c r="K99" s="25">
        <v>1.0</v>
      </c>
      <c r="L99" s="25">
        <v>1.0</v>
      </c>
      <c r="M99" s="25">
        <v>1.0</v>
      </c>
      <c r="N99" s="25">
        <v>1.0</v>
      </c>
      <c r="O99" s="25">
        <v>1.0</v>
      </c>
      <c r="P99" s="26">
        <v>1.0</v>
      </c>
      <c r="Q99" s="9"/>
      <c r="R99" s="9"/>
      <c r="S99" s="32" t="s">
        <v>90</v>
      </c>
      <c r="U99" s="25" t="s">
        <v>353</v>
      </c>
      <c r="V99" s="77"/>
      <c r="W99" s="57"/>
      <c r="X99" s="9"/>
      <c r="Y99" s="9"/>
      <c r="Z99" s="9"/>
      <c r="AA99" s="9"/>
      <c r="AB99" s="57"/>
      <c r="AC99" s="82" t="s">
        <v>354</v>
      </c>
      <c r="AE99" s="83" t="s">
        <v>199</v>
      </c>
      <c r="AF99" s="7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9"/>
      <c r="AW99" s="9"/>
      <c r="AX99" s="9"/>
      <c r="AY99" s="57"/>
      <c r="AZ99" s="57"/>
      <c r="BA99" s="9"/>
      <c r="BB99" s="57"/>
      <c r="BC99" s="9"/>
      <c r="BD99" s="9"/>
      <c r="BE99" s="9"/>
      <c r="BF99" s="115"/>
      <c r="BG99" s="9"/>
      <c r="BH99" s="9"/>
      <c r="BI99" s="9"/>
      <c r="BJ99" s="57"/>
      <c r="BK99" s="57"/>
      <c r="BL99" s="9"/>
      <c r="BM99" s="9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</row>
    <row r="100">
      <c r="A100" s="39">
        <v>94.0</v>
      </c>
      <c r="B100" s="47" t="s">
        <v>355</v>
      </c>
      <c r="D100" s="25">
        <v>1.0</v>
      </c>
      <c r="E100" s="25">
        <v>2.0</v>
      </c>
      <c r="F100" s="40">
        <v>2.0</v>
      </c>
      <c r="G100" s="25">
        <v>1.0</v>
      </c>
      <c r="H100" s="40">
        <v>1.0</v>
      </c>
      <c r="I100" s="25">
        <v>2.0</v>
      </c>
      <c r="J100" s="25">
        <v>1.0</v>
      </c>
      <c r="K100" s="25">
        <v>1.0</v>
      </c>
      <c r="L100" s="25">
        <v>1.0</v>
      </c>
      <c r="M100" s="25">
        <v>3.0</v>
      </c>
      <c r="N100" s="25">
        <v>1.0</v>
      </c>
      <c r="O100" s="25">
        <v>1.0</v>
      </c>
      <c r="P100" s="26">
        <v>1.0</v>
      </c>
      <c r="Q100" s="9"/>
      <c r="R100" s="9"/>
      <c r="S100" s="32" t="s">
        <v>93</v>
      </c>
      <c r="U100" s="25" t="s">
        <v>356</v>
      </c>
      <c r="V100" s="77"/>
      <c r="W100" s="57"/>
      <c r="X100" s="9"/>
      <c r="Y100" s="9"/>
      <c r="Z100" s="9"/>
      <c r="AA100" s="9"/>
      <c r="AB100" s="57"/>
      <c r="AC100" s="75" t="s">
        <v>207</v>
      </c>
      <c r="AD100" s="76"/>
      <c r="AE100" s="76"/>
      <c r="AF100" s="71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9"/>
      <c r="AW100" s="9"/>
      <c r="AX100" s="9"/>
      <c r="AY100" s="57"/>
      <c r="AZ100" s="57"/>
      <c r="BA100" s="9"/>
      <c r="BB100" s="57"/>
      <c r="BC100" s="9"/>
      <c r="BD100" s="9"/>
      <c r="BE100" s="9"/>
      <c r="BF100" s="9"/>
      <c r="BG100" s="9"/>
      <c r="BH100" s="9"/>
      <c r="BI100" s="9"/>
      <c r="BJ100" s="57"/>
      <c r="BK100" s="57"/>
      <c r="BL100" s="9"/>
      <c r="BM100" s="9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</row>
    <row r="101">
      <c r="A101" s="39">
        <v>95.0</v>
      </c>
      <c r="E101" s="25">
        <v>1.0</v>
      </c>
      <c r="F101" s="25">
        <v>1.0</v>
      </c>
      <c r="G101" s="40">
        <v>1.0</v>
      </c>
      <c r="H101" s="40">
        <v>1.0</v>
      </c>
      <c r="I101" s="25">
        <v>1.0</v>
      </c>
      <c r="J101" s="25">
        <v>2.0</v>
      </c>
      <c r="K101" s="25">
        <v>2.0</v>
      </c>
      <c r="L101" s="47"/>
      <c r="M101" s="25">
        <v>1.0</v>
      </c>
      <c r="N101" s="25">
        <v>1.0</v>
      </c>
      <c r="O101" s="25">
        <v>1.0</v>
      </c>
      <c r="P101" s="26">
        <v>1.0</v>
      </c>
      <c r="Q101" s="9"/>
      <c r="R101" s="9"/>
      <c r="S101" s="32" t="s">
        <v>107</v>
      </c>
      <c r="U101" s="25" t="s">
        <v>357</v>
      </c>
      <c r="V101" s="77"/>
      <c r="W101" s="57"/>
      <c r="X101" s="9"/>
      <c r="Y101" s="9"/>
      <c r="Z101" s="9"/>
      <c r="AA101" s="9"/>
      <c r="AB101" s="57"/>
      <c r="AC101" s="82" t="s">
        <v>358</v>
      </c>
      <c r="AE101" s="83" t="s">
        <v>94</v>
      </c>
      <c r="AF101" s="7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9"/>
      <c r="AW101" s="9"/>
      <c r="AX101" s="9"/>
      <c r="AY101" s="57"/>
      <c r="AZ101" s="57"/>
      <c r="BA101" s="9"/>
      <c r="BB101" s="57"/>
      <c r="BC101" s="9"/>
      <c r="BD101" s="9"/>
      <c r="BE101" s="9"/>
      <c r="BF101" s="57"/>
      <c r="BG101" s="9"/>
      <c r="BH101" s="9"/>
      <c r="BI101" s="9"/>
      <c r="BJ101" s="57"/>
      <c r="BK101" s="57"/>
      <c r="BL101" s="9"/>
      <c r="BM101" s="9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</row>
    <row r="102">
      <c r="A102" s="39">
        <v>96.0</v>
      </c>
      <c r="B102" s="29"/>
      <c r="C102" s="25">
        <v>3.0</v>
      </c>
      <c r="E102" s="25">
        <v>1.0</v>
      </c>
      <c r="F102" s="25">
        <v>1.0</v>
      </c>
      <c r="G102" s="25">
        <v>1.0</v>
      </c>
      <c r="H102" s="25">
        <v>2.0</v>
      </c>
      <c r="I102" s="25">
        <v>1.0</v>
      </c>
      <c r="J102" s="25">
        <v>2.0</v>
      </c>
      <c r="K102" s="25">
        <v>1.0</v>
      </c>
      <c r="L102" s="25">
        <v>1.0</v>
      </c>
      <c r="M102" s="25">
        <v>1.0</v>
      </c>
      <c r="N102" s="25">
        <v>2.0</v>
      </c>
      <c r="O102" s="97" t="s">
        <v>222</v>
      </c>
      <c r="P102" s="26">
        <v>2.0</v>
      </c>
      <c r="Q102" s="9"/>
      <c r="R102" s="9"/>
      <c r="S102" s="32" t="s">
        <v>115</v>
      </c>
      <c r="U102" s="25" t="s">
        <v>359</v>
      </c>
      <c r="V102" s="77"/>
      <c r="W102" s="57"/>
      <c r="X102" s="9"/>
      <c r="Y102" s="9"/>
      <c r="Z102" s="9"/>
      <c r="AA102" s="9"/>
      <c r="AB102" s="57"/>
      <c r="AC102" s="84" t="s">
        <v>360</v>
      </c>
      <c r="AE102" s="85" t="s">
        <v>103</v>
      </c>
      <c r="AF102" s="7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9"/>
      <c r="AW102" s="9"/>
      <c r="AX102" s="9"/>
      <c r="AY102" s="57"/>
      <c r="AZ102" s="57"/>
      <c r="BA102" s="9"/>
      <c r="BB102" s="57"/>
      <c r="BC102" s="9"/>
      <c r="BD102" s="9"/>
      <c r="BE102" s="9"/>
      <c r="BF102" s="57"/>
      <c r="BG102" s="9"/>
      <c r="BH102" s="9"/>
      <c r="BI102" s="9"/>
      <c r="BJ102" s="57"/>
      <c r="BK102" s="57"/>
      <c r="BL102" s="9"/>
      <c r="BM102" s="9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</row>
    <row r="103">
      <c r="A103" s="39">
        <v>97.0</v>
      </c>
      <c r="B103" s="49"/>
      <c r="D103" s="25">
        <v>2.0</v>
      </c>
      <c r="E103" s="25">
        <v>1.0</v>
      </c>
      <c r="F103" s="25">
        <v>1.0</v>
      </c>
      <c r="G103" s="25">
        <v>2.0</v>
      </c>
      <c r="H103" s="25">
        <v>4.0</v>
      </c>
      <c r="I103" s="25">
        <v>1.0</v>
      </c>
      <c r="J103" s="25">
        <v>1.0</v>
      </c>
      <c r="K103" s="25">
        <v>1.0</v>
      </c>
      <c r="L103" s="25">
        <v>1.0</v>
      </c>
      <c r="M103" s="25">
        <v>2.0</v>
      </c>
      <c r="N103" s="25">
        <v>1.0</v>
      </c>
      <c r="O103" s="25">
        <v>1.0</v>
      </c>
      <c r="P103" s="26">
        <v>1.0</v>
      </c>
      <c r="Q103" s="9"/>
      <c r="R103" s="9"/>
      <c r="S103" s="32" t="s">
        <v>123</v>
      </c>
      <c r="U103" s="25" t="s">
        <v>361</v>
      </c>
      <c r="V103" s="77"/>
      <c r="W103" s="57"/>
      <c r="X103" s="9"/>
      <c r="Y103" s="9"/>
      <c r="Z103" s="9"/>
      <c r="AA103" s="9"/>
      <c r="AB103" s="57"/>
      <c r="AC103" s="84" t="s">
        <v>194</v>
      </c>
      <c r="AE103" s="85" t="s">
        <v>111</v>
      </c>
      <c r="AF103" s="7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9"/>
      <c r="AW103" s="9"/>
      <c r="AX103" s="9"/>
      <c r="AY103" s="57"/>
      <c r="AZ103" s="57"/>
      <c r="BA103" s="9"/>
      <c r="BB103" s="57"/>
      <c r="BC103" s="9"/>
      <c r="BD103" s="9"/>
      <c r="BE103" s="9"/>
      <c r="BF103" s="57"/>
      <c r="BG103" s="9"/>
      <c r="BH103" s="9"/>
      <c r="BI103" s="9"/>
      <c r="BJ103" s="57"/>
      <c r="BK103" s="57"/>
      <c r="BL103" s="9"/>
      <c r="BM103" s="9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</row>
    <row r="104">
      <c r="A104" s="39">
        <v>98.0</v>
      </c>
      <c r="C104" s="25">
        <v>2.0</v>
      </c>
      <c r="F104" s="25">
        <v>4.0</v>
      </c>
      <c r="G104" s="40">
        <v>1.0</v>
      </c>
      <c r="H104" s="25">
        <v>1.0</v>
      </c>
      <c r="I104" s="25">
        <v>4.0</v>
      </c>
      <c r="J104" s="25">
        <v>1.0</v>
      </c>
      <c r="K104" s="25">
        <v>2.0</v>
      </c>
      <c r="L104" s="40">
        <v>1.0</v>
      </c>
      <c r="M104" s="25">
        <v>1.0</v>
      </c>
      <c r="N104" s="25">
        <v>1.0</v>
      </c>
      <c r="O104" s="25">
        <v>1.0</v>
      </c>
      <c r="P104" s="26">
        <v>4.0</v>
      </c>
      <c r="Q104" s="9"/>
      <c r="R104" s="9"/>
      <c r="S104" s="80" t="s">
        <v>129</v>
      </c>
      <c r="T104" s="73"/>
      <c r="U104" s="81" t="s">
        <v>362</v>
      </c>
      <c r="V104" s="74"/>
      <c r="W104" s="57"/>
      <c r="X104" s="9"/>
      <c r="Y104" s="9"/>
      <c r="Z104" s="9"/>
      <c r="AA104" s="9"/>
      <c r="AB104" s="57"/>
      <c r="AC104" s="82" t="s">
        <v>138</v>
      </c>
      <c r="AE104" s="83" t="s">
        <v>119</v>
      </c>
      <c r="AF104" s="7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9"/>
      <c r="AW104" s="9"/>
      <c r="AX104" s="9"/>
      <c r="AY104" s="57"/>
      <c r="AZ104" s="57"/>
      <c r="BA104" s="9"/>
      <c r="BB104" s="57"/>
      <c r="BC104" s="9"/>
      <c r="BD104" s="9"/>
      <c r="BE104" s="9"/>
      <c r="BF104" s="57"/>
      <c r="BG104" s="9"/>
      <c r="BH104" s="9"/>
      <c r="BI104" s="9"/>
      <c r="BJ104" s="57"/>
      <c r="BK104" s="57"/>
      <c r="BL104" s="9"/>
      <c r="BM104" s="9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</row>
    <row r="105">
      <c r="A105" s="39">
        <v>99.0</v>
      </c>
      <c r="C105" s="47"/>
      <c r="D105" s="24"/>
      <c r="E105" s="49"/>
      <c r="F105" s="25">
        <v>1.0</v>
      </c>
      <c r="G105" s="25">
        <v>1.0</v>
      </c>
      <c r="H105" s="40">
        <v>1.0</v>
      </c>
      <c r="I105" s="25">
        <v>1.0</v>
      </c>
      <c r="J105" s="25">
        <v>1.0</v>
      </c>
      <c r="K105" s="25">
        <v>4.0</v>
      </c>
      <c r="L105" s="25">
        <v>2.0</v>
      </c>
      <c r="M105" s="25">
        <v>2.0</v>
      </c>
      <c r="N105" s="25">
        <v>1.0</v>
      </c>
      <c r="O105" s="25">
        <v>1.0</v>
      </c>
      <c r="P105" s="26">
        <v>1.0</v>
      </c>
      <c r="Q105" s="9"/>
      <c r="R105" s="9"/>
      <c r="S105" s="57"/>
      <c r="T105" s="57"/>
      <c r="U105" s="57"/>
      <c r="V105" s="57"/>
      <c r="W105" s="57"/>
      <c r="X105" s="9"/>
      <c r="Y105" s="9"/>
      <c r="Z105" s="9"/>
      <c r="AA105" s="9"/>
      <c r="AB105" s="57"/>
      <c r="AC105" s="82" t="s">
        <v>363</v>
      </c>
      <c r="AE105" s="83" t="s">
        <v>127</v>
      </c>
      <c r="AF105" s="7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9"/>
      <c r="AW105" s="9"/>
      <c r="AX105" s="9"/>
      <c r="AY105" s="57"/>
      <c r="AZ105" s="57"/>
      <c r="BA105" s="9"/>
      <c r="BB105" s="57"/>
      <c r="BC105" s="9"/>
      <c r="BD105" s="9"/>
      <c r="BE105" s="9"/>
      <c r="BF105" s="57"/>
      <c r="BG105" s="9"/>
      <c r="BH105" s="9"/>
      <c r="BI105" s="9"/>
      <c r="BJ105" s="57"/>
      <c r="BK105" s="57"/>
      <c r="BL105" s="9"/>
      <c r="BM105" s="9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</row>
    <row r="106">
      <c r="A106" s="39">
        <v>100.0</v>
      </c>
      <c r="D106" s="25">
        <v>1.0</v>
      </c>
      <c r="E106" s="25">
        <v>2.0</v>
      </c>
      <c r="F106" s="47"/>
      <c r="G106" s="25">
        <v>1.0</v>
      </c>
      <c r="H106" s="25">
        <v>1.0</v>
      </c>
      <c r="I106" s="25">
        <v>1.0</v>
      </c>
      <c r="J106" s="25">
        <v>1.0</v>
      </c>
      <c r="K106" s="25">
        <v>1.0</v>
      </c>
      <c r="L106" s="25">
        <v>1.0</v>
      </c>
      <c r="M106" s="25">
        <v>2.0</v>
      </c>
      <c r="N106" s="25">
        <v>4.0</v>
      </c>
      <c r="O106" s="25">
        <v>2.0</v>
      </c>
      <c r="P106" s="26">
        <v>1.0</v>
      </c>
      <c r="Q106" s="9"/>
      <c r="R106" s="9"/>
      <c r="S106" s="57"/>
      <c r="T106" s="57"/>
      <c r="U106" s="57"/>
      <c r="V106" s="57"/>
      <c r="W106" s="57"/>
      <c r="X106" s="9"/>
      <c r="Y106" s="9"/>
      <c r="Z106" s="9"/>
      <c r="AA106" s="9"/>
      <c r="AB106" s="57"/>
      <c r="AC106" s="84" t="s">
        <v>176</v>
      </c>
      <c r="AE106" s="85" t="s">
        <v>167</v>
      </c>
      <c r="AF106" s="7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9"/>
      <c r="AW106" s="9"/>
      <c r="AX106" s="9"/>
      <c r="AY106" s="57"/>
      <c r="AZ106" s="57"/>
      <c r="BA106" s="9"/>
      <c r="BB106" s="57"/>
      <c r="BC106" s="9"/>
      <c r="BD106" s="9"/>
      <c r="BE106" s="9"/>
      <c r="BF106" s="57"/>
      <c r="BG106" s="9"/>
      <c r="BH106" s="9"/>
      <c r="BI106" s="9"/>
      <c r="BJ106" s="57"/>
      <c r="BK106" s="57"/>
      <c r="BL106" s="9"/>
      <c r="BM106" s="9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</row>
    <row r="107">
      <c r="A107" s="39">
        <v>101.0</v>
      </c>
      <c r="D107" s="25">
        <v>1.0</v>
      </c>
      <c r="F107" s="49"/>
      <c r="G107" s="49"/>
      <c r="H107" s="25">
        <v>1.0</v>
      </c>
      <c r="I107" s="25">
        <v>1.0</v>
      </c>
      <c r="J107" s="25">
        <v>2.0</v>
      </c>
      <c r="K107" s="25">
        <v>1.0</v>
      </c>
      <c r="L107" s="47"/>
      <c r="M107" s="25">
        <v>1.0</v>
      </c>
      <c r="N107" s="25">
        <v>1.0</v>
      </c>
      <c r="O107" s="25">
        <v>1.0</v>
      </c>
      <c r="P107" s="26">
        <v>1.0</v>
      </c>
      <c r="Q107" s="9"/>
      <c r="R107" s="9"/>
      <c r="S107" s="57"/>
      <c r="T107" s="57"/>
      <c r="U107" s="57"/>
      <c r="V107" s="57"/>
      <c r="W107" s="57"/>
      <c r="X107" s="9"/>
      <c r="Y107" s="9"/>
      <c r="Z107" s="9"/>
      <c r="AA107" s="9"/>
      <c r="AB107" s="57"/>
      <c r="AC107" s="82" t="s">
        <v>185</v>
      </c>
      <c r="AE107" s="83" t="s">
        <v>111</v>
      </c>
      <c r="AF107" s="7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9"/>
      <c r="AW107" s="9"/>
      <c r="AX107" s="9"/>
      <c r="AY107" s="57"/>
      <c r="AZ107" s="57"/>
      <c r="BA107" s="9"/>
      <c r="BB107" s="57"/>
      <c r="BC107" s="9"/>
      <c r="BD107" s="9"/>
      <c r="BE107" s="9"/>
      <c r="BF107" s="57"/>
      <c r="BG107" s="9"/>
      <c r="BH107" s="9"/>
      <c r="BI107" s="9"/>
      <c r="BJ107" s="57"/>
      <c r="BK107" s="57"/>
      <c r="BL107" s="9"/>
      <c r="BM107" s="9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</row>
    <row r="108">
      <c r="A108" s="39">
        <v>102.0</v>
      </c>
      <c r="B108" s="49"/>
      <c r="C108" s="49"/>
      <c r="D108" s="49"/>
      <c r="E108" s="49"/>
      <c r="F108" s="25">
        <v>2.0</v>
      </c>
      <c r="G108" s="25">
        <v>1.0</v>
      </c>
      <c r="H108" s="25">
        <v>1.0</v>
      </c>
      <c r="I108" s="25">
        <v>1.0</v>
      </c>
      <c r="J108" s="25">
        <v>2.0</v>
      </c>
      <c r="K108" s="25">
        <v>1.0</v>
      </c>
      <c r="L108" s="25">
        <v>1.0</v>
      </c>
      <c r="M108" s="25">
        <v>3.0</v>
      </c>
      <c r="N108" s="25">
        <v>1.0</v>
      </c>
      <c r="O108" s="25">
        <v>1.0</v>
      </c>
      <c r="P108" s="26">
        <v>2.0</v>
      </c>
      <c r="Q108" s="9"/>
      <c r="R108" s="9"/>
      <c r="S108" s="57"/>
      <c r="T108" s="57"/>
      <c r="U108" s="57"/>
      <c r="V108" s="57"/>
      <c r="W108" s="57"/>
      <c r="X108" s="9"/>
      <c r="Y108" s="9"/>
      <c r="Z108" s="9"/>
      <c r="AA108" s="9"/>
      <c r="AB108" s="57"/>
      <c r="AC108" s="82" t="s">
        <v>265</v>
      </c>
      <c r="AE108" s="83" t="s">
        <v>119</v>
      </c>
      <c r="AF108" s="7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9"/>
      <c r="AW108" s="9"/>
      <c r="AX108" s="9"/>
      <c r="AY108" s="57"/>
      <c r="AZ108" s="57"/>
      <c r="BA108" s="9"/>
      <c r="BB108" s="57"/>
      <c r="BC108" s="9"/>
      <c r="BD108" s="9"/>
      <c r="BE108" s="9"/>
      <c r="BF108" s="57"/>
      <c r="BG108" s="9"/>
      <c r="BH108" s="9"/>
      <c r="BI108" s="9"/>
      <c r="BJ108" s="57"/>
      <c r="BK108" s="57"/>
      <c r="BL108" s="9"/>
      <c r="BM108" s="9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</row>
    <row r="109">
      <c r="A109" s="39">
        <v>103.0</v>
      </c>
      <c r="C109" s="49"/>
      <c r="D109" s="25">
        <v>1.0</v>
      </c>
      <c r="F109" s="25">
        <v>1.0</v>
      </c>
      <c r="G109" s="25">
        <v>1.0</v>
      </c>
      <c r="H109" s="25">
        <v>1.0</v>
      </c>
      <c r="I109" s="25">
        <v>1.0</v>
      </c>
      <c r="J109" s="25">
        <v>3.0</v>
      </c>
      <c r="K109" s="25">
        <v>2.0</v>
      </c>
      <c r="L109" s="25">
        <v>1.0</v>
      </c>
      <c r="M109" s="25">
        <v>1.0</v>
      </c>
      <c r="N109" s="25">
        <v>1.0</v>
      </c>
      <c r="O109" s="25">
        <v>1.0</v>
      </c>
      <c r="P109" s="26">
        <v>1.0</v>
      </c>
      <c r="Q109" s="9"/>
      <c r="R109" s="9"/>
      <c r="S109" s="57"/>
      <c r="T109" s="57"/>
      <c r="U109" s="57"/>
      <c r="V109" s="57"/>
      <c r="W109" s="57"/>
      <c r="X109" s="9"/>
      <c r="Y109" s="9"/>
      <c r="Z109" s="9"/>
      <c r="AA109" s="9"/>
      <c r="AB109" s="57"/>
      <c r="AC109" s="82" t="s">
        <v>102</v>
      </c>
      <c r="AE109" s="83" t="s">
        <v>127</v>
      </c>
      <c r="AF109" s="7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9"/>
      <c r="AW109" s="9"/>
      <c r="AX109" s="9"/>
      <c r="AY109" s="57"/>
      <c r="AZ109" s="57"/>
      <c r="BA109" s="9"/>
      <c r="BB109" s="57"/>
      <c r="BC109" s="9"/>
      <c r="BD109" s="9"/>
      <c r="BE109" s="9"/>
      <c r="BF109" s="57"/>
      <c r="BG109" s="9"/>
      <c r="BH109" s="9"/>
      <c r="BI109" s="9"/>
      <c r="BJ109" s="57"/>
      <c r="BK109" s="57"/>
      <c r="BL109" s="9"/>
      <c r="BM109" s="9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</row>
    <row r="110">
      <c r="A110" s="39">
        <v>104.0</v>
      </c>
      <c r="D110" s="25">
        <v>1.0</v>
      </c>
      <c r="E110" s="29"/>
      <c r="F110" s="25">
        <v>1.0</v>
      </c>
      <c r="G110" s="25">
        <v>3.0</v>
      </c>
      <c r="H110" s="25">
        <v>1.0</v>
      </c>
      <c r="I110" s="25">
        <v>1.0</v>
      </c>
      <c r="J110" s="25">
        <v>2.0</v>
      </c>
      <c r="K110" s="25">
        <v>1.0</v>
      </c>
      <c r="L110" s="25">
        <v>2.0</v>
      </c>
      <c r="M110" s="25">
        <v>1.0</v>
      </c>
      <c r="N110" s="25">
        <v>2.0</v>
      </c>
      <c r="O110" s="47" t="s">
        <v>364</v>
      </c>
      <c r="P110" s="26">
        <v>1.0</v>
      </c>
      <c r="Q110" s="9"/>
      <c r="R110" s="9"/>
      <c r="S110" s="57"/>
      <c r="T110" s="57"/>
      <c r="U110" s="57"/>
      <c r="V110" s="57"/>
      <c r="W110" s="57"/>
      <c r="X110" s="9"/>
      <c r="Y110" s="9"/>
      <c r="Z110" s="9"/>
      <c r="AA110" s="9"/>
      <c r="AB110" s="57"/>
      <c r="AC110" s="113" t="s">
        <v>90</v>
      </c>
      <c r="AD110" s="73"/>
      <c r="AE110" s="114" t="s">
        <v>167</v>
      </c>
      <c r="AF110" s="74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9"/>
      <c r="AW110" s="9"/>
      <c r="AX110" s="9"/>
      <c r="AY110" s="57"/>
      <c r="AZ110" s="57"/>
      <c r="BA110" s="9"/>
      <c r="BB110" s="57"/>
      <c r="BC110" s="9"/>
      <c r="BD110" s="9"/>
      <c r="BE110" s="9"/>
      <c r="BF110" s="57"/>
      <c r="BG110" s="9"/>
      <c r="BH110" s="9"/>
      <c r="BI110" s="9"/>
      <c r="BJ110" s="57"/>
      <c r="BK110" s="57"/>
      <c r="BL110" s="9"/>
      <c r="BM110" s="9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</row>
    <row r="111">
      <c r="A111" s="39">
        <v>105.0</v>
      </c>
      <c r="D111" s="25">
        <v>1.0</v>
      </c>
      <c r="E111" s="49"/>
      <c r="F111" s="25">
        <v>2.0</v>
      </c>
      <c r="G111" s="25">
        <v>1.0</v>
      </c>
      <c r="H111" s="25">
        <v>1.0</v>
      </c>
      <c r="I111" s="49"/>
      <c r="J111" s="25">
        <v>1.0</v>
      </c>
      <c r="K111" s="25">
        <v>1.0</v>
      </c>
      <c r="L111" s="25">
        <v>1.0</v>
      </c>
      <c r="M111" s="25">
        <v>1.0</v>
      </c>
      <c r="N111" s="25">
        <v>1.0</v>
      </c>
      <c r="O111" s="25">
        <v>1.0</v>
      </c>
      <c r="P111" s="26">
        <v>1.0</v>
      </c>
      <c r="Q111" s="9"/>
      <c r="R111" s="9"/>
      <c r="S111" s="57"/>
      <c r="T111" s="57"/>
      <c r="U111" s="57"/>
      <c r="V111" s="57"/>
      <c r="W111" s="57"/>
      <c r="X111" s="9"/>
      <c r="Y111" s="9"/>
      <c r="Z111" s="9"/>
      <c r="AA111" s="9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9"/>
      <c r="AW111" s="9"/>
      <c r="AX111" s="9"/>
      <c r="AY111" s="57"/>
      <c r="AZ111" s="57"/>
      <c r="BA111" s="9"/>
      <c r="BB111" s="57"/>
      <c r="BC111" s="9"/>
      <c r="BD111" s="9"/>
      <c r="BE111" s="9"/>
      <c r="BF111" s="57"/>
      <c r="BG111" s="9"/>
      <c r="BH111" s="9"/>
      <c r="BI111" s="9"/>
      <c r="BJ111" s="57"/>
      <c r="BK111" s="57"/>
      <c r="BL111" s="9"/>
      <c r="BM111" s="9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</row>
    <row r="112">
      <c r="A112" s="39">
        <v>106.0</v>
      </c>
      <c r="C112" s="25">
        <v>1.0</v>
      </c>
      <c r="D112" s="25">
        <v>1.0</v>
      </c>
      <c r="E112" s="25">
        <v>1.0</v>
      </c>
      <c r="F112" s="25">
        <v>2.0</v>
      </c>
      <c r="G112" s="47"/>
      <c r="H112" s="25">
        <v>1.0</v>
      </c>
      <c r="I112" s="47"/>
      <c r="J112" s="25">
        <v>1.0</v>
      </c>
      <c r="K112" s="25">
        <v>1.0</v>
      </c>
      <c r="L112" s="25">
        <v>2.0</v>
      </c>
      <c r="M112" s="25">
        <v>1.0</v>
      </c>
      <c r="N112" s="25">
        <v>1.0</v>
      </c>
      <c r="O112" s="25">
        <v>1.0</v>
      </c>
      <c r="P112" s="26">
        <v>1.0</v>
      </c>
      <c r="Q112" s="9"/>
      <c r="R112" s="9"/>
      <c r="S112" s="57"/>
      <c r="T112" s="57"/>
      <c r="U112" s="57"/>
      <c r="V112" s="57"/>
      <c r="W112" s="57"/>
      <c r="X112" s="9"/>
      <c r="Y112" s="9"/>
      <c r="Z112" s="9"/>
      <c r="AA112" s="9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9"/>
      <c r="AW112" s="9"/>
      <c r="AX112" s="9"/>
      <c r="AY112" s="57"/>
      <c r="AZ112" s="57"/>
      <c r="BA112" s="9"/>
      <c r="BB112" s="57"/>
      <c r="BC112" s="9"/>
      <c r="BD112" s="9"/>
      <c r="BE112" s="9"/>
      <c r="BF112" s="57"/>
      <c r="BG112" s="9"/>
      <c r="BH112" s="9"/>
      <c r="BI112" s="9"/>
      <c r="BJ112" s="57"/>
      <c r="BK112" s="57"/>
      <c r="BL112" s="9"/>
      <c r="BM112" s="9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</row>
    <row r="113">
      <c r="A113" s="39">
        <v>107.0</v>
      </c>
      <c r="B113" s="25">
        <v>1.0</v>
      </c>
      <c r="D113" s="25">
        <v>1.0</v>
      </c>
      <c r="E113" s="25">
        <v>1.0</v>
      </c>
      <c r="F113" s="25">
        <v>1.0</v>
      </c>
      <c r="G113" s="25">
        <v>3.0</v>
      </c>
      <c r="H113" s="25">
        <v>2.0</v>
      </c>
      <c r="I113" s="25">
        <v>1.0</v>
      </c>
      <c r="J113" s="25">
        <v>2.0</v>
      </c>
      <c r="K113" s="25">
        <v>1.0</v>
      </c>
      <c r="L113" s="25">
        <v>1.0</v>
      </c>
      <c r="M113" s="25">
        <v>2.0</v>
      </c>
      <c r="N113" s="25">
        <v>1.0</v>
      </c>
      <c r="O113" s="25">
        <v>1.0</v>
      </c>
      <c r="P113" s="26">
        <v>1.0</v>
      </c>
      <c r="Q113" s="9"/>
      <c r="R113" s="9"/>
      <c r="S113" s="57"/>
      <c r="T113" s="57"/>
      <c r="U113" s="57"/>
      <c r="V113" s="57"/>
      <c r="W113" s="57"/>
      <c r="X113" s="9"/>
      <c r="Y113" s="9"/>
      <c r="Z113" s="9"/>
      <c r="AA113" s="9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9"/>
      <c r="AW113" s="9"/>
      <c r="AX113" s="9"/>
      <c r="AY113" s="57"/>
      <c r="AZ113" s="57"/>
      <c r="BA113" s="9"/>
      <c r="BB113" s="57"/>
      <c r="BC113" s="9"/>
      <c r="BD113" s="9"/>
      <c r="BE113" s="9"/>
      <c r="BF113" s="57"/>
      <c r="BG113" s="9"/>
      <c r="BH113" s="9"/>
      <c r="BI113" s="9"/>
      <c r="BJ113" s="57"/>
      <c r="BK113" s="57"/>
      <c r="BL113" s="9"/>
      <c r="BM113" s="9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</row>
    <row r="114">
      <c r="A114" s="39">
        <v>108.0</v>
      </c>
      <c r="C114" s="25">
        <v>1.0</v>
      </c>
      <c r="D114" s="25">
        <v>3.0</v>
      </c>
      <c r="E114" s="25">
        <v>1.0</v>
      </c>
      <c r="F114" s="25">
        <v>1.0</v>
      </c>
      <c r="G114" s="25">
        <v>1.0</v>
      </c>
      <c r="H114" s="25">
        <v>1.0</v>
      </c>
      <c r="I114" s="25">
        <v>1.0</v>
      </c>
      <c r="J114" s="25">
        <v>1.0</v>
      </c>
      <c r="K114" s="25">
        <v>1.0</v>
      </c>
      <c r="L114" s="25">
        <v>2.0</v>
      </c>
      <c r="M114" s="25">
        <v>2.0</v>
      </c>
      <c r="N114" s="47"/>
      <c r="O114" s="25">
        <v>2.0</v>
      </c>
      <c r="P114" s="62"/>
      <c r="Q114" s="9"/>
      <c r="R114" s="9"/>
      <c r="S114" s="57"/>
      <c r="T114" s="57"/>
      <c r="U114" s="57"/>
      <c r="V114" s="57"/>
      <c r="W114" s="57"/>
      <c r="X114" s="9"/>
      <c r="Y114" s="9"/>
      <c r="Z114" s="9"/>
      <c r="AA114" s="9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9"/>
      <c r="AW114" s="9"/>
      <c r="AX114" s="9"/>
      <c r="AY114" s="57"/>
      <c r="AZ114" s="57"/>
      <c r="BA114" s="9"/>
      <c r="BB114" s="57"/>
      <c r="BC114" s="9"/>
      <c r="BD114" s="9"/>
      <c r="BE114" s="9"/>
      <c r="BF114" s="57"/>
      <c r="BG114" s="9"/>
      <c r="BH114" s="9"/>
      <c r="BI114" s="9"/>
      <c r="BJ114" s="57"/>
      <c r="BK114" s="57"/>
      <c r="BL114" s="9"/>
      <c r="BM114" s="9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</row>
    <row r="115">
      <c r="A115" s="39">
        <v>109.0</v>
      </c>
      <c r="D115" s="25">
        <v>1.0</v>
      </c>
      <c r="E115" s="25">
        <v>1.0</v>
      </c>
      <c r="F115" s="25">
        <v>1.0</v>
      </c>
      <c r="G115" s="40">
        <v>1.0</v>
      </c>
      <c r="H115" s="25">
        <v>3.0</v>
      </c>
      <c r="I115" s="25">
        <v>2.0</v>
      </c>
      <c r="J115" s="25">
        <v>1.0</v>
      </c>
      <c r="K115" s="25">
        <v>2.0</v>
      </c>
      <c r="L115" s="25">
        <v>1.0</v>
      </c>
      <c r="M115" s="25">
        <v>1.0</v>
      </c>
      <c r="N115" s="25">
        <v>1.0</v>
      </c>
      <c r="O115" s="25">
        <v>1.0</v>
      </c>
      <c r="P115" s="62"/>
      <c r="Q115" s="9"/>
      <c r="R115" s="9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9"/>
      <c r="AW115" s="9"/>
      <c r="AX115" s="9"/>
      <c r="AY115" s="57"/>
      <c r="AZ115" s="57"/>
      <c r="BA115" s="9"/>
      <c r="BB115" s="57"/>
      <c r="BC115" s="9"/>
      <c r="BD115" s="9"/>
      <c r="BE115" s="9"/>
      <c r="BF115" s="57"/>
      <c r="BG115" s="9"/>
      <c r="BH115" s="9"/>
      <c r="BI115" s="9"/>
      <c r="BJ115" s="57"/>
      <c r="BK115" s="57"/>
      <c r="BL115" s="9"/>
      <c r="BM115" s="9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</row>
    <row r="116">
      <c r="A116" s="39">
        <v>110.0</v>
      </c>
      <c r="C116" s="49"/>
      <c r="D116" s="25">
        <v>2.0</v>
      </c>
      <c r="E116" s="25">
        <v>1.0</v>
      </c>
      <c r="F116" s="25">
        <v>1.0</v>
      </c>
      <c r="G116" s="25">
        <v>1.0</v>
      </c>
      <c r="H116" s="25">
        <v>1.0</v>
      </c>
      <c r="I116" s="25">
        <v>2.0</v>
      </c>
      <c r="J116" s="25">
        <v>1.0</v>
      </c>
      <c r="K116" s="25">
        <v>1.0</v>
      </c>
      <c r="L116" s="25">
        <v>1.0</v>
      </c>
      <c r="M116" s="25">
        <v>1.0</v>
      </c>
      <c r="N116" s="25">
        <v>3.0</v>
      </c>
      <c r="O116" s="25">
        <v>2.0</v>
      </c>
      <c r="P116" s="26">
        <v>1.0</v>
      </c>
      <c r="Q116" s="9"/>
      <c r="R116" s="9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9"/>
      <c r="AW116" s="9"/>
      <c r="AX116" s="9"/>
      <c r="AY116" s="57"/>
      <c r="AZ116" s="57"/>
      <c r="BA116" s="9"/>
      <c r="BB116" s="57"/>
      <c r="BC116" s="9"/>
      <c r="BD116" s="9"/>
      <c r="BE116" s="9"/>
      <c r="BF116" s="57"/>
      <c r="BG116" s="9"/>
      <c r="BH116" s="9"/>
      <c r="BI116" s="9"/>
      <c r="BJ116" s="57"/>
      <c r="BK116" s="57"/>
      <c r="BL116" s="9"/>
      <c r="BM116" s="9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</row>
    <row r="117">
      <c r="A117" s="39">
        <v>111.0</v>
      </c>
      <c r="B117" s="49"/>
      <c r="D117" s="25">
        <v>1.0</v>
      </c>
      <c r="E117" s="25">
        <v>1.0</v>
      </c>
      <c r="F117" s="25">
        <v>1.0</v>
      </c>
      <c r="G117" s="25">
        <v>1.0</v>
      </c>
      <c r="H117" s="46">
        <v>3.0</v>
      </c>
      <c r="I117" s="25">
        <v>1.0</v>
      </c>
      <c r="J117" s="25">
        <v>1.0</v>
      </c>
      <c r="K117" s="25">
        <v>2.0</v>
      </c>
      <c r="L117" s="25">
        <v>1.0</v>
      </c>
      <c r="M117" s="25">
        <v>1.0</v>
      </c>
      <c r="N117" s="25">
        <v>1.0</v>
      </c>
      <c r="O117" s="25">
        <v>2.0</v>
      </c>
      <c r="P117" s="26">
        <v>1.0</v>
      </c>
      <c r="Q117" s="9"/>
      <c r="R117" s="9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9"/>
      <c r="AW117" s="9"/>
      <c r="AX117" s="9"/>
      <c r="AY117" s="57"/>
      <c r="AZ117" s="57"/>
      <c r="BA117" s="9"/>
      <c r="BB117" s="57"/>
      <c r="BC117" s="9"/>
      <c r="BD117" s="9"/>
      <c r="BE117" s="9"/>
      <c r="BF117" s="57"/>
      <c r="BG117" s="9"/>
      <c r="BH117" s="9"/>
      <c r="BI117" s="9"/>
      <c r="BJ117" s="57"/>
      <c r="BK117" s="57"/>
      <c r="BL117" s="9"/>
      <c r="BM117" s="9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</row>
    <row r="118">
      <c r="A118" s="39">
        <v>112.0</v>
      </c>
      <c r="B118" s="49"/>
      <c r="D118" s="49"/>
      <c r="E118" s="25">
        <v>3.0</v>
      </c>
      <c r="F118" s="25">
        <v>1.0</v>
      </c>
      <c r="G118" s="25">
        <v>1.0</v>
      </c>
      <c r="H118" s="25">
        <v>2.0</v>
      </c>
      <c r="I118" s="25">
        <v>3.0</v>
      </c>
      <c r="J118" s="25">
        <v>1.0</v>
      </c>
      <c r="K118" s="25">
        <v>3.0</v>
      </c>
      <c r="L118" s="25">
        <v>1.0</v>
      </c>
      <c r="M118" s="25">
        <v>2.0</v>
      </c>
      <c r="N118" s="25">
        <v>1.0</v>
      </c>
      <c r="O118" s="47" t="s">
        <v>365</v>
      </c>
      <c r="P118" s="26">
        <v>1.0</v>
      </c>
      <c r="Q118" s="9"/>
      <c r="R118" s="9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9"/>
      <c r="AW118" s="9"/>
      <c r="AX118" s="9"/>
      <c r="AY118" s="57"/>
      <c r="AZ118" s="57"/>
      <c r="BA118" s="9"/>
      <c r="BB118" s="57"/>
      <c r="BC118" s="9"/>
      <c r="BD118" s="9"/>
      <c r="BE118" s="9"/>
      <c r="BF118" s="57"/>
      <c r="BG118" s="9"/>
      <c r="BH118" s="9"/>
      <c r="BI118" s="9"/>
      <c r="BJ118" s="57"/>
      <c r="BK118" s="57"/>
      <c r="BL118" s="9"/>
      <c r="BM118" s="9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</row>
    <row r="119">
      <c r="A119" s="39">
        <v>113.0</v>
      </c>
      <c r="C119" s="25">
        <v>1.0</v>
      </c>
      <c r="D119" s="25">
        <v>3.0</v>
      </c>
      <c r="E119" s="25">
        <v>1.0</v>
      </c>
      <c r="F119" s="25">
        <v>1.0</v>
      </c>
      <c r="G119" s="25">
        <v>1.0</v>
      </c>
      <c r="H119" s="25">
        <v>1.0</v>
      </c>
      <c r="I119" s="25">
        <v>1.0</v>
      </c>
      <c r="J119" s="25">
        <v>1.0</v>
      </c>
      <c r="K119" s="25">
        <v>1.0</v>
      </c>
      <c r="L119" s="25">
        <v>1.0</v>
      </c>
      <c r="M119" s="25">
        <v>1.0</v>
      </c>
      <c r="N119" s="25">
        <v>2.0</v>
      </c>
      <c r="O119" s="25">
        <v>1.0</v>
      </c>
      <c r="P119" s="55"/>
      <c r="Q119" s="9"/>
      <c r="R119" s="9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9"/>
      <c r="AW119" s="9"/>
      <c r="AX119" s="9"/>
      <c r="AY119" s="57"/>
      <c r="AZ119" s="57"/>
      <c r="BA119" s="9"/>
      <c r="BB119" s="57"/>
      <c r="BC119" s="9"/>
      <c r="BD119" s="9"/>
      <c r="BE119" s="9"/>
      <c r="BF119" s="57"/>
      <c r="BG119" s="9"/>
      <c r="BH119" s="9"/>
      <c r="BI119" s="9"/>
      <c r="BJ119" s="57"/>
      <c r="BK119" s="57"/>
      <c r="BL119" s="9"/>
      <c r="BM119" s="9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</row>
    <row r="120">
      <c r="A120" s="39">
        <v>114.0</v>
      </c>
      <c r="B120" s="49"/>
      <c r="C120" s="25">
        <v>3.0</v>
      </c>
      <c r="D120" s="47"/>
      <c r="E120" s="25">
        <v>1.0</v>
      </c>
      <c r="F120" s="25">
        <v>1.0</v>
      </c>
      <c r="G120" s="25">
        <v>1.0</v>
      </c>
      <c r="H120" s="25">
        <v>1.0</v>
      </c>
      <c r="I120" s="25">
        <v>2.0</v>
      </c>
      <c r="J120" s="25">
        <v>1.0</v>
      </c>
      <c r="K120" s="25">
        <v>1.0</v>
      </c>
      <c r="L120" s="49"/>
      <c r="M120" s="25">
        <v>1.0</v>
      </c>
      <c r="N120" s="25">
        <v>2.0</v>
      </c>
      <c r="O120" s="25">
        <v>1.0</v>
      </c>
      <c r="P120" s="55"/>
      <c r="Q120" s="9"/>
      <c r="R120" s="9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9"/>
      <c r="AW120" s="9"/>
      <c r="AX120" s="9"/>
      <c r="AY120" s="57"/>
      <c r="AZ120" s="57"/>
      <c r="BA120" s="9"/>
      <c r="BB120" s="57"/>
      <c r="BC120" s="9"/>
      <c r="BD120" s="9"/>
      <c r="BE120" s="9"/>
      <c r="BF120" s="57"/>
      <c r="BG120" s="9"/>
      <c r="BH120" s="9"/>
      <c r="BI120" s="9"/>
      <c r="BJ120" s="57"/>
      <c r="BK120" s="57"/>
      <c r="BL120" s="9"/>
      <c r="BM120" s="9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</row>
    <row r="121">
      <c r="A121" s="39">
        <v>115.0</v>
      </c>
      <c r="C121" s="49"/>
      <c r="D121" s="25">
        <v>2.0</v>
      </c>
      <c r="E121" s="25">
        <v>1.0</v>
      </c>
      <c r="F121" s="25">
        <v>1.0</v>
      </c>
      <c r="G121" s="49"/>
      <c r="H121" s="25">
        <v>1.0</v>
      </c>
      <c r="I121" s="25">
        <v>2.0</v>
      </c>
      <c r="J121" s="25">
        <v>1.0</v>
      </c>
      <c r="K121" s="25">
        <v>1.0</v>
      </c>
      <c r="L121" s="25">
        <v>1.0</v>
      </c>
      <c r="M121" s="25">
        <v>1.0</v>
      </c>
      <c r="N121" s="25">
        <v>1.0</v>
      </c>
      <c r="O121" s="25">
        <v>1.0</v>
      </c>
      <c r="P121" s="26">
        <v>1.0</v>
      </c>
      <c r="Q121" s="9"/>
      <c r="R121" s="9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9"/>
      <c r="AW121" s="9"/>
      <c r="AX121" s="9"/>
      <c r="AY121" s="57"/>
      <c r="AZ121" s="57"/>
      <c r="BA121" s="9"/>
      <c r="BB121" s="57"/>
      <c r="BC121" s="9"/>
      <c r="BD121" s="9"/>
      <c r="BE121" s="9"/>
      <c r="BF121" s="57"/>
      <c r="BG121" s="9"/>
      <c r="BH121" s="9"/>
      <c r="BI121" s="9"/>
      <c r="BJ121" s="57"/>
      <c r="BK121" s="57"/>
      <c r="BL121" s="9"/>
      <c r="BM121" s="9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</row>
    <row r="122">
      <c r="A122" s="39">
        <v>116.0</v>
      </c>
      <c r="D122" s="25">
        <v>1.0</v>
      </c>
      <c r="F122" s="25">
        <v>1.0</v>
      </c>
      <c r="G122" s="25">
        <v>2.0</v>
      </c>
      <c r="H122" s="25">
        <v>2.0</v>
      </c>
      <c r="I122" s="25">
        <v>1.0</v>
      </c>
      <c r="J122" s="25">
        <v>1.0</v>
      </c>
      <c r="K122" s="25">
        <v>2.0</v>
      </c>
      <c r="L122" s="25">
        <v>1.0</v>
      </c>
      <c r="M122" s="25">
        <v>1.0</v>
      </c>
      <c r="N122" s="25">
        <v>1.0</v>
      </c>
      <c r="O122" s="25">
        <v>1.0</v>
      </c>
      <c r="P122" s="26">
        <v>2.0</v>
      </c>
      <c r="Q122" s="9"/>
      <c r="R122" s="9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9"/>
      <c r="AW122" s="9"/>
      <c r="AX122" s="9"/>
      <c r="AY122" s="57"/>
      <c r="AZ122" s="57"/>
      <c r="BA122" s="9"/>
      <c r="BB122" s="57"/>
      <c r="BC122" s="9"/>
      <c r="BD122" s="9"/>
      <c r="BE122" s="9"/>
      <c r="BF122" s="57"/>
      <c r="BG122" s="9"/>
      <c r="BH122" s="9"/>
      <c r="BI122" s="9"/>
      <c r="BJ122" s="57"/>
      <c r="BK122" s="57"/>
      <c r="BL122" s="9"/>
      <c r="BM122" s="9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</row>
    <row r="123">
      <c r="A123" s="39">
        <v>117.0</v>
      </c>
      <c r="C123" s="25">
        <v>1.0</v>
      </c>
      <c r="D123" s="25">
        <v>1.0</v>
      </c>
      <c r="E123" s="49"/>
      <c r="F123" s="25">
        <v>1.0</v>
      </c>
      <c r="G123" s="25">
        <v>1.0</v>
      </c>
      <c r="H123" s="25">
        <v>1.0</v>
      </c>
      <c r="I123" s="25">
        <v>1.0</v>
      </c>
      <c r="J123" s="40">
        <v>2.0</v>
      </c>
      <c r="K123" s="25">
        <v>1.0</v>
      </c>
      <c r="L123" s="25">
        <v>1.0</v>
      </c>
      <c r="M123" s="25">
        <v>2.0</v>
      </c>
      <c r="N123" s="25">
        <v>2.0</v>
      </c>
      <c r="O123" s="25">
        <v>1.0</v>
      </c>
      <c r="P123" s="26">
        <v>1.0</v>
      </c>
      <c r="Q123" s="9"/>
      <c r="R123" s="9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9"/>
      <c r="AW123" s="9"/>
      <c r="AX123" s="9"/>
      <c r="AY123" s="57"/>
      <c r="AZ123" s="57"/>
      <c r="BA123" s="9"/>
      <c r="BB123" s="57"/>
      <c r="BC123" s="9"/>
      <c r="BD123" s="9"/>
      <c r="BE123" s="9"/>
      <c r="BF123" s="57"/>
      <c r="BG123" s="9"/>
      <c r="BH123" s="9"/>
      <c r="BI123" s="9"/>
      <c r="BJ123" s="57"/>
      <c r="BK123" s="57"/>
      <c r="BL123" s="9"/>
      <c r="BM123" s="9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</row>
    <row r="124">
      <c r="A124" s="39">
        <v>118.0</v>
      </c>
      <c r="D124" s="25">
        <v>1.0</v>
      </c>
      <c r="E124" s="109"/>
      <c r="F124" s="25">
        <v>3.0</v>
      </c>
      <c r="G124" s="25">
        <v>3.0</v>
      </c>
      <c r="H124" s="25">
        <v>3.0</v>
      </c>
      <c r="I124" s="109"/>
      <c r="J124" s="109"/>
      <c r="K124" s="109"/>
      <c r="L124" s="25">
        <v>3.0</v>
      </c>
      <c r="M124" s="109"/>
      <c r="N124" s="109"/>
      <c r="O124" s="25">
        <v>2.0</v>
      </c>
      <c r="P124" s="116"/>
      <c r="Q124" s="9"/>
      <c r="R124" s="9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9"/>
      <c r="AW124" s="9"/>
      <c r="AX124" s="9"/>
      <c r="AY124" s="57"/>
      <c r="AZ124" s="57"/>
      <c r="BA124" s="9"/>
      <c r="BB124" s="57"/>
      <c r="BC124" s="9"/>
      <c r="BD124" s="9"/>
      <c r="BE124" s="9"/>
      <c r="BF124" s="57"/>
      <c r="BG124" s="9"/>
      <c r="BH124" s="9"/>
      <c r="BI124" s="9"/>
      <c r="BJ124" s="57"/>
      <c r="BK124" s="57"/>
      <c r="BL124" s="9"/>
      <c r="BM124" s="9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</row>
    <row r="125">
      <c r="A125" s="39">
        <v>119.0</v>
      </c>
      <c r="B125" s="49"/>
      <c r="C125" s="49"/>
      <c r="D125" s="25">
        <v>2.0</v>
      </c>
      <c r="E125" s="109"/>
      <c r="F125" s="109"/>
      <c r="G125" s="46">
        <v>3.0</v>
      </c>
      <c r="H125" s="25">
        <v>3.0</v>
      </c>
      <c r="I125" s="46">
        <v>3.0</v>
      </c>
      <c r="J125" s="109"/>
      <c r="K125" s="46">
        <v>3.0</v>
      </c>
      <c r="L125" s="25">
        <v>3.0</v>
      </c>
      <c r="M125" s="109"/>
      <c r="N125" s="109"/>
      <c r="O125" s="109"/>
      <c r="P125" s="117"/>
      <c r="Q125" s="9"/>
      <c r="R125" s="9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9"/>
      <c r="AW125" s="9"/>
      <c r="AX125" s="9"/>
      <c r="AY125" s="57"/>
      <c r="AZ125" s="57"/>
      <c r="BA125" s="9"/>
      <c r="BB125" s="57"/>
      <c r="BC125" s="9"/>
      <c r="BD125" s="9"/>
      <c r="BE125" s="9"/>
      <c r="BF125" s="57"/>
      <c r="BG125" s="9"/>
      <c r="BH125" s="9"/>
      <c r="BI125" s="9"/>
      <c r="BJ125" s="57"/>
      <c r="BK125" s="57"/>
      <c r="BL125" s="9"/>
      <c r="BM125" s="9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</row>
    <row r="126">
      <c r="A126" s="39">
        <v>120.0</v>
      </c>
      <c r="B126" s="109"/>
      <c r="C126" s="109"/>
      <c r="D126" s="25">
        <v>1.0</v>
      </c>
      <c r="E126" s="66"/>
      <c r="F126" s="118"/>
      <c r="G126" s="118"/>
      <c r="H126" s="118"/>
      <c r="I126" s="118"/>
      <c r="J126" s="118"/>
      <c r="K126" s="118"/>
      <c r="L126" s="52"/>
      <c r="M126" s="6"/>
      <c r="N126" s="109" t="s">
        <v>366</v>
      </c>
      <c r="O126" s="119">
        <v>3.0</v>
      </c>
      <c r="P126" s="9"/>
      <c r="Q126" s="9"/>
      <c r="R126" s="9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9"/>
      <c r="AW126" s="9"/>
      <c r="AX126" s="9"/>
      <c r="AY126" s="57"/>
      <c r="AZ126" s="57"/>
      <c r="BA126" s="9"/>
      <c r="BB126" s="57"/>
      <c r="BC126" s="9"/>
      <c r="BD126" s="9"/>
      <c r="BE126" s="9"/>
      <c r="BF126" s="57"/>
      <c r="BG126" s="9"/>
      <c r="BH126" s="9"/>
      <c r="BI126" s="9"/>
      <c r="BJ126" s="57"/>
      <c r="BK126" s="57"/>
      <c r="BL126" s="9"/>
      <c r="BM126" s="9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</row>
    <row r="127">
      <c r="A127" s="39">
        <v>121.0</v>
      </c>
      <c r="B127" s="109"/>
      <c r="C127" s="109"/>
      <c r="D127" s="25">
        <v>1.0</v>
      </c>
      <c r="E127" s="120"/>
      <c r="F127" s="121"/>
      <c r="G127" s="121"/>
      <c r="H127" s="121"/>
      <c r="I127" s="121"/>
      <c r="J127" s="121"/>
      <c r="K127" s="121"/>
      <c r="L127" s="121"/>
      <c r="M127" s="121"/>
      <c r="N127" s="118"/>
      <c r="O127" s="121"/>
      <c r="P127" s="9"/>
      <c r="Q127" s="9"/>
      <c r="R127" s="9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9"/>
      <c r="AW127" s="9"/>
      <c r="AX127" s="9"/>
      <c r="AY127" s="57"/>
      <c r="AZ127" s="57"/>
      <c r="BA127" s="9"/>
      <c r="BB127" s="57"/>
      <c r="BC127" s="9"/>
      <c r="BD127" s="9"/>
      <c r="BE127" s="9"/>
      <c r="BF127" s="57"/>
      <c r="BG127" s="9"/>
      <c r="BH127" s="9"/>
      <c r="BI127" s="9"/>
      <c r="BJ127" s="57"/>
      <c r="BK127" s="57"/>
      <c r="BL127" s="9"/>
      <c r="BM127" s="9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</row>
    <row r="128">
      <c r="A128" s="1">
        <v>122.0</v>
      </c>
      <c r="B128" s="66"/>
      <c r="C128" s="118"/>
      <c r="D128" s="122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9"/>
      <c r="Q128" s="9"/>
      <c r="R128" s="9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9"/>
      <c r="AW128" s="9"/>
      <c r="AX128" s="9"/>
      <c r="AY128" s="57"/>
      <c r="AZ128" s="57"/>
      <c r="BA128" s="9"/>
      <c r="BB128" s="57"/>
      <c r="BC128" s="9"/>
      <c r="BD128" s="9"/>
      <c r="BE128" s="9"/>
      <c r="BF128" s="57"/>
      <c r="BG128" s="9"/>
      <c r="BH128" s="9"/>
      <c r="BI128" s="9"/>
      <c r="BJ128" s="57"/>
      <c r="BK128" s="57"/>
      <c r="BL128" s="9"/>
      <c r="BM128" s="9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</row>
    <row r="129">
      <c r="A129" s="123">
        <v>123.0</v>
      </c>
      <c r="B129" s="120"/>
      <c r="C129" s="121"/>
      <c r="D129" s="11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9"/>
      <c r="Q129" s="9"/>
      <c r="R129" s="9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9"/>
      <c r="AW129" s="9"/>
      <c r="AX129" s="9"/>
      <c r="AY129" s="57"/>
      <c r="AZ129" s="57"/>
      <c r="BA129" s="9"/>
      <c r="BB129" s="57"/>
      <c r="BC129" s="9"/>
      <c r="BD129" s="9"/>
      <c r="BE129" s="9"/>
      <c r="BF129" s="57"/>
      <c r="BG129" s="9"/>
      <c r="BH129" s="9"/>
      <c r="BI129" s="9"/>
      <c r="BJ129" s="57"/>
      <c r="BK129" s="57"/>
      <c r="BL129" s="9"/>
      <c r="BM129" s="9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</row>
    <row r="130">
      <c r="A130" s="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9"/>
      <c r="Q130" s="9"/>
      <c r="R130" s="9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9"/>
      <c r="AW130" s="9"/>
      <c r="AX130" s="9"/>
      <c r="AY130" s="57"/>
      <c r="AZ130" s="57"/>
      <c r="BA130" s="9"/>
      <c r="BB130" s="57"/>
      <c r="BC130" s="9"/>
      <c r="BD130" s="9"/>
      <c r="BE130" s="9"/>
      <c r="BF130" s="57"/>
      <c r="BG130" s="9"/>
      <c r="BH130" s="9"/>
      <c r="BI130" s="9"/>
      <c r="BJ130" s="57"/>
      <c r="BK130" s="57"/>
      <c r="BL130" s="9"/>
      <c r="BM130" s="9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</row>
    <row r="131">
      <c r="A131" s="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9"/>
      <c r="Q131" s="9"/>
      <c r="R131" s="9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9"/>
      <c r="AW131" s="9"/>
      <c r="AX131" s="9"/>
      <c r="AY131" s="57"/>
      <c r="AZ131" s="57"/>
      <c r="BA131" s="9"/>
      <c r="BB131" s="57"/>
      <c r="BC131" s="9"/>
      <c r="BD131" s="9"/>
      <c r="BE131" s="9"/>
      <c r="BF131" s="57"/>
      <c r="BG131" s="9"/>
      <c r="BH131" s="9"/>
      <c r="BI131" s="9"/>
      <c r="BJ131" s="57"/>
      <c r="BK131" s="57"/>
      <c r="BL131" s="9"/>
      <c r="BM131" s="9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</row>
    <row r="132">
      <c r="A132" s="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9"/>
      <c r="Q132" s="9"/>
      <c r="R132" s="9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9"/>
      <c r="AW132" s="9"/>
      <c r="AX132" s="9"/>
      <c r="AY132" s="57"/>
      <c r="AZ132" s="57"/>
      <c r="BA132" s="9"/>
      <c r="BB132" s="57"/>
      <c r="BC132" s="9"/>
      <c r="BD132" s="9"/>
      <c r="BE132" s="9"/>
      <c r="BF132" s="57"/>
      <c r="BG132" s="9"/>
      <c r="BH132" s="9"/>
      <c r="BI132" s="9"/>
      <c r="BJ132" s="57"/>
      <c r="BK132" s="57"/>
      <c r="BL132" s="9"/>
      <c r="BM132" s="9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</row>
    <row r="133">
      <c r="A133" s="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9"/>
      <c r="Q133" s="9"/>
      <c r="R133" s="9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9"/>
      <c r="AW133" s="9"/>
      <c r="AX133" s="9"/>
      <c r="AY133" s="57"/>
      <c r="AZ133" s="57"/>
      <c r="BA133" s="9"/>
      <c r="BB133" s="57"/>
      <c r="BC133" s="9"/>
      <c r="BD133" s="9"/>
      <c r="BE133" s="9"/>
      <c r="BF133" s="57"/>
      <c r="BG133" s="9"/>
      <c r="BH133" s="9"/>
      <c r="BI133" s="9"/>
      <c r="BJ133" s="57"/>
      <c r="BK133" s="57"/>
      <c r="BL133" s="9"/>
      <c r="BM133" s="9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</row>
    <row r="134">
      <c r="A134" s="9"/>
      <c r="B134" s="9"/>
      <c r="C134" s="9"/>
      <c r="D134" s="9"/>
      <c r="E134" s="9"/>
      <c r="F134" s="9"/>
      <c r="G134" s="9"/>
      <c r="H134" s="9"/>
      <c r="I134" s="124"/>
      <c r="J134" s="9"/>
      <c r="K134" s="9"/>
      <c r="L134" s="9"/>
      <c r="M134" s="9"/>
      <c r="N134" s="9"/>
      <c r="O134" s="9"/>
      <c r="P134" s="9"/>
      <c r="Q134" s="9"/>
      <c r="R134" s="9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9"/>
      <c r="AW134" s="9"/>
      <c r="AX134" s="9"/>
      <c r="AY134" s="57"/>
      <c r="AZ134" s="57"/>
      <c r="BA134" s="9"/>
      <c r="BB134" s="57"/>
      <c r="BC134" s="9"/>
      <c r="BD134" s="9"/>
      <c r="BE134" s="9"/>
      <c r="BF134" s="57"/>
      <c r="BG134" s="9"/>
      <c r="BH134" s="9"/>
      <c r="BI134" s="9"/>
      <c r="BJ134" s="57"/>
      <c r="BK134" s="57"/>
      <c r="BL134" s="9"/>
      <c r="BM134" s="9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9"/>
      <c r="AW135" s="9"/>
      <c r="AX135" s="9"/>
      <c r="AY135" s="57"/>
      <c r="AZ135" s="57"/>
      <c r="BA135" s="9"/>
      <c r="BB135" s="57"/>
      <c r="BC135" s="9"/>
      <c r="BD135" s="9"/>
      <c r="BE135" s="9"/>
      <c r="BF135" s="57"/>
      <c r="BG135" s="9"/>
      <c r="BH135" s="9"/>
      <c r="BI135" s="9"/>
      <c r="BJ135" s="57"/>
      <c r="BK135" s="57"/>
      <c r="BL135" s="9"/>
      <c r="BM135" s="9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</row>
    <row r="136">
      <c r="A136" s="9"/>
      <c r="B136" s="9"/>
      <c r="C136" s="9"/>
      <c r="D136" s="9"/>
      <c r="E136" s="9"/>
      <c r="F136" s="9"/>
      <c r="G136" s="9"/>
      <c r="H136" s="125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9"/>
      <c r="AW136" s="9"/>
      <c r="AX136" s="9"/>
      <c r="AY136" s="57"/>
      <c r="AZ136" s="57"/>
      <c r="BA136" s="9"/>
      <c r="BB136" s="57"/>
      <c r="BC136" s="9"/>
      <c r="BD136" s="9"/>
      <c r="BE136" s="9"/>
      <c r="BF136" s="57"/>
      <c r="BG136" s="9"/>
      <c r="BH136" s="9"/>
      <c r="BI136" s="9"/>
      <c r="BJ136" s="57"/>
      <c r="BK136" s="57"/>
      <c r="BL136" s="9"/>
      <c r="BM136" s="9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9"/>
      <c r="AW137" s="9"/>
      <c r="AX137" s="9"/>
      <c r="AY137" s="57"/>
      <c r="AZ137" s="57"/>
      <c r="BA137" s="9"/>
      <c r="BB137" s="57"/>
      <c r="BC137" s="9"/>
      <c r="BD137" s="9"/>
      <c r="BE137" s="9"/>
      <c r="BF137" s="57"/>
      <c r="BG137" s="9"/>
      <c r="BH137" s="9"/>
      <c r="BI137" s="9"/>
      <c r="BJ137" s="57"/>
      <c r="BK137" s="57"/>
      <c r="BL137" s="9"/>
      <c r="BM137" s="9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9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  <c r="BD198" s="57"/>
      <c r="BE198" s="57"/>
      <c r="BF198" s="57"/>
      <c r="BG198" s="57"/>
      <c r="BH198" s="57"/>
      <c r="BI198" s="57"/>
      <c r="BJ198" s="57"/>
      <c r="BK198" s="57"/>
      <c r="BL198" s="57"/>
      <c r="BM198" s="57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  <c r="BM200" s="57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  <c r="BD204" s="57"/>
      <c r="BE204" s="57"/>
      <c r="BF204" s="57"/>
      <c r="BG204" s="57"/>
      <c r="BH204" s="57"/>
      <c r="BI204" s="57"/>
      <c r="BJ204" s="57"/>
      <c r="BK204" s="57"/>
      <c r="BL204" s="57"/>
      <c r="BM204" s="57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  <c r="BM208" s="57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  <c r="BD212" s="57"/>
      <c r="BE212" s="57"/>
      <c r="BF212" s="57"/>
      <c r="BG212" s="57"/>
      <c r="BH212" s="57"/>
      <c r="BI212" s="57"/>
      <c r="BJ212" s="57"/>
      <c r="BK212" s="57"/>
      <c r="BL212" s="57"/>
      <c r="BM212" s="57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/>
      <c r="BF214" s="57"/>
      <c r="BG214" s="57"/>
      <c r="BH214" s="57"/>
      <c r="BI214" s="57"/>
      <c r="BJ214" s="57"/>
      <c r="BK214" s="57"/>
      <c r="BL214" s="57"/>
      <c r="BM214" s="57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  <c r="BM216" s="57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  <c r="BM218" s="57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  <c r="BM222" s="57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/>
      <c r="BF224" s="57"/>
      <c r="BG224" s="57"/>
      <c r="BH224" s="57"/>
      <c r="BI224" s="57"/>
      <c r="BJ224" s="57"/>
      <c r="BK224" s="57"/>
      <c r="BL224" s="57"/>
      <c r="BM224" s="57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  <c r="BM226" s="57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  <c r="BD228" s="57"/>
      <c r="BE228" s="57"/>
      <c r="BF228" s="57"/>
      <c r="BG228" s="57"/>
      <c r="BH228" s="57"/>
      <c r="BI228" s="57"/>
      <c r="BJ228" s="57"/>
      <c r="BK228" s="57"/>
      <c r="BL228" s="57"/>
      <c r="BM228" s="57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  <c r="BD230" s="57"/>
      <c r="BE230" s="57"/>
      <c r="BF230" s="57"/>
      <c r="BG230" s="57"/>
      <c r="BH230" s="57"/>
      <c r="BI230" s="57"/>
      <c r="BJ230" s="57"/>
      <c r="BK230" s="57"/>
      <c r="BL230" s="57"/>
      <c r="BM230" s="57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/>
      <c r="BF234" s="57"/>
      <c r="BG234" s="57"/>
      <c r="BH234" s="57"/>
      <c r="BI234" s="57"/>
      <c r="BJ234" s="57"/>
      <c r="BK234" s="57"/>
      <c r="BL234" s="57"/>
      <c r="BM234" s="57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  <c r="BM236" s="57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  <c r="BM238" s="57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/>
      <c r="BJ240" s="57"/>
      <c r="BK240" s="57"/>
      <c r="BL240" s="57"/>
      <c r="BM240" s="57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/>
      <c r="BJ242" s="57"/>
      <c r="BK242" s="57"/>
      <c r="BL242" s="57"/>
      <c r="BM242" s="57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/>
      <c r="BK244" s="57"/>
      <c r="BL244" s="57"/>
      <c r="BM244" s="57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  <c r="BD248" s="57"/>
      <c r="BE248" s="57"/>
      <c r="BF248" s="57"/>
      <c r="BG248" s="57"/>
      <c r="BH248" s="57"/>
      <c r="BI248" s="57"/>
      <c r="BJ248" s="57"/>
      <c r="BK248" s="57"/>
      <c r="BL248" s="57"/>
      <c r="BM248" s="57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/>
      <c r="BF250" s="57"/>
      <c r="BG250" s="57"/>
      <c r="BH250" s="57"/>
      <c r="BI250" s="57"/>
      <c r="BJ250" s="57"/>
      <c r="BK250" s="57"/>
      <c r="BL250" s="57"/>
      <c r="BM250" s="57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  <c r="BD254" s="57"/>
      <c r="BE254" s="57"/>
      <c r="BF254" s="57"/>
      <c r="BG254" s="57"/>
      <c r="BH254" s="57"/>
      <c r="BI254" s="57"/>
      <c r="BJ254" s="57"/>
      <c r="BK254" s="57"/>
      <c r="BL254" s="57"/>
      <c r="BM254" s="57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  <c r="BD256" s="57"/>
      <c r="BE256" s="57"/>
      <c r="BF256" s="57"/>
      <c r="BG256" s="57"/>
      <c r="BH256" s="57"/>
      <c r="BI256" s="57"/>
      <c r="BJ256" s="57"/>
      <c r="BK256" s="57"/>
      <c r="BL256" s="57"/>
      <c r="BM256" s="57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  <c r="BD258" s="57"/>
      <c r="BE258" s="57"/>
      <c r="BF258" s="57"/>
      <c r="BG258" s="57"/>
      <c r="BH258" s="57"/>
      <c r="BI258" s="57"/>
      <c r="BJ258" s="57"/>
      <c r="BK258" s="57"/>
      <c r="BL258" s="57"/>
      <c r="BM258" s="57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  <c r="BD264" s="57"/>
      <c r="BE264" s="57"/>
      <c r="BF264" s="57"/>
      <c r="BG264" s="57"/>
      <c r="BH264" s="57"/>
      <c r="BI264" s="57"/>
      <c r="BJ264" s="57"/>
      <c r="BK264" s="57"/>
      <c r="BL264" s="57"/>
      <c r="BM264" s="57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  <c r="BD266" s="57"/>
      <c r="BE266" s="57"/>
      <c r="BF266" s="57"/>
      <c r="BG266" s="57"/>
      <c r="BH266" s="57"/>
      <c r="BI266" s="57"/>
      <c r="BJ266" s="57"/>
      <c r="BK266" s="57"/>
      <c r="BL266" s="57"/>
      <c r="BM266" s="57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  <c r="BD270" s="57"/>
      <c r="BE270" s="57"/>
      <c r="BF270" s="57"/>
      <c r="BG270" s="57"/>
      <c r="BH270" s="57"/>
      <c r="BI270" s="57"/>
      <c r="BJ270" s="57"/>
      <c r="BK270" s="57"/>
      <c r="BL270" s="57"/>
      <c r="BM270" s="57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  <c r="BM271" s="57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/>
      <c r="BF273" s="57"/>
      <c r="BG273" s="57"/>
      <c r="BH273" s="57"/>
      <c r="BI273" s="57"/>
      <c r="BJ273" s="57"/>
      <c r="BK273" s="57"/>
      <c r="BL273" s="57"/>
      <c r="BM273" s="57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  <c r="BD274" s="57"/>
      <c r="BE274" s="57"/>
      <c r="BF274" s="57"/>
      <c r="BG274" s="57"/>
      <c r="BH274" s="57"/>
      <c r="BI274" s="57"/>
      <c r="BJ274" s="57"/>
      <c r="BK274" s="57"/>
      <c r="BL274" s="57"/>
      <c r="BM274" s="57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  <c r="BM275" s="57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  <c r="BD276" s="57"/>
      <c r="BE276" s="57"/>
      <c r="BF276" s="57"/>
      <c r="BG276" s="57"/>
      <c r="BH276" s="57"/>
      <c r="BI276" s="57"/>
      <c r="BJ276" s="57"/>
      <c r="BK276" s="57"/>
      <c r="BL276" s="57"/>
      <c r="BM276" s="57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/>
      <c r="BF277" s="57"/>
      <c r="BG277" s="57"/>
      <c r="BH277" s="57"/>
      <c r="BI277" s="57"/>
      <c r="BJ277" s="57"/>
      <c r="BK277" s="57"/>
      <c r="BL277" s="57"/>
      <c r="BM277" s="57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  <c r="BD278" s="57"/>
      <c r="BE278" s="57"/>
      <c r="BF278" s="57"/>
      <c r="BG278" s="57"/>
      <c r="BH278" s="57"/>
      <c r="BI278" s="57"/>
      <c r="BJ278" s="57"/>
      <c r="BK278" s="57"/>
      <c r="BL278" s="57"/>
      <c r="BM278" s="57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  <c r="BM279" s="57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/>
      <c r="BJ281" s="57"/>
      <c r="BK281" s="57"/>
      <c r="BL281" s="57"/>
      <c r="BM281" s="57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  <c r="BD282" s="57"/>
      <c r="BE282" s="57"/>
      <c r="BF282" s="57"/>
      <c r="BG282" s="57"/>
      <c r="BH282" s="57"/>
      <c r="BI282" s="57"/>
      <c r="BJ282" s="57"/>
      <c r="BK282" s="57"/>
      <c r="BL282" s="57"/>
      <c r="BM282" s="57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  <c r="BM283" s="57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/>
      <c r="BG285" s="57"/>
      <c r="BH285" s="57"/>
      <c r="BI285" s="57"/>
      <c r="BJ285" s="57"/>
      <c r="BK285" s="57"/>
      <c r="BL285" s="57"/>
      <c r="BM285" s="57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  <c r="BD286" s="57"/>
      <c r="BE286" s="57"/>
      <c r="BF286" s="57"/>
      <c r="BG286" s="57"/>
      <c r="BH286" s="57"/>
      <c r="BI286" s="57"/>
      <c r="BJ286" s="57"/>
      <c r="BK286" s="57"/>
      <c r="BL286" s="57"/>
      <c r="BM286" s="57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/>
      <c r="BJ287" s="57"/>
      <c r="BK287" s="57"/>
      <c r="BL287" s="57"/>
      <c r="BM287" s="57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57"/>
      <c r="BE288" s="57"/>
      <c r="BF288" s="57"/>
      <c r="BG288" s="57"/>
      <c r="BH288" s="57"/>
      <c r="BI288" s="57"/>
      <c r="BJ288" s="57"/>
      <c r="BK288" s="57"/>
      <c r="BL288" s="57"/>
      <c r="BM288" s="57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/>
      <c r="BG289" s="57"/>
      <c r="BH289" s="57"/>
      <c r="BI289" s="57"/>
      <c r="BJ289" s="57"/>
      <c r="BK289" s="57"/>
      <c r="BL289" s="57"/>
      <c r="BM289" s="57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  <c r="BD290" s="57"/>
      <c r="BE290" s="57"/>
      <c r="BF290" s="57"/>
      <c r="BG290" s="57"/>
      <c r="BH290" s="57"/>
      <c r="BI290" s="57"/>
      <c r="BJ290" s="57"/>
      <c r="BK290" s="57"/>
      <c r="BL290" s="57"/>
      <c r="BM290" s="57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  <c r="BM291" s="57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  <c r="BD292" s="57"/>
      <c r="BE292" s="57"/>
      <c r="BF292" s="57"/>
      <c r="BG292" s="57"/>
      <c r="BH292" s="57"/>
      <c r="BI292" s="57"/>
      <c r="BJ292" s="57"/>
      <c r="BK292" s="57"/>
      <c r="BL292" s="57"/>
      <c r="BM292" s="57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/>
      <c r="BF293" s="57"/>
      <c r="BG293" s="57"/>
      <c r="BH293" s="57"/>
      <c r="BI293" s="57"/>
      <c r="BJ293" s="57"/>
      <c r="BK293" s="57"/>
      <c r="BL293" s="57"/>
      <c r="BM293" s="57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  <c r="BD294" s="57"/>
      <c r="BE294" s="57"/>
      <c r="BF294" s="57"/>
      <c r="BG294" s="57"/>
      <c r="BH294" s="57"/>
      <c r="BI294" s="57"/>
      <c r="BJ294" s="57"/>
      <c r="BK294" s="57"/>
      <c r="BL294" s="57"/>
      <c r="BM294" s="57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  <c r="BD295" s="57"/>
      <c r="BE295" s="57"/>
      <c r="BF295" s="57"/>
      <c r="BG295" s="57"/>
      <c r="BH295" s="57"/>
      <c r="BI295" s="57"/>
      <c r="BJ295" s="57"/>
      <c r="BK295" s="57"/>
      <c r="BL295" s="57"/>
      <c r="BM295" s="57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57"/>
      <c r="BI296" s="57"/>
      <c r="BJ296" s="57"/>
      <c r="BK296" s="57"/>
      <c r="BL296" s="57"/>
      <c r="BM296" s="57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/>
      <c r="BJ297" s="57"/>
      <c r="BK297" s="57"/>
      <c r="BL297" s="57"/>
      <c r="BM297" s="57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57"/>
      <c r="BI298" s="57"/>
      <c r="BJ298" s="57"/>
      <c r="BK298" s="57"/>
      <c r="BL298" s="57"/>
      <c r="BM298" s="57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/>
      <c r="BJ299" s="57"/>
      <c r="BK299" s="57"/>
      <c r="BL299" s="57"/>
      <c r="BM299" s="57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57"/>
      <c r="BI300" s="57"/>
      <c r="BJ300" s="57"/>
      <c r="BK300" s="57"/>
      <c r="BL300" s="57"/>
      <c r="BM300" s="57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57"/>
      <c r="BI301" s="57"/>
      <c r="BJ301" s="57"/>
      <c r="BK301" s="57"/>
      <c r="BL301" s="57"/>
      <c r="BM301" s="57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57"/>
      <c r="BI302" s="57"/>
      <c r="BJ302" s="57"/>
      <c r="BK302" s="57"/>
      <c r="BL302" s="57"/>
      <c r="BM302" s="57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  <c r="BM303" s="57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57"/>
      <c r="BI304" s="57"/>
      <c r="BJ304" s="57"/>
      <c r="BK304" s="57"/>
      <c r="BL304" s="57"/>
      <c r="BM304" s="57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57"/>
      <c r="BI305" s="57"/>
      <c r="BJ305" s="57"/>
      <c r="BK305" s="57"/>
      <c r="BL305" s="57"/>
      <c r="BM305" s="57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57"/>
      <c r="BI306" s="57"/>
      <c r="BJ306" s="57"/>
      <c r="BK306" s="57"/>
      <c r="BL306" s="57"/>
      <c r="BM306" s="57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57"/>
      <c r="BI307" s="57"/>
      <c r="BJ307" s="57"/>
      <c r="BK307" s="57"/>
      <c r="BL307" s="57"/>
      <c r="BM307" s="57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57"/>
      <c r="BI308" s="57"/>
      <c r="BJ308" s="57"/>
      <c r="BK308" s="57"/>
      <c r="BL308" s="57"/>
      <c r="BM308" s="57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57"/>
      <c r="BI310" s="57"/>
      <c r="BJ310" s="57"/>
      <c r="BK310" s="57"/>
      <c r="BL310" s="57"/>
      <c r="BM310" s="57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57"/>
      <c r="BI312" s="57"/>
      <c r="BJ312" s="57"/>
      <c r="BK312" s="57"/>
      <c r="BL312" s="57"/>
      <c r="BM312" s="57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57"/>
      <c r="BI314" s="57"/>
      <c r="BJ314" s="57"/>
      <c r="BK314" s="57"/>
      <c r="BL314" s="57"/>
      <c r="BM314" s="57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57"/>
      <c r="BI315" s="57"/>
      <c r="BJ315" s="57"/>
      <c r="BK315" s="57"/>
      <c r="BL315" s="57"/>
      <c r="BM315" s="57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57"/>
      <c r="BI316" s="57"/>
      <c r="BJ316" s="57"/>
      <c r="BK316" s="57"/>
      <c r="BL316" s="57"/>
      <c r="BM316" s="57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  <c r="BM317" s="57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57"/>
      <c r="BI318" s="57"/>
      <c r="BJ318" s="57"/>
      <c r="BK318" s="57"/>
      <c r="BL318" s="57"/>
      <c r="BM318" s="57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  <c r="BM319" s="57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57"/>
      <c r="BI322" s="57"/>
      <c r="BJ322" s="57"/>
      <c r="BK322" s="57"/>
      <c r="BL322" s="57"/>
      <c r="BM322" s="57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57"/>
      <c r="BI323" s="57"/>
      <c r="BJ323" s="57"/>
      <c r="BK323" s="57"/>
      <c r="BL323" s="57"/>
      <c r="BM323" s="57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  <c r="BM325" s="57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57"/>
      <c r="BI326" s="57"/>
      <c r="BJ326" s="57"/>
      <c r="BK326" s="57"/>
      <c r="BL326" s="57"/>
      <c r="BM326" s="57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/>
      <c r="BK327" s="57"/>
      <c r="BL327" s="57"/>
      <c r="BM327" s="57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57"/>
      <c r="BI328" s="57"/>
      <c r="BJ328" s="57"/>
      <c r="BK328" s="57"/>
      <c r="BL328" s="57"/>
      <c r="BM328" s="57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  <c r="BM329" s="57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57"/>
      <c r="BI330" s="57"/>
      <c r="BJ330" s="57"/>
      <c r="BK330" s="57"/>
      <c r="BL330" s="57"/>
      <c r="BM330" s="57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57"/>
      <c r="BI331" s="57"/>
      <c r="BJ331" s="57"/>
      <c r="BK331" s="57"/>
      <c r="BL331" s="57"/>
      <c r="BM331" s="57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  <c r="BM332" s="57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57"/>
      <c r="BI333" s="57"/>
      <c r="BJ333" s="57"/>
      <c r="BK333" s="57"/>
      <c r="BL333" s="57"/>
      <c r="BM333" s="57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/>
      <c r="BJ334" s="57"/>
      <c r="BK334" s="57"/>
      <c r="BL334" s="57"/>
      <c r="BM334" s="57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57"/>
      <c r="BI335" s="57"/>
      <c r="BJ335" s="57"/>
      <c r="BK335" s="57"/>
      <c r="BL335" s="57"/>
      <c r="BM335" s="57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57"/>
      <c r="BI336" s="57"/>
      <c r="BJ336" s="57"/>
      <c r="BK336" s="57"/>
      <c r="BL336" s="57"/>
      <c r="BM336" s="57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57"/>
      <c r="BI337" s="57"/>
      <c r="BJ337" s="57"/>
      <c r="BK337" s="57"/>
      <c r="BL337" s="57"/>
      <c r="BM337" s="57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57"/>
      <c r="BI338" s="57"/>
      <c r="BJ338" s="57"/>
      <c r="BK338" s="57"/>
      <c r="BL338" s="57"/>
      <c r="BM338" s="57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57"/>
      <c r="BI339" s="57"/>
      <c r="BJ339" s="57"/>
      <c r="BK339" s="57"/>
      <c r="BL339" s="57"/>
      <c r="BM339" s="57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57"/>
      <c r="BI340" s="57"/>
      <c r="BJ340" s="57"/>
      <c r="BK340" s="57"/>
      <c r="BL340" s="57"/>
      <c r="BM340" s="57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57"/>
      <c r="BI342" s="57"/>
      <c r="BJ342" s="57"/>
      <c r="BK342" s="57"/>
      <c r="BL342" s="57"/>
      <c r="BM342" s="57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57"/>
      <c r="BI343" s="57"/>
      <c r="BJ343" s="57"/>
      <c r="BK343" s="57"/>
      <c r="BL343" s="57"/>
      <c r="BM343" s="57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57"/>
      <c r="BI344" s="57"/>
      <c r="BJ344" s="57"/>
      <c r="BK344" s="57"/>
      <c r="BL344" s="57"/>
      <c r="BM344" s="57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57"/>
      <c r="BI345" s="57"/>
      <c r="BJ345" s="57"/>
      <c r="BK345" s="57"/>
      <c r="BL345" s="57"/>
      <c r="BM345" s="57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57"/>
      <c r="BI346" s="57"/>
      <c r="BJ346" s="57"/>
      <c r="BK346" s="57"/>
      <c r="BL346" s="57"/>
      <c r="BM346" s="57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57"/>
      <c r="BI348" s="57"/>
      <c r="BJ348" s="57"/>
      <c r="BK348" s="57"/>
      <c r="BL348" s="57"/>
      <c r="BM348" s="57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57"/>
      <c r="BI349" s="57"/>
      <c r="BJ349" s="57"/>
      <c r="BK349" s="57"/>
      <c r="BL349" s="57"/>
      <c r="BM349" s="57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57"/>
      <c r="BI350" s="57"/>
      <c r="BJ350" s="57"/>
      <c r="BK350" s="57"/>
      <c r="BL350" s="57"/>
      <c r="BM350" s="57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57"/>
      <c r="BI351" s="57"/>
      <c r="BJ351" s="57"/>
      <c r="BK351" s="57"/>
      <c r="BL351" s="57"/>
      <c r="BM351" s="57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  <c r="BD352" s="57"/>
      <c r="BE352" s="57"/>
      <c r="BF352" s="57"/>
      <c r="BG352" s="57"/>
      <c r="BH352" s="57"/>
      <c r="BI352" s="57"/>
      <c r="BJ352" s="57"/>
      <c r="BK352" s="57"/>
      <c r="BL352" s="57"/>
      <c r="BM352" s="57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  <c r="BD353" s="57"/>
      <c r="BE353" s="57"/>
      <c r="BF353" s="57"/>
      <c r="BG353" s="57"/>
      <c r="BH353" s="57"/>
      <c r="BI353" s="57"/>
      <c r="BJ353" s="57"/>
      <c r="BK353" s="57"/>
      <c r="BL353" s="57"/>
      <c r="BM353" s="57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  <c r="BD354" s="57"/>
      <c r="BE354" s="57"/>
      <c r="BF354" s="57"/>
      <c r="BG354" s="57"/>
      <c r="BH354" s="57"/>
      <c r="BI354" s="57"/>
      <c r="BJ354" s="57"/>
      <c r="BK354" s="57"/>
      <c r="BL354" s="57"/>
      <c r="BM354" s="57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  <c r="BD355" s="57"/>
      <c r="BE355" s="57"/>
      <c r="BF355" s="57"/>
      <c r="BG355" s="57"/>
      <c r="BH355" s="57"/>
      <c r="BI355" s="57"/>
      <c r="BJ355" s="57"/>
      <c r="BK355" s="57"/>
      <c r="BL355" s="57"/>
      <c r="BM355" s="57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  <c r="BD356" s="57"/>
      <c r="BE356" s="57"/>
      <c r="BF356" s="57"/>
      <c r="BG356" s="57"/>
      <c r="BH356" s="57"/>
      <c r="BI356" s="57"/>
      <c r="BJ356" s="57"/>
      <c r="BK356" s="57"/>
      <c r="BL356" s="57"/>
      <c r="BM356" s="57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  <c r="BG357" s="57"/>
      <c r="BH357" s="57"/>
      <c r="BI357" s="57"/>
      <c r="BJ357" s="57"/>
      <c r="BK357" s="57"/>
      <c r="BL357" s="57"/>
      <c r="BM357" s="57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  <c r="BG358" s="57"/>
      <c r="BH358" s="57"/>
      <c r="BI358" s="57"/>
      <c r="BJ358" s="57"/>
      <c r="BK358" s="57"/>
      <c r="BL358" s="57"/>
      <c r="BM358" s="57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  <c r="BG359" s="57"/>
      <c r="BH359" s="57"/>
      <c r="BI359" s="57"/>
      <c r="BJ359" s="57"/>
      <c r="BK359" s="57"/>
      <c r="BL359" s="57"/>
      <c r="BM359" s="57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  <c r="BG360" s="57"/>
      <c r="BH360" s="57"/>
      <c r="BI360" s="57"/>
      <c r="BJ360" s="57"/>
      <c r="BK360" s="57"/>
      <c r="BL360" s="57"/>
      <c r="BM360" s="57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  <c r="BD361" s="57"/>
      <c r="BE361" s="57"/>
      <c r="BF361" s="57"/>
      <c r="BG361" s="57"/>
      <c r="BH361" s="57"/>
      <c r="BI361" s="57"/>
      <c r="BJ361" s="57"/>
      <c r="BK361" s="57"/>
      <c r="BL361" s="57"/>
      <c r="BM361" s="57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  <c r="BD362" s="57"/>
      <c r="BE362" s="57"/>
      <c r="BF362" s="57"/>
      <c r="BG362" s="57"/>
      <c r="BH362" s="57"/>
      <c r="BI362" s="57"/>
      <c r="BJ362" s="57"/>
      <c r="BK362" s="57"/>
      <c r="BL362" s="57"/>
      <c r="BM362" s="57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  <c r="BD363" s="57"/>
      <c r="BE363" s="57"/>
      <c r="BF363" s="57"/>
      <c r="BG363" s="57"/>
      <c r="BH363" s="57"/>
      <c r="BI363" s="57"/>
      <c r="BJ363" s="57"/>
      <c r="BK363" s="57"/>
      <c r="BL363" s="57"/>
      <c r="BM363" s="57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  <c r="BG364" s="57"/>
      <c r="BH364" s="57"/>
      <c r="BI364" s="57"/>
      <c r="BJ364" s="57"/>
      <c r="BK364" s="57"/>
      <c r="BL364" s="57"/>
      <c r="BM364" s="57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  <c r="BD365" s="57"/>
      <c r="BE365" s="57"/>
      <c r="BF365" s="57"/>
      <c r="BG365" s="57"/>
      <c r="BH365" s="57"/>
      <c r="BI365" s="57"/>
      <c r="BJ365" s="57"/>
      <c r="BK365" s="57"/>
      <c r="BL365" s="57"/>
      <c r="BM365" s="57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  <c r="BD366" s="57"/>
      <c r="BE366" s="57"/>
      <c r="BF366" s="57"/>
      <c r="BG366" s="57"/>
      <c r="BH366" s="57"/>
      <c r="BI366" s="57"/>
      <c r="BJ366" s="57"/>
      <c r="BK366" s="57"/>
      <c r="BL366" s="57"/>
      <c r="BM366" s="57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  <c r="BD367" s="57"/>
      <c r="BE367" s="57"/>
      <c r="BF367" s="57"/>
      <c r="BG367" s="57"/>
      <c r="BH367" s="57"/>
      <c r="BI367" s="57"/>
      <c r="BJ367" s="57"/>
      <c r="BK367" s="57"/>
      <c r="BL367" s="57"/>
      <c r="BM367" s="57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  <c r="BD368" s="57"/>
      <c r="BE368" s="57"/>
      <c r="BF368" s="57"/>
      <c r="BG368" s="57"/>
      <c r="BH368" s="57"/>
      <c r="BI368" s="57"/>
      <c r="BJ368" s="57"/>
      <c r="BK368" s="57"/>
      <c r="BL368" s="57"/>
      <c r="BM368" s="57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  <c r="BD369" s="57"/>
      <c r="BE369" s="57"/>
      <c r="BF369" s="57"/>
      <c r="BG369" s="57"/>
      <c r="BH369" s="57"/>
      <c r="BI369" s="57"/>
      <c r="BJ369" s="57"/>
      <c r="BK369" s="57"/>
      <c r="BL369" s="57"/>
      <c r="BM369" s="57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  <c r="BD370" s="57"/>
      <c r="BE370" s="57"/>
      <c r="BF370" s="57"/>
      <c r="BG370" s="57"/>
      <c r="BH370" s="57"/>
      <c r="BI370" s="57"/>
      <c r="BJ370" s="57"/>
      <c r="BK370" s="57"/>
      <c r="BL370" s="57"/>
      <c r="BM370" s="57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  <c r="BD371" s="57"/>
      <c r="BE371" s="57"/>
      <c r="BF371" s="57"/>
      <c r="BG371" s="57"/>
      <c r="BH371" s="57"/>
      <c r="BI371" s="57"/>
      <c r="BJ371" s="57"/>
      <c r="BK371" s="57"/>
      <c r="BL371" s="57"/>
      <c r="BM371" s="57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  <c r="BD372" s="57"/>
      <c r="BE372" s="57"/>
      <c r="BF372" s="57"/>
      <c r="BG372" s="57"/>
      <c r="BH372" s="57"/>
      <c r="BI372" s="57"/>
      <c r="BJ372" s="57"/>
      <c r="BK372" s="57"/>
      <c r="BL372" s="57"/>
      <c r="BM372" s="57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  <c r="BD373" s="57"/>
      <c r="BE373" s="57"/>
      <c r="BF373" s="57"/>
      <c r="BG373" s="57"/>
      <c r="BH373" s="57"/>
      <c r="BI373" s="57"/>
      <c r="BJ373" s="57"/>
      <c r="BK373" s="57"/>
      <c r="BL373" s="57"/>
      <c r="BM373" s="57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  <c r="BD374" s="57"/>
      <c r="BE374" s="57"/>
      <c r="BF374" s="57"/>
      <c r="BG374" s="57"/>
      <c r="BH374" s="57"/>
      <c r="BI374" s="57"/>
      <c r="BJ374" s="57"/>
      <c r="BK374" s="57"/>
      <c r="BL374" s="57"/>
      <c r="BM374" s="57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  <c r="BD375" s="57"/>
      <c r="BE375" s="57"/>
      <c r="BF375" s="57"/>
      <c r="BG375" s="57"/>
      <c r="BH375" s="57"/>
      <c r="BI375" s="57"/>
      <c r="BJ375" s="57"/>
      <c r="BK375" s="57"/>
      <c r="BL375" s="57"/>
      <c r="BM375" s="57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  <c r="BD376" s="57"/>
      <c r="BE376" s="57"/>
      <c r="BF376" s="57"/>
      <c r="BG376" s="57"/>
      <c r="BH376" s="57"/>
      <c r="BI376" s="57"/>
      <c r="BJ376" s="57"/>
      <c r="BK376" s="57"/>
      <c r="BL376" s="57"/>
      <c r="BM376" s="57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  <c r="BD377" s="57"/>
      <c r="BE377" s="57"/>
      <c r="BF377" s="57"/>
      <c r="BG377" s="57"/>
      <c r="BH377" s="57"/>
      <c r="BI377" s="57"/>
      <c r="BJ377" s="57"/>
      <c r="BK377" s="57"/>
      <c r="BL377" s="57"/>
      <c r="BM377" s="57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  <c r="BD378" s="57"/>
      <c r="BE378" s="57"/>
      <c r="BF378" s="57"/>
      <c r="BG378" s="57"/>
      <c r="BH378" s="57"/>
      <c r="BI378" s="57"/>
      <c r="BJ378" s="57"/>
      <c r="BK378" s="57"/>
      <c r="BL378" s="57"/>
      <c r="BM378" s="57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  <c r="BD379" s="57"/>
      <c r="BE379" s="57"/>
      <c r="BF379" s="57"/>
      <c r="BG379" s="57"/>
      <c r="BH379" s="57"/>
      <c r="BI379" s="57"/>
      <c r="BJ379" s="57"/>
      <c r="BK379" s="57"/>
      <c r="BL379" s="57"/>
      <c r="BM379" s="57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  <c r="BD380" s="57"/>
      <c r="BE380" s="57"/>
      <c r="BF380" s="57"/>
      <c r="BG380" s="57"/>
      <c r="BH380" s="57"/>
      <c r="BI380" s="57"/>
      <c r="BJ380" s="57"/>
      <c r="BK380" s="57"/>
      <c r="BL380" s="57"/>
      <c r="BM380" s="57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  <c r="BD381" s="57"/>
      <c r="BE381" s="57"/>
      <c r="BF381" s="57"/>
      <c r="BG381" s="57"/>
      <c r="BH381" s="57"/>
      <c r="BI381" s="57"/>
      <c r="BJ381" s="57"/>
      <c r="BK381" s="57"/>
      <c r="BL381" s="57"/>
      <c r="BM381" s="57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  <c r="BD382" s="57"/>
      <c r="BE382" s="57"/>
      <c r="BF382" s="57"/>
      <c r="BG382" s="57"/>
      <c r="BH382" s="57"/>
      <c r="BI382" s="57"/>
      <c r="BJ382" s="57"/>
      <c r="BK382" s="57"/>
      <c r="BL382" s="57"/>
      <c r="BM382" s="57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  <c r="BD383" s="57"/>
      <c r="BE383" s="57"/>
      <c r="BF383" s="57"/>
      <c r="BG383" s="57"/>
      <c r="BH383" s="57"/>
      <c r="BI383" s="57"/>
      <c r="BJ383" s="57"/>
      <c r="BK383" s="57"/>
      <c r="BL383" s="57"/>
      <c r="BM383" s="57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  <c r="BD384" s="57"/>
      <c r="BE384" s="57"/>
      <c r="BF384" s="57"/>
      <c r="BG384" s="57"/>
      <c r="BH384" s="57"/>
      <c r="BI384" s="57"/>
      <c r="BJ384" s="57"/>
      <c r="BK384" s="57"/>
      <c r="BL384" s="57"/>
      <c r="BM384" s="57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  <c r="BD385" s="57"/>
      <c r="BE385" s="57"/>
      <c r="BF385" s="57"/>
      <c r="BG385" s="57"/>
      <c r="BH385" s="57"/>
      <c r="BI385" s="57"/>
      <c r="BJ385" s="57"/>
      <c r="BK385" s="57"/>
      <c r="BL385" s="57"/>
      <c r="BM385" s="57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  <c r="BD386" s="57"/>
      <c r="BE386" s="57"/>
      <c r="BF386" s="57"/>
      <c r="BG386" s="57"/>
      <c r="BH386" s="57"/>
      <c r="BI386" s="57"/>
      <c r="BJ386" s="57"/>
      <c r="BK386" s="57"/>
      <c r="BL386" s="57"/>
      <c r="BM386" s="57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  <c r="BD387" s="57"/>
      <c r="BE387" s="57"/>
      <c r="BF387" s="57"/>
      <c r="BG387" s="57"/>
      <c r="BH387" s="57"/>
      <c r="BI387" s="57"/>
      <c r="BJ387" s="57"/>
      <c r="BK387" s="57"/>
      <c r="BL387" s="57"/>
      <c r="BM387" s="57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  <c r="BD388" s="57"/>
      <c r="BE388" s="57"/>
      <c r="BF388" s="57"/>
      <c r="BG388" s="57"/>
      <c r="BH388" s="57"/>
      <c r="BI388" s="57"/>
      <c r="BJ388" s="57"/>
      <c r="BK388" s="57"/>
      <c r="BL388" s="57"/>
      <c r="BM388" s="57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  <c r="BD389" s="57"/>
      <c r="BE389" s="57"/>
      <c r="BF389" s="57"/>
      <c r="BG389" s="57"/>
      <c r="BH389" s="57"/>
      <c r="BI389" s="57"/>
      <c r="BJ389" s="57"/>
      <c r="BK389" s="57"/>
      <c r="BL389" s="57"/>
      <c r="BM389" s="57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  <c r="BD390" s="57"/>
      <c r="BE390" s="57"/>
      <c r="BF390" s="57"/>
      <c r="BG390" s="57"/>
      <c r="BH390" s="57"/>
      <c r="BI390" s="57"/>
      <c r="BJ390" s="57"/>
      <c r="BK390" s="57"/>
      <c r="BL390" s="57"/>
      <c r="BM390" s="57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  <c r="BD391" s="57"/>
      <c r="BE391" s="57"/>
      <c r="BF391" s="57"/>
      <c r="BG391" s="57"/>
      <c r="BH391" s="57"/>
      <c r="BI391" s="57"/>
      <c r="BJ391" s="57"/>
      <c r="BK391" s="57"/>
      <c r="BL391" s="57"/>
      <c r="BM391" s="57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  <c r="BD392" s="57"/>
      <c r="BE392" s="57"/>
      <c r="BF392" s="57"/>
      <c r="BG392" s="57"/>
      <c r="BH392" s="57"/>
      <c r="BI392" s="57"/>
      <c r="BJ392" s="57"/>
      <c r="BK392" s="57"/>
      <c r="BL392" s="57"/>
      <c r="BM392" s="57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  <c r="BD393" s="57"/>
      <c r="BE393" s="57"/>
      <c r="BF393" s="57"/>
      <c r="BG393" s="57"/>
      <c r="BH393" s="57"/>
      <c r="BI393" s="57"/>
      <c r="BJ393" s="57"/>
      <c r="BK393" s="57"/>
      <c r="BL393" s="57"/>
      <c r="BM393" s="57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  <c r="BD394" s="57"/>
      <c r="BE394" s="57"/>
      <c r="BF394" s="57"/>
      <c r="BG394" s="57"/>
      <c r="BH394" s="57"/>
      <c r="BI394" s="57"/>
      <c r="BJ394" s="57"/>
      <c r="BK394" s="57"/>
      <c r="BL394" s="57"/>
      <c r="BM394" s="57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  <c r="BD395" s="57"/>
      <c r="BE395" s="57"/>
      <c r="BF395" s="57"/>
      <c r="BG395" s="57"/>
      <c r="BH395" s="57"/>
      <c r="BI395" s="57"/>
      <c r="BJ395" s="57"/>
      <c r="BK395" s="57"/>
      <c r="BL395" s="57"/>
      <c r="BM395" s="57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  <c r="BD396" s="57"/>
      <c r="BE396" s="57"/>
      <c r="BF396" s="57"/>
      <c r="BG396" s="57"/>
      <c r="BH396" s="57"/>
      <c r="BI396" s="57"/>
      <c r="BJ396" s="57"/>
      <c r="BK396" s="57"/>
      <c r="BL396" s="57"/>
      <c r="BM396" s="57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  <c r="BD397" s="57"/>
      <c r="BE397" s="57"/>
      <c r="BF397" s="57"/>
      <c r="BG397" s="57"/>
      <c r="BH397" s="57"/>
      <c r="BI397" s="57"/>
      <c r="BJ397" s="57"/>
      <c r="BK397" s="57"/>
      <c r="BL397" s="57"/>
      <c r="BM397" s="57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  <c r="BD398" s="57"/>
      <c r="BE398" s="57"/>
      <c r="BF398" s="57"/>
      <c r="BG398" s="57"/>
      <c r="BH398" s="57"/>
      <c r="BI398" s="57"/>
      <c r="BJ398" s="57"/>
      <c r="BK398" s="57"/>
      <c r="BL398" s="57"/>
      <c r="BM398" s="57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  <c r="BD399" s="57"/>
      <c r="BE399" s="57"/>
      <c r="BF399" s="57"/>
      <c r="BG399" s="57"/>
      <c r="BH399" s="57"/>
      <c r="BI399" s="57"/>
      <c r="BJ399" s="57"/>
      <c r="BK399" s="57"/>
      <c r="BL399" s="57"/>
      <c r="BM399" s="57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  <c r="BD400" s="57"/>
      <c r="BE400" s="57"/>
      <c r="BF400" s="57"/>
      <c r="BG400" s="57"/>
      <c r="BH400" s="57"/>
      <c r="BI400" s="57"/>
      <c r="BJ400" s="57"/>
      <c r="BK400" s="57"/>
      <c r="BL400" s="57"/>
      <c r="BM400" s="57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  <c r="BD401" s="57"/>
      <c r="BE401" s="57"/>
      <c r="BF401" s="57"/>
      <c r="BG401" s="57"/>
      <c r="BH401" s="57"/>
      <c r="BI401" s="57"/>
      <c r="BJ401" s="57"/>
      <c r="BK401" s="57"/>
      <c r="BL401" s="57"/>
      <c r="BM401" s="57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  <c r="BD402" s="57"/>
      <c r="BE402" s="57"/>
      <c r="BF402" s="57"/>
      <c r="BG402" s="57"/>
      <c r="BH402" s="57"/>
      <c r="BI402" s="57"/>
      <c r="BJ402" s="57"/>
      <c r="BK402" s="57"/>
      <c r="BL402" s="57"/>
      <c r="BM402" s="57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  <c r="BD403" s="57"/>
      <c r="BE403" s="57"/>
      <c r="BF403" s="57"/>
      <c r="BG403" s="57"/>
      <c r="BH403" s="57"/>
      <c r="BI403" s="57"/>
      <c r="BJ403" s="57"/>
      <c r="BK403" s="57"/>
      <c r="BL403" s="57"/>
      <c r="BM403" s="57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  <c r="BD404" s="57"/>
      <c r="BE404" s="57"/>
      <c r="BF404" s="57"/>
      <c r="BG404" s="57"/>
      <c r="BH404" s="57"/>
      <c r="BI404" s="57"/>
      <c r="BJ404" s="57"/>
      <c r="BK404" s="57"/>
      <c r="BL404" s="57"/>
      <c r="BM404" s="57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  <c r="BD405" s="57"/>
      <c r="BE405" s="57"/>
      <c r="BF405" s="57"/>
      <c r="BG405" s="57"/>
      <c r="BH405" s="57"/>
      <c r="BI405" s="57"/>
      <c r="BJ405" s="57"/>
      <c r="BK405" s="57"/>
      <c r="BL405" s="57"/>
      <c r="BM405" s="57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  <c r="BD406" s="57"/>
      <c r="BE406" s="57"/>
      <c r="BF406" s="57"/>
      <c r="BG406" s="57"/>
      <c r="BH406" s="57"/>
      <c r="BI406" s="57"/>
      <c r="BJ406" s="57"/>
      <c r="BK406" s="57"/>
      <c r="BL406" s="57"/>
      <c r="BM406" s="57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  <c r="BD407" s="57"/>
      <c r="BE407" s="57"/>
      <c r="BF407" s="57"/>
      <c r="BG407" s="57"/>
      <c r="BH407" s="57"/>
      <c r="BI407" s="57"/>
      <c r="BJ407" s="57"/>
      <c r="BK407" s="57"/>
      <c r="BL407" s="57"/>
      <c r="BM407" s="57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  <c r="BD408" s="57"/>
      <c r="BE408" s="57"/>
      <c r="BF408" s="57"/>
      <c r="BG408" s="57"/>
      <c r="BH408" s="57"/>
      <c r="BI408" s="57"/>
      <c r="BJ408" s="57"/>
      <c r="BK408" s="57"/>
      <c r="BL408" s="57"/>
      <c r="BM408" s="57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  <c r="BD409" s="57"/>
      <c r="BE409" s="57"/>
      <c r="BF409" s="57"/>
      <c r="BG409" s="57"/>
      <c r="BH409" s="57"/>
      <c r="BI409" s="57"/>
      <c r="BJ409" s="57"/>
      <c r="BK409" s="57"/>
      <c r="BL409" s="57"/>
      <c r="BM409" s="57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  <c r="BD410" s="57"/>
      <c r="BE410" s="57"/>
      <c r="BF410" s="57"/>
      <c r="BG410" s="57"/>
      <c r="BH410" s="57"/>
      <c r="BI410" s="57"/>
      <c r="BJ410" s="57"/>
      <c r="BK410" s="57"/>
      <c r="BL410" s="57"/>
      <c r="BM410" s="57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  <c r="BD411" s="57"/>
      <c r="BE411" s="57"/>
      <c r="BF411" s="57"/>
      <c r="BG411" s="57"/>
      <c r="BH411" s="57"/>
      <c r="BI411" s="57"/>
      <c r="BJ411" s="57"/>
      <c r="BK411" s="57"/>
      <c r="BL411" s="57"/>
      <c r="BM411" s="57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  <c r="BD412" s="57"/>
      <c r="BE412" s="57"/>
      <c r="BF412" s="57"/>
      <c r="BG412" s="57"/>
      <c r="BH412" s="57"/>
      <c r="BI412" s="57"/>
      <c r="BJ412" s="57"/>
      <c r="BK412" s="57"/>
      <c r="BL412" s="57"/>
      <c r="BM412" s="57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  <c r="BD413" s="57"/>
      <c r="BE413" s="57"/>
      <c r="BF413" s="57"/>
      <c r="BG413" s="57"/>
      <c r="BH413" s="57"/>
      <c r="BI413" s="57"/>
      <c r="BJ413" s="57"/>
      <c r="BK413" s="57"/>
      <c r="BL413" s="57"/>
      <c r="BM413" s="57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  <c r="BD414" s="57"/>
      <c r="BE414" s="57"/>
      <c r="BF414" s="57"/>
      <c r="BG414" s="57"/>
      <c r="BH414" s="57"/>
      <c r="BI414" s="57"/>
      <c r="BJ414" s="57"/>
      <c r="BK414" s="57"/>
      <c r="BL414" s="57"/>
      <c r="BM414" s="57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  <c r="BD415" s="57"/>
      <c r="BE415" s="57"/>
      <c r="BF415" s="57"/>
      <c r="BG415" s="57"/>
      <c r="BH415" s="57"/>
      <c r="BI415" s="57"/>
      <c r="BJ415" s="57"/>
      <c r="BK415" s="57"/>
      <c r="BL415" s="57"/>
      <c r="BM415" s="57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  <c r="BD416" s="57"/>
      <c r="BE416" s="57"/>
      <c r="BF416" s="57"/>
      <c r="BG416" s="57"/>
      <c r="BH416" s="57"/>
      <c r="BI416" s="57"/>
      <c r="BJ416" s="57"/>
      <c r="BK416" s="57"/>
      <c r="BL416" s="57"/>
      <c r="BM416" s="57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  <c r="BD417" s="57"/>
      <c r="BE417" s="57"/>
      <c r="BF417" s="57"/>
      <c r="BG417" s="57"/>
      <c r="BH417" s="57"/>
      <c r="BI417" s="57"/>
      <c r="BJ417" s="57"/>
      <c r="BK417" s="57"/>
      <c r="BL417" s="57"/>
      <c r="BM417" s="57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  <c r="BD418" s="57"/>
      <c r="BE418" s="57"/>
      <c r="BF418" s="57"/>
      <c r="BG418" s="57"/>
      <c r="BH418" s="57"/>
      <c r="BI418" s="57"/>
      <c r="BJ418" s="57"/>
      <c r="BK418" s="57"/>
      <c r="BL418" s="57"/>
      <c r="BM418" s="57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  <c r="BD419" s="57"/>
      <c r="BE419" s="57"/>
      <c r="BF419" s="57"/>
      <c r="BG419" s="57"/>
      <c r="BH419" s="57"/>
      <c r="BI419" s="57"/>
      <c r="BJ419" s="57"/>
      <c r="BK419" s="57"/>
      <c r="BL419" s="57"/>
      <c r="BM419" s="57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  <c r="BD421" s="57"/>
      <c r="BE421" s="57"/>
      <c r="BF421" s="57"/>
      <c r="BG421" s="57"/>
      <c r="BH421" s="57"/>
      <c r="BI421" s="57"/>
      <c r="BJ421" s="57"/>
      <c r="BK421" s="57"/>
      <c r="BL421" s="57"/>
      <c r="BM421" s="57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  <c r="BD422" s="57"/>
      <c r="BE422" s="57"/>
      <c r="BF422" s="57"/>
      <c r="BG422" s="57"/>
      <c r="BH422" s="57"/>
      <c r="BI422" s="57"/>
      <c r="BJ422" s="57"/>
      <c r="BK422" s="57"/>
      <c r="BL422" s="57"/>
      <c r="BM422" s="57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  <c r="BG423" s="57"/>
      <c r="BH423" s="57"/>
      <c r="BI423" s="57"/>
      <c r="BJ423" s="57"/>
      <c r="BK423" s="57"/>
      <c r="BL423" s="57"/>
      <c r="BM423" s="57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  <c r="BD424" s="57"/>
      <c r="BE424" s="57"/>
      <c r="BF424" s="57"/>
      <c r="BG424" s="57"/>
      <c r="BH424" s="57"/>
      <c r="BI424" s="57"/>
      <c r="BJ424" s="57"/>
      <c r="BK424" s="57"/>
      <c r="BL424" s="57"/>
      <c r="BM424" s="57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  <c r="BD425" s="57"/>
      <c r="BE425" s="57"/>
      <c r="BF425" s="57"/>
      <c r="BG425" s="57"/>
      <c r="BH425" s="57"/>
      <c r="BI425" s="57"/>
      <c r="BJ425" s="57"/>
      <c r="BK425" s="57"/>
      <c r="BL425" s="57"/>
      <c r="BM425" s="57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  <c r="BG426" s="57"/>
      <c r="BH426" s="57"/>
      <c r="BI426" s="57"/>
      <c r="BJ426" s="57"/>
      <c r="BK426" s="57"/>
      <c r="BL426" s="57"/>
      <c r="BM426" s="57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  <c r="BD427" s="57"/>
      <c r="BE427" s="57"/>
      <c r="BF427" s="57"/>
      <c r="BG427" s="57"/>
      <c r="BH427" s="57"/>
      <c r="BI427" s="57"/>
      <c r="BJ427" s="57"/>
      <c r="BK427" s="57"/>
      <c r="BL427" s="57"/>
      <c r="BM427" s="57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  <c r="BD428" s="57"/>
      <c r="BE428" s="57"/>
      <c r="BF428" s="57"/>
      <c r="BG428" s="57"/>
      <c r="BH428" s="57"/>
      <c r="BI428" s="57"/>
      <c r="BJ428" s="57"/>
      <c r="BK428" s="57"/>
      <c r="BL428" s="57"/>
      <c r="BM428" s="57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  <c r="BD429" s="57"/>
      <c r="BE429" s="57"/>
      <c r="BF429" s="57"/>
      <c r="BG429" s="57"/>
      <c r="BH429" s="57"/>
      <c r="BI429" s="57"/>
      <c r="BJ429" s="57"/>
      <c r="BK429" s="57"/>
      <c r="BL429" s="57"/>
      <c r="BM429" s="57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  <c r="BD430" s="57"/>
      <c r="BE430" s="57"/>
      <c r="BF430" s="57"/>
      <c r="BG430" s="57"/>
      <c r="BH430" s="57"/>
      <c r="BI430" s="57"/>
      <c r="BJ430" s="57"/>
      <c r="BK430" s="57"/>
      <c r="BL430" s="57"/>
      <c r="BM430" s="57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  <c r="BD431" s="57"/>
      <c r="BE431" s="57"/>
      <c r="BF431" s="57"/>
      <c r="BG431" s="57"/>
      <c r="BH431" s="57"/>
      <c r="BI431" s="57"/>
      <c r="BJ431" s="57"/>
      <c r="BK431" s="57"/>
      <c r="BL431" s="57"/>
      <c r="BM431" s="57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  <c r="BD432" s="57"/>
      <c r="BE432" s="57"/>
      <c r="BF432" s="57"/>
      <c r="BG432" s="57"/>
      <c r="BH432" s="57"/>
      <c r="BI432" s="57"/>
      <c r="BJ432" s="57"/>
      <c r="BK432" s="57"/>
      <c r="BL432" s="57"/>
      <c r="BM432" s="57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  <c r="BD433" s="57"/>
      <c r="BE433" s="57"/>
      <c r="BF433" s="57"/>
      <c r="BG433" s="57"/>
      <c r="BH433" s="57"/>
      <c r="BI433" s="57"/>
      <c r="BJ433" s="57"/>
      <c r="BK433" s="57"/>
      <c r="BL433" s="57"/>
      <c r="BM433" s="57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  <c r="BD434" s="57"/>
      <c r="BE434" s="57"/>
      <c r="BF434" s="57"/>
      <c r="BG434" s="57"/>
      <c r="BH434" s="57"/>
      <c r="BI434" s="57"/>
      <c r="BJ434" s="57"/>
      <c r="BK434" s="57"/>
      <c r="BL434" s="57"/>
      <c r="BM434" s="57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  <c r="BD435" s="57"/>
      <c r="BE435" s="57"/>
      <c r="BF435" s="57"/>
      <c r="BG435" s="57"/>
      <c r="BH435" s="57"/>
      <c r="BI435" s="57"/>
      <c r="BJ435" s="57"/>
      <c r="BK435" s="57"/>
      <c r="BL435" s="57"/>
      <c r="BM435" s="57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  <c r="BD436" s="57"/>
      <c r="BE436" s="57"/>
      <c r="BF436" s="57"/>
      <c r="BG436" s="57"/>
      <c r="BH436" s="57"/>
      <c r="BI436" s="57"/>
      <c r="BJ436" s="57"/>
      <c r="BK436" s="57"/>
      <c r="BL436" s="57"/>
      <c r="BM436" s="57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  <c r="BD437" s="57"/>
      <c r="BE437" s="57"/>
      <c r="BF437" s="57"/>
      <c r="BG437" s="57"/>
      <c r="BH437" s="57"/>
      <c r="BI437" s="57"/>
      <c r="BJ437" s="57"/>
      <c r="BK437" s="57"/>
      <c r="BL437" s="57"/>
      <c r="BM437" s="57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  <c r="BD438" s="57"/>
      <c r="BE438" s="57"/>
      <c r="BF438" s="57"/>
      <c r="BG438" s="57"/>
      <c r="BH438" s="57"/>
      <c r="BI438" s="57"/>
      <c r="BJ438" s="57"/>
      <c r="BK438" s="57"/>
      <c r="BL438" s="57"/>
      <c r="BM438" s="57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  <c r="BD439" s="57"/>
      <c r="BE439" s="57"/>
      <c r="BF439" s="57"/>
      <c r="BG439" s="57"/>
      <c r="BH439" s="57"/>
      <c r="BI439" s="57"/>
      <c r="BJ439" s="57"/>
      <c r="BK439" s="57"/>
      <c r="BL439" s="57"/>
      <c r="BM439" s="57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  <c r="BD440" s="57"/>
      <c r="BE440" s="57"/>
      <c r="BF440" s="57"/>
      <c r="BG440" s="57"/>
      <c r="BH440" s="57"/>
      <c r="BI440" s="57"/>
      <c r="BJ440" s="57"/>
      <c r="BK440" s="57"/>
      <c r="BL440" s="57"/>
      <c r="BM440" s="57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  <c r="BD441" s="57"/>
      <c r="BE441" s="57"/>
      <c r="BF441" s="57"/>
      <c r="BG441" s="57"/>
      <c r="BH441" s="57"/>
      <c r="BI441" s="57"/>
      <c r="BJ441" s="57"/>
      <c r="BK441" s="57"/>
      <c r="BL441" s="57"/>
      <c r="BM441" s="57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  <c r="BD442" s="57"/>
      <c r="BE442" s="57"/>
      <c r="BF442" s="57"/>
      <c r="BG442" s="57"/>
      <c r="BH442" s="57"/>
      <c r="BI442" s="57"/>
      <c r="BJ442" s="57"/>
      <c r="BK442" s="57"/>
      <c r="BL442" s="57"/>
      <c r="BM442" s="57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  <c r="BD443" s="57"/>
      <c r="BE443" s="57"/>
      <c r="BF443" s="57"/>
      <c r="BG443" s="57"/>
      <c r="BH443" s="57"/>
      <c r="BI443" s="57"/>
      <c r="BJ443" s="57"/>
      <c r="BK443" s="57"/>
      <c r="BL443" s="57"/>
      <c r="BM443" s="57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  <c r="BD444" s="57"/>
      <c r="BE444" s="57"/>
      <c r="BF444" s="57"/>
      <c r="BG444" s="57"/>
      <c r="BH444" s="57"/>
      <c r="BI444" s="57"/>
      <c r="BJ444" s="57"/>
      <c r="BK444" s="57"/>
      <c r="BL444" s="57"/>
      <c r="BM444" s="57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  <c r="BD445" s="57"/>
      <c r="BE445" s="57"/>
      <c r="BF445" s="57"/>
      <c r="BG445" s="57"/>
      <c r="BH445" s="57"/>
      <c r="BI445" s="57"/>
      <c r="BJ445" s="57"/>
      <c r="BK445" s="57"/>
      <c r="BL445" s="57"/>
      <c r="BM445" s="57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  <c r="BD446" s="57"/>
      <c r="BE446" s="57"/>
      <c r="BF446" s="57"/>
      <c r="BG446" s="57"/>
      <c r="BH446" s="57"/>
      <c r="BI446" s="57"/>
      <c r="BJ446" s="57"/>
      <c r="BK446" s="57"/>
      <c r="BL446" s="57"/>
      <c r="BM446" s="57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  <c r="BD447" s="57"/>
      <c r="BE447" s="57"/>
      <c r="BF447" s="57"/>
      <c r="BG447" s="57"/>
      <c r="BH447" s="57"/>
      <c r="BI447" s="57"/>
      <c r="BJ447" s="57"/>
      <c r="BK447" s="57"/>
      <c r="BL447" s="57"/>
      <c r="BM447" s="57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  <c r="BD448" s="57"/>
      <c r="BE448" s="57"/>
      <c r="BF448" s="57"/>
      <c r="BG448" s="57"/>
      <c r="BH448" s="57"/>
      <c r="BI448" s="57"/>
      <c r="BJ448" s="57"/>
      <c r="BK448" s="57"/>
      <c r="BL448" s="57"/>
      <c r="BM448" s="57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  <c r="BD449" s="57"/>
      <c r="BE449" s="57"/>
      <c r="BF449" s="57"/>
      <c r="BG449" s="57"/>
      <c r="BH449" s="57"/>
      <c r="BI449" s="57"/>
      <c r="BJ449" s="57"/>
      <c r="BK449" s="57"/>
      <c r="BL449" s="57"/>
      <c r="BM449" s="57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  <c r="BD450" s="57"/>
      <c r="BE450" s="57"/>
      <c r="BF450" s="57"/>
      <c r="BG450" s="57"/>
      <c r="BH450" s="57"/>
      <c r="BI450" s="57"/>
      <c r="BJ450" s="57"/>
      <c r="BK450" s="57"/>
      <c r="BL450" s="57"/>
      <c r="BM450" s="57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  <c r="BD451" s="57"/>
      <c r="BE451" s="57"/>
      <c r="BF451" s="57"/>
      <c r="BG451" s="57"/>
      <c r="BH451" s="57"/>
      <c r="BI451" s="57"/>
      <c r="BJ451" s="57"/>
      <c r="BK451" s="57"/>
      <c r="BL451" s="57"/>
      <c r="BM451" s="57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  <c r="BD452" s="57"/>
      <c r="BE452" s="57"/>
      <c r="BF452" s="57"/>
      <c r="BG452" s="57"/>
      <c r="BH452" s="57"/>
      <c r="BI452" s="57"/>
      <c r="BJ452" s="57"/>
      <c r="BK452" s="57"/>
      <c r="BL452" s="57"/>
      <c r="BM452" s="57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  <c r="BD453" s="57"/>
      <c r="BE453" s="57"/>
      <c r="BF453" s="57"/>
      <c r="BG453" s="57"/>
      <c r="BH453" s="57"/>
      <c r="BI453" s="57"/>
      <c r="BJ453" s="57"/>
      <c r="BK453" s="57"/>
      <c r="BL453" s="57"/>
      <c r="BM453" s="57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57"/>
      <c r="BI454" s="57"/>
      <c r="BJ454" s="57"/>
      <c r="BK454" s="57"/>
      <c r="BL454" s="57"/>
      <c r="BM454" s="57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57"/>
      <c r="BI455" s="57"/>
      <c r="BJ455" s="57"/>
      <c r="BK455" s="57"/>
      <c r="BL455" s="57"/>
      <c r="BM455" s="57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57"/>
      <c r="BI456" s="57"/>
      <c r="BJ456" s="57"/>
      <c r="BK456" s="57"/>
      <c r="BL456" s="57"/>
      <c r="BM456" s="57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57"/>
      <c r="BI457" s="57"/>
      <c r="BJ457" s="57"/>
      <c r="BK457" s="57"/>
      <c r="BL457" s="57"/>
      <c r="BM457" s="57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57"/>
      <c r="BI458" s="57"/>
      <c r="BJ458" s="57"/>
      <c r="BK458" s="57"/>
      <c r="BL458" s="57"/>
      <c r="BM458" s="57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57"/>
      <c r="BI459" s="57"/>
      <c r="BJ459" s="57"/>
      <c r="BK459" s="57"/>
      <c r="BL459" s="57"/>
      <c r="BM459" s="57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57"/>
      <c r="BI460" s="57"/>
      <c r="BJ460" s="57"/>
      <c r="BK460" s="57"/>
      <c r="BL460" s="57"/>
      <c r="BM460" s="57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57"/>
      <c r="BI461" s="57"/>
      <c r="BJ461" s="57"/>
      <c r="BK461" s="57"/>
      <c r="BL461" s="57"/>
      <c r="BM461" s="57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57"/>
      <c r="BI462" s="57"/>
      <c r="BJ462" s="57"/>
      <c r="BK462" s="57"/>
      <c r="BL462" s="57"/>
      <c r="BM462" s="57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57"/>
      <c r="BI463" s="57"/>
      <c r="BJ463" s="57"/>
      <c r="BK463" s="57"/>
      <c r="BL463" s="57"/>
      <c r="BM463" s="57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57"/>
      <c r="BI464" s="57"/>
      <c r="BJ464" s="57"/>
      <c r="BK464" s="57"/>
      <c r="BL464" s="57"/>
      <c r="BM464" s="57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57"/>
      <c r="BI465" s="57"/>
      <c r="BJ465" s="57"/>
      <c r="BK465" s="57"/>
      <c r="BL465" s="57"/>
      <c r="BM465" s="57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57"/>
      <c r="BI466" s="57"/>
      <c r="BJ466" s="57"/>
      <c r="BK466" s="57"/>
      <c r="BL466" s="57"/>
      <c r="BM466" s="57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57"/>
      <c r="BK467" s="57"/>
      <c r="BL467" s="57"/>
      <c r="BM467" s="57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57"/>
      <c r="BI468" s="57"/>
      <c r="BJ468" s="57"/>
      <c r="BK468" s="57"/>
      <c r="BL468" s="57"/>
      <c r="BM468" s="57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57"/>
      <c r="BI469" s="57"/>
      <c r="BJ469" s="57"/>
      <c r="BK469" s="57"/>
      <c r="BL469" s="57"/>
      <c r="BM469" s="57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</row>
  </sheetData>
  <mergeCells count="581">
    <mergeCell ref="Z30:AA30"/>
    <mergeCell ref="AC30:AD30"/>
    <mergeCell ref="AC31:AD31"/>
    <mergeCell ref="AE31:AF31"/>
    <mergeCell ref="AC32:AD32"/>
    <mergeCell ref="AE32:AF32"/>
    <mergeCell ref="U30:V30"/>
    <mergeCell ref="X30:Y30"/>
    <mergeCell ref="S31:T31"/>
    <mergeCell ref="U31:V31"/>
    <mergeCell ref="Z31:AA31"/>
    <mergeCell ref="U32:V32"/>
    <mergeCell ref="Z32:AA32"/>
    <mergeCell ref="X31:Y31"/>
    <mergeCell ref="X32:Y32"/>
    <mergeCell ref="X33:Y33"/>
    <mergeCell ref="Z33:AA33"/>
    <mergeCell ref="AC33:AD33"/>
    <mergeCell ref="AE33:AF33"/>
    <mergeCell ref="S32:T32"/>
    <mergeCell ref="S33:T33"/>
    <mergeCell ref="U33:V33"/>
    <mergeCell ref="S34:T34"/>
    <mergeCell ref="U34:V34"/>
    <mergeCell ref="X34:Y34"/>
    <mergeCell ref="Z34:AA34"/>
    <mergeCell ref="AM35:AN35"/>
    <mergeCell ref="AO35:AP35"/>
    <mergeCell ref="S35:T35"/>
    <mergeCell ref="U35:V35"/>
    <mergeCell ref="X35:Y35"/>
    <mergeCell ref="Z35:AA35"/>
    <mergeCell ref="AC35:AF35"/>
    <mergeCell ref="AH35:AI35"/>
    <mergeCell ref="AJ35:AK35"/>
    <mergeCell ref="AM36:AN36"/>
    <mergeCell ref="AO36:AP36"/>
    <mergeCell ref="S36:T36"/>
    <mergeCell ref="U36:V36"/>
    <mergeCell ref="X36:AA36"/>
    <mergeCell ref="AC36:AD36"/>
    <mergeCell ref="AE36:AF36"/>
    <mergeCell ref="AH36:AI36"/>
    <mergeCell ref="AJ36:AK36"/>
    <mergeCell ref="AJ28:AK28"/>
    <mergeCell ref="AM28:AN28"/>
    <mergeCell ref="AO28:AP28"/>
    <mergeCell ref="S28:T28"/>
    <mergeCell ref="U28:V28"/>
    <mergeCell ref="X28:Y28"/>
    <mergeCell ref="Z28:AA28"/>
    <mergeCell ref="AC28:AD28"/>
    <mergeCell ref="AE28:AF28"/>
    <mergeCell ref="AH28:AI28"/>
    <mergeCell ref="AE30:AF30"/>
    <mergeCell ref="AH30:AI30"/>
    <mergeCell ref="AH31:AI31"/>
    <mergeCell ref="AJ31:AK31"/>
    <mergeCell ref="AH32:AI32"/>
    <mergeCell ref="AJ32:AK32"/>
    <mergeCell ref="AH33:AI33"/>
    <mergeCell ref="AJ33:AK33"/>
    <mergeCell ref="AM29:AN29"/>
    <mergeCell ref="AM30:AN30"/>
    <mergeCell ref="AM31:AN31"/>
    <mergeCell ref="AO31:AP31"/>
    <mergeCell ref="AM32:AN32"/>
    <mergeCell ref="AO32:AP32"/>
    <mergeCell ref="AM33:AN33"/>
    <mergeCell ref="AO33:AP33"/>
    <mergeCell ref="S29:V29"/>
    <mergeCell ref="X29:AA29"/>
    <mergeCell ref="AC29:AF29"/>
    <mergeCell ref="AH29:AK29"/>
    <mergeCell ref="AO29:AP29"/>
    <mergeCell ref="S30:T30"/>
    <mergeCell ref="AJ30:AK30"/>
    <mergeCell ref="AO30:AP30"/>
    <mergeCell ref="AC34:AD34"/>
    <mergeCell ref="AE34:AF34"/>
    <mergeCell ref="AH34:AI34"/>
    <mergeCell ref="AJ34:AK34"/>
    <mergeCell ref="AJ37:AK37"/>
    <mergeCell ref="AM37:AN37"/>
    <mergeCell ref="AO37:AP37"/>
    <mergeCell ref="AJ41:AK41"/>
    <mergeCell ref="AM41:AN41"/>
    <mergeCell ref="AO41:AP41"/>
    <mergeCell ref="S41:T41"/>
    <mergeCell ref="U41:V41"/>
    <mergeCell ref="X41:Y41"/>
    <mergeCell ref="Z41:AA41"/>
    <mergeCell ref="AC41:AD41"/>
    <mergeCell ref="AE41:AF41"/>
    <mergeCell ref="AH41:AI41"/>
    <mergeCell ref="AM42:AN42"/>
    <mergeCell ref="AO42:AP42"/>
    <mergeCell ref="S42:T42"/>
    <mergeCell ref="U42:V42"/>
    <mergeCell ref="X42:Y42"/>
    <mergeCell ref="Z42:AA42"/>
    <mergeCell ref="AC42:AF42"/>
    <mergeCell ref="AH42:AI42"/>
    <mergeCell ref="AJ42:AK42"/>
    <mergeCell ref="AM43:AN43"/>
    <mergeCell ref="AO43:AP43"/>
    <mergeCell ref="S43:T43"/>
    <mergeCell ref="U43:V43"/>
    <mergeCell ref="X43:AA43"/>
    <mergeCell ref="AC43:AD43"/>
    <mergeCell ref="AE43:AF43"/>
    <mergeCell ref="AH43:AI43"/>
    <mergeCell ref="AJ43:AK43"/>
    <mergeCell ref="AJ44:AK44"/>
    <mergeCell ref="AM44:AN44"/>
    <mergeCell ref="AO44:AP44"/>
    <mergeCell ref="S44:T44"/>
    <mergeCell ref="U44:V44"/>
    <mergeCell ref="X44:Y44"/>
    <mergeCell ref="Z44:AA44"/>
    <mergeCell ref="AC44:AD44"/>
    <mergeCell ref="AE44:AF44"/>
    <mergeCell ref="AH44:AI44"/>
    <mergeCell ref="AJ45:AK45"/>
    <mergeCell ref="AM45:AN45"/>
    <mergeCell ref="AO45:AP45"/>
    <mergeCell ref="S45:T45"/>
    <mergeCell ref="U45:V45"/>
    <mergeCell ref="X45:Y45"/>
    <mergeCell ref="Z45:AA45"/>
    <mergeCell ref="AC45:AD45"/>
    <mergeCell ref="AE45:AF45"/>
    <mergeCell ref="AH45:AI45"/>
    <mergeCell ref="AH37:AI37"/>
    <mergeCell ref="AH38:AI38"/>
    <mergeCell ref="AJ38:AK38"/>
    <mergeCell ref="AM38:AN38"/>
    <mergeCell ref="AO38:AP38"/>
    <mergeCell ref="S39:T39"/>
    <mergeCell ref="U39:V39"/>
    <mergeCell ref="Z39:AA39"/>
    <mergeCell ref="AE39:AF39"/>
    <mergeCell ref="AM39:AN39"/>
    <mergeCell ref="AO39:AP39"/>
    <mergeCell ref="S37:T37"/>
    <mergeCell ref="U37:V37"/>
    <mergeCell ref="Z37:AA37"/>
    <mergeCell ref="AE37:AF37"/>
    <mergeCell ref="S38:V38"/>
    <mergeCell ref="Z38:AA38"/>
    <mergeCell ref="AE38:AF38"/>
    <mergeCell ref="AM40:AN40"/>
    <mergeCell ref="AO40:AP40"/>
    <mergeCell ref="AC37:AD37"/>
    <mergeCell ref="AC38:AD38"/>
    <mergeCell ref="AC39:AD39"/>
    <mergeCell ref="AC40:AD40"/>
    <mergeCell ref="AE40:AF40"/>
    <mergeCell ref="AH40:AI40"/>
    <mergeCell ref="AJ40:AK40"/>
    <mergeCell ref="X37:Y37"/>
    <mergeCell ref="X38:Y38"/>
    <mergeCell ref="X39:Y39"/>
    <mergeCell ref="S40:T40"/>
    <mergeCell ref="U40:V40"/>
    <mergeCell ref="X40:Y40"/>
    <mergeCell ref="Z40:AA40"/>
    <mergeCell ref="AJ46:AK46"/>
    <mergeCell ref="AM46:AN46"/>
    <mergeCell ref="AO46:AP46"/>
    <mergeCell ref="AC46:AD46"/>
    <mergeCell ref="AC47:AD47"/>
    <mergeCell ref="AC48:AD48"/>
    <mergeCell ref="AC49:AF49"/>
    <mergeCell ref="AH49:AI49"/>
    <mergeCell ref="AJ49:AK49"/>
    <mergeCell ref="AM49:AN49"/>
    <mergeCell ref="AO49:AP49"/>
    <mergeCell ref="AH46:AI46"/>
    <mergeCell ref="AH47:AI47"/>
    <mergeCell ref="AJ47:AK47"/>
    <mergeCell ref="AM47:AN47"/>
    <mergeCell ref="AO47:AP47"/>
    <mergeCell ref="S48:T48"/>
    <mergeCell ref="U48:V48"/>
    <mergeCell ref="Z48:AA48"/>
    <mergeCell ref="AE48:AF48"/>
    <mergeCell ref="AH48:AI48"/>
    <mergeCell ref="AJ48:AK48"/>
    <mergeCell ref="AM48:AN48"/>
    <mergeCell ref="AO48:AP48"/>
    <mergeCell ref="S46:T46"/>
    <mergeCell ref="U46:V46"/>
    <mergeCell ref="Z46:AA46"/>
    <mergeCell ref="AE46:AF46"/>
    <mergeCell ref="S47:V47"/>
    <mergeCell ref="Z47:AA47"/>
    <mergeCell ref="AE47:AF47"/>
    <mergeCell ref="AM50:AN50"/>
    <mergeCell ref="AO50:AP50"/>
    <mergeCell ref="S50:T50"/>
    <mergeCell ref="U50:V50"/>
    <mergeCell ref="X50:AA50"/>
    <mergeCell ref="AC50:AD50"/>
    <mergeCell ref="AE50:AF50"/>
    <mergeCell ref="AH50:AI50"/>
    <mergeCell ref="AJ50:AK50"/>
    <mergeCell ref="X46:Y46"/>
    <mergeCell ref="X47:Y47"/>
    <mergeCell ref="X48:Y48"/>
    <mergeCell ref="S49:T49"/>
    <mergeCell ref="U49:V49"/>
    <mergeCell ref="X49:Y49"/>
    <mergeCell ref="Z49:AA49"/>
    <mergeCell ref="AJ54:AK54"/>
    <mergeCell ref="AM54:AN54"/>
    <mergeCell ref="AO54:AP54"/>
    <mergeCell ref="S54:T54"/>
    <mergeCell ref="U54:V54"/>
    <mergeCell ref="X54:Y54"/>
    <mergeCell ref="Z54:AA54"/>
    <mergeCell ref="AC54:AD54"/>
    <mergeCell ref="AE54:AF54"/>
    <mergeCell ref="AH54:AI54"/>
    <mergeCell ref="AJ51:AK51"/>
    <mergeCell ref="AM51:AN51"/>
    <mergeCell ref="AO51:AP51"/>
    <mergeCell ref="S51:T51"/>
    <mergeCell ref="U51:V51"/>
    <mergeCell ref="X51:Y51"/>
    <mergeCell ref="Z51:AA51"/>
    <mergeCell ref="AC51:AD51"/>
    <mergeCell ref="AE51:AF51"/>
    <mergeCell ref="AH51:AI51"/>
    <mergeCell ref="AJ52:AK52"/>
    <mergeCell ref="AM52:AN52"/>
    <mergeCell ref="AO52:AP52"/>
    <mergeCell ref="S52:T52"/>
    <mergeCell ref="U52:V52"/>
    <mergeCell ref="X52:Y52"/>
    <mergeCell ref="Z52:AA52"/>
    <mergeCell ref="AC52:AD52"/>
    <mergeCell ref="AE52:AF52"/>
    <mergeCell ref="AH52:AI52"/>
    <mergeCell ref="AJ53:AK53"/>
    <mergeCell ref="AM53:AN53"/>
    <mergeCell ref="AO53:AP53"/>
    <mergeCell ref="S53:T53"/>
    <mergeCell ref="U53:V53"/>
    <mergeCell ref="X53:Y53"/>
    <mergeCell ref="Z53:AA53"/>
    <mergeCell ref="AC53:AD53"/>
    <mergeCell ref="AE53:AF53"/>
    <mergeCell ref="AH53:AI53"/>
    <mergeCell ref="AJ55:AK55"/>
    <mergeCell ref="AM55:AN55"/>
    <mergeCell ref="AO55:AP55"/>
    <mergeCell ref="Z78:AA78"/>
    <mergeCell ref="AC78:AD78"/>
    <mergeCell ref="AH77:AI77"/>
    <mergeCell ref="AH78:AI78"/>
    <mergeCell ref="S77:V77"/>
    <mergeCell ref="Z77:AA77"/>
    <mergeCell ref="AC77:AF77"/>
    <mergeCell ref="AJ77:AK77"/>
    <mergeCell ref="S78:T78"/>
    <mergeCell ref="U78:V78"/>
    <mergeCell ref="AE78:AF78"/>
    <mergeCell ref="AJ78:AK78"/>
    <mergeCell ref="X77:Y77"/>
    <mergeCell ref="X78:Y78"/>
    <mergeCell ref="U79:V79"/>
    <mergeCell ref="X79:Y79"/>
    <mergeCell ref="Z79:AA79"/>
    <mergeCell ref="AC79:AD79"/>
    <mergeCell ref="AE79:AF79"/>
    <mergeCell ref="S79:T79"/>
    <mergeCell ref="S80:T80"/>
    <mergeCell ref="U80:V80"/>
    <mergeCell ref="X80:Y80"/>
    <mergeCell ref="Z80:AA80"/>
    <mergeCell ref="AC80:AD80"/>
    <mergeCell ref="AE80:AF80"/>
    <mergeCell ref="U68:V68"/>
    <mergeCell ref="X68:Y68"/>
    <mergeCell ref="Z68:AA68"/>
    <mergeCell ref="AC68:AD68"/>
    <mergeCell ref="AE68:AF68"/>
    <mergeCell ref="AH68:AI68"/>
    <mergeCell ref="AJ68:AK68"/>
    <mergeCell ref="X69:Y69"/>
    <mergeCell ref="X70:Y70"/>
    <mergeCell ref="X71:Y71"/>
    <mergeCell ref="X72:Y72"/>
    <mergeCell ref="X73:Y73"/>
    <mergeCell ref="X74:Y74"/>
    <mergeCell ref="X75:Y75"/>
    <mergeCell ref="X76:Y76"/>
    <mergeCell ref="Z70:AA70"/>
    <mergeCell ref="AC70:AF70"/>
    <mergeCell ref="AH70:AI70"/>
    <mergeCell ref="AJ70:AK70"/>
    <mergeCell ref="S68:T68"/>
    <mergeCell ref="S69:T69"/>
    <mergeCell ref="U69:V69"/>
    <mergeCell ref="Z69:AA69"/>
    <mergeCell ref="AC69:AD69"/>
    <mergeCell ref="AE69:AF69"/>
    <mergeCell ref="S70:V70"/>
    <mergeCell ref="S71:T71"/>
    <mergeCell ref="U71:V71"/>
    <mergeCell ref="Z71:AA71"/>
    <mergeCell ref="AC71:AD71"/>
    <mergeCell ref="AE71:AF71"/>
    <mergeCell ref="AH71:AI71"/>
    <mergeCell ref="AJ71:AK71"/>
    <mergeCell ref="S72:T72"/>
    <mergeCell ref="U72:V72"/>
    <mergeCell ref="Z72:AA72"/>
    <mergeCell ref="AC72:AD72"/>
    <mergeCell ref="AE72:AF72"/>
    <mergeCell ref="AH72:AI72"/>
    <mergeCell ref="AJ72:AK72"/>
    <mergeCell ref="X81:Y81"/>
    <mergeCell ref="X82:Y82"/>
    <mergeCell ref="AC81:AD81"/>
    <mergeCell ref="AC82:AD82"/>
    <mergeCell ref="AC83:AD83"/>
    <mergeCell ref="AE83:AF83"/>
    <mergeCell ref="AC84:AF84"/>
    <mergeCell ref="AC85:AD85"/>
    <mergeCell ref="AE85:AF85"/>
    <mergeCell ref="S81:T81"/>
    <mergeCell ref="U81:V81"/>
    <mergeCell ref="Z81:AA81"/>
    <mergeCell ref="AE81:AF81"/>
    <mergeCell ref="U82:V82"/>
    <mergeCell ref="Z82:AA82"/>
    <mergeCell ref="AE82:AF82"/>
    <mergeCell ref="S82:T82"/>
    <mergeCell ref="S83:T83"/>
    <mergeCell ref="U83:V83"/>
    <mergeCell ref="X83:Y83"/>
    <mergeCell ref="Z83:AA83"/>
    <mergeCell ref="X84:Y84"/>
    <mergeCell ref="Z84:AA84"/>
    <mergeCell ref="X86:Y86"/>
    <mergeCell ref="Z86:AA86"/>
    <mergeCell ref="AC86:AD86"/>
    <mergeCell ref="AE86:AF86"/>
    <mergeCell ref="S84:V84"/>
    <mergeCell ref="S85:T85"/>
    <mergeCell ref="U85:V85"/>
    <mergeCell ref="X85:Y85"/>
    <mergeCell ref="Z85:AA85"/>
    <mergeCell ref="S86:T86"/>
    <mergeCell ref="U86:V86"/>
    <mergeCell ref="AC88:AD88"/>
    <mergeCell ref="AE88:AF88"/>
    <mergeCell ref="AC89:AD89"/>
    <mergeCell ref="AE89:AF89"/>
    <mergeCell ref="S87:T87"/>
    <mergeCell ref="U87:V87"/>
    <mergeCell ref="X87:Y87"/>
    <mergeCell ref="Z87:AA87"/>
    <mergeCell ref="AC87:AD87"/>
    <mergeCell ref="AE87:AF87"/>
    <mergeCell ref="S88:T88"/>
    <mergeCell ref="S94:T94"/>
    <mergeCell ref="S95:T95"/>
    <mergeCell ref="U95:V95"/>
    <mergeCell ref="S96:T96"/>
    <mergeCell ref="U96:V96"/>
    <mergeCell ref="S97:T97"/>
    <mergeCell ref="U97:V97"/>
    <mergeCell ref="S102:T102"/>
    <mergeCell ref="U102:V102"/>
    <mergeCell ref="S103:T103"/>
    <mergeCell ref="U103:V103"/>
    <mergeCell ref="S104:T104"/>
    <mergeCell ref="U104:V104"/>
    <mergeCell ref="S98:V98"/>
    <mergeCell ref="S99:T99"/>
    <mergeCell ref="U99:V99"/>
    <mergeCell ref="S100:T100"/>
    <mergeCell ref="U100:V100"/>
    <mergeCell ref="S101:T101"/>
    <mergeCell ref="U101:V101"/>
    <mergeCell ref="AC97:AD97"/>
    <mergeCell ref="AC98:AD98"/>
    <mergeCell ref="AC99:AD99"/>
    <mergeCell ref="AE98:AF98"/>
    <mergeCell ref="AE99:AF99"/>
    <mergeCell ref="AC100:AF100"/>
    <mergeCell ref="AC101:AD101"/>
    <mergeCell ref="AE101:AF101"/>
    <mergeCell ref="AC102:AD102"/>
    <mergeCell ref="AE102:AF102"/>
    <mergeCell ref="AC107:AD107"/>
    <mergeCell ref="AC108:AD108"/>
    <mergeCell ref="AC109:AD109"/>
    <mergeCell ref="AC110:AD110"/>
    <mergeCell ref="AE108:AF108"/>
    <mergeCell ref="AE109:AF109"/>
    <mergeCell ref="AE110:AF110"/>
    <mergeCell ref="AC104:AD104"/>
    <mergeCell ref="AE104:AF104"/>
    <mergeCell ref="AC105:AD105"/>
    <mergeCell ref="AE105:AF105"/>
    <mergeCell ref="AC106:AD106"/>
    <mergeCell ref="AE106:AF106"/>
    <mergeCell ref="AE107:AF107"/>
    <mergeCell ref="U90:V90"/>
    <mergeCell ref="X90:AA90"/>
    <mergeCell ref="AC90:AD90"/>
    <mergeCell ref="AE90:AF90"/>
    <mergeCell ref="U88:V88"/>
    <mergeCell ref="X88:AA88"/>
    <mergeCell ref="S89:T89"/>
    <mergeCell ref="U89:V89"/>
    <mergeCell ref="X89:Y89"/>
    <mergeCell ref="Z89:AA89"/>
    <mergeCell ref="S90:T90"/>
    <mergeCell ref="X92:AA92"/>
    <mergeCell ref="AC92:AF92"/>
    <mergeCell ref="S91:V91"/>
    <mergeCell ref="X91:Y91"/>
    <mergeCell ref="Z91:AA91"/>
    <mergeCell ref="AC91:AD91"/>
    <mergeCell ref="AE91:AF91"/>
    <mergeCell ref="S92:T92"/>
    <mergeCell ref="U92:V92"/>
    <mergeCell ref="S93:T93"/>
    <mergeCell ref="U93:V93"/>
    <mergeCell ref="X93:Y93"/>
    <mergeCell ref="Z93:AA93"/>
    <mergeCell ref="AE93:AF93"/>
    <mergeCell ref="U94:V94"/>
    <mergeCell ref="AE94:AF94"/>
    <mergeCell ref="AC93:AD93"/>
    <mergeCell ref="AC94:AD94"/>
    <mergeCell ref="AC95:AD95"/>
    <mergeCell ref="AE95:AF95"/>
    <mergeCell ref="AC96:AD96"/>
    <mergeCell ref="AE96:AF96"/>
    <mergeCell ref="AE97:AF97"/>
    <mergeCell ref="AC103:AD103"/>
    <mergeCell ref="AE103:AF103"/>
    <mergeCell ref="X55:Y55"/>
    <mergeCell ref="X56:Y56"/>
    <mergeCell ref="Z56:AA56"/>
    <mergeCell ref="AC56:AF56"/>
    <mergeCell ref="AH56:AI56"/>
    <mergeCell ref="AJ56:AK56"/>
    <mergeCell ref="AM56:AN56"/>
    <mergeCell ref="AO56:AP56"/>
    <mergeCell ref="S55:T55"/>
    <mergeCell ref="U55:V55"/>
    <mergeCell ref="Z55:AA55"/>
    <mergeCell ref="AC55:AD55"/>
    <mergeCell ref="AE55:AF55"/>
    <mergeCell ref="AH55:AI55"/>
    <mergeCell ref="S56:V56"/>
    <mergeCell ref="AM57:AN57"/>
    <mergeCell ref="AO57:AP57"/>
    <mergeCell ref="S57:T57"/>
    <mergeCell ref="U57:V57"/>
    <mergeCell ref="X57:AA57"/>
    <mergeCell ref="AC57:AD57"/>
    <mergeCell ref="AE57:AF57"/>
    <mergeCell ref="AH57:AI57"/>
    <mergeCell ref="AJ57:AK57"/>
    <mergeCell ref="AH59:AI59"/>
    <mergeCell ref="AJ59:AK59"/>
    <mergeCell ref="AM59:AN59"/>
    <mergeCell ref="AO59:AP59"/>
    <mergeCell ref="U62:V62"/>
    <mergeCell ref="S63:V63"/>
    <mergeCell ref="X63:Y63"/>
    <mergeCell ref="Z63:AA63"/>
    <mergeCell ref="AC63:AF63"/>
    <mergeCell ref="AH63:AI63"/>
    <mergeCell ref="AJ63:AK63"/>
    <mergeCell ref="U64:V64"/>
    <mergeCell ref="X64:Y64"/>
    <mergeCell ref="Z64:AA64"/>
    <mergeCell ref="AC64:AD64"/>
    <mergeCell ref="AE64:AF64"/>
    <mergeCell ref="AH64:AI64"/>
    <mergeCell ref="AJ64:AK64"/>
    <mergeCell ref="S64:T64"/>
    <mergeCell ref="S65:T65"/>
    <mergeCell ref="U65:V65"/>
    <mergeCell ref="X65:Y65"/>
    <mergeCell ref="Z65:AA65"/>
    <mergeCell ref="AC65:AD65"/>
    <mergeCell ref="AE65:AF65"/>
    <mergeCell ref="U66:V66"/>
    <mergeCell ref="X66:Y66"/>
    <mergeCell ref="Z66:AA66"/>
    <mergeCell ref="AC66:AD66"/>
    <mergeCell ref="AE66:AF66"/>
    <mergeCell ref="AH66:AI66"/>
    <mergeCell ref="AJ66:AK66"/>
    <mergeCell ref="AH67:AI67"/>
    <mergeCell ref="AJ67:AK67"/>
    <mergeCell ref="S66:T66"/>
    <mergeCell ref="S67:T67"/>
    <mergeCell ref="U67:V67"/>
    <mergeCell ref="X67:Y67"/>
    <mergeCell ref="Z67:AA67"/>
    <mergeCell ref="AC67:AD67"/>
    <mergeCell ref="AE67:AF67"/>
    <mergeCell ref="U58:V58"/>
    <mergeCell ref="X58:Y58"/>
    <mergeCell ref="Z58:AA58"/>
    <mergeCell ref="AC58:AD58"/>
    <mergeCell ref="AE58:AF58"/>
    <mergeCell ref="AH58:AI58"/>
    <mergeCell ref="AJ58:AK58"/>
    <mergeCell ref="S58:T58"/>
    <mergeCell ref="S59:T59"/>
    <mergeCell ref="U59:V59"/>
    <mergeCell ref="X59:Y59"/>
    <mergeCell ref="Z59:AA59"/>
    <mergeCell ref="AC59:AD59"/>
    <mergeCell ref="AE59:AF59"/>
    <mergeCell ref="AJ60:AK60"/>
    <mergeCell ref="AM60:AN60"/>
    <mergeCell ref="AO60:AP60"/>
    <mergeCell ref="S60:T60"/>
    <mergeCell ref="U60:V60"/>
    <mergeCell ref="X60:Y60"/>
    <mergeCell ref="Z60:AA60"/>
    <mergeCell ref="AC60:AD60"/>
    <mergeCell ref="AE60:AF60"/>
    <mergeCell ref="AH60:AI60"/>
    <mergeCell ref="S61:T61"/>
    <mergeCell ref="U61:V61"/>
    <mergeCell ref="X61:AA61"/>
    <mergeCell ref="AC61:AD61"/>
    <mergeCell ref="AE61:AF61"/>
    <mergeCell ref="AH61:AI61"/>
    <mergeCell ref="AJ61:AK61"/>
    <mergeCell ref="S62:T62"/>
    <mergeCell ref="X62:Y62"/>
    <mergeCell ref="Z62:AA62"/>
    <mergeCell ref="AC62:AD62"/>
    <mergeCell ref="AE62:AF62"/>
    <mergeCell ref="AH62:AI62"/>
    <mergeCell ref="AJ62:AK62"/>
    <mergeCell ref="AH69:AI69"/>
    <mergeCell ref="AJ69:AK69"/>
    <mergeCell ref="S73:T73"/>
    <mergeCell ref="U73:V73"/>
    <mergeCell ref="Z73:AA73"/>
    <mergeCell ref="AC73:AD73"/>
    <mergeCell ref="AE73:AF73"/>
    <mergeCell ref="AH73:AI73"/>
    <mergeCell ref="AJ73:AK73"/>
    <mergeCell ref="S74:T74"/>
    <mergeCell ref="U74:V74"/>
    <mergeCell ref="Z74:AA74"/>
    <mergeCell ref="AC74:AD74"/>
    <mergeCell ref="AE74:AF74"/>
    <mergeCell ref="AH74:AI74"/>
    <mergeCell ref="AJ74:AK74"/>
    <mergeCell ref="S75:T75"/>
    <mergeCell ref="U75:V75"/>
    <mergeCell ref="Z75:AA75"/>
    <mergeCell ref="AC75:AD75"/>
    <mergeCell ref="AE75:AF75"/>
    <mergeCell ref="AH75:AI75"/>
    <mergeCell ref="AJ75:AK75"/>
    <mergeCell ref="S76:T76"/>
    <mergeCell ref="U76:V76"/>
    <mergeCell ref="Z76:AA76"/>
    <mergeCell ref="AC76:AD76"/>
    <mergeCell ref="AE76:AF76"/>
    <mergeCell ref="AH76:AI76"/>
    <mergeCell ref="AJ76:AK76"/>
  </mergeCells>
  <conditionalFormatting sqref="S24:S1001 T28:V28 X28:X95 Y28:AA28 AC28:AC110 AD28:AF28 AH28:AH104 AI28 AJ28:AJ53 AK28 AM28:AM60 AN28:AP28 AD30:AF30 AI30:AI41 AK30:AK41 AD35:AF35 AN35:AN41 AO35:AO49 AP35:AP41 AD43:AF44 AI43:AI53 AK43:AK53 AN43:AN49 AP43:AP49 AD47:AF49 AD52:AF53 T53:V53 AN53:AP53 AG55 AI55:AK66 AL55 AN55 Y58:AA58 AN59:AP59 Y62:AA94 AD85:AD104 AE98:AF101 AD107:AD108 X110:X115 Y111:AA111 Y113:AA113 Y115:AA115">
    <cfRule type="containsBlanks" dxfId="0" priority="1">
      <formula>LEN(TRIM(S24))=0</formula>
    </cfRule>
  </conditionalFormatting>
  <conditionalFormatting sqref="T24:T27 T123:T1001">
    <cfRule type="containsBlanks" dxfId="0" priority="2">
      <formula>LEN(TRIM(T24))=0</formula>
    </cfRule>
  </conditionalFormatting>
  <conditionalFormatting sqref="B128:B1001">
    <cfRule type="containsBlanks" dxfId="0" priority="3">
      <formula>LEN(TRIM(B128))=0</formula>
    </cfRule>
  </conditionalFormatting>
  <conditionalFormatting sqref="C134:C1001">
    <cfRule type="containsBlanks" dxfId="0" priority="4">
      <formula>LEN(TRIM(C134))=0</formula>
    </cfRule>
  </conditionalFormatting>
  <conditionalFormatting sqref="A134:A1001">
    <cfRule type="containsBlanks" dxfId="0" priority="5">
      <formula>LEN(TRIM(A134))=0</formula>
    </cfRule>
  </conditionalFormatting>
  <conditionalFormatting sqref="D137:D1001">
    <cfRule type="containsBlanks" dxfId="0" priority="6">
      <formula>LEN(TRIM(D137))=0</formula>
    </cfRule>
  </conditionalFormatting>
  <conditionalFormatting sqref="E134:E1001">
    <cfRule type="containsBlanks" dxfId="0" priority="7">
      <formula>LEN(TRIM(E134))=0</formula>
    </cfRule>
  </conditionalFormatting>
  <conditionalFormatting sqref="F134:F1001">
    <cfRule type="containsBlanks" dxfId="0" priority="8">
      <formula>LEN(TRIM(F134))=0</formula>
    </cfRule>
  </conditionalFormatting>
  <conditionalFormatting sqref="G134:G1001">
    <cfRule type="containsBlanks" dxfId="0" priority="9">
      <formula>LEN(TRIM(G134))=0</formula>
    </cfRule>
  </conditionalFormatting>
  <conditionalFormatting sqref="H134:H1001">
    <cfRule type="containsBlanks" dxfId="1" priority="10">
      <formula>LEN(TRIM(H134))=0</formula>
    </cfRule>
  </conditionalFormatting>
  <conditionalFormatting sqref="I134:I1001">
    <cfRule type="containsBlanks" dxfId="0" priority="11">
      <formula>LEN(TRIM(I134))=0</formula>
    </cfRule>
  </conditionalFormatting>
  <conditionalFormatting sqref="J134:J1001 M134">
    <cfRule type="containsBlanks" dxfId="0" priority="12">
      <formula>LEN(TRIM(J134))=0</formula>
    </cfRule>
  </conditionalFormatting>
  <conditionalFormatting sqref="E126:I133 J126:J134 K126:K1001 L126:L133 M126:M134 N127:N134 O127:O133 B130:D133">
    <cfRule type="containsBlanks" dxfId="0" priority="13">
      <formula>LEN(TRIM(E126))=0</formula>
    </cfRule>
  </conditionalFormatting>
  <conditionalFormatting sqref="L134:L1001 O134">
    <cfRule type="containsBlanks" dxfId="0" priority="14">
      <formula>LEN(TRIM(L134))=0</formula>
    </cfRule>
  </conditionalFormatting>
  <conditionalFormatting sqref="M134:M1001">
    <cfRule type="containsBlanks" dxfId="0" priority="15">
      <formula>LEN(TRIM(M134))=0</formula>
    </cfRule>
  </conditionalFormatting>
  <conditionalFormatting sqref="N134:N1001">
    <cfRule type="containsBlanks" dxfId="0" priority="16">
      <formula>LEN(TRIM(N134))=0</formula>
    </cfRule>
  </conditionalFormatting>
  <conditionalFormatting sqref="O134:O1001">
    <cfRule type="containsBlanks" dxfId="0" priority="17">
      <formula>LEN(TRIM(O134))=0</formula>
    </cfRule>
  </conditionalFormatting>
  <conditionalFormatting sqref="P134:P1001 AV134:AX1001 BC134:BE1001 BG134:BI1001 BL134:BM1001 BA135:BB1001">
    <cfRule type="containsBlanks" dxfId="0" priority="18">
      <formula>LEN(TRIM(P134))=0</formula>
    </cfRule>
  </conditionalFormatting>
  <conditionalFormatting sqref="Q134:Q1001">
    <cfRule type="containsBlanks" dxfId="0" priority="19">
      <formula>LEN(TRIM(Q134))=0</formula>
    </cfRule>
  </conditionalFormatting>
  <conditionalFormatting sqref="R134:R1001">
    <cfRule type="containsBlanks" dxfId="0" priority="20">
      <formula>LEN(TRIM(R134))=0</formula>
    </cfRule>
  </conditionalFormatting>
  <conditionalFormatting sqref="U24:U28 Z28 AE28 AJ28 AO28 U30:U37 Z30:Z35 AE30:AE34 AJ30:AJ76 AO30:AO55 AE36:AE41 Z37:Z42 U39:U46 AE43:AE48 Z44:Z49 U48:U55 AE50:AE55 Z51:Z56 AH55 AM55 U57:U62 AE57:AE62 AO57:AO60 Z58:Z60 Z62:Z87 U64:U69 AE64:AE69 U71:U76 AE71:AE76 U78:U83 AE78:AE83 AJ78:AJ83 U85:U90 AE85:AF91 AJ85:AJ90 Z89 Z91 U92:U97 AJ92:AJ97 Z93:Z95 AE93:AE110 AF93:AF103 U99:U108 AJ99:AJ104 AC100:AC103 AC107 AF107 U110:U115 Z111 Z113 Z115 U117:U1001">
    <cfRule type="containsBlanks" dxfId="0" priority="21">
      <formula>LEN(TRIM(U24))=0</formula>
    </cfRule>
  </conditionalFormatting>
  <conditionalFormatting sqref="V24:V27 V123:V1001">
    <cfRule type="containsBlanks" dxfId="0" priority="22">
      <formula>LEN(TRIM(V24))=0</formula>
    </cfRule>
  </conditionalFormatting>
  <conditionalFormatting sqref="W24:W1001">
    <cfRule type="containsBlanks" dxfId="0" priority="23">
      <formula>LEN(TRIM(W24))=0</formula>
    </cfRule>
  </conditionalFormatting>
  <conditionalFormatting sqref="X24:X1001 AH28:AH78 AM28:AM55 AC30 AC32 AC35 AC37 AM59:AM60 AC70:AC88 AC95:AD104 S98:S125 AH98:AH104 AC107:AD108">
    <cfRule type="containsBlanks" dxfId="1" priority="24">
      <formula>LEN(TRIM(X24))=0</formula>
    </cfRule>
  </conditionalFormatting>
  <conditionalFormatting sqref="Y24:Y27 T105:T125 Y107:Y109 Y116:Y1001">
    <cfRule type="containsBlanks" dxfId="0" priority="25">
      <formula>LEN(TRIM(Y24))=0</formula>
    </cfRule>
  </conditionalFormatting>
  <conditionalFormatting sqref="Z24:Z28 AB24:AB25 AJ28 AO28:AO55 Z30:Z35 AJ30:AJ41 Z37:Z42 AJ43:AJ78 Z44:Z49 Z51:Z56 Z58:Z60 AO59:AO60 Z62:Z87 AE71:AE76 AE78:AE83 AE85:AE88 Z89 Z91 Z93:Z109 AE96:AF99 U99:U125 AJ99:AJ104 AE101:AF103 AE107:AF107 Z111 Z113 Z115:Z1001">
    <cfRule type="containsBlanks" dxfId="1" priority="26">
      <formula>LEN(TRIM(Z24))=0</formula>
    </cfRule>
  </conditionalFormatting>
  <conditionalFormatting sqref="AA22:AA27 V105:V125 AA107:AA109 AA116:AA1001">
    <cfRule type="containsBlanks" dxfId="0" priority="27">
      <formula>LEN(TRIM(AA22))=0</formula>
    </cfRule>
  </conditionalFormatting>
  <conditionalFormatting sqref="AB25:AB1001 W105:W125">
    <cfRule type="containsBlanks" dxfId="0" priority="28">
      <formula>LEN(TRIM(AB25))=0</formula>
    </cfRule>
  </conditionalFormatting>
  <conditionalFormatting sqref="AC12 AC22:AC27 AC29:AC1001 AH29:AH104 AM35:AM60 AG56:AG68 AG70:AG78 AD85:AD104 X107:X109 AD107:AD108 X116:X125">
    <cfRule type="containsBlanks" dxfId="0" priority="29">
      <formula>LEN(TRIM(AC12))=0</formula>
    </cfRule>
  </conditionalFormatting>
  <conditionalFormatting sqref="AD24:AD27 AI65 AC100:AC110 AD111:AD1001">
    <cfRule type="containsBlanks" dxfId="0" priority="30">
      <formula>LEN(TRIM(AD24))=0</formula>
    </cfRule>
  </conditionalFormatting>
  <conditionalFormatting sqref="AE26:AE27 AE30:AE33 AJ30:AJ41 AK30:AK38 AO35:AO57 AE36:AE37 AK40 AE41 AE43:AF48 AJ43:AK61 AE50:AE55 AF50:AF53 AF55 AB57:AB77 AE57:AE62 AF57:AF58 AF61:AF62 AJ63:AJ76 AK63:AK69 AE64:AF69 AE71:AE76 AF71:AF74 AK71:AK76 AE78:AE83 AJ78:AJ83 AE85:AF91 AJ85:AJ90 AJ92:AJ97 AE93:AF99 AJ99:AJ104 AE101:AE1001 AF101:AF103 AF107">
    <cfRule type="containsBlanks" dxfId="0" priority="31">
      <formula>LEN(TRIM(AE26))=0</formula>
    </cfRule>
  </conditionalFormatting>
  <conditionalFormatting sqref="AF24:AF27 AK65 AF111:AF1001">
    <cfRule type="containsBlanks" dxfId="0" priority="32">
      <formula>LEN(TRIM(AF24))=0</formula>
    </cfRule>
  </conditionalFormatting>
  <conditionalFormatting sqref="AG12:AJ12 AG22:AG54 AH22 AG79:AG1001">
    <cfRule type="containsBlanks" dxfId="0" priority="33">
      <formula>LEN(TRIM(AG12))=0</formula>
    </cfRule>
  </conditionalFormatting>
  <conditionalFormatting sqref="AH22:AH28 AM28:AM33 AH39 AM59:AM60 AC78:AC102 AH79:AH1001">
    <cfRule type="containsBlanks" dxfId="0" priority="34">
      <formula>LEN(TRIM(AH22))=0</formula>
    </cfRule>
  </conditionalFormatting>
  <conditionalFormatting sqref="AI22:AI27 AI105:AI1001">
    <cfRule type="containsBlanks" dxfId="0" priority="35">
      <formula>LEN(TRIM(AI22))=0</formula>
    </cfRule>
  </conditionalFormatting>
  <conditionalFormatting sqref="AJ22:AJ28 AO28:AO33 AE30:AE34 AJ30:AJ39 AE36:AE41 AE43:AE48 AE50:AE55 AE57:AE62 AO59:AO60 AE64:AE67 AE78:AE83 AJ79:AJ83 AE85:AE91 AJ85:AJ90 AJ92:AJ97 AE93:AE99 AJ99:AJ1001 AE101:AE110">
    <cfRule type="containsBlanks" dxfId="0" priority="36">
      <formula>LEN(TRIM(AJ22))=0</formula>
    </cfRule>
  </conditionalFormatting>
  <conditionalFormatting sqref="AK12:AK27 AK105:AK1001">
    <cfRule type="containsBlanks" dxfId="0" priority="37">
      <formula>LEN(TRIM(AK12))=0</formula>
    </cfRule>
  </conditionalFormatting>
  <conditionalFormatting sqref="AL12:AL54 AG69 AL70:AL1001 AH79:AH104">
    <cfRule type="containsBlanks" dxfId="0" priority="38">
      <formula>LEN(TRIM(AL12))=0</formula>
    </cfRule>
  </conditionalFormatting>
  <conditionalFormatting sqref="AM24:AM34 AH28 AM70:AM1001 AI79:AI104">
    <cfRule type="containsBlanks" dxfId="0" priority="39">
      <formula>LEN(TRIM(AM24))=0</formula>
    </cfRule>
  </conditionalFormatting>
  <conditionalFormatting sqref="AN24:AN27 AN34 AN70:AN1001 AJ79:AJ104">
    <cfRule type="containsBlanks" dxfId="0" priority="40">
      <formula>LEN(TRIM(AN24))=0</formula>
    </cfRule>
  </conditionalFormatting>
  <conditionalFormatting sqref="AO12:AO34 AJ28 AO58 AO61:AO1001 AK79:AK104">
    <cfRule type="containsBlanks" dxfId="0" priority="41">
      <formula>LEN(TRIM(AO12))=0</formula>
    </cfRule>
  </conditionalFormatting>
  <conditionalFormatting sqref="AP12:AP27 AP34 AP58 AP61:AP1001">
    <cfRule type="containsBlanks" dxfId="0" priority="42">
      <formula>LEN(TRIM(AP12))=0</formula>
    </cfRule>
  </conditionalFormatting>
  <conditionalFormatting sqref="AQ12:AQ1001 AM28:AM60 AH30:AH39 AH79:AH93">
    <cfRule type="containsBlanks" dxfId="0" priority="43">
      <formula>LEN(TRIM(AQ12))=0</formula>
    </cfRule>
  </conditionalFormatting>
  <conditionalFormatting sqref="AR12:AR1001 AN34 AI39 AN58 AI79:AI93">
    <cfRule type="containsBlanks" dxfId="0" priority="44">
      <formula>LEN(TRIM(AR12))=0</formula>
    </cfRule>
  </conditionalFormatting>
  <conditionalFormatting sqref="AS12:AS1001 AO28:AO60 AJ30:AJ39 AJ79:AJ93">
    <cfRule type="containsBlanks" dxfId="0" priority="45">
      <formula>LEN(TRIM(AS12))=0</formula>
    </cfRule>
  </conditionalFormatting>
  <conditionalFormatting sqref="AT12:AT1001 AP34 AK39 AP58 AK79:AK93">
    <cfRule type="containsBlanks" dxfId="0" priority="46">
      <formula>LEN(TRIM(AT12))=0</formula>
    </cfRule>
  </conditionalFormatting>
  <conditionalFormatting sqref="AU24:AU1001">
    <cfRule type="containsBlanks" dxfId="0" priority="47">
      <formula>LEN(TRIM(AU24))=0</formula>
    </cfRule>
  </conditionalFormatting>
  <conditionalFormatting sqref="AY68:AY1001 AZ68:AZ70">
    <cfRule type="containsBlanks" dxfId="0" priority="48">
      <formula>LEN(TRIM(AY68))=0</formula>
    </cfRule>
  </conditionalFormatting>
  <conditionalFormatting sqref="BB68:BB1001 AZ69:AZ1001">
    <cfRule type="containsBlanks" dxfId="0" priority="49">
      <formula>LEN(TRIM(BB68))=0</formula>
    </cfRule>
  </conditionalFormatting>
  <conditionalFormatting sqref="BF100:BF1001">
    <cfRule type="containsBlanks" dxfId="0" priority="50">
      <formula>LEN(TRIM(BF100))=0</formula>
    </cfRule>
  </conditionalFormatting>
  <conditionalFormatting sqref="BJ26:BJ1001">
    <cfRule type="containsBlanks" dxfId="0" priority="51">
      <formula>LEN(TRIM(BJ26))=0</formula>
    </cfRule>
  </conditionalFormatting>
  <conditionalFormatting sqref="BK26:BK1001">
    <cfRule type="containsBlanks" dxfId="0" priority="52">
      <formula>LEN(TRIM(BK26))=0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tr">
        <f>IFERROR(__xludf.DUMMYFUNCTION("FILTER(
  ""OP01-"" &amp; ROW(Overview!B7:B127) - ROW(Overview!B7) + 1,
  (TRIM(TO_TEXT(Overview!B7:B127)) = """") +
  (REGEXMATCH(TRIM(TO_TEXT(Overview!B7:B127)), ""^[1-9]$"") = FALSE)
)"),"OP01-1")</f>
        <v>OP01-1</v>
      </c>
      <c r="B1" s="57" t="str">
        <f>IFERROR(__xludf.DUMMYFUNCTION("FILTER(
  ""OP02-"" &amp; ROW(Overview!C7:C127) - ROW(Overview!C7) + 1,
  (TRIM(TO_TEXT(Overview!C7:C127)) = """") +
  (REGEXMATCH(TRIM(TO_TEXT(Overview!C7:C127)), ""^[1-9]$"") = FALSE)
)"),"OP02-1")</f>
        <v>OP02-1</v>
      </c>
      <c r="C1" s="57" t="str">
        <f>IFERROR(__xludf.DUMMYFUNCTION("FILTER(
  ""OP03-"" &amp; ROW(Overview!D7:D129) - ROW(Overview!D7) + 1,
  (TRIM(TO_TEXT(Overview!D7:D129)) = """") +
  (REGEXMATCH(TRIM(TO_TEXT(Overview!D7:D129)), ""^[1-9]$"") = FALSE)
)"),"OP03-1")</f>
        <v>OP03-1</v>
      </c>
      <c r="D1" s="57" t="str">
        <f>IFERROR(__xludf.DUMMYFUNCTION("FILTER(
  ""OP04-"" &amp; ROW(Overview!E7:E125) - ROW(Overview!E7) + 1,
  (TRIM(TO_TEXT(Overview!E7:E125)) = """") +
  (REGEXMATCH(TRIM(TO_TEXT(Overview!E7:E125)), ""^[1-9]$"") = FALSE)
)"),"OP04-1")</f>
        <v>OP04-1</v>
      </c>
      <c r="E1" s="126" t="str">
        <f>IFERROR(__xludf.DUMMYFUNCTION("FILTER(
  ""OP05-"" &amp; ROW(Overview!F7:F125) - ROW(Overview!F7) + 1,
  (TRIM(TO_TEXT(Overview!F7:F125)) = """") +
  (REGEXMATCH(TRIM(TO_TEXT(Overview!F7:F125)), ""^[1-9]$"") = FALSE)
)"),"OP05-6")</f>
        <v>OP05-6</v>
      </c>
      <c r="F1" s="126" t="str">
        <f>IFERROR(__xludf.DUMMYFUNCTION("FILTER(
  ""OP06-"" &amp; ROW(Overview!G7:G125) - ROW(Overview!G7) + 1,
  (TRIM(TO_TEXT(Overview!G7:G125)) = """") +
  (REGEXMATCH(TRIM(TO_TEXT(Overview!G7:G125)), ""^[1-9]$"") = FALSE)
)"),"OP06-35")</f>
        <v>OP06-35</v>
      </c>
      <c r="G1" s="126" t="str">
        <f>IFERROR(__xludf.DUMMYFUNCTION("FILTER(
  ""OP07-"" &amp; ROW(Overview!H7:H125) - ROW(Overview!H7) + 1,
  (TRIM(TO_TEXT(Overview!H7:H125)) = """") +
  (REGEXMATCH(TRIM(TO_TEXT(Overview!H7:H125)), ""^[1-9]$"") = FALSE)
)"),"OP07-45")</f>
        <v>OP07-45</v>
      </c>
      <c r="H1" s="126" t="str">
        <f>IFERROR(__xludf.DUMMYFUNCTION("FILTER(
  ""OP08-"" &amp; ROW(Overview!I7:I125) - ROW(Overview!I7) + 1,
  (TRIM(TO_TEXT(Overview!I7:I125)) = """") +
  (REGEXMATCH(TRIM(TO_TEXT(Overview!I7:I125)), ""^[1-9]$"") = FALSE)
)"),"OP08-23")</f>
        <v>OP08-23</v>
      </c>
      <c r="I1" s="57" t="str">
        <f>IFERROR(__xludf.DUMMYFUNCTION("FILTER(
  ""OP09-"" &amp; ROW(Overview!J7:J125) - ROW(Overview!J7) + 1,
  (TRIM(TO_TEXT(Overview!J7:J125)) = """") +
  (REGEXMATCH(TRIM(TO_TEXT(Overview!J7:J125)), ""^[1-9]$"") = FALSE)
)"),"OP09-23")</f>
        <v>OP09-23</v>
      </c>
      <c r="J1" s="126" t="str">
        <f>IFERROR(__xludf.DUMMYFUNCTION("FILTER(
  ""OP10-"" &amp; ROW(Overview!K7:K125) - ROW(Overview!K7) + 1,
  (TRIM(TO_TEXT(Overview!K7:K125)) = """") +
  (REGEXMATCH(TRIM(TO_TEXT(Overview!K7:K125)), ""^[1-9]$"") = FALSE)
)"),"OP10-5")</f>
        <v>OP10-5</v>
      </c>
      <c r="K1" s="57" t="str">
        <f>IFERROR(__xludf.DUMMYFUNCTION("FILTER(
  ""OP11-"" &amp; ROW(Overview!L7:L125) - ROW(Overview!L7) + 1,
  (TRIM(TO_TEXT(Overview!L7:L125)) = """") +
  (REGEXMATCH(TRIM(TO_TEXT(Overview!L7:L125)), ""^[1-9]$"") = FALSE)
)"),"OP11-18")</f>
        <v>OP11-18</v>
      </c>
      <c r="L1" s="57" t="str">
        <f>IFERROR(__xludf.DUMMYFUNCTION("FILTER(
  ""OP12-"" &amp; ROW(Overview!M7:M125) - ROW(Overview!M7) + 1,
  (TRIM(TO_TEXT(Overview!M7:M125)) = """") +
  (REGEXMATCH(TRIM(TO_TEXT(Overview!M7:M125)), ""^[1-9]$"") = FALSE)
)"),"OP12-118")</f>
        <v>OP12-118</v>
      </c>
      <c r="M1" s="57" t="str">
        <f>IFERROR(__xludf.DUMMYFUNCTION("FILTER(
  ""OP13-"" &amp; ROW(Overview!N7:N126) - ROW(Overview!N7) + 1,
  (TRIM(TO_TEXT(Overview!N7:N126)) = """") +
  (REGEXMATCH(TRIM(TO_TEXT(Overview!N7:N126)), ""^[1-9]$"") = FALSE)
)"),"OP13-66")</f>
        <v>OP13-66</v>
      </c>
      <c r="N1" s="57" t="str">
        <f>IFERROR(__xludf.DUMMYFUNCTION("FILTER(
  ""OP14-"" &amp; ROW(Overview!O7:O126) - ROW(Overview!O7) + 1,
  (TRIM(TO_TEXT(Overview!O7:O126)) = """") +
  (REGEXMATCH(TRIM(TO_TEXT(Overview!O7:O126)), ""^[1-9]$"") = FALSE)
)"),"OP14-31")</f>
        <v>OP14-31</v>
      </c>
      <c r="O1" s="57" t="str">
        <f>IFERROR(__xludf.DUMMYFUNCTION("FILTER(
  ""EB01-"" &amp; ROW(Overview!AY7:AY61) - ROW(Overview!AY7) + 1,
  (TRIM(TO_TEXT(Overview!AY7:AY61)) = """") +
  (REGEXMATCH(TRIM(TO_TEXT(Overview!AY7:AY61)), ""^[1-9]$"") = FALSE)
)"),"EB01-3")</f>
        <v>EB01-3</v>
      </c>
      <c r="P1" s="57" t="str">
        <f>IFERROR(__xludf.DUMMYFUNCTION("FILTER(
  ""EB02-"" &amp; ROW(Overview!AZ7:AZ61) - ROW(Overview!AZ7) + 1,
  (TRIM(TO_TEXT(Overview!AZ7:AZ61)) = """") +
  (REGEXMATCH(TRIM(TO_TEXT(Overview!AZ7:AZ61)), ""^[1-9]$"") = FALSE)
)"),"EB02-6")</f>
        <v>EB02-6</v>
      </c>
      <c r="Q1" s="57" t="str">
        <f>IFERROR(__xludf.DUMMYFUNCTION("FILTER(
  ""EB03-"" &amp; ROW(Overview!BA7:BA61) - ROW(Overview!BA7) + 1,
  (TRIM(TO_TEXT(Overview!BA7:BA61)) = """") +
  (REGEXMATCH(TRIM(TO_TEXT(Overview!BA7:BA61)), ""^[1-9]$"") = FALSE)
)"),"EB03-24")</f>
        <v>EB03-24</v>
      </c>
      <c r="R1" s="57" t="str">
        <f>IFERROR(__xludf.DUMMYFUNCTION("FILTER(
  ""EB04-"" &amp; ROW(Overview!BB7:BB61) - ROW(Overview!BB7) + 1,
  (TRIM(TO_TEXT(Overview!BB7:BB61)) = """") +
  (REGEXMATCH(TRIM(TO_TEXT(Overview!BB7:BB61)), ""^[1-9]$"") = FALSE)
)"),"EB04-2")</f>
        <v>EB04-2</v>
      </c>
      <c r="S1" s="57" t="str">
        <f>IFERROR(__xludf.DUMMYFUNCTION("FILTER(
  ""ST01-"" &amp; ROW(Overview!S7:S23) - ROW(Overview!S7) + 1,
  (TRIM(TO_TEXT(Overview!S7:S23)) = """") +
  (REGEXMATCH(TRIM(TO_TEXT(Overview!S7:S23)), ""^[1-9]$"") = FALSE)
)"),"ST01-1")</f>
        <v>ST01-1</v>
      </c>
      <c r="T1" s="57" t="str">
        <f>IFERROR(__xludf.DUMMYFUNCTION("FILTER(
  ""ST01-"" &amp; ROW(Overview!T7:T23) - ROW(Overview!T7) + 1,
  (TRIM(TO_TEXT(Overview!T7:T23)) = """") +
  (REGEXMATCH(TRIM(TO_TEXT(Overview!T7:T23)), ""^[1-9]$"") = FALSE)
)"),"ST01-1")</f>
        <v>ST01-1</v>
      </c>
      <c r="U1" s="57" t="str">
        <f>IFERROR(__xludf.DUMMYFUNCTION("FILTER(
  ""ST01-"" &amp; ROW(Overview!U7:U23) - ROW(Overview!U7) + 1,
  (TRIM(TO_TEXT(Overview!U7:U23)) = """") +
  (REGEXMATCH(TRIM(TO_TEXT(Overview!U7:U23)), ""^[1-9]$"") = FALSE)
)"),"ST01-1")</f>
        <v>ST01-1</v>
      </c>
      <c r="W1" s="57" t="str">
        <f>IFERROR(__xludf.DUMMYFUNCTION("FILTER(
  ""P-"" &amp; ROW(Overview!BF7:BF93) - ROW(Overview!BF7) + 1,
  (TRIM(TO_TEXT(Overview!BF7:BF93)) = """") +
  (REGEXMATCH(TRIM(TO_TEXT(Overview!BF7:BF93)), ""^[1-9]$"") = FALSE)
)"),"P-1")</f>
        <v>P-1</v>
      </c>
    </row>
    <row r="2">
      <c r="A2" s="57" t="str">
        <f>IFERROR(__xludf.DUMMYFUNCTION("""COMPUTED_VALUE"""),"OP01-2")</f>
        <v>OP01-2</v>
      </c>
      <c r="B2" s="57" t="str">
        <f>IFERROR(__xludf.DUMMYFUNCTION("""COMPUTED_VALUE"""),"OP02-2")</f>
        <v>OP02-2</v>
      </c>
      <c r="C2" s="57" t="str">
        <f>IFERROR(__xludf.DUMMYFUNCTION("""COMPUTED_VALUE"""),"OP03-11")</f>
        <v>OP03-11</v>
      </c>
      <c r="D2" s="57" t="str">
        <f>IFERROR(__xludf.DUMMYFUNCTION("""COMPUTED_VALUE"""),"OP04-9")</f>
        <v>OP04-9</v>
      </c>
      <c r="E2" s="126" t="str">
        <f>IFERROR(__xludf.DUMMYFUNCTION("""COMPUTED_VALUE"""),"OP05-7")</f>
        <v>OP05-7</v>
      </c>
      <c r="F2" s="126" t="str">
        <f>IFERROR(__xludf.DUMMYFUNCTION("""COMPUTED_VALUE"""),"OP06-47")</f>
        <v>OP06-47</v>
      </c>
      <c r="G2" s="126" t="str">
        <f>IFERROR(__xludf.DUMMYFUNCTION("""COMPUTED_VALUE"""),"OP07-51")</f>
        <v>OP07-51</v>
      </c>
      <c r="H2" s="126" t="str">
        <f>IFERROR(__xludf.DUMMYFUNCTION("""COMPUTED_VALUE"""),"OP08-43")</f>
        <v>OP08-43</v>
      </c>
      <c r="I2" s="57" t="str">
        <f>IFERROR(__xludf.DUMMYFUNCTION("""COMPUTED_VALUE"""),"OP09-37")</f>
        <v>OP09-37</v>
      </c>
      <c r="J2" s="126" t="str">
        <f>IFERROR(__xludf.DUMMYFUNCTION("""COMPUTED_VALUE"""),"OP10-71")</f>
        <v>OP10-71</v>
      </c>
      <c r="K2" s="57" t="str">
        <f>IFERROR(__xludf.DUMMYFUNCTION("""COMPUTED_VALUE"""),"OP11-31")</f>
        <v>OP11-31</v>
      </c>
      <c r="L2" s="57" t="str">
        <f>IFERROR(__xludf.DUMMYFUNCTION("""COMPUTED_VALUE"""),"OP12-119")</f>
        <v>OP12-119</v>
      </c>
      <c r="M2" s="57" t="str">
        <f>IFERROR(__xludf.DUMMYFUNCTION("""COMPUTED_VALUE"""),"OP13-86")</f>
        <v>OP13-86</v>
      </c>
      <c r="N2" s="57" t="str">
        <f>IFERROR(__xludf.DUMMYFUNCTION("""COMPUTED_VALUE"""),"OP14-33")</f>
        <v>OP14-33</v>
      </c>
      <c r="O2" s="57" t="str">
        <f>IFERROR(__xludf.DUMMYFUNCTION("""COMPUTED_VALUE"""),"EB01-4")</f>
        <v>EB01-4</v>
      </c>
      <c r="P2" s="57" t="str">
        <f>IFERROR(__xludf.DUMMYFUNCTION("""COMPUTED_VALUE"""),"EB02-8")</f>
        <v>EB02-8</v>
      </c>
      <c r="Q2" s="57" t="str">
        <f>IFERROR(__xludf.DUMMYFUNCTION("""COMPUTED_VALUE"""),"EB03-42")</f>
        <v>EB03-42</v>
      </c>
      <c r="R2" s="57" t="str">
        <f>IFERROR(__xludf.DUMMYFUNCTION("""COMPUTED_VALUE"""),"EB04-3")</f>
        <v>EB04-3</v>
      </c>
      <c r="S2" s="57" t="str">
        <f>IFERROR(__xludf.DUMMYFUNCTION("""COMPUTED_VALUE"""),"ST01-3")</f>
        <v>ST01-3</v>
      </c>
      <c r="T2" s="57" t="str">
        <f>IFERROR(__xludf.DUMMYFUNCTION("""COMPUTED_VALUE"""),"ST01-3")</f>
        <v>ST01-3</v>
      </c>
      <c r="U2" s="57" t="str">
        <f>IFERROR(__xludf.DUMMYFUNCTION("""COMPUTED_VALUE"""),"ST01-2")</f>
        <v>ST01-2</v>
      </c>
      <c r="W2" s="57" t="str">
        <f>IFERROR(__xludf.DUMMYFUNCTION("""COMPUTED_VALUE"""),"P-2")</f>
        <v>P-2</v>
      </c>
    </row>
    <row r="3">
      <c r="A3" s="57" t="str">
        <f>IFERROR(__xludf.DUMMYFUNCTION("""COMPUTED_VALUE"""),"OP01-3")</f>
        <v>OP01-3</v>
      </c>
      <c r="B3" s="57" t="str">
        <f>IFERROR(__xludf.DUMMYFUNCTION("""COMPUTED_VALUE"""),"OP02-3")</f>
        <v>OP02-3</v>
      </c>
      <c r="C3" s="57" t="str">
        <f>IFERROR(__xludf.DUMMYFUNCTION("""COMPUTED_VALUE"""),"OP03-12")</f>
        <v>OP03-12</v>
      </c>
      <c r="D3" s="57" t="str">
        <f>IFERROR(__xludf.DUMMYFUNCTION("""COMPUTED_VALUE"""),"OP04-13")</f>
        <v>OP04-13</v>
      </c>
      <c r="E3" s="126" t="str">
        <f>IFERROR(__xludf.DUMMYFUNCTION("""COMPUTED_VALUE"""),"OP05-51")</f>
        <v>OP05-51</v>
      </c>
      <c r="F3" s="126" t="str">
        <f>IFERROR(__xludf.DUMMYFUNCTION("""COMPUTED_VALUE"""),"OP06-58")</f>
        <v>OP06-58</v>
      </c>
      <c r="G3" s="126" t="str">
        <f>IFERROR(__xludf.DUMMYFUNCTION("""COMPUTED_VALUE"""),"OP07-57")</f>
        <v>OP07-57</v>
      </c>
      <c r="H3" s="126" t="str">
        <f>IFERROR(__xludf.DUMMYFUNCTION("""COMPUTED_VALUE"""),"OP08-47")</f>
        <v>OP08-47</v>
      </c>
      <c r="I3" s="57" t="str">
        <f>IFERROR(__xludf.DUMMYFUNCTION("""COMPUTED_VALUE"""),"OP09-65")</f>
        <v>OP09-65</v>
      </c>
      <c r="J3" s="126" t="str">
        <f>IFERROR(__xludf.DUMMYFUNCTION("""COMPUTED_VALUE"""),"OP10-118")</f>
        <v>OP10-118</v>
      </c>
      <c r="K3" s="57" t="str">
        <f>IFERROR(__xludf.DUMMYFUNCTION("""COMPUTED_VALUE"""),"OP11-38")</f>
        <v>OP11-38</v>
      </c>
      <c r="M3" s="57" t="str">
        <f>IFERROR(__xludf.DUMMYFUNCTION("""COMPUTED_VALUE"""),"OP13-89")</f>
        <v>OP13-89</v>
      </c>
      <c r="N3" s="57" t="str">
        <f>IFERROR(__xludf.DUMMYFUNCTION("""COMPUTED_VALUE"""),"OP14-69")</f>
        <v>OP14-69</v>
      </c>
      <c r="O3" s="57" t="str">
        <f>IFERROR(__xludf.DUMMYFUNCTION("""COMPUTED_VALUE"""),"EB01-6")</f>
        <v>EB01-6</v>
      </c>
      <c r="P3" s="57" t="str">
        <f>IFERROR(__xludf.DUMMYFUNCTION("""COMPUTED_VALUE"""),"EB02-11")</f>
        <v>EB02-11</v>
      </c>
      <c r="Q3" s="57" t="str">
        <f>IFERROR(__xludf.DUMMYFUNCTION("""COMPUTED_VALUE"""),"EB03-53")</f>
        <v>EB03-53</v>
      </c>
      <c r="R3" s="57" t="str">
        <f>IFERROR(__xludf.DUMMYFUNCTION("""COMPUTED_VALUE"""),"EB04-7")</f>
        <v>EB04-7</v>
      </c>
      <c r="S3" s="57" t="str">
        <f>IFERROR(__xludf.DUMMYFUNCTION("""COMPUTED_VALUE"""),"ST01-4")</f>
        <v>ST01-4</v>
      </c>
      <c r="T3" s="57" t="str">
        <f>IFERROR(__xludf.DUMMYFUNCTION("""COMPUTED_VALUE"""),"ST01-5")</f>
        <v>ST01-5</v>
      </c>
      <c r="U3" s="57" t="str">
        <f>IFERROR(__xludf.DUMMYFUNCTION("""COMPUTED_VALUE"""),"ST01-3")</f>
        <v>ST01-3</v>
      </c>
      <c r="W3" s="57" t="str">
        <f>IFERROR(__xludf.DUMMYFUNCTION("""COMPUTED_VALUE"""),"P-3")</f>
        <v>P-3</v>
      </c>
    </row>
    <row r="4">
      <c r="A4" s="57" t="str">
        <f>IFERROR(__xludf.DUMMYFUNCTION("""COMPUTED_VALUE"""),"OP01-4")</f>
        <v>OP01-4</v>
      </c>
      <c r="B4" s="57" t="str">
        <f>IFERROR(__xludf.DUMMYFUNCTION("""COMPUTED_VALUE"""),"OP02-6")</f>
        <v>OP02-6</v>
      </c>
      <c r="C4" s="57" t="str">
        <f>IFERROR(__xludf.DUMMYFUNCTION("""COMPUTED_VALUE"""),"OP03-13")</f>
        <v>OP03-13</v>
      </c>
      <c r="D4" s="57" t="str">
        <f>IFERROR(__xludf.DUMMYFUNCTION("""COMPUTED_VALUE"""),"OP04-14")</f>
        <v>OP04-14</v>
      </c>
      <c r="E4" s="126" t="str">
        <f>IFERROR(__xludf.DUMMYFUNCTION("""COMPUTED_VALUE"""),"OP05-60")</f>
        <v>OP05-60</v>
      </c>
      <c r="F4" s="126" t="str">
        <f>IFERROR(__xludf.DUMMYFUNCTION("""COMPUTED_VALUE"""),"OP06-62")</f>
        <v>OP06-62</v>
      </c>
      <c r="G4" s="126" t="str">
        <f>IFERROR(__xludf.DUMMYFUNCTION("""COMPUTED_VALUE"""),"OP07-72")</f>
        <v>OP07-72</v>
      </c>
      <c r="H4" s="126" t="str">
        <f>IFERROR(__xludf.DUMMYFUNCTION("""COMPUTED_VALUE"""),"OP08-79")</f>
        <v>OP08-79</v>
      </c>
      <c r="I4" s="57" t="str">
        <f>IFERROR(__xludf.DUMMYFUNCTION("""COMPUTED_VALUE"""),"OP09-118")</f>
        <v>OP09-118</v>
      </c>
      <c r="J4" s="126"/>
      <c r="K4" s="57" t="str">
        <f>IFERROR(__xludf.DUMMYFUNCTION("""COMPUTED_VALUE"""),"OP11-51")</f>
        <v>OP11-51</v>
      </c>
      <c r="M4" s="57" t="str">
        <f>IFERROR(__xludf.DUMMYFUNCTION("""COMPUTED_VALUE"""),"OP13-91")</f>
        <v>OP13-91</v>
      </c>
      <c r="N4" s="57" t="str">
        <f>IFERROR(__xludf.DUMMYFUNCTION("""COMPUTED_VALUE"""),"OP14-84")</f>
        <v>OP14-84</v>
      </c>
      <c r="O4" s="57" t="str">
        <f>IFERROR(__xludf.DUMMYFUNCTION("""COMPUTED_VALUE"""),"EB01-13")</f>
        <v>EB01-13</v>
      </c>
      <c r="P4" s="57" t="str">
        <f>IFERROR(__xludf.DUMMYFUNCTION("""COMPUTED_VALUE"""),"EB02-15")</f>
        <v>EB02-15</v>
      </c>
      <c r="Q4" s="57" t="str">
        <f>IFERROR(__xludf.DUMMYFUNCTION("""COMPUTED_VALUE"""),"EB03-55")</f>
        <v>EB03-55</v>
      </c>
      <c r="R4" s="57" t="str">
        <f>IFERROR(__xludf.DUMMYFUNCTION("""COMPUTED_VALUE"""),"EB04-38")</f>
        <v>EB04-38</v>
      </c>
      <c r="S4" s="57" t="str">
        <f>IFERROR(__xludf.DUMMYFUNCTION("""COMPUTED_VALUE"""),"ST01-6")</f>
        <v>ST01-6</v>
      </c>
      <c r="T4" s="57" t="str">
        <f>IFERROR(__xludf.DUMMYFUNCTION("""COMPUTED_VALUE"""),"ST01-9")</f>
        <v>ST01-9</v>
      </c>
      <c r="U4" s="57" t="str">
        <f>IFERROR(__xludf.DUMMYFUNCTION("""COMPUTED_VALUE"""),"ST01-4")</f>
        <v>ST01-4</v>
      </c>
      <c r="W4" s="57" t="str">
        <f>IFERROR(__xludf.DUMMYFUNCTION("""COMPUTED_VALUE"""),"P-4")</f>
        <v>P-4</v>
      </c>
    </row>
    <row r="5">
      <c r="A5" s="57" t="str">
        <f>IFERROR(__xludf.DUMMYFUNCTION("""COMPUTED_VALUE"""),"OP01-5")</f>
        <v>OP01-5</v>
      </c>
      <c r="B5" s="57" t="str">
        <f>IFERROR(__xludf.DUMMYFUNCTION("""COMPUTED_VALUE"""),"OP02-7")</f>
        <v>OP02-7</v>
      </c>
      <c r="C5" s="57" t="str">
        <f>IFERROR(__xludf.DUMMYFUNCTION("""COMPUTED_VALUE"""),"OP03-14")</f>
        <v>OP03-14</v>
      </c>
      <c r="D5" s="57" t="str">
        <f>IFERROR(__xludf.DUMMYFUNCTION("""COMPUTED_VALUE"""),"OP04-15")</f>
        <v>OP04-15</v>
      </c>
      <c r="E5" s="126" t="str">
        <f>IFERROR(__xludf.DUMMYFUNCTION("""COMPUTED_VALUE"""),"OP05-67")</f>
        <v>OP05-67</v>
      </c>
      <c r="F5" s="126" t="str">
        <f>IFERROR(__xludf.DUMMYFUNCTION("""COMPUTED_VALUE"""),"OP06-69")</f>
        <v>OP06-69</v>
      </c>
      <c r="G5" s="126" t="str">
        <f>IFERROR(__xludf.DUMMYFUNCTION("""COMPUTED_VALUE"""),"OP07-85")</f>
        <v>OP07-85</v>
      </c>
      <c r="H5" s="126" t="str">
        <f>IFERROR(__xludf.DUMMYFUNCTION("""COMPUTED_VALUE"""),"OP08-87")</f>
        <v>OP08-87</v>
      </c>
      <c r="I5" s="57" t="str">
        <f>IFERROR(__xludf.DUMMYFUNCTION("""COMPUTED_VALUE"""),"OP09-119")</f>
        <v>OP09-119</v>
      </c>
      <c r="J5" s="126"/>
      <c r="K5" s="57" t="str">
        <f>IFERROR(__xludf.DUMMYFUNCTION("""COMPUTED_VALUE"""),"OP11-54")</f>
        <v>OP11-54</v>
      </c>
      <c r="M5" s="57" t="str">
        <f>IFERROR(__xludf.DUMMYFUNCTION("""COMPUTED_VALUE"""),"OP13-108")</f>
        <v>OP13-108</v>
      </c>
      <c r="N5" s="57" t="str">
        <f>IFERROR(__xludf.DUMMYFUNCTION("""COMPUTED_VALUE"""),"OP14-91")</f>
        <v>OP14-91</v>
      </c>
      <c r="O5" s="57" t="str">
        <f>IFERROR(__xludf.DUMMYFUNCTION("""COMPUTED_VALUE"""),"EB01-15")</f>
        <v>EB01-15</v>
      </c>
      <c r="P5" s="57" t="str">
        <f>IFERROR(__xludf.DUMMYFUNCTION("""COMPUTED_VALUE"""),"EB02-17")</f>
        <v>EB02-17</v>
      </c>
      <c r="R5" s="57" t="str">
        <f>IFERROR(__xludf.DUMMYFUNCTION("""COMPUTED_VALUE"""),"EB04-48")</f>
        <v>EB04-48</v>
      </c>
      <c r="S5" s="57" t="str">
        <f>IFERROR(__xludf.DUMMYFUNCTION("""COMPUTED_VALUE"""),"ST01-7")</f>
        <v>ST01-7</v>
      </c>
      <c r="T5" s="57" t="str">
        <f>IFERROR(__xludf.DUMMYFUNCTION("""COMPUTED_VALUE"""),"ST01-10")</f>
        <v>ST01-10</v>
      </c>
      <c r="U5" s="57" t="str">
        <f>IFERROR(__xludf.DUMMYFUNCTION("""COMPUTED_VALUE"""),"ST01-6")</f>
        <v>ST01-6</v>
      </c>
      <c r="W5" s="57" t="str">
        <f>IFERROR(__xludf.DUMMYFUNCTION("""COMPUTED_VALUE"""),"P-5")</f>
        <v>P-5</v>
      </c>
    </row>
    <row r="6">
      <c r="A6" s="57" t="str">
        <f>IFERROR(__xludf.DUMMYFUNCTION("""COMPUTED_VALUE"""),"OP01-7")</f>
        <v>OP01-7</v>
      </c>
      <c r="B6" s="57" t="str">
        <f>IFERROR(__xludf.DUMMYFUNCTION("""COMPUTED_VALUE"""),"OP02-9")</f>
        <v>OP02-9</v>
      </c>
      <c r="C6" s="57" t="str">
        <f>IFERROR(__xludf.DUMMYFUNCTION("""COMPUTED_VALUE"""),"OP03-16")</f>
        <v>OP03-16</v>
      </c>
      <c r="D6" s="57" t="str">
        <f>IFERROR(__xludf.DUMMYFUNCTION("""COMPUTED_VALUE"""),"OP04-19")</f>
        <v>OP04-19</v>
      </c>
      <c r="E6" s="126" t="str">
        <f>IFERROR(__xludf.DUMMYFUNCTION("""COMPUTED_VALUE"""),"OP05-69")</f>
        <v>OP05-69</v>
      </c>
      <c r="F6" s="126" t="str">
        <f>IFERROR(__xludf.DUMMYFUNCTION("""COMPUTED_VALUE"""),"OP06-101")</f>
        <v>OP06-101</v>
      </c>
      <c r="G6" s="126"/>
      <c r="H6" s="126" t="str">
        <f>IFERROR(__xludf.DUMMYFUNCTION("""COMPUTED_VALUE"""),"OP08-105")</f>
        <v>OP08-105</v>
      </c>
      <c r="K6" s="57" t="str">
        <f>IFERROR(__xludf.DUMMYFUNCTION("""COMPUTED_VALUE"""),"OP11-67")</f>
        <v>OP11-67</v>
      </c>
      <c r="M6" s="57" t="str">
        <f>IFERROR(__xludf.DUMMYFUNCTION("""COMPUTED_VALUE"""),"OP13-118")</f>
        <v>OP13-118</v>
      </c>
      <c r="N6" s="57" t="str">
        <f>IFERROR(__xludf.DUMMYFUNCTION("""COMPUTED_VALUE"""),"OP14-96")</f>
        <v>OP14-96</v>
      </c>
      <c r="O6" s="57" t="str">
        <f>IFERROR(__xludf.DUMMYFUNCTION("""COMPUTED_VALUE"""),"EB01-17")</f>
        <v>EB01-17</v>
      </c>
      <c r="P6" s="57" t="str">
        <f>IFERROR(__xludf.DUMMYFUNCTION("""COMPUTED_VALUE"""),"EB02-20")</f>
        <v>EB02-20</v>
      </c>
      <c r="R6" s="57" t="str">
        <f>IFERROR(__xludf.DUMMYFUNCTION("""COMPUTED_VALUE"""),"EB04-54")</f>
        <v>EB04-54</v>
      </c>
      <c r="S6" s="57" t="str">
        <f>IFERROR(__xludf.DUMMYFUNCTION("""COMPUTED_VALUE"""),"ST01-12")</f>
        <v>ST01-12</v>
      </c>
      <c r="T6" s="57" t="str">
        <f>IFERROR(__xludf.DUMMYFUNCTION("""COMPUTED_VALUE"""),"ST01-13")</f>
        <v>ST01-13</v>
      </c>
      <c r="U6" s="57" t="str">
        <f>IFERROR(__xludf.DUMMYFUNCTION("""COMPUTED_VALUE"""),"ST01-7")</f>
        <v>ST01-7</v>
      </c>
      <c r="W6" s="57" t="str">
        <f>IFERROR(__xludf.DUMMYFUNCTION("""COMPUTED_VALUE"""),"P-6")</f>
        <v>P-6</v>
      </c>
    </row>
    <row r="7">
      <c r="A7" s="57" t="str">
        <f>IFERROR(__xludf.DUMMYFUNCTION("""COMPUTED_VALUE"""),"OP01-8")</f>
        <v>OP01-8</v>
      </c>
      <c r="B7" s="57" t="str">
        <f>IFERROR(__xludf.DUMMYFUNCTION("""COMPUTED_VALUE"""),"OP02-10")</f>
        <v>OP02-10</v>
      </c>
      <c r="C7" s="57" t="str">
        <f>IFERROR(__xludf.DUMMYFUNCTION("""COMPUTED_VALUE"""),"OP03-18")</f>
        <v>OP03-18</v>
      </c>
      <c r="D7" s="57" t="str">
        <f>IFERROR(__xludf.DUMMYFUNCTION("""COMPUTED_VALUE"""),"OP04-20")</f>
        <v>OP04-20</v>
      </c>
      <c r="E7" s="126" t="str">
        <f>IFERROR(__xludf.DUMMYFUNCTION("""COMPUTED_VALUE"""),"OP05-74")</f>
        <v>OP05-74</v>
      </c>
      <c r="F7" s="126" t="str">
        <f>IFERROR(__xludf.DUMMYFUNCTION("""COMPUTED_VALUE"""),"OP06-106")</f>
        <v>OP06-106</v>
      </c>
      <c r="G7" s="126"/>
      <c r="H7" s="126" t="str">
        <f>IFERROR(__xludf.DUMMYFUNCTION("""COMPUTED_VALUE"""),"OP08-106")</f>
        <v>OP08-106</v>
      </c>
      <c r="K7" s="57" t="str">
        <f>IFERROR(__xludf.DUMMYFUNCTION("""COMPUTED_VALUE"""),"OP11-70")</f>
        <v>OP11-70</v>
      </c>
      <c r="M7" s="57" t="str">
        <f>IFERROR(__xludf.DUMMYFUNCTION("""COMPUTED_VALUE"""),"OP13-119")</f>
        <v>OP13-119</v>
      </c>
      <c r="N7" s="57" t="str">
        <f>IFERROR(__xludf.DUMMYFUNCTION("""COMPUTED_VALUE"""),"OP14-104")</f>
        <v>OP14-104</v>
      </c>
      <c r="O7" s="57" t="str">
        <f>IFERROR(__xludf.DUMMYFUNCTION("""COMPUTED_VALUE"""),"EB01-34")</f>
        <v>EB01-34</v>
      </c>
      <c r="P7" s="57" t="str">
        <f>IFERROR(__xludf.DUMMYFUNCTION("""COMPUTED_VALUE"""),"EB02-26")</f>
        <v>EB02-26</v>
      </c>
      <c r="S7" s="57" t="str">
        <f>IFERROR(__xludf.DUMMYFUNCTION("""COMPUTED_VALUE"""),"ST01-13")</f>
        <v>ST01-13</v>
      </c>
      <c r="T7" s="57" t="str">
        <f>IFERROR(__xludf.DUMMYFUNCTION("""COMPUTED_VALUE"""),"ST01-14")</f>
        <v>ST01-14</v>
      </c>
      <c r="U7" s="57" t="str">
        <f>IFERROR(__xludf.DUMMYFUNCTION("""COMPUTED_VALUE"""),"ST01-8")</f>
        <v>ST01-8</v>
      </c>
      <c r="W7" s="57" t="str">
        <f>IFERROR(__xludf.DUMMYFUNCTION("""COMPUTED_VALUE"""),"P-7")</f>
        <v>P-7</v>
      </c>
    </row>
    <row r="8">
      <c r="A8" s="57" t="str">
        <f>IFERROR(__xludf.DUMMYFUNCTION("""COMPUTED_VALUE"""),"OP01-9")</f>
        <v>OP01-9</v>
      </c>
      <c r="B8" s="57" t="str">
        <f>IFERROR(__xludf.DUMMYFUNCTION("""COMPUTED_VALUE"""),"OP02-11")</f>
        <v>OP02-11</v>
      </c>
      <c r="C8" s="57" t="str">
        <f>IFERROR(__xludf.DUMMYFUNCTION("""COMPUTED_VALUE"""),"OP03-21")</f>
        <v>OP03-21</v>
      </c>
      <c r="D8" s="57" t="str">
        <f>IFERROR(__xludf.DUMMYFUNCTION("""COMPUTED_VALUE"""),"OP04-21")</f>
        <v>OP04-21</v>
      </c>
      <c r="E8" s="126" t="str">
        <f>IFERROR(__xludf.DUMMYFUNCTION("""COMPUTED_VALUE"""),"OP05-76")</f>
        <v>OP05-76</v>
      </c>
      <c r="F8" s="126" t="str">
        <f>IFERROR(__xludf.DUMMYFUNCTION("""COMPUTED_VALUE"""),"OP06-115")</f>
        <v>OP06-115</v>
      </c>
      <c r="G8" s="126"/>
      <c r="H8" s="126" t="str">
        <f>IFERROR(__xludf.DUMMYFUNCTION("""COMPUTED_VALUE"""),"OP08-118")</f>
        <v>OP08-118</v>
      </c>
      <c r="K8" s="57" t="str">
        <f>IFERROR(__xludf.DUMMYFUNCTION("""COMPUTED_VALUE"""),"OP11-73")</f>
        <v>OP11-73</v>
      </c>
      <c r="M8" s="57" t="str">
        <f>IFERROR(__xludf.DUMMYFUNCTION("""COMPUTED_VALUE"""),"OP13-120")</f>
        <v>OP13-120</v>
      </c>
      <c r="N8" s="57" t="str">
        <f>IFERROR(__xludf.DUMMYFUNCTION("""COMPUTED_VALUE"""),"OP14-112")</f>
        <v>OP14-112</v>
      </c>
      <c r="O8" s="57" t="str">
        <f>IFERROR(__xludf.DUMMYFUNCTION("""COMPUTED_VALUE"""),"EB01-39")</f>
        <v>EB01-39</v>
      </c>
      <c r="P8" s="57" t="str">
        <f>IFERROR(__xludf.DUMMYFUNCTION("""COMPUTED_VALUE"""),"EB02-31")</f>
        <v>EB02-31</v>
      </c>
      <c r="S8" s="57" t="str">
        <f>IFERROR(__xludf.DUMMYFUNCTION("""COMPUTED_VALUE"""),"ST01-15")</f>
        <v>ST01-15</v>
      </c>
      <c r="T8" s="57" t="str">
        <f>IFERROR(__xludf.DUMMYFUNCTION("""COMPUTED_VALUE"""),"ST01-15")</f>
        <v>ST01-15</v>
      </c>
      <c r="U8" s="57" t="str">
        <f>IFERROR(__xludf.DUMMYFUNCTION("""COMPUTED_VALUE"""),"ST01-9")</f>
        <v>ST01-9</v>
      </c>
      <c r="W8" s="57" t="str">
        <f>IFERROR(__xludf.DUMMYFUNCTION("""COMPUTED_VALUE"""),"P-8")</f>
        <v>P-8</v>
      </c>
    </row>
    <row r="9">
      <c r="A9" s="57" t="str">
        <f>IFERROR(__xludf.DUMMYFUNCTION("""COMPUTED_VALUE"""),"OP01-10")</f>
        <v>OP01-10</v>
      </c>
      <c r="B9" s="57" t="str">
        <f>IFERROR(__xludf.DUMMYFUNCTION("""COMPUTED_VALUE"""),"OP02-12")</f>
        <v>OP02-12</v>
      </c>
      <c r="C9" s="57" t="str">
        <f>IFERROR(__xludf.DUMMYFUNCTION("""COMPUTED_VALUE"""),"OP03-22")</f>
        <v>OP03-22</v>
      </c>
      <c r="D9" s="57" t="str">
        <f>IFERROR(__xludf.DUMMYFUNCTION("""COMPUTED_VALUE"""),"OP04-24")</f>
        <v>OP04-24</v>
      </c>
      <c r="E9" s="126" t="str">
        <f>IFERROR(__xludf.DUMMYFUNCTION("""COMPUTED_VALUE"""),"OP05-82")</f>
        <v>OP05-82</v>
      </c>
      <c r="F9" s="126"/>
      <c r="G9" s="126"/>
      <c r="H9" s="126"/>
      <c r="K9" s="57" t="str">
        <f>IFERROR(__xludf.DUMMYFUNCTION("""COMPUTED_VALUE"""),"OP11-95")</f>
        <v>OP11-95</v>
      </c>
      <c r="N9" s="57" t="str">
        <f>IFERROR(__xludf.DUMMYFUNCTION("""COMPUTED_VALUE"""),"OP14-119")</f>
        <v>OP14-119</v>
      </c>
      <c r="O9" s="57" t="str">
        <f>IFERROR(__xludf.DUMMYFUNCTION("""COMPUTED_VALUE"""),"EB01-52")</f>
        <v>EB01-52</v>
      </c>
      <c r="P9" s="57" t="str">
        <f>IFERROR(__xludf.DUMMYFUNCTION("""COMPUTED_VALUE"""),"EB02-35")</f>
        <v>EB02-35</v>
      </c>
      <c r="S9" s="57" t="str">
        <f>IFERROR(__xludf.DUMMYFUNCTION("""COMPUTED_VALUE"""),"ST01-16")</f>
        <v>ST01-16</v>
      </c>
      <c r="T9" s="57" t="str">
        <f>IFERROR(__xludf.DUMMYFUNCTION("""COMPUTED_VALUE"""),"ST01-16")</f>
        <v>ST01-16</v>
      </c>
      <c r="U9" s="57" t="str">
        <f>IFERROR(__xludf.DUMMYFUNCTION("""COMPUTED_VALUE"""),"ST01-10")</f>
        <v>ST01-10</v>
      </c>
      <c r="W9" s="57" t="str">
        <f>IFERROR(__xludf.DUMMYFUNCTION("""COMPUTED_VALUE"""),"P-9")</f>
        <v>P-9</v>
      </c>
    </row>
    <row r="10">
      <c r="A10" s="57" t="str">
        <f>IFERROR(__xludf.DUMMYFUNCTION("""COMPUTED_VALUE"""),"OP01-11")</f>
        <v>OP01-11</v>
      </c>
      <c r="B10" s="57" t="str">
        <f>IFERROR(__xludf.DUMMYFUNCTION("""COMPUTED_VALUE"""),"OP02-13")</f>
        <v>OP02-13</v>
      </c>
      <c r="C10" s="57" t="str">
        <f>IFERROR(__xludf.DUMMYFUNCTION("""COMPUTED_VALUE"""),"OP03-29")</f>
        <v>OP03-29</v>
      </c>
      <c r="D10" s="57" t="str">
        <f>IFERROR(__xludf.DUMMYFUNCTION("""COMPUTED_VALUE"""),"OP04-28")</f>
        <v>OP04-28</v>
      </c>
      <c r="E10" s="126" t="str">
        <f>IFERROR(__xludf.DUMMYFUNCTION("""COMPUTED_VALUE"""),"OP05-100")</f>
        <v>OP05-100</v>
      </c>
      <c r="F10" s="126"/>
      <c r="G10" s="126"/>
      <c r="K10" s="57" t="str">
        <f>IFERROR(__xludf.DUMMYFUNCTION("""COMPUTED_VALUE"""),"OP11-101")</f>
        <v>OP11-101</v>
      </c>
      <c r="P10" s="57" t="str">
        <f>IFERROR(__xludf.DUMMYFUNCTION("""COMPUTED_VALUE"""),"EB02-40")</f>
        <v>EB02-40</v>
      </c>
      <c r="S10" s="57" t="str">
        <f>IFERROR(__xludf.DUMMYFUNCTION("""COMPUTED_VALUE"""),"ST01-17")</f>
        <v>ST01-17</v>
      </c>
      <c r="T10" s="57" t="str">
        <f>IFERROR(__xludf.DUMMYFUNCTION("""COMPUTED_VALUE"""),"ST01-17")</f>
        <v>ST01-17</v>
      </c>
      <c r="U10" s="57" t="str">
        <f>IFERROR(__xludf.DUMMYFUNCTION("""COMPUTED_VALUE"""),"ST01-11")</f>
        <v>ST01-11</v>
      </c>
      <c r="W10" s="57" t="str">
        <f>IFERROR(__xludf.DUMMYFUNCTION("""COMPUTED_VALUE"""),"P-10")</f>
        <v>P-10</v>
      </c>
    </row>
    <row r="11">
      <c r="A11" s="57" t="str">
        <f>IFERROR(__xludf.DUMMYFUNCTION("""COMPUTED_VALUE"""),"OP01-12")</f>
        <v>OP01-12</v>
      </c>
      <c r="B11" s="57" t="str">
        <f>IFERROR(__xludf.DUMMYFUNCTION("""COMPUTED_VALUE"""),"OP02-16")</f>
        <v>OP02-16</v>
      </c>
      <c r="C11" s="57" t="str">
        <f>IFERROR(__xludf.DUMMYFUNCTION("""COMPUTED_VALUE"""),"OP03-32")</f>
        <v>OP03-32</v>
      </c>
      <c r="D11" s="57" t="str">
        <f>IFERROR(__xludf.DUMMYFUNCTION("""COMPUTED_VALUE"""),"OP04-30")</f>
        <v>OP04-30</v>
      </c>
      <c r="E11" s="126" t="str">
        <f>IFERROR(__xludf.DUMMYFUNCTION("""COMPUTED_VALUE"""),"OP05-101")</f>
        <v>OP05-101</v>
      </c>
      <c r="F11" s="126"/>
      <c r="G11" s="126"/>
      <c r="K11" s="57" t="str">
        <f>IFERROR(__xludf.DUMMYFUNCTION("""COMPUTED_VALUE"""),"OP11-114")</f>
        <v>OP11-114</v>
      </c>
      <c r="P11" s="57" t="str">
        <f>IFERROR(__xludf.DUMMYFUNCTION("""COMPUTED_VALUE"""),"EB02-41")</f>
        <v>EB02-41</v>
      </c>
      <c r="U11" s="57" t="str">
        <f>IFERROR(__xludf.DUMMYFUNCTION("""COMPUTED_VALUE"""),"ST01-12")</f>
        <v>ST01-12</v>
      </c>
      <c r="W11" s="57" t="str">
        <f>IFERROR(__xludf.DUMMYFUNCTION("""COMPUTED_VALUE"""),"P-11")</f>
        <v>P-11</v>
      </c>
    </row>
    <row r="12">
      <c r="A12" s="57" t="str">
        <f>IFERROR(__xludf.DUMMYFUNCTION("""COMPUTED_VALUE"""),"OP01-13")</f>
        <v>OP01-13</v>
      </c>
      <c r="B12" s="57" t="str">
        <f>IFERROR(__xludf.DUMMYFUNCTION("""COMPUTED_VALUE"""),"OP02-17")</f>
        <v>OP02-17</v>
      </c>
      <c r="C12" s="57" t="str">
        <f>IFERROR(__xludf.DUMMYFUNCTION("""COMPUTED_VALUE"""),"OP03-33")</f>
        <v>OP03-33</v>
      </c>
      <c r="D12" s="57" t="str">
        <f>IFERROR(__xludf.DUMMYFUNCTION("""COMPUTED_VALUE"""),"OP04-34")</f>
        <v>OP04-34</v>
      </c>
      <c r="E12" s="126" t="str">
        <f>IFERROR(__xludf.DUMMYFUNCTION("""COMPUTED_VALUE"""),"OP05-119")</f>
        <v>OP05-119</v>
      </c>
      <c r="F12" s="126"/>
      <c r="G12" s="126"/>
      <c r="P12" s="57" t="str">
        <f>IFERROR(__xludf.DUMMYFUNCTION("""COMPUTED_VALUE"""),"EB02-44")</f>
        <v>EB02-44</v>
      </c>
      <c r="U12" s="57" t="str">
        <f>IFERROR(__xludf.DUMMYFUNCTION("""COMPUTED_VALUE"""),"ST01-14")</f>
        <v>ST01-14</v>
      </c>
      <c r="W12" s="57" t="str">
        <f>IFERROR(__xludf.DUMMYFUNCTION("""COMPUTED_VALUE"""),"P-12")</f>
        <v>P-12</v>
      </c>
    </row>
    <row r="13">
      <c r="A13" s="57" t="str">
        <f>IFERROR(__xludf.DUMMYFUNCTION("""COMPUTED_VALUE"""),"OP01-14")</f>
        <v>OP01-14</v>
      </c>
      <c r="B13" s="57" t="str">
        <f>IFERROR(__xludf.DUMMYFUNCTION("""COMPUTED_VALUE"""),"OP02-19")</f>
        <v>OP02-19</v>
      </c>
      <c r="C13" s="57" t="str">
        <f>IFERROR(__xludf.DUMMYFUNCTION("""COMPUTED_VALUE"""),"OP03-40")</f>
        <v>OP03-40</v>
      </c>
      <c r="D13" s="57" t="str">
        <f>IFERROR(__xludf.DUMMYFUNCTION("""COMPUTED_VALUE"""),"OP04-35")</f>
        <v>OP04-35</v>
      </c>
      <c r="E13" s="126"/>
      <c r="F13" s="126"/>
      <c r="G13" s="126"/>
      <c r="P13" s="57" t="str">
        <f>IFERROR(__xludf.DUMMYFUNCTION("""COMPUTED_VALUE"""),"EB02-45")</f>
        <v>EB02-45</v>
      </c>
      <c r="U13" s="57" t="str">
        <f>IFERROR(__xludf.DUMMYFUNCTION("""COMPUTED_VALUE"""),"ST01-15")</f>
        <v>ST01-15</v>
      </c>
      <c r="W13" s="57" t="str">
        <f>IFERROR(__xludf.DUMMYFUNCTION("""COMPUTED_VALUE"""),"P-13")</f>
        <v>P-13</v>
      </c>
    </row>
    <row r="14">
      <c r="A14" s="57" t="str">
        <f>IFERROR(__xludf.DUMMYFUNCTION("""COMPUTED_VALUE"""),"OP01-15")</f>
        <v>OP01-15</v>
      </c>
      <c r="B14" s="57" t="str">
        <f>IFERROR(__xludf.DUMMYFUNCTION("""COMPUTED_VALUE"""),"OP02-20")</f>
        <v>OP02-20</v>
      </c>
      <c r="C14" s="57" t="str">
        <f>IFERROR(__xludf.DUMMYFUNCTION("""COMPUTED_VALUE"""),"OP03-41")</f>
        <v>OP03-41</v>
      </c>
      <c r="D14" s="57" t="str">
        <f>IFERROR(__xludf.DUMMYFUNCTION("""COMPUTED_VALUE"""),"OP04-38")</f>
        <v>OP04-38</v>
      </c>
      <c r="E14" s="126"/>
      <c r="F14" s="126"/>
      <c r="G14" s="126"/>
      <c r="P14" s="57" t="str">
        <f>IFERROR(__xludf.DUMMYFUNCTION("""COMPUTED_VALUE"""),"EB02-52")</f>
        <v>EB02-52</v>
      </c>
      <c r="U14" s="57" t="str">
        <f>IFERROR(__xludf.DUMMYFUNCTION("""COMPUTED_VALUE"""),"ST01-16")</f>
        <v>ST01-16</v>
      </c>
      <c r="W14" s="57" t="str">
        <f>IFERROR(__xludf.DUMMYFUNCTION("""COMPUTED_VALUE"""),"P-15")</f>
        <v>P-15</v>
      </c>
    </row>
    <row r="15">
      <c r="A15" s="57" t="str">
        <f>IFERROR(__xludf.DUMMYFUNCTION("""COMPUTED_VALUE"""),"OP01-17")</f>
        <v>OP01-17</v>
      </c>
      <c r="B15" s="57" t="str">
        <f>IFERROR(__xludf.DUMMYFUNCTION("""COMPUTED_VALUE"""),"OP02-21")</f>
        <v>OP02-21</v>
      </c>
      <c r="C15" s="57" t="str">
        <f>IFERROR(__xludf.DUMMYFUNCTION("""COMPUTED_VALUE"""),"OP03-47")</f>
        <v>OP03-47</v>
      </c>
      <c r="D15" s="57" t="str">
        <f>IFERROR(__xludf.DUMMYFUNCTION("""COMPUTED_VALUE"""),"OP04-39")</f>
        <v>OP04-39</v>
      </c>
      <c r="E15" s="126"/>
      <c r="F15" s="126"/>
      <c r="U15" s="57" t="str">
        <f>IFERROR(__xludf.DUMMYFUNCTION("""COMPUTED_VALUE"""),"ST01-17")</f>
        <v>ST01-17</v>
      </c>
      <c r="W15" s="57" t="str">
        <f>IFERROR(__xludf.DUMMYFUNCTION("""COMPUTED_VALUE"""),"P-16")</f>
        <v>P-16</v>
      </c>
    </row>
    <row r="16">
      <c r="A16" s="57" t="str">
        <f>IFERROR(__xludf.DUMMYFUNCTION("""COMPUTED_VALUE"""),"OP01-18")</f>
        <v>OP01-18</v>
      </c>
      <c r="B16" s="57" t="str">
        <f>IFERROR(__xludf.DUMMYFUNCTION("""COMPUTED_VALUE"""),"OP02-22")</f>
        <v>OP02-22</v>
      </c>
      <c r="C16" s="57" t="str">
        <f>IFERROR(__xludf.DUMMYFUNCTION("""COMPUTED_VALUE"""),"OP03-51")</f>
        <v>OP03-51</v>
      </c>
      <c r="D16" s="57" t="str">
        <f>IFERROR(__xludf.DUMMYFUNCTION("""COMPUTED_VALUE"""),"OP04-40")</f>
        <v>OP04-40</v>
      </c>
      <c r="E16" s="126"/>
      <c r="F16" s="126"/>
      <c r="W16" s="57" t="str">
        <f>IFERROR(__xludf.DUMMYFUNCTION("""COMPUTED_VALUE"""),"P-17")</f>
        <v>P-17</v>
      </c>
    </row>
    <row r="17">
      <c r="A17" s="57" t="str">
        <f>IFERROR(__xludf.DUMMYFUNCTION("""COMPUTED_VALUE"""),"OP01-19")</f>
        <v>OP01-19</v>
      </c>
      <c r="B17" s="57" t="str">
        <f>IFERROR(__xludf.DUMMYFUNCTION("""COMPUTED_VALUE"""),"OP02-23")</f>
        <v>OP02-23</v>
      </c>
      <c r="C17" s="57" t="str">
        <f>IFERROR(__xludf.DUMMYFUNCTION("""COMPUTED_VALUE"""),"OP03-57")</f>
        <v>OP03-57</v>
      </c>
      <c r="D17" s="57" t="str">
        <f>IFERROR(__xludf.DUMMYFUNCTION("""COMPUTED_VALUE"""),"OP04-44")</f>
        <v>OP04-44</v>
      </c>
      <c r="E17" s="126"/>
      <c r="F17" s="126"/>
      <c r="W17" s="57" t="str">
        <f>IFERROR(__xludf.DUMMYFUNCTION("""COMPUTED_VALUE"""),"P-18")</f>
        <v>P-18</v>
      </c>
    </row>
    <row r="18">
      <c r="A18" s="57" t="str">
        <f>IFERROR(__xludf.DUMMYFUNCTION("""COMPUTED_VALUE"""),"OP01-20")</f>
        <v>OP01-20</v>
      </c>
      <c r="B18" s="57" t="str">
        <f>IFERROR(__xludf.DUMMYFUNCTION("""COMPUTED_VALUE"""),"OP02-24")</f>
        <v>OP02-24</v>
      </c>
      <c r="C18" s="57" t="str">
        <f>IFERROR(__xludf.DUMMYFUNCTION("""COMPUTED_VALUE"""),"OP03-58")</f>
        <v>OP03-58</v>
      </c>
      <c r="D18" s="57" t="str">
        <f>IFERROR(__xludf.DUMMYFUNCTION("""COMPUTED_VALUE"""),"OP04-46")</f>
        <v>OP04-46</v>
      </c>
      <c r="E18" s="126"/>
      <c r="F18" s="126"/>
      <c r="W18" s="57" t="str">
        <f>IFERROR(__xludf.DUMMYFUNCTION("""COMPUTED_VALUE"""),"P-19")</f>
        <v>P-19</v>
      </c>
    </row>
    <row r="19">
      <c r="A19" s="57" t="str">
        <f>IFERROR(__xludf.DUMMYFUNCTION("""COMPUTED_VALUE"""),"OP01-21")</f>
        <v>OP01-21</v>
      </c>
      <c r="B19" s="57" t="str">
        <f>IFERROR(__xludf.DUMMYFUNCTION("""COMPUTED_VALUE"""),"OP02-25")</f>
        <v>OP02-25</v>
      </c>
      <c r="C19" s="57" t="str">
        <f>IFERROR(__xludf.DUMMYFUNCTION("""COMPUTED_VALUE"""),"OP03-59")</f>
        <v>OP03-59</v>
      </c>
      <c r="D19" s="57" t="str">
        <f>IFERROR(__xludf.DUMMYFUNCTION("""COMPUTED_VALUE"""),"OP04-51")</f>
        <v>OP04-51</v>
      </c>
      <c r="E19" s="126"/>
      <c r="F19" s="126"/>
      <c r="W19" s="57" t="str">
        <f>IFERROR(__xludf.DUMMYFUNCTION("""COMPUTED_VALUE"""),"P-20")</f>
        <v>P-20</v>
      </c>
    </row>
    <row r="20">
      <c r="A20" s="57" t="str">
        <f>IFERROR(__xludf.DUMMYFUNCTION("""COMPUTED_VALUE"""),"OP01-22")</f>
        <v>OP01-22</v>
      </c>
      <c r="B20" s="57" t="str">
        <f>IFERROR(__xludf.DUMMYFUNCTION("""COMPUTED_VALUE"""),"OP02-26")</f>
        <v>OP02-26</v>
      </c>
      <c r="C20" s="57" t="str">
        <f>IFERROR(__xludf.DUMMYFUNCTION("""COMPUTED_VALUE"""),"OP03-62")</f>
        <v>OP03-62</v>
      </c>
      <c r="D20" s="57" t="str">
        <f>IFERROR(__xludf.DUMMYFUNCTION("""COMPUTED_VALUE"""),"OP04-56")</f>
        <v>OP04-56</v>
      </c>
      <c r="E20" s="126"/>
      <c r="F20" s="126"/>
      <c r="W20" s="57" t="str">
        <f>IFERROR(__xludf.DUMMYFUNCTION("""COMPUTED_VALUE"""),"P-21")</f>
        <v>P-21</v>
      </c>
    </row>
    <row r="21">
      <c r="A21" s="57" t="str">
        <f>IFERROR(__xludf.DUMMYFUNCTION("""COMPUTED_VALUE"""),"OP01-23")</f>
        <v>OP01-23</v>
      </c>
      <c r="B21" s="57" t="str">
        <f>IFERROR(__xludf.DUMMYFUNCTION("""COMPUTED_VALUE"""),"OP02-27")</f>
        <v>OP02-27</v>
      </c>
      <c r="C21" s="57" t="str">
        <f>IFERROR(__xludf.DUMMYFUNCTION("""COMPUTED_VALUE"""),"OP03-66")</f>
        <v>OP03-66</v>
      </c>
      <c r="D21" s="57" t="str">
        <f>IFERROR(__xludf.DUMMYFUNCTION("""COMPUTED_VALUE"""),"OP04-58")</f>
        <v>OP04-58</v>
      </c>
      <c r="E21" s="126"/>
      <c r="F21" s="126"/>
      <c r="W21" s="57" t="str">
        <f>IFERROR(__xludf.DUMMYFUNCTION("""COMPUTED_VALUE"""),"P-22")</f>
        <v>P-22</v>
      </c>
    </row>
    <row r="22">
      <c r="A22" s="57" t="str">
        <f>IFERROR(__xludf.DUMMYFUNCTION("""COMPUTED_VALUE"""),"OP01-25")</f>
        <v>OP01-25</v>
      </c>
      <c r="B22" s="57" t="str">
        <f>IFERROR(__xludf.DUMMYFUNCTION("""COMPUTED_VALUE"""),"OP02-29")</f>
        <v>OP02-29</v>
      </c>
      <c r="C22" s="57" t="str">
        <f>IFERROR(__xludf.DUMMYFUNCTION("""COMPUTED_VALUE"""),"OP03-70")</f>
        <v>OP03-70</v>
      </c>
      <c r="D22" s="57" t="str">
        <f>IFERROR(__xludf.DUMMYFUNCTION("""COMPUTED_VALUE"""),"OP04-60")</f>
        <v>OP04-60</v>
      </c>
      <c r="E22" s="126"/>
      <c r="F22" s="126"/>
      <c r="W22" s="57" t="str">
        <f>IFERROR(__xludf.DUMMYFUNCTION("""COMPUTED_VALUE"""),"P-23")</f>
        <v>P-23</v>
      </c>
    </row>
    <row r="23">
      <c r="A23" s="57" t="str">
        <f>IFERROR(__xludf.DUMMYFUNCTION("""COMPUTED_VALUE"""),"OP01-26")</f>
        <v>OP01-26</v>
      </c>
      <c r="B23" s="57" t="str">
        <f>IFERROR(__xludf.DUMMYFUNCTION("""COMPUTED_VALUE"""),"OP02-30")</f>
        <v>OP02-30</v>
      </c>
      <c r="C23" s="57" t="str">
        <f>IFERROR(__xludf.DUMMYFUNCTION("""COMPUTED_VALUE"""),"OP03-74")</f>
        <v>OP03-74</v>
      </c>
      <c r="D23" s="57" t="str">
        <f>IFERROR(__xludf.DUMMYFUNCTION("""COMPUTED_VALUE"""),"OP04-63")</f>
        <v>OP04-63</v>
      </c>
      <c r="F23" s="126"/>
      <c r="W23" s="57" t="str">
        <f>IFERROR(__xludf.DUMMYFUNCTION("""COMPUTED_VALUE"""),"P-24")</f>
        <v>P-24</v>
      </c>
    </row>
    <row r="24">
      <c r="A24" s="57" t="str">
        <f>IFERROR(__xludf.DUMMYFUNCTION("""COMPUTED_VALUE"""),"OP01-27")</f>
        <v>OP01-27</v>
      </c>
      <c r="B24" s="57" t="str">
        <f>IFERROR(__xludf.DUMMYFUNCTION("""COMPUTED_VALUE"""),"OP02-31")</f>
        <v>OP02-31</v>
      </c>
      <c r="C24" s="57" t="str">
        <f>IFERROR(__xludf.DUMMYFUNCTION("""COMPUTED_VALUE"""),"OP03-76")</f>
        <v>OP03-76</v>
      </c>
      <c r="D24" s="57" t="str">
        <f>IFERROR(__xludf.DUMMYFUNCTION("""COMPUTED_VALUE"""),"OP04-64")</f>
        <v>OP04-64</v>
      </c>
      <c r="W24" s="57" t="str">
        <f>IFERROR(__xludf.DUMMYFUNCTION("""COMPUTED_VALUE"""),"P-25")</f>
        <v>P-25</v>
      </c>
    </row>
    <row r="25">
      <c r="A25" s="57" t="str">
        <f>IFERROR(__xludf.DUMMYFUNCTION("""COMPUTED_VALUE"""),"OP01-28")</f>
        <v>OP01-28</v>
      </c>
      <c r="B25" s="57" t="str">
        <f>IFERROR(__xludf.DUMMYFUNCTION("""COMPUTED_VALUE"""),"OP02-32")</f>
        <v>OP02-32</v>
      </c>
      <c r="C25" s="57" t="str">
        <f>IFERROR(__xludf.DUMMYFUNCTION("""COMPUTED_VALUE"""),"OP03-77")</f>
        <v>OP03-77</v>
      </c>
      <c r="D25" s="57" t="str">
        <f>IFERROR(__xludf.DUMMYFUNCTION("""COMPUTED_VALUE"""),"OP04-66")</f>
        <v>OP04-66</v>
      </c>
      <c r="W25" s="57" t="str">
        <f>IFERROR(__xludf.DUMMYFUNCTION("""COMPUTED_VALUE"""),"P-26")</f>
        <v>P-26</v>
      </c>
    </row>
    <row r="26">
      <c r="A26" s="57" t="str">
        <f>IFERROR(__xludf.DUMMYFUNCTION("""COMPUTED_VALUE"""),"OP01-30")</f>
        <v>OP01-30</v>
      </c>
      <c r="B26" s="57" t="str">
        <f>IFERROR(__xludf.DUMMYFUNCTION("""COMPUTED_VALUE"""),"OP02-36")</f>
        <v>OP02-36</v>
      </c>
      <c r="C26" s="57" t="str">
        <f>IFERROR(__xludf.DUMMYFUNCTION("""COMPUTED_VALUE"""),"OP03-80")</f>
        <v>OP03-80</v>
      </c>
      <c r="D26" s="57" t="str">
        <f>IFERROR(__xludf.DUMMYFUNCTION("""COMPUTED_VALUE"""),"OP04-69")</f>
        <v>OP04-69</v>
      </c>
      <c r="W26" s="57" t="str">
        <f>IFERROR(__xludf.DUMMYFUNCTION("""COMPUTED_VALUE"""),"P-27")</f>
        <v>P-27</v>
      </c>
    </row>
    <row r="27">
      <c r="A27" s="57" t="str">
        <f>IFERROR(__xludf.DUMMYFUNCTION("""COMPUTED_VALUE"""),"OP01-31")</f>
        <v>OP01-31</v>
      </c>
      <c r="B27" s="57" t="str">
        <f>IFERROR(__xludf.DUMMYFUNCTION("""COMPUTED_VALUE"""),"OP02-38")</f>
        <v>OP02-38</v>
      </c>
      <c r="C27" s="57" t="str">
        <f>IFERROR(__xludf.DUMMYFUNCTION("""COMPUTED_VALUE"""),"OP03-81")</f>
        <v>OP03-81</v>
      </c>
      <c r="D27" s="57" t="str">
        <f>IFERROR(__xludf.DUMMYFUNCTION("""COMPUTED_VALUE"""),"OP04-71")</f>
        <v>OP04-71</v>
      </c>
      <c r="W27" s="57" t="str">
        <f>IFERROR(__xludf.DUMMYFUNCTION("""COMPUTED_VALUE"""),"P-28")</f>
        <v>P-28</v>
      </c>
    </row>
    <row r="28">
      <c r="A28" s="57" t="str">
        <f>IFERROR(__xludf.DUMMYFUNCTION("""COMPUTED_VALUE"""),"OP01-32")</f>
        <v>OP01-32</v>
      </c>
      <c r="B28" s="57" t="str">
        <f>IFERROR(__xludf.DUMMYFUNCTION("""COMPUTED_VALUE"""),"OP02-42")</f>
        <v>OP02-42</v>
      </c>
      <c r="C28" s="57" t="str">
        <f>IFERROR(__xludf.DUMMYFUNCTION("""COMPUTED_VALUE"""),"OP03-86")</f>
        <v>OP03-86</v>
      </c>
      <c r="D28" s="57" t="str">
        <f>IFERROR(__xludf.DUMMYFUNCTION("""COMPUTED_VALUE"""),"OP04-72")</f>
        <v>OP04-72</v>
      </c>
      <c r="W28" s="57" t="str">
        <f>IFERROR(__xludf.DUMMYFUNCTION("""COMPUTED_VALUE"""),"P-30")</f>
        <v>P-30</v>
      </c>
    </row>
    <row r="29">
      <c r="A29" s="57" t="str">
        <f>IFERROR(__xludf.DUMMYFUNCTION("""COMPUTED_VALUE"""),"OP01-34")</f>
        <v>OP01-34</v>
      </c>
      <c r="B29" s="57" t="str">
        <f>IFERROR(__xludf.DUMMYFUNCTION("""COMPUTED_VALUE"""),"OP02-44")</f>
        <v>OP02-44</v>
      </c>
      <c r="C29" s="57" t="str">
        <f>IFERROR(__xludf.DUMMYFUNCTION("""COMPUTED_VALUE"""),"OP03-92")</f>
        <v>OP03-92</v>
      </c>
      <c r="D29" s="57" t="str">
        <f>IFERROR(__xludf.DUMMYFUNCTION("""COMPUTED_VALUE"""),"OP04-74")</f>
        <v>OP04-74</v>
      </c>
      <c r="W29" s="57" t="str">
        <f>IFERROR(__xludf.DUMMYFUNCTION("""COMPUTED_VALUE"""),"P-31")</f>
        <v>P-31</v>
      </c>
    </row>
    <row r="30">
      <c r="A30" s="57" t="str">
        <f>IFERROR(__xludf.DUMMYFUNCTION("""COMPUTED_VALUE"""),"OP01-35")</f>
        <v>OP01-35</v>
      </c>
      <c r="B30" s="57" t="str">
        <f>IFERROR(__xludf.DUMMYFUNCTION("""COMPUTED_VALUE"""),"OP02-47")</f>
        <v>OP02-47</v>
      </c>
      <c r="C30" s="57" t="str">
        <f>IFERROR(__xludf.DUMMYFUNCTION("""COMPUTED_VALUE"""),"OP03-95")</f>
        <v>OP03-95</v>
      </c>
      <c r="D30" s="57" t="str">
        <f>IFERROR(__xludf.DUMMYFUNCTION("""COMPUTED_VALUE"""),"OP04-75")</f>
        <v>OP04-75</v>
      </c>
      <c r="W30" s="57" t="str">
        <f>IFERROR(__xludf.DUMMYFUNCTION("""COMPUTED_VALUE"""),"P-32")</f>
        <v>P-32</v>
      </c>
    </row>
    <row r="31">
      <c r="A31" s="57" t="str">
        <f>IFERROR(__xludf.DUMMYFUNCTION("""COMPUTED_VALUE"""),"OP01-36")</f>
        <v>OP01-36</v>
      </c>
      <c r="B31" s="57" t="str">
        <f>IFERROR(__xludf.DUMMYFUNCTION("""COMPUTED_VALUE"""),"OP02-48")</f>
        <v>OP02-48</v>
      </c>
      <c r="C31" s="57" t="str">
        <f>IFERROR(__xludf.DUMMYFUNCTION("""COMPUTED_VALUE"""),"OP03-96")</f>
        <v>OP03-96</v>
      </c>
      <c r="D31" s="57" t="str">
        <f>IFERROR(__xludf.DUMMYFUNCTION("""COMPUTED_VALUE"""),"OP04-76")</f>
        <v>OP04-76</v>
      </c>
      <c r="W31" s="57" t="str">
        <f>IFERROR(__xludf.DUMMYFUNCTION("""COMPUTED_VALUE"""),"P-33")</f>
        <v>P-33</v>
      </c>
    </row>
    <row r="32">
      <c r="A32" s="57" t="str">
        <f>IFERROR(__xludf.DUMMYFUNCTION("""COMPUTED_VALUE"""),"OP01-37")</f>
        <v>OP01-37</v>
      </c>
      <c r="B32" s="57" t="str">
        <f>IFERROR(__xludf.DUMMYFUNCTION("""COMPUTED_VALUE"""),"OP02-49")</f>
        <v>OP02-49</v>
      </c>
      <c r="C32" s="57" t="str">
        <f>IFERROR(__xludf.DUMMYFUNCTION("""COMPUTED_VALUE"""),"OP03-98")</f>
        <v>OP03-98</v>
      </c>
      <c r="D32" s="57" t="str">
        <f>IFERROR(__xludf.DUMMYFUNCTION("""COMPUTED_VALUE"""),"OP04-80")</f>
        <v>OP04-80</v>
      </c>
      <c r="W32" s="57" t="str">
        <f>IFERROR(__xludf.DUMMYFUNCTION("""COMPUTED_VALUE"""),"P-34")</f>
        <v>P-34</v>
      </c>
    </row>
    <row r="33">
      <c r="A33" s="57" t="str">
        <f>IFERROR(__xludf.DUMMYFUNCTION("""COMPUTED_VALUE"""),"OP01-38")</f>
        <v>OP01-38</v>
      </c>
      <c r="B33" s="57" t="str">
        <f>IFERROR(__xludf.DUMMYFUNCTION("""COMPUTED_VALUE"""),"OP02-50")</f>
        <v>OP02-50</v>
      </c>
      <c r="C33" s="57" t="str">
        <f>IFERROR(__xludf.DUMMYFUNCTION("""COMPUTED_VALUE"""),"OP03-99")</f>
        <v>OP03-99</v>
      </c>
      <c r="D33" s="57" t="str">
        <f>IFERROR(__xludf.DUMMYFUNCTION("""COMPUTED_VALUE"""),"OP04-81")</f>
        <v>OP04-81</v>
      </c>
      <c r="W33" s="57" t="str">
        <f>IFERROR(__xludf.DUMMYFUNCTION("""COMPUTED_VALUE"""),"P-35")</f>
        <v>P-35</v>
      </c>
    </row>
    <row r="34">
      <c r="A34" s="57" t="str">
        <f>IFERROR(__xludf.DUMMYFUNCTION("""COMPUTED_VALUE"""),"OP01-40")</f>
        <v>OP01-40</v>
      </c>
      <c r="B34" s="57" t="str">
        <f>IFERROR(__xludf.DUMMYFUNCTION("""COMPUTED_VALUE"""),"OP02-51")</f>
        <v>OP02-51</v>
      </c>
      <c r="C34" s="57" t="str">
        <f>IFERROR(__xludf.DUMMYFUNCTION("""COMPUTED_VALUE"""),"OP03-102")</f>
        <v>OP03-102</v>
      </c>
      <c r="D34" s="57" t="str">
        <f>IFERROR(__xludf.DUMMYFUNCTION("""COMPUTED_VALUE"""),"OP04-85")</f>
        <v>OP04-85</v>
      </c>
      <c r="W34" s="57" t="str">
        <f>IFERROR(__xludf.DUMMYFUNCTION("""COMPUTED_VALUE"""),"P-36")</f>
        <v>P-36</v>
      </c>
    </row>
    <row r="35">
      <c r="A35" s="57" t="str">
        <f>IFERROR(__xludf.DUMMYFUNCTION("""COMPUTED_VALUE"""),"OP01-41")</f>
        <v>OP01-41</v>
      </c>
      <c r="B35" s="57" t="str">
        <f>IFERROR(__xludf.DUMMYFUNCTION("""COMPUTED_VALUE"""),"OP02-52")</f>
        <v>OP02-52</v>
      </c>
      <c r="C35" s="57" t="str">
        <f>IFERROR(__xludf.DUMMYFUNCTION("""COMPUTED_VALUE"""),"OP03-112")</f>
        <v>OP03-112</v>
      </c>
      <c r="D35" s="57" t="str">
        <f>IFERROR(__xludf.DUMMYFUNCTION("""COMPUTED_VALUE"""),"OP04-88")</f>
        <v>OP04-88</v>
      </c>
      <c r="W35" s="57" t="str">
        <f>IFERROR(__xludf.DUMMYFUNCTION("""COMPUTED_VALUE"""),"P-37")</f>
        <v>P-37</v>
      </c>
    </row>
    <row r="36">
      <c r="A36" s="57" t="str">
        <f>IFERROR(__xludf.DUMMYFUNCTION("""COMPUTED_VALUE"""),"OP01-42")</f>
        <v>OP01-42</v>
      </c>
      <c r="B36" s="57" t="str">
        <f>IFERROR(__xludf.DUMMYFUNCTION("""COMPUTED_VALUE"""),"OP02-53")</f>
        <v>OP02-53</v>
      </c>
      <c r="C36" s="57" t="str">
        <f>IFERROR(__xludf.DUMMYFUNCTION("""COMPUTED_VALUE"""),"OP03-114")</f>
        <v>OP03-114</v>
      </c>
      <c r="D36" s="57" t="str">
        <f>IFERROR(__xludf.DUMMYFUNCTION("""COMPUTED_VALUE"""),"OP04-89")</f>
        <v>OP04-89</v>
      </c>
      <c r="W36" s="57" t="str">
        <f>IFERROR(__xludf.DUMMYFUNCTION("""COMPUTED_VALUE"""),"P-38")</f>
        <v>P-38</v>
      </c>
    </row>
    <row r="37">
      <c r="A37" s="57" t="str">
        <f>IFERROR(__xludf.DUMMYFUNCTION("""COMPUTED_VALUE"""),"OP01-43")</f>
        <v>OP01-43</v>
      </c>
      <c r="B37" s="57" t="str">
        <f>IFERROR(__xludf.DUMMYFUNCTION("""COMPUTED_VALUE"""),"OP02-54")</f>
        <v>OP02-54</v>
      </c>
      <c r="C37" s="57" t="str">
        <f>IFERROR(__xludf.DUMMYFUNCTION("""COMPUTED_VALUE"""),"OP03-122")</f>
        <v>OP03-122</v>
      </c>
      <c r="D37" s="57" t="str">
        <f>IFERROR(__xludf.DUMMYFUNCTION("""COMPUTED_VALUE"""),"OP04-90")</f>
        <v>OP04-90</v>
      </c>
      <c r="W37" s="57" t="str">
        <f>IFERROR(__xludf.DUMMYFUNCTION("""COMPUTED_VALUE"""),"P-39")</f>
        <v>P-39</v>
      </c>
    </row>
    <row r="38">
      <c r="A38" s="57" t="str">
        <f>IFERROR(__xludf.DUMMYFUNCTION("""COMPUTED_VALUE"""),"OP01-44")</f>
        <v>OP01-44</v>
      </c>
      <c r="B38" s="57" t="str">
        <f>IFERROR(__xludf.DUMMYFUNCTION("""COMPUTED_VALUE"""),"OP02-55")</f>
        <v>OP02-55</v>
      </c>
      <c r="C38" s="57" t="str">
        <f>IFERROR(__xludf.DUMMYFUNCTION("""COMPUTED_VALUE"""),"OP03-123")</f>
        <v>OP03-123</v>
      </c>
      <c r="D38" s="57" t="str">
        <f>IFERROR(__xludf.DUMMYFUNCTION("""COMPUTED_VALUE"""),"OP04-92")</f>
        <v>OP04-92</v>
      </c>
      <c r="W38" s="57" t="str">
        <f>IFERROR(__xludf.DUMMYFUNCTION("""COMPUTED_VALUE"""),"P-40")</f>
        <v>P-40</v>
      </c>
    </row>
    <row r="39">
      <c r="A39" s="57" t="str">
        <f>IFERROR(__xludf.DUMMYFUNCTION("""COMPUTED_VALUE"""),"OP01-45")</f>
        <v>OP01-45</v>
      </c>
      <c r="B39" s="57" t="str">
        <f>IFERROR(__xludf.DUMMYFUNCTION("""COMPUTED_VALUE"""),"OP02-56")</f>
        <v>OP02-56</v>
      </c>
      <c r="D39" s="57" t="str">
        <f>IFERROR(__xludf.DUMMYFUNCTION("""COMPUTED_VALUE"""),"OP04-93")</f>
        <v>OP04-93</v>
      </c>
      <c r="W39" s="57" t="str">
        <f>IFERROR(__xludf.DUMMYFUNCTION("""COMPUTED_VALUE"""),"P-41")</f>
        <v>P-41</v>
      </c>
    </row>
    <row r="40">
      <c r="A40" s="57" t="str">
        <f>IFERROR(__xludf.DUMMYFUNCTION("""COMPUTED_VALUE"""),"OP01-48")</f>
        <v>OP01-48</v>
      </c>
      <c r="B40" s="57" t="str">
        <f>IFERROR(__xludf.DUMMYFUNCTION("""COMPUTED_VALUE"""),"OP02-57")</f>
        <v>OP02-57</v>
      </c>
      <c r="D40" s="57" t="str">
        <f>IFERROR(__xludf.DUMMYFUNCTION("""COMPUTED_VALUE"""),"OP04-98")</f>
        <v>OP04-98</v>
      </c>
      <c r="W40" s="57" t="str">
        <f>IFERROR(__xludf.DUMMYFUNCTION("""COMPUTED_VALUE"""),"P-42")</f>
        <v>P-42</v>
      </c>
    </row>
    <row r="41">
      <c r="A41" s="57" t="str">
        <f>IFERROR(__xludf.DUMMYFUNCTION("""COMPUTED_VALUE"""),"OP01-50")</f>
        <v>OP01-50</v>
      </c>
      <c r="B41" s="57" t="str">
        <f>IFERROR(__xludf.DUMMYFUNCTION("""COMPUTED_VALUE"""),"OP02-58")</f>
        <v>OP02-58</v>
      </c>
      <c r="D41" s="57" t="str">
        <f>IFERROR(__xludf.DUMMYFUNCTION("""COMPUTED_VALUE"""),"OP04-99")</f>
        <v>OP04-99</v>
      </c>
      <c r="W41" s="57" t="str">
        <f>IFERROR(__xludf.DUMMYFUNCTION("""COMPUTED_VALUE"""),"P-43")</f>
        <v>P-43</v>
      </c>
    </row>
    <row r="42">
      <c r="A42" s="57" t="str">
        <f>IFERROR(__xludf.DUMMYFUNCTION("""COMPUTED_VALUE"""),"OP01-53")</f>
        <v>OP01-53</v>
      </c>
      <c r="B42" s="57" t="str">
        <f>IFERROR(__xludf.DUMMYFUNCTION("""COMPUTED_VALUE"""),"OP02-59")</f>
        <v>OP02-59</v>
      </c>
      <c r="D42" s="57" t="str">
        <f>IFERROR(__xludf.DUMMYFUNCTION("""COMPUTED_VALUE"""),"OP04-101")</f>
        <v>OP04-101</v>
      </c>
      <c r="W42" s="57" t="str">
        <f>IFERROR(__xludf.DUMMYFUNCTION("""COMPUTED_VALUE"""),"P-45")</f>
        <v>P-45</v>
      </c>
    </row>
    <row r="43">
      <c r="A43" s="57" t="str">
        <f>IFERROR(__xludf.DUMMYFUNCTION("""COMPUTED_VALUE"""),"OP01-54")</f>
        <v>OP01-54</v>
      </c>
      <c r="B43" s="57" t="str">
        <f>IFERROR(__xludf.DUMMYFUNCTION("""COMPUTED_VALUE"""),"OP02-60")</f>
        <v>OP02-60</v>
      </c>
      <c r="D43" s="57" t="str">
        <f>IFERROR(__xludf.DUMMYFUNCTION("""COMPUTED_VALUE"""),"OP04-102")</f>
        <v>OP04-102</v>
      </c>
      <c r="W43" s="57" t="str">
        <f>IFERROR(__xludf.DUMMYFUNCTION("""COMPUTED_VALUE"""),"P-46")</f>
        <v>P-46</v>
      </c>
    </row>
    <row r="44">
      <c r="A44" s="57" t="str">
        <f>IFERROR(__xludf.DUMMYFUNCTION("""COMPUTED_VALUE"""),"OP01-56")</f>
        <v>OP01-56</v>
      </c>
      <c r="B44" s="57" t="str">
        <f>IFERROR(__xludf.DUMMYFUNCTION("""COMPUTED_VALUE"""),"OP02-61")</f>
        <v>OP02-61</v>
      </c>
      <c r="D44" s="57" t="str">
        <f>IFERROR(__xludf.DUMMYFUNCTION("""COMPUTED_VALUE"""),"OP04-103")</f>
        <v>OP04-103</v>
      </c>
      <c r="W44" s="57" t="str">
        <f>IFERROR(__xludf.DUMMYFUNCTION("""COMPUTED_VALUE"""),"P-47")</f>
        <v>P-47</v>
      </c>
    </row>
    <row r="45">
      <c r="A45" s="57" t="str">
        <f>IFERROR(__xludf.DUMMYFUNCTION("""COMPUTED_VALUE"""),"OP01-57")</f>
        <v>OP01-57</v>
      </c>
      <c r="B45" s="57" t="str">
        <f>IFERROR(__xludf.DUMMYFUNCTION("""COMPUTED_VALUE"""),"OP02-62")</f>
        <v>OP02-62</v>
      </c>
      <c r="D45" s="57" t="str">
        <f>IFERROR(__xludf.DUMMYFUNCTION("""COMPUTED_VALUE"""),"OP04-104")</f>
        <v>OP04-104</v>
      </c>
      <c r="W45" s="57" t="str">
        <f>IFERROR(__xludf.DUMMYFUNCTION("""COMPUTED_VALUE"""),"P-48")</f>
        <v>P-48</v>
      </c>
    </row>
    <row r="46">
      <c r="A46" s="57" t="str">
        <f>IFERROR(__xludf.DUMMYFUNCTION("""COMPUTED_VALUE"""),"OP01-58")</f>
        <v>OP01-58</v>
      </c>
      <c r="B46" s="57" t="str">
        <f>IFERROR(__xludf.DUMMYFUNCTION("""COMPUTED_VALUE"""),"OP02-63")</f>
        <v>OP02-63</v>
      </c>
      <c r="D46" s="57" t="str">
        <f>IFERROR(__xludf.DUMMYFUNCTION("""COMPUTED_VALUE"""),"OP04-105")</f>
        <v>OP04-105</v>
      </c>
      <c r="W46" s="57" t="str">
        <f>IFERROR(__xludf.DUMMYFUNCTION("""COMPUTED_VALUE"""),"P-49")</f>
        <v>P-49</v>
      </c>
    </row>
    <row r="47">
      <c r="A47" s="57" t="str">
        <f>IFERROR(__xludf.DUMMYFUNCTION("""COMPUTED_VALUE"""),"OP01-59")</f>
        <v>OP01-59</v>
      </c>
      <c r="B47" s="57" t="str">
        <f>IFERROR(__xludf.DUMMYFUNCTION("""COMPUTED_VALUE"""),"OP02-64")</f>
        <v>OP02-64</v>
      </c>
      <c r="D47" s="57" t="str">
        <f>IFERROR(__xludf.DUMMYFUNCTION("""COMPUTED_VALUE"""),"OP04-116")</f>
        <v>OP04-116</v>
      </c>
      <c r="W47" s="57" t="str">
        <f>IFERROR(__xludf.DUMMYFUNCTION("""COMPUTED_VALUE"""),"P-50")</f>
        <v>P-50</v>
      </c>
    </row>
    <row r="48">
      <c r="A48" s="57" t="str">
        <f>IFERROR(__xludf.DUMMYFUNCTION("""COMPUTED_VALUE"""),"OP01-60")</f>
        <v>OP01-60</v>
      </c>
      <c r="B48" s="57" t="str">
        <f>IFERROR(__xludf.DUMMYFUNCTION("""COMPUTED_VALUE"""),"OP02-65")</f>
        <v>OP02-65</v>
      </c>
      <c r="D48" s="57" t="str">
        <f>IFERROR(__xludf.DUMMYFUNCTION("""COMPUTED_VALUE"""),"OP04-117")</f>
        <v>OP04-117</v>
      </c>
      <c r="W48" s="57" t="str">
        <f>IFERROR(__xludf.DUMMYFUNCTION("""COMPUTED_VALUE"""),"P-51")</f>
        <v>P-51</v>
      </c>
    </row>
    <row r="49">
      <c r="A49" s="57" t="str">
        <f>IFERROR(__xludf.DUMMYFUNCTION("""COMPUTED_VALUE"""),"OP01-61")</f>
        <v>OP01-61</v>
      </c>
      <c r="B49" s="57" t="str">
        <f>IFERROR(__xludf.DUMMYFUNCTION("""COMPUTED_VALUE"""),"OP02-66")</f>
        <v>OP02-66</v>
      </c>
      <c r="D49" s="57" t="str">
        <f>IFERROR(__xludf.DUMMYFUNCTION("""COMPUTED_VALUE"""),"OP04-118")</f>
        <v>OP04-118</v>
      </c>
      <c r="W49" s="57" t="str">
        <f>IFERROR(__xludf.DUMMYFUNCTION("""COMPUTED_VALUE"""),"P-52")</f>
        <v>P-52</v>
      </c>
    </row>
    <row r="50">
      <c r="A50" s="57" t="str">
        <f>IFERROR(__xludf.DUMMYFUNCTION("""COMPUTED_VALUE"""),"OP01-62")</f>
        <v>OP01-62</v>
      </c>
      <c r="B50" s="57" t="str">
        <f>IFERROR(__xludf.DUMMYFUNCTION("""COMPUTED_VALUE"""),"OP02-67")</f>
        <v>OP02-67</v>
      </c>
      <c r="D50" s="57" t="str">
        <f>IFERROR(__xludf.DUMMYFUNCTION("""COMPUTED_VALUE"""),"OP04-119")</f>
        <v>OP04-119</v>
      </c>
      <c r="W50" s="57" t="str">
        <f>IFERROR(__xludf.DUMMYFUNCTION("""COMPUTED_VALUE"""),"P-53")</f>
        <v>P-53</v>
      </c>
    </row>
    <row r="51">
      <c r="A51" s="57" t="str">
        <f>IFERROR(__xludf.DUMMYFUNCTION("""COMPUTED_VALUE"""),"OP01-63")</f>
        <v>OP01-63</v>
      </c>
      <c r="B51" s="57" t="str">
        <f>IFERROR(__xludf.DUMMYFUNCTION("""COMPUTED_VALUE"""),"OP02-69")</f>
        <v>OP02-69</v>
      </c>
      <c r="W51" s="57" t="str">
        <f>IFERROR(__xludf.DUMMYFUNCTION("""COMPUTED_VALUE"""),"P-54")</f>
        <v>P-54</v>
      </c>
    </row>
    <row r="52">
      <c r="A52" s="57" t="str">
        <f>IFERROR(__xludf.DUMMYFUNCTION("""COMPUTED_VALUE"""),"OP01-64")</f>
        <v>OP01-64</v>
      </c>
      <c r="B52" s="57" t="str">
        <f>IFERROR(__xludf.DUMMYFUNCTION("""COMPUTED_VALUE"""),"OP02-70")</f>
        <v>OP02-70</v>
      </c>
      <c r="W52" s="57" t="str">
        <f>IFERROR(__xludf.DUMMYFUNCTION("""COMPUTED_VALUE"""),"P-55")</f>
        <v>P-55</v>
      </c>
    </row>
    <row r="53">
      <c r="A53" s="57" t="str">
        <f>IFERROR(__xludf.DUMMYFUNCTION("""COMPUTED_VALUE"""),"OP01-65")</f>
        <v>OP01-65</v>
      </c>
      <c r="B53" s="57" t="str">
        <f>IFERROR(__xludf.DUMMYFUNCTION("""COMPUTED_VALUE"""),"OP02-71")</f>
        <v>OP02-71</v>
      </c>
      <c r="W53" s="57" t="str">
        <f>IFERROR(__xludf.DUMMYFUNCTION("""COMPUTED_VALUE"""),"P-56")</f>
        <v>P-56</v>
      </c>
    </row>
    <row r="54">
      <c r="A54" s="57" t="str">
        <f>IFERROR(__xludf.DUMMYFUNCTION("""COMPUTED_VALUE"""),"OP01-66")</f>
        <v>OP01-66</v>
      </c>
      <c r="B54" s="57" t="str">
        <f>IFERROR(__xludf.DUMMYFUNCTION("""COMPUTED_VALUE"""),"OP02-72")</f>
        <v>OP02-72</v>
      </c>
      <c r="W54" s="57" t="str">
        <f>IFERROR(__xludf.DUMMYFUNCTION("""COMPUTED_VALUE"""),"P-62")</f>
        <v>P-62</v>
      </c>
    </row>
    <row r="55">
      <c r="A55" s="57" t="str">
        <f>IFERROR(__xludf.DUMMYFUNCTION("""COMPUTED_VALUE"""),"OP01-67")</f>
        <v>OP01-67</v>
      </c>
      <c r="B55" s="57" t="str">
        <f>IFERROR(__xludf.DUMMYFUNCTION("""COMPUTED_VALUE"""),"OP02-73")</f>
        <v>OP02-73</v>
      </c>
      <c r="W55" s="57" t="str">
        <f>IFERROR(__xludf.DUMMYFUNCTION("""COMPUTED_VALUE"""),"P-64")</f>
        <v>P-64</v>
      </c>
    </row>
    <row r="56">
      <c r="A56" s="57" t="str">
        <f>IFERROR(__xludf.DUMMYFUNCTION("""COMPUTED_VALUE"""),"OP01-68")</f>
        <v>OP01-68</v>
      </c>
      <c r="B56" s="57" t="str">
        <f>IFERROR(__xludf.DUMMYFUNCTION("""COMPUTED_VALUE"""),"OP02-74")</f>
        <v>OP02-74</v>
      </c>
      <c r="W56" s="57" t="str">
        <f>IFERROR(__xludf.DUMMYFUNCTION("""COMPUTED_VALUE"""),"P-65")</f>
        <v>P-65</v>
      </c>
    </row>
    <row r="57">
      <c r="A57" s="57" t="str">
        <f>IFERROR(__xludf.DUMMYFUNCTION("""COMPUTED_VALUE"""),"OP01-69")</f>
        <v>OP01-69</v>
      </c>
      <c r="B57" s="57" t="str">
        <f>IFERROR(__xludf.DUMMYFUNCTION("""COMPUTED_VALUE"""),"OP02-76")</f>
        <v>OP02-76</v>
      </c>
      <c r="W57" s="57" t="str">
        <f>IFERROR(__xludf.DUMMYFUNCTION("""COMPUTED_VALUE"""),"P-66")</f>
        <v>P-66</v>
      </c>
    </row>
    <row r="58">
      <c r="A58" s="57" t="str">
        <f>IFERROR(__xludf.DUMMYFUNCTION("""COMPUTED_VALUE"""),"OP01-70")</f>
        <v>OP01-70</v>
      </c>
      <c r="B58" s="57" t="str">
        <f>IFERROR(__xludf.DUMMYFUNCTION("""COMPUTED_VALUE"""),"OP02-77")</f>
        <v>OP02-77</v>
      </c>
      <c r="W58" s="57" t="str">
        <f>IFERROR(__xludf.DUMMYFUNCTION("""COMPUTED_VALUE"""),"P-67")</f>
        <v>P-67</v>
      </c>
    </row>
    <row r="59">
      <c r="A59" s="57" t="str">
        <f>IFERROR(__xludf.DUMMYFUNCTION("""COMPUTED_VALUE"""),"OP01-72")</f>
        <v>OP01-72</v>
      </c>
      <c r="B59" s="57" t="str">
        <f>IFERROR(__xludf.DUMMYFUNCTION("""COMPUTED_VALUE"""),"OP02-78")</f>
        <v>OP02-78</v>
      </c>
      <c r="W59" s="57" t="str">
        <f>IFERROR(__xludf.DUMMYFUNCTION("""COMPUTED_VALUE"""),"P-71")</f>
        <v>P-71</v>
      </c>
    </row>
    <row r="60">
      <c r="A60" s="57" t="str">
        <f>IFERROR(__xludf.DUMMYFUNCTION("""COMPUTED_VALUE"""),"OP01-73")</f>
        <v>OP01-73</v>
      </c>
      <c r="B60" s="57" t="str">
        <f>IFERROR(__xludf.DUMMYFUNCTION("""COMPUTED_VALUE"""),"OP02-79")</f>
        <v>OP02-79</v>
      </c>
      <c r="W60" s="57" t="str">
        <f>IFERROR(__xludf.DUMMYFUNCTION("""COMPUTED_VALUE"""),"P-72")</f>
        <v>P-72</v>
      </c>
    </row>
    <row r="61">
      <c r="A61" s="57" t="str">
        <f>IFERROR(__xludf.DUMMYFUNCTION("""COMPUTED_VALUE"""),"OP01-74")</f>
        <v>OP01-74</v>
      </c>
      <c r="B61" s="57" t="str">
        <f>IFERROR(__xludf.DUMMYFUNCTION("""COMPUTED_VALUE"""),"OP02-80")</f>
        <v>OP02-80</v>
      </c>
      <c r="W61" s="57" t="str">
        <f>IFERROR(__xludf.DUMMYFUNCTION("""COMPUTED_VALUE"""),"P-76")</f>
        <v>P-76</v>
      </c>
    </row>
    <row r="62">
      <c r="A62" s="57" t="str">
        <f>IFERROR(__xludf.DUMMYFUNCTION("""COMPUTED_VALUE"""),"OP01-75")</f>
        <v>OP01-75</v>
      </c>
      <c r="B62" s="57" t="str">
        <f>IFERROR(__xludf.DUMMYFUNCTION("""COMPUTED_VALUE"""),"OP02-81")</f>
        <v>OP02-81</v>
      </c>
      <c r="W62" s="57" t="str">
        <f>IFERROR(__xludf.DUMMYFUNCTION("""COMPUTED_VALUE"""),"P-77")</f>
        <v>P-77</v>
      </c>
    </row>
    <row r="63">
      <c r="A63" s="57" t="str">
        <f>IFERROR(__xludf.DUMMYFUNCTION("""COMPUTED_VALUE"""),"OP01-76")</f>
        <v>OP01-76</v>
      </c>
      <c r="B63" s="57" t="str">
        <f>IFERROR(__xludf.DUMMYFUNCTION("""COMPUTED_VALUE"""),"OP02-82")</f>
        <v>OP02-82</v>
      </c>
      <c r="W63" s="57" t="str">
        <f>IFERROR(__xludf.DUMMYFUNCTION("""COMPUTED_VALUE"""),"P-78")</f>
        <v>P-78</v>
      </c>
    </row>
    <row r="64">
      <c r="A64" s="57" t="str">
        <f>IFERROR(__xludf.DUMMYFUNCTION("""COMPUTED_VALUE"""),"OP01-77")</f>
        <v>OP01-77</v>
      </c>
      <c r="B64" s="57" t="str">
        <f>IFERROR(__xludf.DUMMYFUNCTION("""COMPUTED_VALUE"""),"OP02-83")</f>
        <v>OP02-83</v>
      </c>
      <c r="W64" s="57" t="str">
        <f>IFERROR(__xludf.DUMMYFUNCTION("""COMPUTED_VALUE"""),"P-79")</f>
        <v>P-79</v>
      </c>
    </row>
    <row r="65">
      <c r="A65" s="57" t="str">
        <f>IFERROR(__xludf.DUMMYFUNCTION("""COMPUTED_VALUE"""),"OP01-78")</f>
        <v>OP01-78</v>
      </c>
      <c r="B65" s="57" t="str">
        <f>IFERROR(__xludf.DUMMYFUNCTION("""COMPUTED_VALUE"""),"OP02-84")</f>
        <v>OP02-84</v>
      </c>
      <c r="W65" s="57" t="str">
        <f>IFERROR(__xludf.DUMMYFUNCTION("""COMPUTED_VALUE"""),"P-80")</f>
        <v>P-80</v>
      </c>
    </row>
    <row r="66">
      <c r="A66" s="57" t="str">
        <f>IFERROR(__xludf.DUMMYFUNCTION("""COMPUTED_VALUE"""),"OP01-79")</f>
        <v>OP01-79</v>
      </c>
      <c r="B66" s="57" t="str">
        <f>IFERROR(__xludf.DUMMYFUNCTION("""COMPUTED_VALUE"""),"OP02-85")</f>
        <v>OP02-85</v>
      </c>
      <c r="W66" s="57" t="str">
        <f>IFERROR(__xludf.DUMMYFUNCTION("""COMPUTED_VALUE"""),"P-83")</f>
        <v>P-83</v>
      </c>
    </row>
    <row r="67">
      <c r="A67" s="57" t="str">
        <f>IFERROR(__xludf.DUMMYFUNCTION("""COMPUTED_VALUE"""),"OP01-80")</f>
        <v>OP01-80</v>
      </c>
      <c r="B67" s="57" t="str">
        <f>IFERROR(__xludf.DUMMYFUNCTION("""COMPUTED_VALUE"""),"OP02-86")</f>
        <v>OP02-86</v>
      </c>
      <c r="W67" s="57" t="str">
        <f>IFERROR(__xludf.DUMMYFUNCTION("""COMPUTED_VALUE"""),"P-84")</f>
        <v>P-84</v>
      </c>
    </row>
    <row r="68">
      <c r="A68" s="57" t="str">
        <f>IFERROR(__xludf.DUMMYFUNCTION("""COMPUTED_VALUE"""),"OP01-81")</f>
        <v>OP01-81</v>
      </c>
      <c r="B68" s="57" t="str">
        <f>IFERROR(__xludf.DUMMYFUNCTION("""COMPUTED_VALUE"""),"OP02-87")</f>
        <v>OP02-87</v>
      </c>
      <c r="W68" s="57" t="str">
        <f>IFERROR(__xludf.DUMMYFUNCTION("""COMPUTED_VALUE"""),"P-86")</f>
        <v>P-86</v>
      </c>
    </row>
    <row r="69">
      <c r="A69" s="57" t="str">
        <f>IFERROR(__xludf.DUMMYFUNCTION("""COMPUTED_VALUE"""),"OP01-82")</f>
        <v>OP01-82</v>
      </c>
      <c r="B69" s="57" t="str">
        <f>IFERROR(__xludf.DUMMYFUNCTION("""COMPUTED_VALUE"""),"OP02-88")</f>
        <v>OP02-88</v>
      </c>
      <c r="W69" s="57" t="str">
        <f>IFERROR(__xludf.DUMMYFUNCTION("""COMPUTED_VALUE"""),"P-87")</f>
        <v>P-87</v>
      </c>
    </row>
    <row r="70">
      <c r="A70" s="57" t="str">
        <f>IFERROR(__xludf.DUMMYFUNCTION("""COMPUTED_VALUE"""),"OP01-83")</f>
        <v>OP01-83</v>
      </c>
      <c r="B70" s="57" t="str">
        <f>IFERROR(__xludf.DUMMYFUNCTION("""COMPUTED_VALUE"""),"OP02-89")</f>
        <v>OP02-89</v>
      </c>
    </row>
    <row r="71">
      <c r="A71" s="57" t="str">
        <f>IFERROR(__xludf.DUMMYFUNCTION("""COMPUTED_VALUE"""),"OP01-84")</f>
        <v>OP01-84</v>
      </c>
      <c r="B71" s="57" t="str">
        <f>IFERROR(__xludf.DUMMYFUNCTION("""COMPUTED_VALUE"""),"OP02-90")</f>
        <v>OP02-90</v>
      </c>
    </row>
    <row r="72">
      <c r="A72" s="57" t="str">
        <f>IFERROR(__xludf.DUMMYFUNCTION("""COMPUTED_VALUE"""),"OP01-85")</f>
        <v>OP01-85</v>
      </c>
      <c r="B72" s="57" t="str">
        <f>IFERROR(__xludf.DUMMYFUNCTION("""COMPUTED_VALUE"""),"OP02-91")</f>
        <v>OP02-91</v>
      </c>
    </row>
    <row r="73">
      <c r="A73" s="57" t="str">
        <f>IFERROR(__xludf.DUMMYFUNCTION("""COMPUTED_VALUE"""),"OP01-87")</f>
        <v>OP01-87</v>
      </c>
      <c r="B73" s="57" t="str">
        <f>IFERROR(__xludf.DUMMYFUNCTION("""COMPUTED_VALUE"""),"OP02-92")</f>
        <v>OP02-92</v>
      </c>
    </row>
    <row r="74">
      <c r="A74" s="57" t="str">
        <f>IFERROR(__xludf.DUMMYFUNCTION("""COMPUTED_VALUE"""),"OP01-88")</f>
        <v>OP01-88</v>
      </c>
      <c r="B74" s="57" t="str">
        <f>IFERROR(__xludf.DUMMYFUNCTION("""COMPUTED_VALUE"""),"OP02-93")</f>
        <v>OP02-93</v>
      </c>
    </row>
    <row r="75">
      <c r="A75" s="57" t="str">
        <f>IFERROR(__xludf.DUMMYFUNCTION("""COMPUTED_VALUE"""),"OP01-89")</f>
        <v>OP01-89</v>
      </c>
      <c r="B75" s="57" t="str">
        <f>IFERROR(__xludf.DUMMYFUNCTION("""COMPUTED_VALUE"""),"OP02-94")</f>
        <v>OP02-94</v>
      </c>
    </row>
    <row r="76">
      <c r="A76" s="57" t="str">
        <f>IFERROR(__xludf.DUMMYFUNCTION("""COMPUTED_VALUE"""),"OP01-90")</f>
        <v>OP01-90</v>
      </c>
      <c r="B76" s="57" t="str">
        <f>IFERROR(__xludf.DUMMYFUNCTION("""COMPUTED_VALUE"""),"OP02-95")</f>
        <v>OP02-95</v>
      </c>
    </row>
    <row r="77">
      <c r="A77" s="57" t="str">
        <f>IFERROR(__xludf.DUMMYFUNCTION("""COMPUTED_VALUE"""),"OP01-91")</f>
        <v>OP01-91</v>
      </c>
      <c r="B77" s="57" t="str">
        <f>IFERROR(__xludf.DUMMYFUNCTION("""COMPUTED_VALUE"""),"OP02-97")</f>
        <v>OP02-97</v>
      </c>
    </row>
    <row r="78">
      <c r="A78" s="57" t="str">
        <f>IFERROR(__xludf.DUMMYFUNCTION("""COMPUTED_VALUE"""),"OP01-92")</f>
        <v>OP01-92</v>
      </c>
      <c r="B78" s="57" t="str">
        <f>IFERROR(__xludf.DUMMYFUNCTION("""COMPUTED_VALUE"""),"OP02-99")</f>
        <v>OP02-99</v>
      </c>
    </row>
    <row r="79">
      <c r="A79" s="57" t="str">
        <f>IFERROR(__xludf.DUMMYFUNCTION("""COMPUTED_VALUE"""),"OP01-93")</f>
        <v>OP01-93</v>
      </c>
      <c r="B79" s="57" t="str">
        <f>IFERROR(__xludf.DUMMYFUNCTION("""COMPUTED_VALUE"""),"OP02-100")</f>
        <v>OP02-100</v>
      </c>
    </row>
    <row r="80">
      <c r="A80" s="57" t="str">
        <f>IFERROR(__xludf.DUMMYFUNCTION("""COMPUTED_VALUE"""),"OP01-94")</f>
        <v>OP01-94</v>
      </c>
      <c r="B80" s="57" t="str">
        <f>IFERROR(__xludf.DUMMYFUNCTION("""COMPUTED_VALUE"""),"OP02-101")</f>
        <v>OP02-101</v>
      </c>
    </row>
    <row r="81">
      <c r="A81" s="57" t="str">
        <f>IFERROR(__xludf.DUMMYFUNCTION("""COMPUTED_VALUE"""),"OP01-95")</f>
        <v>OP01-95</v>
      </c>
      <c r="B81" s="57" t="str">
        <f>IFERROR(__xludf.DUMMYFUNCTION("""COMPUTED_VALUE"""),"OP02-102")</f>
        <v>OP02-102</v>
      </c>
    </row>
    <row r="82">
      <c r="A82" s="57" t="str">
        <f>IFERROR(__xludf.DUMMYFUNCTION("""COMPUTED_VALUE"""),"OP01-96")</f>
        <v>OP01-96</v>
      </c>
      <c r="B82" s="57" t="str">
        <f>IFERROR(__xludf.DUMMYFUNCTION("""COMPUTED_VALUE"""),"OP02-103")</f>
        <v>OP02-103</v>
      </c>
    </row>
    <row r="83">
      <c r="A83" s="57" t="str">
        <f>IFERROR(__xludf.DUMMYFUNCTION("""COMPUTED_VALUE"""),"OP01-97")</f>
        <v>OP01-97</v>
      </c>
      <c r="B83" s="57" t="str">
        <f>IFERROR(__xludf.DUMMYFUNCTION("""COMPUTED_VALUE"""),"OP02-104")</f>
        <v>OP02-104</v>
      </c>
    </row>
    <row r="84">
      <c r="A84" s="57" t="str">
        <f>IFERROR(__xludf.DUMMYFUNCTION("""COMPUTED_VALUE"""),"OP01-98")</f>
        <v>OP01-98</v>
      </c>
      <c r="B84" s="57" t="str">
        <f>IFERROR(__xludf.DUMMYFUNCTION("""COMPUTED_VALUE"""),"OP02-105")</f>
        <v>OP02-105</v>
      </c>
    </row>
    <row r="85">
      <c r="A85" s="57" t="str">
        <f>IFERROR(__xludf.DUMMYFUNCTION("""COMPUTED_VALUE"""),"OP01-99")</f>
        <v>OP01-99</v>
      </c>
      <c r="B85" s="57" t="str">
        <f>IFERROR(__xludf.DUMMYFUNCTION("""COMPUTED_VALUE"""),"OP02-107")</f>
        <v>OP02-107</v>
      </c>
    </row>
    <row r="86">
      <c r="A86" s="57" t="str">
        <f>IFERROR(__xludf.DUMMYFUNCTION("""COMPUTED_VALUE"""),"OP01-100")</f>
        <v>OP01-100</v>
      </c>
      <c r="B86" s="57" t="str">
        <f>IFERROR(__xludf.DUMMYFUNCTION("""COMPUTED_VALUE"""),"OP02-109")</f>
        <v>OP02-109</v>
      </c>
    </row>
    <row r="87">
      <c r="A87" s="57" t="str">
        <f>IFERROR(__xludf.DUMMYFUNCTION("""COMPUTED_VALUE"""),"OP01-101")</f>
        <v>OP01-101</v>
      </c>
      <c r="B87" s="57" t="str">
        <f>IFERROR(__xludf.DUMMYFUNCTION("""COMPUTED_VALUE"""),"OP02-110")</f>
        <v>OP02-110</v>
      </c>
    </row>
    <row r="88">
      <c r="A88" s="57" t="str">
        <f>IFERROR(__xludf.DUMMYFUNCTION("""COMPUTED_VALUE"""),"OP01-102")</f>
        <v>OP01-102</v>
      </c>
      <c r="B88" s="57" t="str">
        <f>IFERROR(__xludf.DUMMYFUNCTION("""COMPUTED_VALUE"""),"OP02-111")</f>
        <v>OP02-111</v>
      </c>
    </row>
    <row r="89">
      <c r="A89" s="57" t="str">
        <f>IFERROR(__xludf.DUMMYFUNCTION("""COMPUTED_VALUE"""),"OP01-103")</f>
        <v>OP01-103</v>
      </c>
      <c r="B89" s="57" t="str">
        <f>IFERROR(__xludf.DUMMYFUNCTION("""COMPUTED_VALUE"""),"OP02-112")</f>
        <v>OP02-112</v>
      </c>
    </row>
    <row r="90">
      <c r="A90" s="57" t="str">
        <f>IFERROR(__xludf.DUMMYFUNCTION("""COMPUTED_VALUE"""),"OP01-104")</f>
        <v>OP01-104</v>
      </c>
      <c r="B90" s="57" t="str">
        <f>IFERROR(__xludf.DUMMYFUNCTION("""COMPUTED_VALUE"""),"OP02-115")</f>
        <v>OP02-115</v>
      </c>
    </row>
    <row r="91">
      <c r="A91" s="57" t="str">
        <f>IFERROR(__xludf.DUMMYFUNCTION("""COMPUTED_VALUE"""),"OP01-105")</f>
        <v>OP01-105</v>
      </c>
      <c r="B91" s="57" t="str">
        <f>IFERROR(__xludf.DUMMYFUNCTION("""COMPUTED_VALUE"""),"OP02-116")</f>
        <v>OP02-116</v>
      </c>
    </row>
    <row r="92">
      <c r="A92" s="57" t="str">
        <f>IFERROR(__xludf.DUMMYFUNCTION("""COMPUTED_VALUE"""),"OP01-106")</f>
        <v>OP01-106</v>
      </c>
      <c r="B92" s="57" t="str">
        <f>IFERROR(__xludf.DUMMYFUNCTION("""COMPUTED_VALUE"""),"OP02-118")</f>
        <v>OP02-118</v>
      </c>
    </row>
    <row r="93">
      <c r="A93" s="57" t="str">
        <f>IFERROR(__xludf.DUMMYFUNCTION("""COMPUTED_VALUE"""),"OP01-108")</f>
        <v>OP01-108</v>
      </c>
      <c r="B93" s="57" t="str">
        <f>IFERROR(__xludf.DUMMYFUNCTION("""COMPUTED_VALUE"""),"OP02-119")</f>
        <v>OP02-119</v>
      </c>
    </row>
    <row r="94">
      <c r="A94" s="57" t="str">
        <f>IFERROR(__xludf.DUMMYFUNCTION("""COMPUTED_VALUE"""),"OP01-109")</f>
        <v>OP01-109</v>
      </c>
      <c r="B94" s="57" t="str">
        <f>IFERROR(__xludf.DUMMYFUNCTION("""COMPUTED_VALUE"""),"OP02-120")</f>
        <v>OP02-120</v>
      </c>
    </row>
    <row r="95">
      <c r="A95" s="57" t="str">
        <f>IFERROR(__xludf.DUMMYFUNCTION("""COMPUTED_VALUE"""),"OP01-110")</f>
        <v>OP01-110</v>
      </c>
      <c r="B95" s="57" t="str">
        <f>IFERROR(__xludf.DUMMYFUNCTION("""COMPUTED_VALUE"""),"OP02-121")</f>
        <v>OP02-121</v>
      </c>
    </row>
    <row r="96">
      <c r="A96" s="57" t="str">
        <f>IFERROR(__xludf.DUMMYFUNCTION("""COMPUTED_VALUE"""),"OP01-111")</f>
        <v>OP01-111</v>
      </c>
    </row>
    <row r="97">
      <c r="A97" s="57" t="str">
        <f>IFERROR(__xludf.DUMMYFUNCTION("""COMPUTED_VALUE"""),"OP01-112")</f>
        <v>OP01-112</v>
      </c>
    </row>
    <row r="98">
      <c r="A98" s="57" t="str">
        <f>IFERROR(__xludf.DUMMYFUNCTION("""COMPUTED_VALUE"""),"OP01-113")</f>
        <v>OP01-113</v>
      </c>
    </row>
    <row r="99">
      <c r="A99" s="57" t="str">
        <f>IFERROR(__xludf.DUMMYFUNCTION("""COMPUTED_VALUE"""),"OP01-114")</f>
        <v>OP01-114</v>
      </c>
    </row>
    <row r="100">
      <c r="A100" s="57" t="str">
        <f>IFERROR(__xludf.DUMMYFUNCTION("""COMPUTED_VALUE"""),"OP01-115")</f>
        <v>OP01-115</v>
      </c>
    </row>
    <row r="101">
      <c r="A101" s="57" t="str">
        <f>IFERROR(__xludf.DUMMYFUNCTION("""COMPUTED_VALUE"""),"OP01-116")</f>
        <v>OP01-116</v>
      </c>
    </row>
    <row r="102">
      <c r="A102" s="57" t="str">
        <f>IFERROR(__xludf.DUMMYFUNCTION("""COMPUTED_VALUE"""),"OP01-117")</f>
        <v>OP01-117</v>
      </c>
    </row>
    <row r="103">
      <c r="A103" s="57" t="str">
        <f>IFERROR(__xludf.DUMMYFUNCTION("""COMPUTED_VALUE"""),"OP01-118")</f>
        <v>OP01-118</v>
      </c>
    </row>
    <row r="104">
      <c r="A104" s="57" t="str">
        <f>IFERROR(__xludf.DUMMYFUNCTION("""COMPUTED_VALUE"""),"OP01-119")</f>
        <v>OP01-119</v>
      </c>
    </row>
    <row r="105">
      <c r="A105" s="57" t="str">
        <f>IFERROR(__xludf.DUMMYFUNCTION("""COMPUTED_VALUE"""),"OP01-120")</f>
        <v>OP01-120</v>
      </c>
    </row>
    <row r="106">
      <c r="A106" s="57" t="str">
        <f>IFERROR(__xludf.DUMMYFUNCTION("""COMPUTED_VALUE"""),"OP01-121")</f>
        <v>OP01-121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26.63"/>
    <col customWidth="1" min="14" max="21" width="26.75"/>
  </cols>
  <sheetData>
    <row r="1">
      <c r="A1" s="127" t="s">
        <v>1</v>
      </c>
      <c r="B1" s="127" t="s">
        <v>2</v>
      </c>
      <c r="C1" s="127" t="s">
        <v>3</v>
      </c>
      <c r="D1" s="127" t="s">
        <v>4</v>
      </c>
      <c r="E1" s="127" t="s">
        <v>5</v>
      </c>
      <c r="F1" s="127" t="s">
        <v>6</v>
      </c>
      <c r="G1" s="127" t="s">
        <v>7</v>
      </c>
      <c r="H1" s="127" t="s">
        <v>8</v>
      </c>
      <c r="I1" s="127" t="s">
        <v>9</v>
      </c>
      <c r="J1" s="127" t="s">
        <v>10</v>
      </c>
      <c r="K1" s="127" t="s">
        <v>11</v>
      </c>
      <c r="L1" s="127" t="s">
        <v>12</v>
      </c>
      <c r="M1" s="128" t="s">
        <v>13</v>
      </c>
      <c r="N1" s="129" t="s">
        <v>14</v>
      </c>
      <c r="O1" s="130"/>
      <c r="P1" s="131" t="s">
        <v>367</v>
      </c>
      <c r="Q1" s="129" t="s">
        <v>368</v>
      </c>
      <c r="R1" s="132"/>
      <c r="S1" s="133"/>
      <c r="T1" s="132" t="s">
        <v>87</v>
      </c>
      <c r="U1" s="134"/>
    </row>
    <row r="2" ht="228.0" customHeight="1">
      <c r="A2" s="135"/>
      <c r="B2" s="135"/>
      <c r="C2" s="134"/>
      <c r="D2" s="134"/>
      <c r="E2" s="134"/>
      <c r="F2" s="134"/>
      <c r="G2" s="134"/>
      <c r="H2" s="134"/>
      <c r="I2" s="134"/>
      <c r="J2" s="136"/>
      <c r="K2" s="137"/>
      <c r="L2" s="135"/>
      <c r="M2" s="136"/>
      <c r="N2" s="135"/>
      <c r="O2" s="134"/>
      <c r="P2" s="135"/>
      <c r="Q2" s="135"/>
      <c r="R2" s="135"/>
      <c r="S2" s="135"/>
      <c r="T2" s="135"/>
      <c r="U2" s="134"/>
    </row>
    <row r="3" ht="228.0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4"/>
      <c r="P3" s="134"/>
      <c r="Q3" s="135"/>
      <c r="R3" s="135"/>
      <c r="S3" s="135"/>
      <c r="T3" s="135"/>
      <c r="U3" s="134"/>
    </row>
    <row r="4" ht="228.0" customHeight="1">
      <c r="A4" s="134"/>
      <c r="B4" s="134"/>
      <c r="C4" s="134"/>
      <c r="D4" s="134"/>
      <c r="E4" s="134"/>
      <c r="F4" s="134"/>
      <c r="G4" s="134"/>
      <c r="H4" s="135"/>
      <c r="I4" s="134"/>
      <c r="J4" s="134"/>
      <c r="K4" s="134"/>
      <c r="L4" s="134"/>
      <c r="M4" s="134"/>
      <c r="N4" s="134"/>
      <c r="O4" s="134"/>
      <c r="P4" s="134"/>
      <c r="Q4" s="135"/>
      <c r="R4" s="135"/>
      <c r="S4" s="135"/>
      <c r="T4" s="135"/>
      <c r="U4" s="134"/>
    </row>
    <row r="5" ht="234.0" customHeigh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5"/>
      <c r="U5" s="134"/>
    </row>
    <row r="6" ht="234.0" customHeight="1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</row>
    <row r="7" ht="234.0" customHeigh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ht="234.0" customHeigh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ht="234.0" customHeight="1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</row>
    <row r="10" ht="234.0" customHeight="1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</row>
    <row r="11" ht="234.0" customHeight="1">
      <c r="A11" s="134"/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</row>
    <row r="12" ht="234.0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</row>
    <row r="13" ht="234.0" customHeight="1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</row>
    <row r="14" ht="234.0" customHeight="1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</row>
    <row r="15" ht="234.0" customHeight="1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</row>
    <row r="16" ht="234.0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</row>
    <row r="17" ht="234.0" customHeight="1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</row>
    <row r="18" ht="234.0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</row>
    <row r="19" ht="234.0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</row>
    <row r="20" ht="234.0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</row>
    <row r="21" ht="234.0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</row>
    <row r="22" ht="234.0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</row>
    <row r="23" ht="234.0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</row>
    <row r="24" ht="234.0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</row>
    <row r="25" ht="234.0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</row>
    <row r="26" ht="234.0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</row>
    <row r="27" ht="234.0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</row>
    <row r="28" ht="234.0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</row>
    <row r="29" ht="234.0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</row>
    <row r="30" ht="234.0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</row>
    <row r="31" ht="234.0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</row>
    <row r="32" ht="234.0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</row>
    <row r="33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</row>
    <row r="34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</row>
    <row r="3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</row>
    <row r="36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</row>
    <row r="37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</row>
    <row r="38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</row>
    <row r="39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</row>
    <row r="40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</row>
    <row r="4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</row>
    <row r="42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</row>
    <row r="43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</row>
    <row r="44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</row>
    <row r="4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</row>
    <row r="46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</row>
    <row r="47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</row>
    <row r="48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</row>
    <row r="49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</row>
    <row r="50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</row>
    <row r="5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</row>
    <row r="52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</row>
    <row r="53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</row>
    <row r="54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</row>
    <row r="5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</row>
    <row r="56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</row>
    <row r="57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</row>
    <row r="58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</row>
    <row r="59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</row>
    <row r="60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</row>
    <row r="6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</row>
    <row r="6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</row>
    <row r="63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</row>
    <row r="64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</row>
    <row r="6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</row>
    <row r="66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</row>
    <row r="67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</row>
    <row r="68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</row>
    <row r="69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</row>
    <row r="70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</row>
    <row r="7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</row>
    <row r="7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</row>
    <row r="73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</row>
    <row r="74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</row>
    <row r="7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</row>
    <row r="76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</row>
    <row r="77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</row>
    <row r="78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</row>
    <row r="79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</row>
    <row r="80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</row>
    <row r="8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</row>
    <row r="82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</row>
    <row r="83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</row>
    <row r="84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</row>
    <row r="85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</row>
    <row r="86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</row>
    <row r="87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</row>
    <row r="88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</row>
    <row r="89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</row>
    <row r="90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</row>
    <row r="9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</row>
    <row r="92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</row>
    <row r="93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</row>
    <row r="94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</row>
    <row r="96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</row>
    <row r="97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</row>
    <row r="98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</row>
    <row r="99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</row>
    <row r="100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</row>
    <row r="10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</row>
    <row r="10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</row>
    <row r="103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</row>
    <row r="104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</row>
    <row r="105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</row>
    <row r="106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</row>
    <row r="107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</row>
    <row r="108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</row>
    <row r="109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</row>
    <row r="110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</row>
    <row r="11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</row>
    <row r="112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</row>
    <row r="113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</row>
    <row r="114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</row>
    <row r="115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</row>
    <row r="116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</row>
    <row r="117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</row>
    <row r="118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</row>
    <row r="119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</row>
    <row r="120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</row>
    <row r="12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</row>
    <row r="122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</row>
    <row r="123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</row>
    <row r="124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</row>
    <row r="125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</row>
    <row r="126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</row>
    <row r="127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</row>
    <row r="128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</row>
    <row r="129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</row>
    <row r="130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</row>
    <row r="13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</row>
    <row r="132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</row>
    <row r="133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</row>
    <row r="134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</row>
    <row r="135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</row>
    <row r="136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</row>
    <row r="138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</row>
    <row r="139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</row>
    <row r="140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</row>
    <row r="14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</row>
    <row r="142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</row>
    <row r="143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</row>
    <row r="144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</row>
    <row r="145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</row>
    <row r="146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</row>
    <row r="148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</row>
    <row r="149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</row>
    <row r="150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</row>
    <row r="15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</row>
    <row r="152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</row>
    <row r="153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</row>
    <row r="154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</row>
    <row r="155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</row>
    <row r="156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</row>
    <row r="157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</row>
    <row r="158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</row>
    <row r="159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</row>
    <row r="160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</row>
    <row r="16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</row>
    <row r="162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</row>
    <row r="163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</row>
    <row r="164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</row>
    <row r="165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</row>
    <row r="166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</row>
    <row r="167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</row>
    <row r="168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</row>
    <row r="169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</row>
    <row r="170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</row>
    <row r="17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</row>
    <row r="172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</row>
    <row r="173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</row>
    <row r="174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</row>
    <row r="175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</row>
    <row r="176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</row>
    <row r="177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</row>
    <row r="178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</row>
    <row r="179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</row>
    <row r="180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</row>
    <row r="18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</row>
    <row r="182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</row>
    <row r="183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</row>
    <row r="184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</row>
    <row r="185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</row>
    <row r="186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</row>
    <row r="187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</row>
    <row r="188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</row>
    <row r="189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</row>
    <row r="190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</row>
    <row r="19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</row>
    <row r="192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</row>
    <row r="193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</row>
    <row r="194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</row>
    <row r="195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</row>
    <row r="196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</row>
    <row r="197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</row>
    <row r="198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</row>
    <row r="199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</row>
    <row r="200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</row>
    <row r="20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</row>
    <row r="202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</row>
    <row r="203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</row>
    <row r="204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</row>
    <row r="20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</row>
    <row r="206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</row>
    <row r="207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</row>
    <row r="208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</row>
    <row r="209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</row>
    <row r="210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</row>
    <row r="21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</row>
    <row r="212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</row>
    <row r="213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</row>
    <row r="214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</row>
    <row r="21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</row>
    <row r="216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</row>
    <row r="217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</row>
    <row r="218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</row>
    <row r="219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</row>
    <row r="220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</row>
    <row r="22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</row>
    <row r="222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</row>
    <row r="223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</row>
    <row r="224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</row>
    <row r="2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</row>
    <row r="226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</row>
    <row r="227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</row>
    <row r="228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</row>
    <row r="229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</row>
    <row r="230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</row>
    <row r="23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</row>
    <row r="232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</row>
    <row r="233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</row>
    <row r="234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</row>
    <row r="235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</row>
    <row r="236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</row>
    <row r="237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</row>
    <row r="238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</row>
    <row r="239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</row>
    <row r="240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</row>
    <row r="24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</row>
    <row r="242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</row>
    <row r="243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</row>
    <row r="244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</row>
    <row r="245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</row>
    <row r="246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</row>
    <row r="247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</row>
    <row r="248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</row>
    <row r="249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</row>
    <row r="250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</row>
    <row r="25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</row>
    <row r="252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</row>
    <row r="253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</row>
    <row r="254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</row>
    <row r="255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</row>
    <row r="256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</row>
    <row r="257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</row>
    <row r="258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</row>
    <row r="259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</row>
    <row r="260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</row>
    <row r="26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</row>
    <row r="262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</row>
    <row r="263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</row>
    <row r="264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</row>
    <row r="265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</row>
    <row r="266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</row>
    <row r="267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</row>
    <row r="268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</row>
    <row r="269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</row>
    <row r="270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</row>
    <row r="27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</row>
    <row r="272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</row>
    <row r="273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</row>
    <row r="274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</row>
    <row r="275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</row>
    <row r="276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</row>
    <row r="277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</row>
    <row r="278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</row>
    <row r="279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</row>
    <row r="280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</row>
    <row r="28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</row>
    <row r="282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</row>
    <row r="283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</row>
    <row r="284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</row>
    <row r="285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</row>
    <row r="286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</row>
    <row r="287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</row>
    <row r="288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</row>
    <row r="289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</row>
    <row r="290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</row>
    <row r="29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</row>
    <row r="292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</row>
    <row r="293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</row>
    <row r="294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</row>
    <row r="295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</row>
    <row r="296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</row>
    <row r="297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</row>
    <row r="298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</row>
    <row r="299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</row>
    <row r="300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</row>
    <row r="30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</row>
    <row r="302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</row>
    <row r="303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</row>
    <row r="304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</row>
    <row r="305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</row>
    <row r="306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</row>
    <row r="307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</row>
    <row r="308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</row>
    <row r="309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</row>
    <row r="310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</row>
    <row r="31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</row>
    <row r="312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</row>
    <row r="313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</row>
    <row r="314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</row>
    <row r="315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</row>
    <row r="316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</row>
    <row r="318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</row>
    <row r="319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</row>
    <row r="320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</row>
    <row r="32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</row>
    <row r="322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</row>
    <row r="323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</row>
    <row r="324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</row>
    <row r="325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</row>
    <row r="326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</row>
    <row r="327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</row>
    <row r="328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</row>
    <row r="329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</row>
    <row r="330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</row>
    <row r="33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</row>
    <row r="332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</row>
    <row r="333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</row>
    <row r="334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</row>
    <row r="335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</row>
    <row r="336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</row>
    <row r="337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</row>
    <row r="338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</row>
    <row r="339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</row>
    <row r="340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</row>
    <row r="34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</row>
    <row r="342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</row>
    <row r="343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</row>
    <row r="344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</row>
    <row r="345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</row>
    <row r="346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</row>
    <row r="347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</row>
    <row r="348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</row>
    <row r="349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</row>
    <row r="350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</row>
    <row r="35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</row>
    <row r="352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</row>
    <row r="353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</row>
    <row r="354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</row>
    <row r="355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</row>
    <row r="356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</row>
    <row r="357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</row>
    <row r="358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</row>
    <row r="359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</row>
    <row r="360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</row>
    <row r="36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</row>
    <row r="362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</row>
    <row r="363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</row>
    <row r="364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</row>
    <row r="365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</row>
    <row r="366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</row>
    <row r="367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</row>
    <row r="368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</row>
    <row r="369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</row>
    <row r="370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</row>
    <row r="37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</row>
    <row r="372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</row>
    <row r="373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</row>
    <row r="374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</row>
    <row r="375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</row>
    <row r="376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</row>
    <row r="378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</row>
    <row r="379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</row>
    <row r="380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</row>
    <row r="38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</row>
    <row r="382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</row>
    <row r="383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</row>
    <row r="384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</row>
    <row r="385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</row>
    <row r="386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</row>
    <row r="387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</row>
    <row r="388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</row>
    <row r="389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</row>
    <row r="390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</row>
    <row r="39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</row>
    <row r="392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</row>
    <row r="393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</row>
    <row r="394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</row>
    <row r="395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</row>
    <row r="396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</row>
    <row r="397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</row>
    <row r="398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</row>
    <row r="399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</row>
    <row r="400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</row>
    <row r="40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</row>
    <row r="402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</row>
    <row r="403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</row>
    <row r="404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</row>
    <row r="405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</row>
    <row r="406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</row>
    <row r="407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</row>
    <row r="408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</row>
    <row r="409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</row>
    <row r="410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</row>
    <row r="41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</row>
    <row r="412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</row>
    <row r="413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</row>
    <row r="414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</row>
    <row r="415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</row>
    <row r="416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</row>
    <row r="417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</row>
    <row r="418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</row>
    <row r="419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</row>
    <row r="420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</row>
    <row r="42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</row>
    <row r="422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</row>
    <row r="423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</row>
    <row r="424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</row>
    <row r="425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</row>
    <row r="426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</row>
    <row r="427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</row>
    <row r="428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</row>
    <row r="429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</row>
    <row r="430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</row>
    <row r="43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</row>
    <row r="432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</row>
    <row r="433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</row>
    <row r="434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</row>
    <row r="435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</row>
    <row r="436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</row>
    <row r="437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</row>
    <row r="438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</row>
    <row r="439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</row>
    <row r="440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</row>
    <row r="44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</row>
    <row r="442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</row>
    <row r="443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</row>
    <row r="444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</row>
    <row r="445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</row>
    <row r="446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</row>
    <row r="447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</row>
    <row r="448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</row>
    <row r="449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</row>
    <row r="450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</row>
    <row r="45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</row>
    <row r="452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</row>
    <row r="453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</row>
    <row r="454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</row>
    <row r="455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</row>
    <row r="456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</row>
    <row r="457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</row>
    <row r="458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</row>
    <row r="459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</row>
    <row r="460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</row>
    <row r="46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</row>
    <row r="462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</row>
    <row r="463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</row>
    <row r="464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</row>
    <row r="465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</row>
    <row r="466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</row>
    <row r="468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</row>
    <row r="469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</row>
    <row r="470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</row>
    <row r="47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</row>
    <row r="472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</row>
    <row r="473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</row>
    <row r="474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</row>
    <row r="475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</row>
    <row r="476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</row>
    <row r="478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</row>
    <row r="479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</row>
    <row r="480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</row>
    <row r="48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</row>
    <row r="482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</row>
    <row r="483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</row>
    <row r="484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</row>
    <row r="485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</row>
    <row r="486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</row>
    <row r="488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</row>
    <row r="489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</row>
    <row r="490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</row>
    <row r="49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</row>
    <row r="492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</row>
    <row r="493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</row>
    <row r="494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</row>
    <row r="495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</row>
    <row r="496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</row>
    <row r="498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</row>
    <row r="499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</row>
    <row r="500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</row>
    <row r="50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</row>
    <row r="502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</row>
    <row r="503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</row>
    <row r="504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</row>
    <row r="505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</row>
    <row r="506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</row>
    <row r="508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</row>
    <row r="509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</row>
    <row r="510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</row>
    <row r="51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</row>
    <row r="512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</row>
    <row r="513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</row>
    <row r="514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</row>
    <row r="515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</row>
    <row r="516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</row>
    <row r="518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</row>
    <row r="519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</row>
    <row r="520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</row>
    <row r="52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</row>
    <row r="522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</row>
    <row r="523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</row>
    <row r="524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</row>
    <row r="525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</row>
    <row r="526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</row>
    <row r="528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</row>
    <row r="529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</row>
    <row r="530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</row>
    <row r="53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</row>
    <row r="532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</row>
    <row r="533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</row>
    <row r="534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</row>
    <row r="535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</row>
    <row r="536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</row>
    <row r="538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</row>
    <row r="539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</row>
    <row r="540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</row>
    <row r="54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</row>
    <row r="542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</row>
    <row r="543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</row>
    <row r="544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</row>
    <row r="545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</row>
    <row r="546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</row>
    <row r="548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</row>
    <row r="549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</row>
    <row r="550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</row>
    <row r="55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</row>
    <row r="552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</row>
    <row r="553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</row>
    <row r="554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</row>
    <row r="555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</row>
    <row r="556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</row>
    <row r="558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</row>
    <row r="559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</row>
    <row r="560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</row>
    <row r="56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</row>
    <row r="562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</row>
    <row r="563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</row>
    <row r="564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</row>
    <row r="565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</row>
    <row r="566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</row>
    <row r="568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</row>
    <row r="569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</row>
    <row r="570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</row>
    <row r="57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</row>
    <row r="572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</row>
    <row r="573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</row>
    <row r="574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</row>
    <row r="575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</row>
    <row r="576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</row>
    <row r="577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</row>
    <row r="578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</row>
    <row r="579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</row>
    <row r="580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</row>
    <row r="58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</row>
    <row r="582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</row>
    <row r="583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</row>
    <row r="584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</row>
    <row r="585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</row>
    <row r="586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</row>
    <row r="588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</row>
    <row r="589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</row>
    <row r="590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</row>
    <row r="59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</row>
    <row r="592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</row>
    <row r="593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</row>
    <row r="594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</row>
    <row r="595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</row>
    <row r="596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</row>
    <row r="598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</row>
    <row r="599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</row>
    <row r="600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</row>
    <row r="60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</row>
    <row r="602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</row>
    <row r="603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</row>
    <row r="604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</row>
    <row r="605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</row>
    <row r="606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</row>
    <row r="608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</row>
    <row r="609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</row>
    <row r="610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</row>
    <row r="61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</row>
    <row r="612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</row>
    <row r="613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</row>
    <row r="614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</row>
    <row r="615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</row>
    <row r="616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</row>
    <row r="617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</row>
    <row r="618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</row>
    <row r="619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</row>
    <row r="620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</row>
    <row r="62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</row>
    <row r="622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</row>
    <row r="623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</row>
    <row r="624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</row>
    <row r="625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</row>
    <row r="628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</row>
    <row r="629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</row>
    <row r="630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</row>
    <row r="63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</row>
    <row r="632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</row>
    <row r="633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</row>
    <row r="634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</row>
    <row r="635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</row>
    <row r="638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</row>
    <row r="639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</row>
    <row r="640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</row>
    <row r="64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</row>
    <row r="642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</row>
    <row r="643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</row>
    <row r="644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</row>
    <row r="645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</row>
    <row r="648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</row>
    <row r="649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</row>
    <row r="650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</row>
    <row r="65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</row>
    <row r="652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</row>
    <row r="653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</row>
    <row r="654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</row>
    <row r="655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</row>
    <row r="658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</row>
    <row r="659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</row>
    <row r="660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</row>
    <row r="66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</row>
    <row r="662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</row>
    <row r="663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</row>
    <row r="664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</row>
    <row r="665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</row>
    <row r="668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</row>
    <row r="669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</row>
    <row r="670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</row>
    <row r="67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</row>
    <row r="672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</row>
    <row r="673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</row>
    <row r="674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</row>
    <row r="675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</row>
    <row r="678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</row>
    <row r="679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</row>
    <row r="680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</row>
    <row r="68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</row>
    <row r="682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</row>
    <row r="683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</row>
    <row r="684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</row>
    <row r="685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</row>
    <row r="686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</row>
    <row r="688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</row>
    <row r="689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</row>
    <row r="690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</row>
    <row r="69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</row>
    <row r="692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</row>
    <row r="693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</row>
    <row r="694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</row>
    <row r="695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</row>
    <row r="697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</row>
    <row r="698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</row>
    <row r="699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</row>
    <row r="700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</row>
    <row r="70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</row>
    <row r="702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</row>
    <row r="703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</row>
    <row r="704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</row>
    <row r="705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</row>
    <row r="707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</row>
    <row r="708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</row>
    <row r="709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</row>
    <row r="710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</row>
    <row r="71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</row>
    <row r="712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</row>
    <row r="713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</row>
    <row r="714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</row>
    <row r="715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</row>
    <row r="717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</row>
    <row r="718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</row>
    <row r="719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</row>
    <row r="720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</row>
    <row r="72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</row>
    <row r="722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</row>
    <row r="723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</row>
    <row r="724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</row>
    <row r="725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</row>
    <row r="726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</row>
    <row r="727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</row>
    <row r="728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</row>
    <row r="729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</row>
    <row r="730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</row>
    <row r="73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</row>
    <row r="732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</row>
    <row r="733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</row>
    <row r="734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</row>
    <row r="735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</row>
    <row r="737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</row>
    <row r="738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</row>
    <row r="739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</row>
    <row r="740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</row>
    <row r="74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</row>
    <row r="742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</row>
    <row r="743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</row>
    <row r="744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</row>
    <row r="745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</row>
    <row r="747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</row>
    <row r="748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</row>
    <row r="749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</row>
    <row r="750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</row>
    <row r="75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</row>
    <row r="752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</row>
    <row r="753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</row>
    <row r="754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</row>
    <row r="755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</row>
    <row r="757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</row>
    <row r="758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</row>
    <row r="759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</row>
    <row r="760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</row>
    <row r="76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</row>
    <row r="762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</row>
    <row r="763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</row>
    <row r="764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</row>
    <row r="765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</row>
    <row r="767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</row>
    <row r="768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</row>
    <row r="769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</row>
    <row r="770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</row>
    <row r="77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</row>
    <row r="772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</row>
    <row r="773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</row>
    <row r="774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</row>
    <row r="775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</row>
    <row r="776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</row>
    <row r="777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</row>
    <row r="778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</row>
    <row r="779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</row>
    <row r="780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</row>
    <row r="78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</row>
    <row r="782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</row>
    <row r="783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</row>
    <row r="784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</row>
    <row r="785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</row>
    <row r="787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</row>
    <row r="788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</row>
    <row r="789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</row>
    <row r="790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</row>
    <row r="79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</row>
    <row r="792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</row>
    <row r="793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</row>
    <row r="794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</row>
    <row r="795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</row>
    <row r="797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</row>
    <row r="798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</row>
    <row r="799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</row>
    <row r="800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</row>
    <row r="80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</row>
    <row r="802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</row>
    <row r="803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</row>
    <row r="804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</row>
    <row r="805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</row>
    <row r="806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</row>
    <row r="807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</row>
    <row r="808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</row>
    <row r="809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</row>
    <row r="810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</row>
    <row r="81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</row>
    <row r="812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</row>
    <row r="813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</row>
    <row r="814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</row>
    <row r="815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</row>
    <row r="816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</row>
    <row r="817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</row>
    <row r="818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</row>
    <row r="819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</row>
    <row r="820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</row>
    <row r="82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</row>
    <row r="822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</row>
    <row r="823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</row>
    <row r="824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</row>
    <row r="825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</row>
    <row r="826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</row>
    <row r="827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</row>
    <row r="828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</row>
    <row r="829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</row>
    <row r="830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</row>
    <row r="83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</row>
    <row r="832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</row>
    <row r="833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</row>
    <row r="834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</row>
    <row r="835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</row>
    <row r="836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</row>
    <row r="837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</row>
    <row r="838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</row>
    <row r="839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</row>
    <row r="840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</row>
    <row r="84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</row>
    <row r="842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</row>
    <row r="843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</row>
    <row r="844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</row>
    <row r="845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</row>
    <row r="846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</row>
    <row r="847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</row>
    <row r="848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</row>
    <row r="849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</row>
    <row r="850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</row>
    <row r="85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</row>
    <row r="852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</row>
    <row r="853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</row>
    <row r="854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</row>
    <row r="855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</row>
    <row r="856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</row>
    <row r="858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</row>
    <row r="859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</row>
    <row r="860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</row>
    <row r="86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</row>
    <row r="862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</row>
    <row r="863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</row>
    <row r="864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</row>
    <row r="865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</row>
    <row r="866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</row>
    <row r="867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</row>
    <row r="868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</row>
    <row r="869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</row>
    <row r="870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</row>
    <row r="87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</row>
    <row r="872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</row>
    <row r="873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</row>
    <row r="874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</row>
    <row r="875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</row>
    <row r="876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</row>
    <row r="877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</row>
    <row r="878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</row>
    <row r="879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</row>
    <row r="880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</row>
    <row r="88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</row>
    <row r="882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</row>
    <row r="883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</row>
    <row r="884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</row>
    <row r="885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</row>
    <row r="886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</row>
    <row r="887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</row>
    <row r="888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</row>
    <row r="889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</row>
    <row r="890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</row>
    <row r="89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</row>
    <row r="892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</row>
    <row r="893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</row>
    <row r="894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</row>
    <row r="895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</row>
    <row r="896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</row>
    <row r="897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</row>
    <row r="898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</row>
    <row r="899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</row>
    <row r="900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</row>
    <row r="90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</row>
    <row r="902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</row>
    <row r="903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</row>
    <row r="904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</row>
    <row r="905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</row>
    <row r="906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</row>
    <row r="907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</row>
    <row r="908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</row>
    <row r="909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</row>
    <row r="910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</row>
    <row r="91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</row>
    <row r="912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</row>
    <row r="913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</row>
    <row r="914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</row>
    <row r="915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</row>
    <row r="916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</row>
    <row r="917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</row>
    <row r="918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</row>
    <row r="919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</row>
    <row r="920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</row>
    <row r="92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</row>
    <row r="922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</row>
    <row r="923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</row>
    <row r="924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</row>
    <row r="925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</row>
    <row r="926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</row>
    <row r="927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</row>
    <row r="928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</row>
    <row r="929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</row>
    <row r="930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</row>
    <row r="93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</row>
    <row r="932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</row>
    <row r="933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</row>
    <row r="934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</row>
    <row r="935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</row>
    <row r="936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</row>
    <row r="937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</row>
    <row r="938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</row>
    <row r="939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</row>
    <row r="940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</row>
    <row r="94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</row>
    <row r="942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</row>
    <row r="943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</row>
    <row r="944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</row>
    <row r="945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</row>
    <row r="946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</row>
    <row r="947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</row>
    <row r="948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</row>
    <row r="949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</row>
    <row r="950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</row>
    <row r="95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</row>
    <row r="952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</row>
    <row r="953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</row>
    <row r="954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</row>
    <row r="955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</row>
    <row r="956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</row>
    <row r="957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</row>
    <row r="958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</row>
    <row r="959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</row>
    <row r="960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</row>
    <row r="96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</row>
    <row r="962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</row>
    <row r="963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</row>
    <row r="964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</row>
    <row r="965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</row>
    <row r="966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</row>
    <row r="967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</row>
    <row r="968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</row>
    <row r="969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</row>
    <row r="970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</row>
    <row r="97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</row>
    <row r="972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</row>
    <row r="973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</row>
    <row r="974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</row>
    <row r="975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</row>
    <row r="976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</row>
    <row r="977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</row>
    <row r="978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</row>
    <row r="979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</row>
    <row r="980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</row>
    <row r="98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</row>
    <row r="982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</row>
    <row r="983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</row>
    <row r="984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</row>
    <row r="985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</row>
    <row r="986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</row>
    <row r="987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</row>
    <row r="988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</row>
    <row r="989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</row>
    <row r="990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</row>
    <row r="99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</row>
    <row r="992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</row>
    <row r="993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</row>
    <row r="994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</row>
    <row r="995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</row>
    <row r="996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</row>
    <row r="997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</row>
    <row r="998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</row>
    <row r="999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</row>
    <row r="1000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16.25"/>
  </cols>
  <sheetData>
    <row r="1">
      <c r="A1" s="30" t="s">
        <v>369</v>
      </c>
      <c r="B1" s="138"/>
      <c r="C1" s="30" t="s">
        <v>370</v>
      </c>
      <c r="D1" s="30" t="s">
        <v>371</v>
      </c>
      <c r="H1" s="30" t="s">
        <v>372</v>
      </c>
    </row>
    <row r="2">
      <c r="A2" s="30" t="s">
        <v>373</v>
      </c>
      <c r="B2" s="136"/>
      <c r="C2" s="30" t="s">
        <v>370</v>
      </c>
    </row>
    <row r="3">
      <c r="A3" s="30" t="s">
        <v>374</v>
      </c>
      <c r="B3" s="139"/>
      <c r="C3" s="30" t="s">
        <v>375</v>
      </c>
    </row>
    <row r="4">
      <c r="A4" s="30" t="s">
        <v>376</v>
      </c>
      <c r="B4" s="140"/>
      <c r="C4" s="30" t="s">
        <v>370</v>
      </c>
    </row>
    <row r="5">
      <c r="A5" s="30" t="s">
        <v>377</v>
      </c>
      <c r="B5" s="30" t="s">
        <v>378</v>
      </c>
      <c r="C5" s="30" t="s">
        <v>379</v>
      </c>
    </row>
    <row r="6">
      <c r="A6" s="30" t="s">
        <v>380</v>
      </c>
      <c r="B6" s="30" t="s">
        <v>378</v>
      </c>
      <c r="C6" s="30" t="s">
        <v>379</v>
      </c>
    </row>
    <row r="7">
      <c r="A7" s="30" t="s">
        <v>381</v>
      </c>
      <c r="B7" s="141"/>
      <c r="C7" s="30" t="s">
        <v>382</v>
      </c>
    </row>
    <row r="8">
      <c r="A8" s="30" t="s">
        <v>383</v>
      </c>
      <c r="B8" s="30" t="s">
        <v>378</v>
      </c>
      <c r="C8" s="30" t="s">
        <v>379</v>
      </c>
    </row>
    <row r="9">
      <c r="A9" s="30" t="s">
        <v>384</v>
      </c>
    </row>
    <row r="10">
      <c r="A10" s="30" t="s">
        <v>385</v>
      </c>
    </row>
    <row r="11">
      <c r="A11" s="30" t="s">
        <v>386</v>
      </c>
      <c r="B11" s="142"/>
    </row>
  </sheetData>
  <drawing r:id="rId1"/>
</worksheet>
</file>