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drawings/drawing2.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tables/table1.xml" ContentType="application/vnd.openxmlformats-officedocument.spreadsheetml.table+xml"/>
  <Override PartName="/xl/queryTables/queryTable1.xml" ContentType="application/vnd.openxmlformats-officedocument.spreadsheetml.queryTable+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1"/>
  <mc:AlternateContent xmlns:mc="http://schemas.openxmlformats.org/markup-compatibility/2006">
    <mc:Choice Requires="x15">
      <x15ac:absPath xmlns:x15ac="http://schemas.microsoft.com/office/spreadsheetml/2010/11/ac" url="C:\Users\mwroberts\OneDrive - Hewlett Packard Enterprise\Documents\Bugs\"/>
    </mc:Choice>
  </mc:AlternateContent>
  <bookViews>
    <workbookView xWindow="0" yWindow="0" windowWidth="24240" windowHeight="11730"/>
  </bookViews>
  <sheets>
    <sheet name="Dashboard" sheetId="12" r:id="rId1"/>
    <sheet name="CFIdb" sheetId="1" r:id="rId2"/>
    <sheet name="BzOpenCFI" sheetId="8" r:id="rId3"/>
    <sheet name="BZdb" sheetId="3" r:id="rId4"/>
    <sheet name="Sheet2" sheetId="2" r:id="rId5"/>
    <sheet name="URLs" sheetId="6" r:id="rId6"/>
    <sheet name="CFIdu" sheetId="7" r:id="rId7"/>
    <sheet name="CFIdl" sheetId="10" r:id="rId8"/>
    <sheet name="CFIdi" sheetId="11" r:id="rId9"/>
    <sheet name="Instructions" sheetId="13" r:id="rId10"/>
  </sheets>
  <functionGroups builtInGroupCount="18"/>
  <definedNames>
    <definedName name="_xlnm._FilterDatabase" localSheetId="3" hidden="1">#N/A</definedName>
    <definedName name="_xlnm._FilterDatabase" localSheetId="2" hidden="1">BzOpenCFI!$A$1:$W$7436</definedName>
    <definedName name="_xlnm._FilterDatabase" localSheetId="1" hidden="1">CFIdb!$A$1:$Z$2000</definedName>
    <definedName name="_xlnm._FilterDatabase" localSheetId="8" hidden="1">CFIdi!$B$1:$P$15</definedName>
    <definedName name="_xlnm._FilterDatabase" localSheetId="7" hidden="1">CFIdl!$B$1:$P$17</definedName>
    <definedName name="_xlnm._FilterDatabase" localSheetId="6" hidden="1">CFIdu!$B$1:$P$224</definedName>
    <definedName name="_xlnm._FilterDatabase" localSheetId="0" hidden="1">Dashboard!$B$11:$T$61</definedName>
    <definedName name="AllCFIbzQuery" localSheetId="3" hidden="1">BZdb!$B$1:$W$2090</definedName>
    <definedName name="CFIIssues?gridIssues_page_1_gridIssues_pageSize_500_gridIssues_filter_ProductFamily_contains__27persona_27" localSheetId="1">#N/A</definedName>
    <definedName name="CFIIssues?gridIssues_page_1_gridIssues_pageSize_500_gridIssues_filter_ProductFamily_contains__27persona_27_and__CFIState_eq__27Open_27_or_CFIState_eq__27Emerging_27_or_CFIState_eq__27Monitor_27" localSheetId="1">#N/A</definedName>
    <definedName name="legend">CFIdb!$E$2080</definedName>
    <definedName name="OpenCFIQuery_1" localSheetId="3">#N/A</definedName>
    <definedName name="OpenCFIQuery_2" localSheetId="3" hidden="1">#N/A</definedName>
  </definedNames>
  <calcPr calcId="152511"/>
</workbook>
</file>

<file path=xl/calcChain.xml><?xml version="1.0" encoding="utf-8"?>
<calcChain xmlns="http://schemas.openxmlformats.org/spreadsheetml/2006/main">
  <c r="A890" i="1" l="1"/>
  <c r="A865" i="1"/>
  <c r="A861" i="1"/>
  <c r="A852" i="1"/>
  <c r="A844" i="1"/>
  <c r="A825" i="1"/>
  <c r="A816" i="1"/>
  <c r="A800" i="1"/>
  <c r="A799" i="1"/>
  <c r="A795" i="1"/>
  <c r="A783" i="1"/>
  <c r="A782" i="1"/>
  <c r="A780" i="1"/>
  <c r="A779" i="1"/>
  <c r="A778" i="1"/>
  <c r="A777" i="1"/>
  <c r="A776" i="1"/>
  <c r="A775" i="1"/>
  <c r="A774" i="1"/>
  <c r="A771" i="1"/>
  <c r="A769" i="1"/>
  <c r="A761" i="1"/>
  <c r="A755" i="1"/>
  <c r="A752" i="1"/>
  <c r="A751" i="1"/>
  <c r="A747" i="1"/>
  <c r="A744" i="1"/>
  <c r="A741" i="1"/>
  <c r="A739" i="1"/>
  <c r="A736" i="1"/>
  <c r="A734" i="1"/>
  <c r="A733" i="1"/>
  <c r="A732" i="1"/>
  <c r="A730" i="1"/>
  <c r="A727" i="1"/>
  <c r="A726" i="1"/>
  <c r="A722" i="1"/>
  <c r="A719" i="1"/>
  <c r="A717" i="1"/>
  <c r="A715" i="1"/>
  <c r="A707" i="1"/>
  <c r="A706" i="1"/>
  <c r="A704" i="1"/>
  <c r="A703" i="1"/>
  <c r="A701" i="1"/>
  <c r="A697" i="1"/>
  <c r="A695" i="1"/>
  <c r="A690" i="1"/>
  <c r="A688" i="1"/>
  <c r="A676" i="1"/>
  <c r="A674" i="1"/>
  <c r="A670" i="1"/>
  <c r="A669" i="1"/>
  <c r="A668" i="1"/>
  <c r="A667" i="1"/>
  <c r="A666" i="1"/>
  <c r="A664" i="1"/>
  <c r="A660" i="1"/>
  <c r="A659" i="1"/>
  <c r="A658" i="1"/>
  <c r="A655" i="1"/>
  <c r="A654" i="1"/>
  <c r="A653" i="1"/>
  <c r="A649" i="1"/>
  <c r="A645" i="1"/>
  <c r="A644" i="1"/>
  <c r="A642" i="1"/>
  <c r="A640" i="1"/>
  <c r="A639" i="1"/>
  <c r="A636" i="1"/>
  <c r="A635" i="1"/>
  <c r="A631" i="1"/>
  <c r="A630" i="1"/>
  <c r="A629" i="1"/>
  <c r="A627" i="1"/>
  <c r="A624" i="1"/>
  <c r="A623" i="1"/>
  <c r="A621" i="1"/>
  <c r="A618" i="1"/>
  <c r="A617" i="1"/>
  <c r="A614" i="1"/>
  <c r="A613" i="1"/>
  <c r="A608" i="1"/>
  <c r="A607" i="1"/>
  <c r="A606" i="1"/>
  <c r="A603" i="1"/>
  <c r="A602" i="1"/>
  <c r="A596" i="1"/>
  <c r="A595" i="1"/>
  <c r="A594" i="1"/>
  <c r="A590" i="1"/>
  <c r="A588" i="1"/>
  <c r="A584" i="1"/>
  <c r="A583" i="1"/>
  <c r="A579" i="1"/>
  <c r="A577" i="1"/>
  <c r="A576" i="1"/>
  <c r="A571" i="1"/>
  <c r="A570" i="1"/>
  <c r="A565" i="1"/>
  <c r="A564" i="1"/>
  <c r="A562" i="1"/>
  <c r="A561" i="1"/>
  <c r="A559" i="1"/>
  <c r="A558" i="1"/>
  <c r="A557" i="1"/>
  <c r="A554" i="1"/>
  <c r="A551" i="1"/>
  <c r="A549" i="1"/>
  <c r="A547" i="1"/>
  <c r="A546" i="1"/>
  <c r="A543" i="1"/>
  <c r="A533" i="1"/>
  <c r="A532" i="1"/>
  <c r="A531" i="1"/>
  <c r="A527" i="1"/>
  <c r="A526" i="1"/>
  <c r="A523" i="1"/>
  <c r="A522" i="1"/>
  <c r="A521" i="1"/>
  <c r="A520" i="1"/>
  <c r="A519" i="1"/>
  <c r="A518" i="1"/>
  <c r="A515" i="1"/>
  <c r="A512" i="1"/>
  <c r="A511" i="1"/>
  <c r="A510" i="1"/>
  <c r="A509" i="1"/>
  <c r="A507" i="1"/>
  <c r="A506" i="1"/>
  <c r="A505" i="1"/>
  <c r="A502" i="1"/>
  <c r="A499" i="1"/>
  <c r="A495" i="1"/>
  <c r="A489" i="1"/>
  <c r="A483" i="1"/>
  <c r="A482" i="1"/>
  <c r="A480" i="1"/>
  <c r="A476" i="1"/>
  <c r="A475" i="1"/>
  <c r="A474" i="1"/>
  <c r="A472" i="1"/>
  <c r="A470" i="1"/>
  <c r="A466" i="1"/>
  <c r="A462" i="1"/>
  <c r="A459" i="1"/>
  <c r="A456" i="1"/>
  <c r="A455" i="1"/>
  <c r="A448" i="1"/>
  <c r="A447" i="1"/>
  <c r="A446" i="1"/>
  <c r="A445" i="1"/>
  <c r="A440" i="1"/>
  <c r="A438" i="1"/>
  <c r="A434" i="1"/>
  <c r="A433" i="1"/>
  <c r="A430" i="1"/>
  <c r="A429" i="1"/>
  <c r="A422" i="1"/>
  <c r="A421" i="1"/>
  <c r="A419" i="1"/>
  <c r="A418" i="1"/>
  <c r="A416" i="1"/>
  <c r="A415" i="1"/>
  <c r="A414" i="1"/>
  <c r="A412" i="1"/>
  <c r="A405" i="1"/>
  <c r="A402" i="1"/>
  <c r="A400" i="1"/>
  <c r="A399" i="1"/>
  <c r="A394" i="1"/>
  <c r="A393" i="1"/>
  <c r="A391" i="1"/>
  <c r="A389" i="1"/>
  <c r="A388" i="1"/>
  <c r="A387" i="1"/>
  <c r="A386" i="1"/>
  <c r="A385" i="1"/>
  <c r="A383" i="1"/>
  <c r="A378" i="1"/>
  <c r="A377" i="1"/>
  <c r="A376" i="1"/>
  <c r="A374" i="1"/>
  <c r="A373" i="1"/>
  <c r="A371" i="1"/>
  <c r="A368" i="1"/>
  <c r="A363" i="1"/>
  <c r="A362" i="1"/>
  <c r="A359" i="1"/>
  <c r="A356" i="1"/>
  <c r="A355" i="1"/>
  <c r="A354" i="1"/>
  <c r="A353" i="1"/>
  <c r="A349" i="1"/>
  <c r="A348" i="1"/>
  <c r="A347" i="1"/>
  <c r="A343" i="1"/>
  <c r="A335" i="1"/>
  <c r="A333" i="1"/>
  <c r="A329" i="1"/>
  <c r="A327" i="1"/>
  <c r="A326" i="1"/>
  <c r="A323" i="1"/>
  <c r="A321" i="1"/>
  <c r="A319" i="1"/>
  <c r="A316" i="1"/>
  <c r="A315" i="1"/>
  <c r="A314" i="1"/>
  <c r="A313" i="1"/>
  <c r="A304" i="1"/>
  <c r="A302" i="1"/>
  <c r="A300" i="1"/>
  <c r="A298" i="1"/>
  <c r="A297" i="1"/>
  <c r="A296" i="1"/>
  <c r="A295" i="1"/>
  <c r="A289" i="1"/>
  <c r="A284" i="1"/>
  <c r="A281" i="1"/>
  <c r="A280" i="1"/>
  <c r="A273" i="1"/>
  <c r="A271" i="1"/>
  <c r="A270" i="1"/>
  <c r="A266" i="1"/>
  <c r="A264" i="1"/>
  <c r="A261" i="1"/>
  <c r="A258" i="1"/>
  <c r="A255" i="1"/>
  <c r="A252" i="1"/>
  <c r="A249" i="1"/>
  <c r="A247" i="1"/>
  <c r="A245" i="1"/>
  <c r="A243" i="1"/>
  <c r="A242" i="1"/>
  <c r="A238" i="1"/>
  <c r="A230" i="1"/>
  <c r="A228" i="1"/>
  <c r="A226" i="1"/>
  <c r="A223" i="1"/>
  <c r="A222" i="1"/>
  <c r="A221" i="1"/>
  <c r="A220" i="1"/>
  <c r="A218" i="1"/>
  <c r="A217" i="1"/>
  <c r="A216" i="1"/>
  <c r="A212" i="1"/>
  <c r="A211" i="1"/>
  <c r="A210" i="1"/>
  <c r="A209" i="1"/>
  <c r="A208" i="1"/>
  <c r="A207" i="1"/>
  <c r="A206" i="1"/>
  <c r="A201" i="1"/>
  <c r="A200" i="1"/>
  <c r="A199" i="1"/>
  <c r="A198" i="1"/>
  <c r="A195" i="1"/>
  <c r="A189" i="1"/>
  <c r="A188" i="1"/>
  <c r="A185" i="1"/>
  <c r="A183" i="1"/>
  <c r="A182" i="1"/>
  <c r="A175" i="1"/>
  <c r="A173" i="1"/>
  <c r="A168" i="1"/>
  <c r="A165" i="1"/>
  <c r="A159" i="1"/>
  <c r="A155" i="1"/>
  <c r="A151" i="1"/>
  <c r="A149" i="1"/>
  <c r="A148" i="1"/>
  <c r="A147" i="1"/>
  <c r="A142" i="1"/>
  <c r="A140" i="1"/>
  <c r="A138" i="1"/>
  <c r="A135" i="1"/>
  <c r="A124" i="1"/>
  <c r="A123" i="1"/>
  <c r="A122" i="1"/>
  <c r="A121" i="1"/>
  <c r="A117" i="1"/>
  <c r="A114" i="1"/>
  <c r="A112" i="1"/>
  <c r="A111" i="1"/>
  <c r="A110" i="1"/>
  <c r="A100" i="1"/>
  <c r="A96" i="1"/>
  <c r="A91" i="1"/>
  <c r="A89" i="1"/>
  <c r="A87" i="1"/>
  <c r="A85" i="1"/>
  <c r="A81" i="1"/>
  <c r="A78" i="1"/>
  <c r="A77" i="1"/>
  <c r="A75" i="1"/>
  <c r="A73" i="1"/>
  <c r="A72" i="1"/>
  <c r="A69" i="1"/>
  <c r="A67" i="1"/>
  <c r="A66" i="1"/>
  <c r="A62" i="1"/>
  <c r="A61" i="1"/>
  <c r="A60" i="1"/>
  <c r="A59" i="1"/>
  <c r="A58" i="1"/>
  <c r="A56" i="1"/>
  <c r="A55" i="1"/>
  <c r="A52" i="1"/>
  <c r="A51" i="1"/>
  <c r="A50" i="1"/>
  <c r="A49" i="1"/>
  <c r="A48" i="1"/>
  <c r="A46" i="1"/>
  <c r="A45" i="1"/>
  <c r="A43" i="1"/>
  <c r="A42" i="1"/>
  <c r="A40" i="1"/>
  <c r="A38" i="1"/>
  <c r="A36" i="1"/>
  <c r="A35" i="1"/>
  <c r="A33" i="1"/>
  <c r="A32" i="1"/>
  <c r="A31" i="1"/>
  <c r="A30" i="1"/>
  <c r="A29" i="1"/>
  <c r="A24" i="1"/>
  <c r="A20" i="1"/>
  <c r="A16" i="1"/>
  <c r="A15" i="1"/>
  <c r="N1037" i="1"/>
  <c r="N1036" i="1"/>
  <c r="N1035" i="1"/>
  <c r="N1034" i="1"/>
  <c r="N1033" i="1"/>
  <c r="N1032" i="1"/>
  <c r="N1029" i="1"/>
  <c r="N1028" i="1"/>
  <c r="N1027" i="1"/>
  <c r="N1026" i="1"/>
  <c r="N1025" i="1"/>
  <c r="N1024" i="1"/>
  <c r="N1023" i="1"/>
  <c r="N1022" i="1"/>
  <c r="N1021" i="1"/>
  <c r="N1020" i="1"/>
  <c r="N1019" i="1"/>
  <c r="N1017" i="1"/>
  <c r="N1016" i="1"/>
  <c r="N1015" i="1"/>
  <c r="N1014" i="1"/>
  <c r="N1013" i="1"/>
  <c r="N1012" i="1"/>
  <c r="N1011" i="1"/>
  <c r="N1010" i="1"/>
  <c r="N1009" i="1"/>
  <c r="N1008" i="1"/>
  <c r="N1007" i="1"/>
  <c r="N1006" i="1"/>
  <c r="N1005" i="1"/>
  <c r="N1004" i="1"/>
  <c r="N1003" i="1"/>
  <c r="N1002" i="1"/>
  <c r="N1001" i="1"/>
  <c r="N1000" i="1"/>
  <c r="N998" i="1"/>
  <c r="N997" i="1"/>
  <c r="N996" i="1"/>
  <c r="N995" i="1"/>
  <c r="N994" i="1"/>
  <c r="N993" i="1"/>
  <c r="N992" i="1"/>
  <c r="N990" i="1"/>
  <c r="N989" i="1"/>
  <c r="N988" i="1"/>
  <c r="N986" i="1"/>
  <c r="N985" i="1"/>
  <c r="N983" i="1"/>
  <c r="N982" i="1"/>
  <c r="N981" i="1"/>
  <c r="N979" i="1"/>
  <c r="N978" i="1"/>
  <c r="N976" i="1"/>
  <c r="N975" i="1"/>
  <c r="N974" i="1"/>
  <c r="N973" i="1"/>
  <c r="N972" i="1"/>
  <c r="N967" i="1"/>
  <c r="N965" i="1"/>
  <c r="N964" i="1"/>
  <c r="N961" i="1"/>
  <c r="N960" i="1"/>
  <c r="N959" i="1"/>
  <c r="N958" i="1"/>
  <c r="N957" i="1"/>
  <c r="N955" i="1"/>
  <c r="N954" i="1"/>
  <c r="N953" i="1"/>
  <c r="N952" i="1"/>
  <c r="N949" i="1"/>
  <c r="N947" i="1"/>
  <c r="N946" i="1"/>
  <c r="N945" i="1"/>
  <c r="N943" i="1"/>
  <c r="N942" i="1"/>
  <c r="N939" i="1"/>
  <c r="N938" i="1"/>
  <c r="N936" i="1"/>
  <c r="N933" i="1"/>
  <c r="N932" i="1"/>
  <c r="N930" i="1"/>
  <c r="N929" i="1"/>
  <c r="N926" i="1"/>
  <c r="N924" i="1"/>
  <c r="N923" i="1"/>
  <c r="N922" i="1"/>
  <c r="N921" i="1"/>
  <c r="N920" i="1"/>
  <c r="N919" i="1"/>
  <c r="N918" i="1"/>
  <c r="N916" i="1"/>
  <c r="N915" i="1"/>
  <c r="N913" i="1"/>
  <c r="N912" i="1"/>
  <c r="N908" i="1"/>
  <c r="N907" i="1"/>
  <c r="N906" i="1"/>
  <c r="N905" i="1"/>
  <c r="N904" i="1"/>
  <c r="N902" i="1"/>
  <c r="N901" i="1"/>
  <c r="N900" i="1"/>
  <c r="N899" i="1"/>
  <c r="N898" i="1"/>
  <c r="N896" i="1"/>
  <c r="N893" i="1"/>
  <c r="N890" i="1"/>
  <c r="N886" i="1"/>
  <c r="N885" i="1"/>
  <c r="N884" i="1"/>
  <c r="N883" i="1"/>
  <c r="N882" i="1"/>
  <c r="N881" i="1"/>
  <c r="N879" i="1"/>
  <c r="N877" i="1"/>
  <c r="N876" i="1"/>
  <c r="N875" i="1"/>
  <c r="N874" i="1"/>
  <c r="N873" i="1"/>
  <c r="N872" i="1"/>
  <c r="N871" i="1"/>
  <c r="N870" i="1"/>
  <c r="N868" i="1"/>
  <c r="N867" i="1"/>
  <c r="N866" i="1"/>
  <c r="N865" i="1"/>
  <c r="N864" i="1"/>
  <c r="N863" i="1"/>
  <c r="N861" i="1"/>
  <c r="N859" i="1"/>
  <c r="N857" i="1"/>
  <c r="N856" i="1"/>
  <c r="N855" i="1"/>
  <c r="N854" i="1"/>
  <c r="N853" i="1"/>
  <c r="N852" i="1"/>
  <c r="N850" i="1"/>
  <c r="N849" i="1"/>
  <c r="N848" i="1"/>
  <c r="N847" i="1"/>
  <c r="N846" i="1"/>
  <c r="N845" i="1"/>
  <c r="N844" i="1"/>
  <c r="N843" i="1"/>
  <c r="N842" i="1"/>
  <c r="N841" i="1"/>
  <c r="N840" i="1"/>
  <c r="N839" i="1"/>
  <c r="N837" i="1"/>
  <c r="N836" i="1"/>
  <c r="N835" i="1"/>
  <c r="N834" i="1"/>
  <c r="N833" i="1"/>
  <c r="N831" i="1"/>
  <c r="N830" i="1"/>
  <c r="N829" i="1"/>
  <c r="N828" i="1"/>
  <c r="N827" i="1"/>
  <c r="N825" i="1"/>
  <c r="N824" i="1"/>
  <c r="N823" i="1"/>
  <c r="N821" i="1"/>
  <c r="N819" i="1"/>
  <c r="N818" i="1"/>
  <c r="N817" i="1"/>
  <c r="N816" i="1"/>
  <c r="N815" i="1"/>
  <c r="N814" i="1"/>
  <c r="N813" i="1"/>
  <c r="N812" i="1"/>
  <c r="N810" i="1"/>
  <c r="N808" i="1"/>
  <c r="N805" i="1"/>
  <c r="N804" i="1"/>
  <c r="N803" i="1"/>
  <c r="N802" i="1"/>
  <c r="N800" i="1"/>
  <c r="N799" i="1"/>
  <c r="N798" i="1"/>
  <c r="N797" i="1"/>
  <c r="N796" i="1"/>
  <c r="N795" i="1"/>
  <c r="N794" i="1"/>
  <c r="N793" i="1"/>
  <c r="N792" i="1"/>
  <c r="N791" i="1"/>
  <c r="N790" i="1"/>
  <c r="N789" i="1"/>
  <c r="N787" i="1"/>
  <c r="N786" i="1"/>
  <c r="N785" i="1"/>
  <c r="N784" i="1"/>
  <c r="N783" i="1"/>
  <c r="N782" i="1"/>
  <c r="N781" i="1"/>
  <c r="N780" i="1"/>
  <c r="N779" i="1"/>
  <c r="N778" i="1"/>
  <c r="N777" i="1"/>
  <c r="N776" i="1"/>
  <c r="N775" i="1"/>
  <c r="N774" i="1"/>
  <c r="N773" i="1"/>
  <c r="N772" i="1"/>
  <c r="N771" i="1"/>
  <c r="N770" i="1"/>
  <c r="N769" i="1"/>
  <c r="N768" i="1"/>
  <c r="N767" i="1"/>
  <c r="N764" i="1"/>
  <c r="N763" i="1"/>
  <c r="N762" i="1"/>
  <c r="N761" i="1"/>
  <c r="N760" i="1"/>
  <c r="N759" i="1"/>
  <c r="N756" i="1"/>
  <c r="N755" i="1"/>
  <c r="N754" i="1"/>
  <c r="N753" i="1"/>
  <c r="N752" i="1"/>
  <c r="N751" i="1"/>
  <c r="N750" i="1"/>
  <c r="N749" i="1"/>
  <c r="N747" i="1"/>
  <c r="N746" i="1"/>
  <c r="N745" i="1"/>
  <c r="N744" i="1"/>
  <c r="N743" i="1"/>
  <c r="N742" i="1"/>
  <c r="N741" i="1"/>
  <c r="N740" i="1"/>
  <c r="N739" i="1"/>
  <c r="N738" i="1"/>
  <c r="N737" i="1"/>
  <c r="N736" i="1"/>
  <c r="N735" i="1"/>
  <c r="N733" i="1"/>
  <c r="N732" i="1"/>
  <c r="N730" i="1"/>
  <c r="N729" i="1"/>
  <c r="N728" i="1"/>
  <c r="N727" i="1"/>
  <c r="N726" i="1"/>
  <c r="N724" i="1"/>
  <c r="N723" i="1"/>
  <c r="N722" i="1"/>
  <c r="N720" i="1"/>
  <c r="N719" i="1"/>
  <c r="N718" i="1"/>
  <c r="N717" i="1"/>
  <c r="N716" i="1"/>
  <c r="N715" i="1"/>
  <c r="N714" i="1"/>
  <c r="N713" i="1"/>
  <c r="N712" i="1"/>
  <c r="N711" i="1"/>
  <c r="N710" i="1"/>
  <c r="N708" i="1"/>
  <c r="N707" i="1"/>
  <c r="N706" i="1"/>
  <c r="N705" i="1"/>
  <c r="N704" i="1"/>
  <c r="N703" i="1"/>
  <c r="N702" i="1"/>
  <c r="N701" i="1"/>
  <c r="N700" i="1"/>
  <c r="N699" i="1"/>
  <c r="N697" i="1"/>
  <c r="N696" i="1"/>
  <c r="N695" i="1"/>
  <c r="N694" i="1"/>
  <c r="N693" i="1"/>
  <c r="N692" i="1"/>
  <c r="N691" i="1"/>
  <c r="N690" i="1"/>
  <c r="N689" i="1"/>
  <c r="N688" i="1"/>
  <c r="N687" i="1"/>
  <c r="N685" i="1"/>
  <c r="N684" i="1"/>
  <c r="N682" i="1"/>
  <c r="N680" i="1"/>
  <c r="N679" i="1"/>
  <c r="N678" i="1"/>
  <c r="N677" i="1"/>
  <c r="N676" i="1"/>
  <c r="N675" i="1"/>
  <c r="N674" i="1"/>
  <c r="N673" i="1"/>
  <c r="N672" i="1"/>
  <c r="N671" i="1"/>
  <c r="N670" i="1"/>
  <c r="N669" i="1"/>
  <c r="N668" i="1"/>
  <c r="N667" i="1"/>
  <c r="N666" i="1"/>
  <c r="N665" i="1"/>
  <c r="N664" i="1"/>
  <c r="N663" i="1"/>
  <c r="N662" i="1"/>
  <c r="N661" i="1"/>
  <c r="N660" i="1"/>
  <c r="N659" i="1"/>
  <c r="N658" i="1"/>
  <c r="N657" i="1"/>
  <c r="N656" i="1"/>
  <c r="N655" i="1"/>
  <c r="N654" i="1"/>
  <c r="N653" i="1"/>
  <c r="N652" i="1"/>
  <c r="N651" i="1"/>
  <c r="N649" i="1"/>
  <c r="N648" i="1"/>
  <c r="N647" i="1"/>
  <c r="N646" i="1"/>
  <c r="N645" i="1"/>
  <c r="N644" i="1"/>
  <c r="N643" i="1"/>
  <c r="N642" i="1"/>
  <c r="N641" i="1"/>
  <c r="N640" i="1"/>
  <c r="N639" i="1"/>
  <c r="N638" i="1"/>
  <c r="N637" i="1"/>
  <c r="N636" i="1"/>
  <c r="N635" i="1"/>
  <c r="N634" i="1"/>
  <c r="N631" i="1"/>
  <c r="N630" i="1"/>
  <c r="N629" i="1"/>
  <c r="N628" i="1"/>
  <c r="N627" i="1"/>
  <c r="N626" i="1"/>
  <c r="N625" i="1"/>
  <c r="N624" i="1"/>
  <c r="N623" i="1"/>
  <c r="N622" i="1"/>
  <c r="N621" i="1"/>
  <c r="N620" i="1"/>
  <c r="N619" i="1"/>
  <c r="N618" i="1"/>
  <c r="N617" i="1"/>
  <c r="N615" i="1"/>
  <c r="N614" i="1"/>
  <c r="N613" i="1"/>
  <c r="N611" i="1"/>
  <c r="N610" i="1"/>
  <c r="N609" i="1"/>
  <c r="N608" i="1"/>
  <c r="N607" i="1"/>
  <c r="N606" i="1"/>
  <c r="N605" i="1"/>
  <c r="N604" i="1"/>
  <c r="N603" i="1"/>
  <c r="N602" i="1"/>
  <c r="N601" i="1"/>
  <c r="N600" i="1"/>
  <c r="N599" i="1"/>
  <c r="N598" i="1"/>
  <c r="N597" i="1"/>
  <c r="N596" i="1"/>
  <c r="N595" i="1"/>
  <c r="N594" i="1"/>
  <c r="N593" i="1"/>
  <c r="N592" i="1"/>
  <c r="N591" i="1"/>
  <c r="N590" i="1"/>
  <c r="N589" i="1"/>
  <c r="N588" i="1"/>
  <c r="N587" i="1"/>
  <c r="N585" i="1"/>
  <c r="N584" i="1"/>
  <c r="N583" i="1"/>
  <c r="N582" i="1"/>
  <c r="N581" i="1"/>
  <c r="N580" i="1"/>
  <c r="N579" i="1"/>
  <c r="N578" i="1"/>
  <c r="N577" i="1"/>
  <c r="N576" i="1"/>
  <c r="N575" i="1"/>
  <c r="N574" i="1"/>
  <c r="N573" i="1"/>
  <c r="N572" i="1"/>
  <c r="N571" i="1"/>
  <c r="N570" i="1"/>
  <c r="N569" i="1"/>
  <c r="N568" i="1"/>
  <c r="N567" i="1"/>
  <c r="N566" i="1"/>
  <c r="N565" i="1"/>
  <c r="N564" i="1"/>
  <c r="N563" i="1"/>
  <c r="N562" i="1"/>
  <c r="N561" i="1"/>
  <c r="N560" i="1"/>
  <c r="N559" i="1"/>
  <c r="N558" i="1"/>
  <c r="N557" i="1"/>
  <c r="N556" i="1"/>
  <c r="N555" i="1"/>
  <c r="N554" i="1"/>
  <c r="N553" i="1"/>
  <c r="N552" i="1"/>
  <c r="N551" i="1"/>
  <c r="N550" i="1"/>
  <c r="N549" i="1"/>
  <c r="N548" i="1"/>
  <c r="N547" i="1"/>
  <c r="N546" i="1"/>
  <c r="N545" i="1"/>
  <c r="N544" i="1"/>
  <c r="N543" i="1"/>
  <c r="N542" i="1"/>
  <c r="N541" i="1"/>
  <c r="N540" i="1"/>
  <c r="N539" i="1"/>
  <c r="N538" i="1"/>
  <c r="N537" i="1"/>
  <c r="N536" i="1"/>
  <c r="N535" i="1"/>
  <c r="N534" i="1"/>
  <c r="N533" i="1"/>
  <c r="N532" i="1"/>
  <c r="N531" i="1"/>
  <c r="N530" i="1"/>
  <c r="N529" i="1"/>
  <c r="N528" i="1"/>
  <c r="N527" i="1"/>
  <c r="N526" i="1"/>
  <c r="N524" i="1"/>
  <c r="N523" i="1"/>
  <c r="N522" i="1"/>
  <c r="N521" i="1"/>
  <c r="N520" i="1"/>
  <c r="N519" i="1"/>
  <c r="N518" i="1"/>
  <c r="N517" i="1"/>
  <c r="N516" i="1"/>
  <c r="N515" i="1"/>
  <c r="N514" i="1"/>
  <c r="N513" i="1"/>
  <c r="N512" i="1"/>
  <c r="N511" i="1"/>
  <c r="N510" i="1"/>
  <c r="N509" i="1"/>
  <c r="N508" i="1"/>
  <c r="N507" i="1"/>
  <c r="N506" i="1"/>
  <c r="N505" i="1"/>
  <c r="N504" i="1"/>
  <c r="N503" i="1"/>
  <c r="N502" i="1"/>
  <c r="N501" i="1"/>
  <c r="N500" i="1"/>
  <c r="N499" i="1"/>
  <c r="N498" i="1"/>
  <c r="N497" i="1"/>
  <c r="N496" i="1"/>
  <c r="N495" i="1"/>
  <c r="N494" i="1"/>
  <c r="N493" i="1"/>
  <c r="N492" i="1"/>
  <c r="N491" i="1"/>
  <c r="N490" i="1"/>
  <c r="N489" i="1"/>
  <c r="N488" i="1"/>
  <c r="N487" i="1"/>
  <c r="N486" i="1"/>
  <c r="N483" i="1"/>
  <c r="N482" i="1"/>
  <c r="N481" i="1"/>
  <c r="N480" i="1"/>
  <c r="N479" i="1"/>
  <c r="N478" i="1"/>
  <c r="N477" i="1"/>
  <c r="N476" i="1"/>
  <c r="N475" i="1"/>
  <c r="N474" i="1"/>
  <c r="N473" i="1"/>
  <c r="N472" i="1"/>
  <c r="N471" i="1"/>
  <c r="N470" i="1"/>
  <c r="N469" i="1"/>
  <c r="N468" i="1"/>
  <c r="N467" i="1"/>
  <c r="N466" i="1"/>
  <c r="N464" i="1"/>
  <c r="N463" i="1"/>
  <c r="N462" i="1"/>
  <c r="N461" i="1"/>
  <c r="N459" i="1"/>
  <c r="N458" i="1"/>
  <c r="N457" i="1"/>
  <c r="N456" i="1"/>
  <c r="N455" i="1"/>
  <c r="N454" i="1"/>
  <c r="N453" i="1"/>
  <c r="N452" i="1"/>
  <c r="N451" i="1"/>
  <c r="N450" i="1"/>
  <c r="N449" i="1"/>
  <c r="N448" i="1"/>
  <c r="N447" i="1"/>
  <c r="N446" i="1"/>
  <c r="N445" i="1"/>
  <c r="N444" i="1"/>
  <c r="N443" i="1"/>
  <c r="N442" i="1"/>
  <c r="N441" i="1"/>
  <c r="N440" i="1"/>
  <c r="N439" i="1"/>
  <c r="N438" i="1"/>
  <c r="N437" i="1"/>
  <c r="N436" i="1"/>
  <c r="N435" i="1"/>
  <c r="N434" i="1"/>
  <c r="N433" i="1"/>
  <c r="N432" i="1"/>
  <c r="N431" i="1"/>
  <c r="N430" i="1"/>
  <c r="N429" i="1"/>
  <c r="N428" i="1"/>
  <c r="N427" i="1"/>
  <c r="N426" i="1"/>
  <c r="N425" i="1"/>
  <c r="N423" i="1"/>
  <c r="N422" i="1"/>
  <c r="N421" i="1"/>
  <c r="N420" i="1"/>
  <c r="N419" i="1"/>
  <c r="N418" i="1"/>
  <c r="N417" i="1"/>
  <c r="N416" i="1"/>
  <c r="N415" i="1"/>
  <c r="N414" i="1"/>
  <c r="N413" i="1"/>
  <c r="N412" i="1"/>
  <c r="N409" i="1"/>
  <c r="N408" i="1"/>
  <c r="N406" i="1"/>
  <c r="N405" i="1"/>
  <c r="N404" i="1"/>
  <c r="N403" i="1"/>
  <c r="N402" i="1"/>
  <c r="N401" i="1"/>
  <c r="N400" i="1"/>
  <c r="N399" i="1"/>
  <c r="N398" i="1"/>
  <c r="N397" i="1"/>
  <c r="N396" i="1"/>
  <c r="N395" i="1"/>
  <c r="N394" i="1"/>
  <c r="N393" i="1"/>
  <c r="N391" i="1"/>
  <c r="N390" i="1"/>
  <c r="N389" i="1"/>
  <c r="N388" i="1"/>
  <c r="N387" i="1"/>
  <c r="N386" i="1"/>
  <c r="N385" i="1"/>
  <c r="N384" i="1"/>
  <c r="N383" i="1"/>
  <c r="N382" i="1"/>
  <c r="N381" i="1"/>
  <c r="N380" i="1"/>
  <c r="N379" i="1"/>
  <c r="N378" i="1"/>
  <c r="N377" i="1"/>
  <c r="N376" i="1"/>
  <c r="N375" i="1"/>
  <c r="N374" i="1"/>
  <c r="N373" i="1"/>
  <c r="N372" i="1"/>
  <c r="N371" i="1"/>
  <c r="N370" i="1"/>
  <c r="N369" i="1"/>
  <c r="N368" i="1"/>
  <c r="N367" i="1"/>
  <c r="N366" i="1"/>
  <c r="N364" i="1"/>
  <c r="N363" i="1"/>
  <c r="N362" i="1"/>
  <c r="N361" i="1"/>
  <c r="N360" i="1"/>
  <c r="N359" i="1"/>
  <c r="N358" i="1"/>
  <c r="N357" i="1"/>
  <c r="N356" i="1"/>
  <c r="N355" i="1"/>
  <c r="N354" i="1"/>
  <c r="N353" i="1"/>
  <c r="N352" i="1"/>
  <c r="N351" i="1"/>
  <c r="N350" i="1"/>
  <c r="N349" i="1"/>
  <c r="N348" i="1"/>
  <c r="N347" i="1"/>
  <c r="N346" i="1"/>
  <c r="N345" i="1"/>
  <c r="N344" i="1"/>
  <c r="N343" i="1"/>
  <c r="N341" i="1"/>
  <c r="N340" i="1"/>
  <c r="N339" i="1"/>
  <c r="N338" i="1"/>
  <c r="N336" i="1"/>
  <c r="N335" i="1"/>
  <c r="N334" i="1"/>
  <c r="N333" i="1"/>
  <c r="N332" i="1"/>
  <c r="N331" i="1"/>
  <c r="N330" i="1"/>
  <c r="N329" i="1"/>
  <c r="N328" i="1"/>
  <c r="N327" i="1"/>
  <c r="N326" i="1"/>
  <c r="N325" i="1"/>
  <c r="N324" i="1"/>
  <c r="N323" i="1"/>
  <c r="N321" i="1"/>
  <c r="N320" i="1"/>
  <c r="N319" i="1"/>
  <c r="N318" i="1"/>
  <c r="N317" i="1"/>
  <c r="N316" i="1"/>
  <c r="N315" i="1"/>
  <c r="N314" i="1"/>
  <c r="N313" i="1"/>
  <c r="N312" i="1"/>
  <c r="N311" i="1"/>
  <c r="N309" i="1"/>
  <c r="N308" i="1"/>
  <c r="N307" i="1"/>
  <c r="N306" i="1"/>
  <c r="N304" i="1"/>
  <c r="N303" i="1"/>
  <c r="N302" i="1"/>
  <c r="N301" i="1"/>
  <c r="N300" i="1"/>
  <c r="N299" i="1"/>
  <c r="N298" i="1"/>
  <c r="N297" i="1"/>
  <c r="N296" i="1"/>
  <c r="N295" i="1"/>
  <c r="N293" i="1"/>
  <c r="N291" i="1"/>
  <c r="N290" i="1"/>
  <c r="N289" i="1"/>
  <c r="N288" i="1"/>
  <c r="N287" i="1"/>
  <c r="N286" i="1"/>
  <c r="N285" i="1"/>
  <c r="N284" i="1"/>
  <c r="N283" i="1"/>
  <c r="N282" i="1"/>
  <c r="N281" i="1"/>
  <c r="N280" i="1"/>
  <c r="N279" i="1"/>
  <c r="N278" i="1"/>
  <c r="N277" i="1"/>
  <c r="N276" i="1"/>
  <c r="N275" i="1"/>
  <c r="N274" i="1"/>
  <c r="N273" i="1"/>
  <c r="N272" i="1"/>
  <c r="N271" i="1"/>
  <c r="N270" i="1"/>
  <c r="N269" i="1"/>
  <c r="N268" i="1"/>
  <c r="N267" i="1"/>
  <c r="N266" i="1"/>
  <c r="N265" i="1"/>
  <c r="N264" i="1"/>
  <c r="N263" i="1"/>
  <c r="N261" i="1"/>
  <c r="N260" i="1"/>
  <c r="N259" i="1"/>
  <c r="N258" i="1"/>
  <c r="N256" i="1"/>
  <c r="N255" i="1"/>
  <c r="N254" i="1"/>
  <c r="N253" i="1"/>
  <c r="N252" i="1"/>
  <c r="N250" i="1"/>
  <c r="N249" i="1"/>
  <c r="N247" i="1"/>
  <c r="N246" i="1"/>
  <c r="N245" i="1"/>
  <c r="N243" i="1"/>
  <c r="N242" i="1"/>
  <c r="N239" i="1"/>
  <c r="N238" i="1"/>
  <c r="N237" i="1"/>
  <c r="N236" i="1"/>
  <c r="N235" i="1"/>
  <c r="N234" i="1"/>
  <c r="N233" i="1"/>
  <c r="N232" i="1"/>
  <c r="N231" i="1"/>
  <c r="N230" i="1"/>
  <c r="N229" i="1"/>
  <c r="N228" i="1"/>
  <c r="N227" i="1"/>
  <c r="N226" i="1"/>
  <c r="N225" i="1"/>
  <c r="N224" i="1"/>
  <c r="N223" i="1"/>
  <c r="N222" i="1"/>
  <c r="N221" i="1"/>
  <c r="N220" i="1"/>
  <c r="N219" i="1"/>
  <c r="N218" i="1"/>
  <c r="N217" i="1"/>
  <c r="N216" i="1"/>
  <c r="N215" i="1"/>
  <c r="N213" i="1"/>
  <c r="N212" i="1"/>
  <c r="N211" i="1"/>
  <c r="N210" i="1"/>
  <c r="N209" i="1"/>
  <c r="N208" i="1"/>
  <c r="N207" i="1"/>
  <c r="N206" i="1"/>
  <c r="N205" i="1"/>
  <c r="N204" i="1"/>
  <c r="N203" i="1"/>
  <c r="N202" i="1"/>
  <c r="N201" i="1"/>
  <c r="N200" i="1"/>
  <c r="N199" i="1"/>
  <c r="N198" i="1"/>
  <c r="N197" i="1"/>
  <c r="N196" i="1"/>
  <c r="N195" i="1"/>
  <c r="N193" i="1"/>
  <c r="N191" i="1"/>
  <c r="N190" i="1"/>
  <c r="N189" i="1"/>
  <c r="N188" i="1"/>
  <c r="N187" i="1"/>
  <c r="N186" i="1"/>
  <c r="N185" i="1"/>
  <c r="N184" i="1"/>
  <c r="N183" i="1"/>
  <c r="N182" i="1"/>
  <c r="N181" i="1"/>
  <c r="N180" i="1"/>
  <c r="N179" i="1"/>
  <c r="N178" i="1"/>
  <c r="N177" i="1"/>
  <c r="N176" i="1"/>
  <c r="N175" i="1"/>
  <c r="N174" i="1"/>
  <c r="N173" i="1"/>
  <c r="N172" i="1"/>
  <c r="N171" i="1"/>
  <c r="N168" i="1"/>
  <c r="N167" i="1"/>
  <c r="N166" i="1"/>
  <c r="N165" i="1"/>
  <c r="N164" i="1"/>
  <c r="N162" i="1"/>
  <c r="N161" i="1"/>
  <c r="N160" i="1"/>
  <c r="N159" i="1"/>
  <c r="N158" i="1"/>
  <c r="N157" i="1"/>
  <c r="N156" i="1"/>
  <c r="N155" i="1"/>
  <c r="N154" i="1"/>
  <c r="N153" i="1"/>
  <c r="N152" i="1"/>
  <c r="N151" i="1"/>
  <c r="N150" i="1"/>
  <c r="N149" i="1"/>
  <c r="N148" i="1"/>
  <c r="N147" i="1"/>
  <c r="N146" i="1"/>
  <c r="N145" i="1"/>
  <c r="N144" i="1"/>
  <c r="N143" i="1"/>
  <c r="N142" i="1"/>
  <c r="N141" i="1"/>
  <c r="N140" i="1"/>
  <c r="N139" i="1"/>
  <c r="N138" i="1"/>
  <c r="N137" i="1"/>
  <c r="N136" i="1"/>
  <c r="N135" i="1"/>
  <c r="N134" i="1"/>
  <c r="N133" i="1"/>
  <c r="N132" i="1"/>
  <c r="N131" i="1"/>
  <c r="N130" i="1"/>
  <c r="N129" i="1"/>
  <c r="N128" i="1"/>
  <c r="N127" i="1"/>
  <c r="N125" i="1"/>
  <c r="N124" i="1"/>
  <c r="N123" i="1"/>
  <c r="N122" i="1"/>
  <c r="N121" i="1"/>
  <c r="N120" i="1"/>
  <c r="N119" i="1"/>
  <c r="N118" i="1"/>
  <c r="N117" i="1"/>
  <c r="N116" i="1"/>
  <c r="N115" i="1"/>
  <c r="N114" i="1"/>
  <c r="N113" i="1"/>
  <c r="N112" i="1"/>
  <c r="N111" i="1"/>
  <c r="N110" i="1"/>
  <c r="N109" i="1"/>
  <c r="N107" i="1"/>
  <c r="N106" i="1"/>
  <c r="N105" i="1"/>
  <c r="N103" i="1"/>
  <c r="N102" i="1"/>
  <c r="N101" i="1"/>
  <c r="N100" i="1"/>
  <c r="N99" i="1"/>
  <c r="N98" i="1"/>
  <c r="N97" i="1"/>
  <c r="N96" i="1"/>
  <c r="N94" i="1"/>
  <c r="N93" i="1"/>
  <c r="N91" i="1"/>
  <c r="N90" i="1"/>
  <c r="N89" i="1"/>
  <c r="N88" i="1"/>
  <c r="N87" i="1"/>
  <c r="N86" i="1"/>
  <c r="N85" i="1"/>
  <c r="N84" i="1"/>
  <c r="N83" i="1"/>
  <c r="N82" i="1"/>
  <c r="N81" i="1"/>
  <c r="N80" i="1"/>
  <c r="N79" i="1"/>
  <c r="N78" i="1"/>
  <c r="N77" i="1"/>
  <c r="N75" i="1"/>
  <c r="N74" i="1"/>
  <c r="N73" i="1"/>
  <c r="N72" i="1"/>
  <c r="N71" i="1"/>
  <c r="N70" i="1"/>
  <c r="N69" i="1"/>
  <c r="N68" i="1"/>
  <c r="N67" i="1"/>
  <c r="N66" i="1"/>
  <c r="N65" i="1"/>
  <c r="N64" i="1"/>
  <c r="N63" i="1"/>
  <c r="N62" i="1"/>
  <c r="N61" i="1"/>
  <c r="N60" i="1"/>
  <c r="N59" i="1"/>
  <c r="N58" i="1"/>
  <c r="N57" i="1"/>
  <c r="N56" i="1"/>
  <c r="N55" i="1"/>
  <c r="N54" i="1"/>
  <c r="N53" i="1"/>
  <c r="N52" i="1"/>
  <c r="N51" i="1"/>
  <c r="N50" i="1"/>
  <c r="N49" i="1"/>
  <c r="N48" i="1"/>
  <c r="N47" i="1"/>
  <c r="N46" i="1"/>
  <c r="N45" i="1"/>
  <c r="N43" i="1"/>
  <c r="N42" i="1"/>
  <c r="N41" i="1"/>
  <c r="N40" i="1"/>
  <c r="N39" i="1"/>
  <c r="N38" i="1"/>
  <c r="N37" i="1"/>
  <c r="N36" i="1"/>
  <c r="N35" i="1"/>
  <c r="N34" i="1"/>
  <c r="N33" i="1"/>
  <c r="N32" i="1"/>
  <c r="N31" i="1"/>
  <c r="N30" i="1"/>
  <c r="N29" i="1"/>
  <c r="N28" i="1"/>
  <c r="N27" i="1"/>
  <c r="N25" i="1"/>
  <c r="N24" i="1"/>
  <c r="N23" i="1"/>
  <c r="N22" i="1"/>
  <c r="N21" i="1"/>
  <c r="N20" i="1"/>
  <c r="N19" i="1"/>
  <c r="N18" i="1"/>
  <c r="N17" i="1"/>
  <c r="N16" i="1"/>
  <c r="N15" i="1"/>
  <c r="N14" i="1"/>
  <c r="N13" i="1"/>
  <c r="N12" i="1"/>
  <c r="N11" i="1"/>
  <c r="N10" i="1"/>
  <c r="N9" i="1"/>
  <c r="N8" i="1"/>
  <c r="N7" i="1"/>
  <c r="N4" i="1"/>
  <c r="N3" i="1"/>
  <c r="N2" i="1"/>
  <c r="B1037" i="1"/>
  <c r="B1036" i="1"/>
  <c r="B1035" i="1"/>
  <c r="B1034" i="1"/>
  <c r="B1033" i="1"/>
  <c r="B1032" i="1"/>
  <c r="B1031" i="1"/>
  <c r="B1030" i="1"/>
  <c r="B1029" i="1"/>
  <c r="B1028" i="1"/>
  <c r="B1027" i="1"/>
  <c r="B1026" i="1"/>
  <c r="B1025" i="1"/>
  <c r="B1024" i="1"/>
  <c r="B1023" i="1"/>
  <c r="B1022" i="1"/>
  <c r="B1021" i="1"/>
  <c r="B1020" i="1"/>
  <c r="B1019" i="1"/>
  <c r="B1018" i="1"/>
  <c r="B1017" i="1"/>
  <c r="B1016" i="1"/>
  <c r="B1015" i="1"/>
  <c r="B1014" i="1"/>
  <c r="B1013" i="1"/>
  <c r="B1012" i="1"/>
  <c r="B1011" i="1"/>
  <c r="B1010" i="1"/>
  <c r="B1009" i="1"/>
  <c r="B1008" i="1"/>
  <c r="B1007" i="1"/>
  <c r="B1006" i="1"/>
  <c r="B1005" i="1"/>
  <c r="B1004" i="1"/>
  <c r="B1003" i="1"/>
  <c r="B1002" i="1"/>
  <c r="B1001" i="1"/>
  <c r="B1000" i="1"/>
  <c r="B999" i="1"/>
  <c r="B998" i="1"/>
  <c r="B997" i="1"/>
  <c r="B996" i="1"/>
  <c r="B995" i="1"/>
  <c r="B994" i="1"/>
  <c r="B993" i="1"/>
  <c r="B992" i="1"/>
  <c r="B991" i="1"/>
  <c r="B990" i="1"/>
  <c r="B989" i="1"/>
  <c r="B988" i="1"/>
  <c r="B987" i="1"/>
  <c r="B986" i="1"/>
  <c r="B985" i="1"/>
  <c r="B984" i="1"/>
  <c r="B983" i="1"/>
  <c r="B982" i="1"/>
  <c r="B981" i="1"/>
  <c r="B980" i="1"/>
  <c r="B979" i="1"/>
  <c r="B978" i="1"/>
  <c r="B977" i="1"/>
  <c r="B976" i="1"/>
  <c r="B975" i="1"/>
  <c r="B974" i="1"/>
  <c r="B973" i="1"/>
  <c r="B972" i="1"/>
  <c r="B971" i="1"/>
  <c r="B970" i="1"/>
  <c r="B969" i="1"/>
  <c r="B968" i="1"/>
  <c r="B967" i="1"/>
  <c r="B966" i="1"/>
  <c r="B965" i="1"/>
  <c r="B964" i="1"/>
  <c r="B963" i="1"/>
  <c r="B962" i="1"/>
  <c r="B961" i="1"/>
  <c r="B960" i="1"/>
  <c r="B959" i="1"/>
  <c r="B958" i="1"/>
  <c r="B957" i="1"/>
  <c r="B956" i="1"/>
  <c r="B955" i="1"/>
  <c r="B954" i="1"/>
  <c r="B953" i="1"/>
  <c r="B952" i="1"/>
  <c r="B951" i="1"/>
  <c r="B950" i="1"/>
  <c r="B949" i="1"/>
  <c r="B948" i="1"/>
  <c r="B947" i="1"/>
  <c r="B946" i="1"/>
  <c r="B945" i="1"/>
  <c r="B944" i="1"/>
  <c r="B943" i="1"/>
  <c r="B942" i="1"/>
  <c r="B941" i="1"/>
  <c r="B940" i="1"/>
  <c r="B939" i="1"/>
  <c r="B938" i="1"/>
  <c r="B937" i="1"/>
  <c r="B936" i="1"/>
  <c r="B935" i="1"/>
  <c r="B934" i="1"/>
  <c r="B933" i="1"/>
  <c r="B932" i="1"/>
  <c r="B931" i="1"/>
  <c r="B930" i="1"/>
  <c r="B929" i="1"/>
  <c r="B928" i="1"/>
  <c r="B927" i="1"/>
  <c r="B926" i="1"/>
  <c r="B925" i="1"/>
  <c r="B924" i="1"/>
  <c r="B923" i="1"/>
  <c r="B922" i="1"/>
  <c r="B921" i="1"/>
  <c r="B920" i="1"/>
  <c r="B919" i="1"/>
  <c r="B918" i="1"/>
  <c r="B917" i="1"/>
  <c r="B916" i="1"/>
  <c r="B915" i="1"/>
  <c r="B914" i="1"/>
  <c r="B913" i="1"/>
  <c r="B912" i="1"/>
  <c r="B911" i="1"/>
  <c r="B910" i="1"/>
  <c r="B909" i="1"/>
  <c r="B908" i="1"/>
  <c r="B907" i="1"/>
  <c r="B906" i="1"/>
  <c r="B905" i="1"/>
  <c r="B904" i="1"/>
  <c r="B903" i="1"/>
  <c r="B902" i="1"/>
  <c r="B901" i="1"/>
  <c r="B900" i="1"/>
  <c r="B899" i="1"/>
  <c r="B898" i="1"/>
  <c r="B897" i="1"/>
  <c r="B896" i="1"/>
  <c r="B895" i="1"/>
  <c r="B894" i="1"/>
  <c r="B893" i="1"/>
  <c r="B892" i="1"/>
  <c r="B891" i="1"/>
  <c r="B890" i="1"/>
  <c r="B889" i="1"/>
  <c r="B888" i="1"/>
  <c r="B887" i="1"/>
  <c r="B886" i="1"/>
  <c r="B885" i="1"/>
  <c r="B884" i="1"/>
  <c r="B883" i="1"/>
  <c r="B882" i="1"/>
  <c r="B881" i="1"/>
  <c r="B880" i="1"/>
  <c r="B879" i="1"/>
  <c r="B878" i="1"/>
  <c r="B877" i="1"/>
  <c r="B876" i="1"/>
  <c r="B875" i="1"/>
  <c r="B874" i="1"/>
  <c r="B873" i="1"/>
  <c r="B872" i="1"/>
  <c r="B871" i="1"/>
  <c r="B870" i="1"/>
  <c r="B869" i="1"/>
  <c r="B868" i="1"/>
  <c r="B867" i="1"/>
  <c r="B866" i="1"/>
  <c r="B865" i="1"/>
  <c r="B864" i="1"/>
  <c r="B863" i="1"/>
  <c r="B862" i="1"/>
  <c r="B861" i="1"/>
  <c r="B860" i="1"/>
  <c r="B859" i="1"/>
  <c r="B858" i="1"/>
  <c r="B857" i="1"/>
  <c r="B856" i="1"/>
  <c r="B855" i="1"/>
  <c r="B854" i="1"/>
  <c r="B853" i="1"/>
  <c r="B852" i="1"/>
  <c r="B851" i="1"/>
  <c r="B850" i="1"/>
  <c r="B849" i="1"/>
  <c r="B848" i="1"/>
  <c r="B847" i="1"/>
  <c r="B846" i="1"/>
  <c r="B845" i="1"/>
  <c r="B844" i="1"/>
  <c r="B843" i="1"/>
  <c r="B842" i="1"/>
  <c r="B841" i="1"/>
  <c r="B840" i="1"/>
  <c r="B839" i="1"/>
  <c r="B838" i="1"/>
  <c r="B837" i="1"/>
  <c r="B836" i="1"/>
  <c r="B835" i="1"/>
  <c r="B834" i="1"/>
  <c r="B833" i="1"/>
  <c r="B832" i="1"/>
  <c r="B831" i="1"/>
  <c r="B830" i="1"/>
  <c r="B829" i="1"/>
  <c r="B828" i="1"/>
  <c r="B827" i="1"/>
  <c r="B826" i="1"/>
  <c r="B825" i="1"/>
  <c r="B824" i="1"/>
  <c r="B823" i="1"/>
  <c r="B822" i="1"/>
  <c r="B821" i="1"/>
  <c r="B820" i="1"/>
  <c r="B819" i="1"/>
  <c r="B818" i="1"/>
  <c r="B817" i="1"/>
  <c r="B816" i="1"/>
  <c r="B815" i="1"/>
  <c r="B814" i="1"/>
  <c r="B813" i="1"/>
  <c r="B812" i="1"/>
  <c r="B811" i="1"/>
  <c r="B810" i="1"/>
  <c r="B809" i="1"/>
  <c r="B808" i="1"/>
  <c r="B807" i="1"/>
  <c r="B806" i="1"/>
  <c r="B805" i="1"/>
  <c r="B804" i="1"/>
  <c r="B803" i="1"/>
  <c r="B802" i="1"/>
  <c r="B801" i="1"/>
  <c r="B800" i="1"/>
  <c r="B799" i="1"/>
  <c r="B798" i="1"/>
  <c r="B797" i="1"/>
  <c r="B796" i="1"/>
  <c r="B795" i="1"/>
  <c r="B794" i="1"/>
  <c r="B793" i="1"/>
  <c r="B792" i="1"/>
  <c r="B791" i="1"/>
  <c r="B790" i="1"/>
  <c r="B789" i="1"/>
  <c r="B788" i="1"/>
  <c r="B787" i="1"/>
  <c r="B786" i="1"/>
  <c r="B785" i="1"/>
  <c r="B784" i="1"/>
  <c r="B783" i="1"/>
  <c r="B782" i="1"/>
  <c r="B781" i="1"/>
  <c r="B780" i="1"/>
  <c r="B779" i="1"/>
  <c r="B778" i="1"/>
  <c r="B777" i="1"/>
  <c r="B776" i="1"/>
  <c r="B775" i="1"/>
  <c r="B774" i="1"/>
  <c r="B773" i="1"/>
  <c r="B772" i="1"/>
  <c r="B771" i="1"/>
  <c r="B770" i="1"/>
  <c r="B769" i="1"/>
  <c r="B768" i="1"/>
  <c r="B767" i="1"/>
  <c r="B766" i="1"/>
  <c r="B765" i="1"/>
  <c r="B764" i="1"/>
  <c r="B763" i="1"/>
  <c r="B762" i="1"/>
  <c r="B761" i="1"/>
  <c r="B760" i="1"/>
  <c r="B759" i="1"/>
  <c r="B758" i="1"/>
  <c r="B757" i="1"/>
  <c r="B756" i="1"/>
  <c r="B755" i="1"/>
  <c r="B754" i="1"/>
  <c r="B753" i="1"/>
  <c r="B752" i="1"/>
  <c r="B751" i="1"/>
  <c r="B750" i="1"/>
  <c r="B749" i="1"/>
  <c r="B748" i="1"/>
  <c r="B747" i="1"/>
  <c r="B746" i="1"/>
  <c r="B745" i="1"/>
  <c r="B744" i="1"/>
  <c r="B743" i="1"/>
  <c r="B742" i="1"/>
  <c r="B741" i="1"/>
  <c r="B740" i="1"/>
  <c r="B739" i="1"/>
  <c r="B738" i="1"/>
  <c r="B737" i="1"/>
  <c r="B736" i="1"/>
  <c r="B735" i="1"/>
  <c r="B734" i="1"/>
  <c r="B733" i="1"/>
  <c r="B732" i="1"/>
  <c r="B731" i="1"/>
  <c r="B730" i="1"/>
  <c r="B729" i="1"/>
  <c r="B728" i="1"/>
  <c r="B727" i="1"/>
  <c r="B726" i="1"/>
  <c r="B725" i="1"/>
  <c r="B724" i="1"/>
  <c r="B723" i="1"/>
  <c r="B722" i="1"/>
  <c r="B721" i="1"/>
  <c r="B720" i="1"/>
  <c r="B719" i="1"/>
  <c r="B718" i="1"/>
  <c r="B717" i="1"/>
  <c r="B716" i="1"/>
  <c r="B715" i="1"/>
  <c r="B714" i="1"/>
  <c r="B713" i="1"/>
  <c r="B712" i="1"/>
  <c r="B711" i="1"/>
  <c r="B710" i="1"/>
  <c r="B709" i="1"/>
  <c r="B708" i="1"/>
  <c r="B707" i="1"/>
  <c r="B706" i="1"/>
  <c r="B705" i="1"/>
  <c r="B704" i="1"/>
  <c r="B703" i="1"/>
  <c r="B702" i="1"/>
  <c r="B701" i="1"/>
  <c r="B700" i="1"/>
  <c r="B699" i="1"/>
  <c r="B698" i="1"/>
  <c r="B697" i="1"/>
  <c r="B696" i="1"/>
  <c r="B695" i="1"/>
  <c r="B694" i="1"/>
  <c r="B693" i="1"/>
  <c r="B692" i="1"/>
  <c r="B691" i="1"/>
  <c r="B690" i="1"/>
  <c r="B689" i="1"/>
  <c r="B688" i="1"/>
  <c r="B687" i="1"/>
  <c r="B686" i="1"/>
  <c r="B685" i="1"/>
  <c r="B684" i="1"/>
  <c r="B683" i="1"/>
  <c r="B682" i="1"/>
  <c r="B681" i="1"/>
  <c r="B680" i="1"/>
  <c r="B679" i="1"/>
  <c r="B678" i="1"/>
  <c r="B677" i="1"/>
  <c r="B676" i="1"/>
  <c r="B675" i="1"/>
  <c r="B674" i="1"/>
  <c r="B673" i="1"/>
  <c r="B672" i="1"/>
  <c r="B671" i="1"/>
  <c r="B670" i="1"/>
  <c r="B669" i="1"/>
  <c r="B668" i="1"/>
  <c r="B667" i="1"/>
  <c r="B666" i="1"/>
  <c r="B665" i="1"/>
  <c r="B664" i="1"/>
  <c r="B663" i="1"/>
  <c r="B662" i="1"/>
  <c r="B661" i="1"/>
  <c r="B660" i="1"/>
  <c r="B659" i="1"/>
  <c r="B658" i="1"/>
  <c r="B657" i="1"/>
  <c r="B656" i="1"/>
  <c r="B655" i="1"/>
  <c r="B654" i="1"/>
  <c r="B653" i="1"/>
  <c r="B652" i="1"/>
  <c r="B651" i="1"/>
  <c r="B650" i="1"/>
  <c r="B649" i="1"/>
  <c r="B648" i="1"/>
  <c r="B647" i="1"/>
  <c r="B646" i="1"/>
  <c r="B645" i="1"/>
  <c r="B644" i="1"/>
  <c r="B643" i="1"/>
  <c r="B642" i="1"/>
  <c r="B641" i="1"/>
  <c r="B640" i="1"/>
  <c r="B639" i="1"/>
  <c r="B638" i="1"/>
  <c r="B637" i="1"/>
  <c r="B636" i="1"/>
  <c r="B635" i="1"/>
  <c r="B634" i="1"/>
  <c r="B633" i="1"/>
  <c r="B632" i="1"/>
  <c r="B631" i="1"/>
  <c r="B630" i="1"/>
  <c r="B629" i="1"/>
  <c r="B628" i="1"/>
  <c r="B627" i="1"/>
  <c r="B626" i="1"/>
  <c r="B625" i="1"/>
  <c r="B624" i="1"/>
  <c r="B623" i="1"/>
  <c r="B622" i="1"/>
  <c r="B621" i="1"/>
  <c r="B620" i="1"/>
  <c r="B619" i="1"/>
  <c r="B618" i="1"/>
  <c r="B617" i="1"/>
  <c r="B616" i="1"/>
  <c r="B615" i="1"/>
  <c r="B614" i="1"/>
  <c r="B613" i="1"/>
  <c r="B612" i="1"/>
  <c r="B611" i="1"/>
  <c r="B610" i="1"/>
  <c r="B609" i="1"/>
  <c r="B608" i="1"/>
  <c r="B607" i="1"/>
  <c r="B606" i="1"/>
  <c r="B605" i="1"/>
  <c r="B604" i="1"/>
  <c r="B603" i="1"/>
  <c r="B602" i="1"/>
  <c r="B601" i="1"/>
  <c r="B600" i="1"/>
  <c r="B599" i="1"/>
  <c r="B598" i="1"/>
  <c r="B597" i="1"/>
  <c r="B596" i="1"/>
  <c r="B595" i="1"/>
  <c r="B594" i="1"/>
  <c r="B593" i="1"/>
  <c r="B592" i="1"/>
  <c r="B591" i="1"/>
  <c r="B590" i="1"/>
  <c r="B589" i="1"/>
  <c r="B588" i="1"/>
  <c r="B587" i="1"/>
  <c r="B586" i="1"/>
  <c r="B585" i="1"/>
  <c r="B584" i="1"/>
  <c r="B583" i="1"/>
  <c r="B582" i="1"/>
  <c r="B581" i="1"/>
  <c r="B580" i="1"/>
  <c r="B579" i="1"/>
  <c r="B578" i="1"/>
  <c r="B577" i="1"/>
  <c r="B576" i="1"/>
  <c r="B575" i="1"/>
  <c r="B574" i="1"/>
  <c r="B573" i="1"/>
  <c r="B572" i="1"/>
  <c r="B571" i="1"/>
  <c r="B570" i="1"/>
  <c r="B569" i="1"/>
  <c r="B568" i="1"/>
  <c r="B567" i="1"/>
  <c r="B566" i="1"/>
  <c r="B565" i="1"/>
  <c r="B564" i="1"/>
  <c r="B563" i="1"/>
  <c r="B562" i="1"/>
  <c r="B561" i="1"/>
  <c r="B560" i="1"/>
  <c r="B559" i="1"/>
  <c r="B558" i="1"/>
  <c r="B557" i="1"/>
  <c r="B556" i="1"/>
  <c r="B555" i="1"/>
  <c r="B554" i="1"/>
  <c r="B553" i="1"/>
  <c r="B552" i="1"/>
  <c r="B551" i="1"/>
  <c r="B550" i="1"/>
  <c r="B549" i="1"/>
  <c r="B548" i="1"/>
  <c r="B547" i="1"/>
  <c r="B546" i="1"/>
  <c r="B545" i="1"/>
  <c r="B544" i="1"/>
  <c r="B543" i="1"/>
  <c r="B542" i="1"/>
  <c r="B541" i="1"/>
  <c r="B540" i="1"/>
  <c r="B539" i="1"/>
  <c r="B538" i="1"/>
  <c r="B537" i="1"/>
  <c r="B536" i="1"/>
  <c r="B535" i="1"/>
  <c r="B534" i="1"/>
  <c r="B533" i="1"/>
  <c r="B532" i="1"/>
  <c r="B531" i="1"/>
  <c r="B530" i="1"/>
  <c r="B529" i="1"/>
  <c r="B528" i="1"/>
  <c r="B527" i="1"/>
  <c r="B526" i="1"/>
  <c r="B525" i="1"/>
  <c r="B524" i="1"/>
  <c r="B523" i="1"/>
  <c r="B522" i="1"/>
  <c r="B521" i="1"/>
  <c r="B520" i="1"/>
  <c r="B519" i="1"/>
  <c r="B518" i="1"/>
  <c r="B517" i="1"/>
  <c r="B516" i="1"/>
  <c r="B515" i="1"/>
  <c r="B514" i="1"/>
  <c r="B513" i="1"/>
  <c r="B512" i="1"/>
  <c r="B511" i="1"/>
  <c r="B510" i="1"/>
  <c r="B509" i="1"/>
  <c r="B508" i="1"/>
  <c r="B507" i="1"/>
  <c r="B506" i="1"/>
  <c r="B505" i="1"/>
  <c r="B504" i="1"/>
  <c r="B503" i="1"/>
  <c r="B502" i="1"/>
  <c r="B501" i="1"/>
  <c r="B500" i="1"/>
  <c r="B499" i="1"/>
  <c r="B498" i="1"/>
  <c r="B497" i="1"/>
  <c r="B496" i="1"/>
  <c r="B495" i="1"/>
  <c r="B494" i="1"/>
  <c r="B493" i="1"/>
  <c r="B492" i="1"/>
  <c r="B491" i="1"/>
  <c r="B490" i="1"/>
  <c r="B489" i="1"/>
  <c r="B488" i="1"/>
  <c r="B487" i="1"/>
  <c r="B486" i="1"/>
  <c r="B485" i="1"/>
  <c r="B484" i="1"/>
  <c r="B483" i="1"/>
  <c r="B482" i="1"/>
  <c r="B481" i="1"/>
  <c r="B480" i="1"/>
  <c r="B479" i="1"/>
  <c r="B478" i="1"/>
  <c r="B477" i="1"/>
  <c r="B476" i="1"/>
  <c r="B475" i="1"/>
  <c r="B474" i="1"/>
  <c r="B473" i="1"/>
  <c r="B472" i="1"/>
  <c r="B471" i="1"/>
  <c r="B470" i="1"/>
  <c r="B469" i="1"/>
  <c r="B468" i="1"/>
  <c r="B467" i="1"/>
  <c r="B466" i="1"/>
  <c r="B465" i="1"/>
  <c r="B464" i="1"/>
  <c r="B463" i="1"/>
  <c r="B462" i="1"/>
  <c r="B461" i="1"/>
  <c r="B460" i="1"/>
  <c r="B459" i="1"/>
  <c r="B458" i="1"/>
  <c r="B457" i="1"/>
  <c r="B456" i="1"/>
  <c r="B455" i="1"/>
  <c r="B454" i="1"/>
  <c r="B453" i="1"/>
  <c r="B452" i="1"/>
  <c r="B451" i="1"/>
  <c r="B450" i="1"/>
  <c r="B449" i="1"/>
  <c r="B448" i="1"/>
  <c r="B447" i="1"/>
  <c r="B446" i="1"/>
  <c r="B445" i="1"/>
  <c r="B444" i="1"/>
  <c r="B443" i="1"/>
  <c r="B442" i="1"/>
  <c r="B441" i="1"/>
  <c r="B440" i="1"/>
  <c r="B439" i="1"/>
  <c r="B438" i="1"/>
  <c r="B437" i="1"/>
  <c r="B436" i="1"/>
  <c r="B435" i="1"/>
  <c r="B434" i="1"/>
  <c r="B433" i="1"/>
  <c r="B432" i="1"/>
  <c r="B431" i="1"/>
  <c r="B430" i="1"/>
  <c r="B429" i="1"/>
  <c r="B428" i="1"/>
  <c r="B427" i="1"/>
  <c r="B426" i="1"/>
  <c r="B425" i="1"/>
  <c r="B424" i="1"/>
  <c r="B423" i="1"/>
  <c r="B422" i="1"/>
  <c r="B421" i="1"/>
  <c r="B420" i="1"/>
  <c r="B419" i="1"/>
  <c r="B418" i="1"/>
  <c r="B417" i="1"/>
  <c r="B416" i="1"/>
  <c r="B415" i="1"/>
  <c r="B414" i="1"/>
  <c r="B413" i="1"/>
  <c r="B412" i="1"/>
  <c r="B411" i="1"/>
  <c r="B410" i="1"/>
  <c r="B409" i="1"/>
  <c r="B408" i="1"/>
  <c r="B407" i="1"/>
  <c r="B406" i="1"/>
  <c r="B405" i="1"/>
  <c r="B404" i="1"/>
  <c r="B403" i="1"/>
  <c r="B402" i="1"/>
  <c r="B401" i="1"/>
  <c r="B400" i="1"/>
  <c r="B399" i="1"/>
  <c r="B398" i="1"/>
  <c r="B397" i="1"/>
  <c r="B396" i="1"/>
  <c r="B395" i="1"/>
  <c r="B394" i="1"/>
  <c r="B393" i="1"/>
  <c r="B392" i="1"/>
  <c r="B391" i="1"/>
  <c r="B390" i="1"/>
  <c r="B389" i="1"/>
  <c r="B388" i="1"/>
  <c r="B387" i="1"/>
  <c r="B386" i="1"/>
  <c r="B385" i="1"/>
  <c r="B384" i="1"/>
  <c r="B383" i="1"/>
  <c r="B382" i="1"/>
  <c r="B381" i="1"/>
  <c r="B380" i="1"/>
  <c r="B379" i="1"/>
  <c r="B378" i="1"/>
  <c r="B377" i="1"/>
  <c r="B376" i="1"/>
  <c r="B375" i="1"/>
  <c r="B374" i="1"/>
  <c r="B373" i="1"/>
  <c r="B372" i="1"/>
  <c r="B371" i="1"/>
  <c r="B370" i="1"/>
  <c r="B369" i="1"/>
  <c r="B368" i="1"/>
  <c r="B367" i="1"/>
  <c r="B366" i="1"/>
  <c r="B365" i="1"/>
  <c r="B364" i="1"/>
  <c r="B363" i="1"/>
  <c r="B362" i="1"/>
  <c r="B361" i="1"/>
  <c r="B360" i="1"/>
  <c r="B359" i="1"/>
  <c r="B358" i="1"/>
  <c r="B357" i="1"/>
  <c r="B356" i="1"/>
  <c r="B355" i="1"/>
  <c r="B354" i="1"/>
  <c r="B353" i="1"/>
  <c r="B352" i="1"/>
  <c r="B351" i="1"/>
  <c r="B350" i="1"/>
  <c r="B349" i="1"/>
  <c r="B348" i="1"/>
  <c r="B347" i="1"/>
  <c r="B346" i="1"/>
  <c r="B345" i="1"/>
  <c r="B344" i="1"/>
  <c r="B343" i="1"/>
  <c r="B342" i="1"/>
  <c r="B341" i="1"/>
  <c r="B340" i="1"/>
  <c r="B339" i="1"/>
  <c r="B338" i="1"/>
  <c r="B337" i="1"/>
  <c r="B336" i="1"/>
  <c r="B335" i="1"/>
  <c r="B334" i="1"/>
  <c r="B333" i="1"/>
  <c r="B332" i="1"/>
  <c r="B331" i="1"/>
  <c r="B330" i="1"/>
  <c r="B329" i="1"/>
  <c r="B328" i="1"/>
  <c r="B327" i="1"/>
  <c r="B326" i="1"/>
  <c r="B325" i="1"/>
  <c r="B324" i="1"/>
  <c r="B323" i="1"/>
  <c r="B322" i="1"/>
  <c r="B321" i="1"/>
  <c r="B320" i="1"/>
  <c r="B319" i="1"/>
  <c r="B318" i="1"/>
  <c r="B317" i="1"/>
  <c r="B316" i="1"/>
  <c r="B315" i="1"/>
  <c r="B314" i="1"/>
  <c r="B313" i="1"/>
  <c r="B312" i="1"/>
  <c r="B311" i="1"/>
  <c r="B310" i="1"/>
  <c r="B309" i="1"/>
  <c r="B308" i="1"/>
  <c r="B307" i="1"/>
  <c r="B306" i="1"/>
  <c r="B305" i="1"/>
  <c r="B304" i="1"/>
  <c r="B303" i="1"/>
  <c r="B302" i="1"/>
  <c r="B301" i="1"/>
  <c r="B300" i="1"/>
  <c r="B299" i="1"/>
  <c r="B298" i="1"/>
  <c r="B297" i="1"/>
  <c r="B296" i="1"/>
  <c r="B295" i="1"/>
  <c r="B294" i="1"/>
  <c r="B293" i="1"/>
  <c r="B292" i="1"/>
  <c r="B291" i="1"/>
  <c r="B290" i="1"/>
  <c r="B289" i="1"/>
  <c r="B288" i="1"/>
  <c r="B287" i="1"/>
  <c r="B286" i="1"/>
  <c r="B285" i="1"/>
  <c r="B284" i="1"/>
  <c r="B283" i="1"/>
  <c r="B282" i="1"/>
  <c r="B281" i="1"/>
  <c r="B280" i="1"/>
  <c r="B279" i="1"/>
  <c r="B278" i="1"/>
  <c r="B277" i="1"/>
  <c r="B276" i="1"/>
  <c r="B275" i="1"/>
  <c r="B274" i="1"/>
  <c r="B273" i="1"/>
  <c r="B272" i="1"/>
  <c r="B271" i="1"/>
  <c r="B270" i="1"/>
  <c r="B269" i="1"/>
  <c r="B268" i="1"/>
  <c r="B267" i="1"/>
  <c r="B266" i="1"/>
  <c r="B265" i="1"/>
  <c r="B264" i="1"/>
  <c r="B263" i="1"/>
  <c r="B262" i="1"/>
  <c r="B261" i="1"/>
  <c r="B260" i="1"/>
  <c r="B259" i="1"/>
  <c r="B258" i="1"/>
  <c r="B257" i="1"/>
  <c r="B256" i="1"/>
  <c r="B255" i="1"/>
  <c r="B254" i="1"/>
  <c r="B253" i="1"/>
  <c r="B252" i="1"/>
  <c r="B251" i="1"/>
  <c r="B250" i="1"/>
  <c r="B249" i="1"/>
  <c r="B248" i="1"/>
  <c r="B247" i="1"/>
  <c r="B246" i="1"/>
  <c r="B245" i="1"/>
  <c r="B244" i="1"/>
  <c r="B243" i="1"/>
  <c r="B242" i="1"/>
  <c r="B241" i="1"/>
  <c r="B240" i="1"/>
  <c r="B239" i="1"/>
  <c r="B238" i="1"/>
  <c r="B237" i="1"/>
  <c r="B236" i="1"/>
  <c r="B235" i="1"/>
  <c r="B234" i="1"/>
  <c r="B233" i="1"/>
  <c r="B232" i="1"/>
  <c r="B231" i="1"/>
  <c r="B230" i="1"/>
  <c r="B229" i="1"/>
  <c r="B228" i="1"/>
  <c r="B227" i="1"/>
  <c r="B226" i="1"/>
  <c r="B225" i="1"/>
  <c r="B224" i="1"/>
  <c r="B223" i="1"/>
  <c r="B222" i="1"/>
  <c r="B221" i="1"/>
  <c r="B220" i="1"/>
  <c r="B219" i="1"/>
  <c r="B218" i="1"/>
  <c r="B217" i="1"/>
  <c r="B216" i="1"/>
  <c r="B215" i="1"/>
  <c r="B214" i="1"/>
  <c r="B213" i="1"/>
  <c r="B212" i="1"/>
  <c r="B211" i="1"/>
  <c r="B210" i="1"/>
  <c r="B209" i="1"/>
  <c r="B208" i="1"/>
  <c r="B207" i="1"/>
  <c r="B206" i="1"/>
  <c r="B205" i="1"/>
  <c r="B204" i="1"/>
  <c r="B203" i="1"/>
  <c r="B202" i="1"/>
  <c r="B201" i="1"/>
  <c r="B200" i="1"/>
  <c r="B199" i="1"/>
  <c r="B198" i="1"/>
  <c r="B197" i="1"/>
  <c r="B196" i="1"/>
  <c r="B195" i="1"/>
  <c r="B194" i="1"/>
  <c r="B193" i="1"/>
  <c r="B192" i="1"/>
  <c r="B191" i="1"/>
  <c r="B190" i="1"/>
  <c r="B189" i="1"/>
  <c r="B188" i="1"/>
  <c r="B187" i="1"/>
  <c r="B186" i="1"/>
  <c r="B185" i="1"/>
  <c r="B184" i="1"/>
  <c r="B183" i="1"/>
  <c r="B182" i="1"/>
  <c r="B181" i="1"/>
  <c r="B180" i="1"/>
  <c r="B179" i="1"/>
  <c r="B178" i="1"/>
  <c r="B177" i="1"/>
  <c r="B176" i="1"/>
  <c r="B175" i="1"/>
  <c r="B174" i="1"/>
  <c r="B173" i="1"/>
  <c r="B172" i="1"/>
  <c r="B171" i="1"/>
  <c r="B170" i="1"/>
  <c r="B169" i="1"/>
  <c r="B168" i="1"/>
  <c r="B167" i="1"/>
  <c r="B166" i="1"/>
  <c r="B165" i="1"/>
  <c r="B164" i="1"/>
  <c r="B163" i="1"/>
  <c r="B162" i="1"/>
  <c r="B161" i="1"/>
  <c r="B160" i="1"/>
  <c r="B159" i="1"/>
  <c r="B158" i="1"/>
  <c r="B157" i="1"/>
  <c r="B156" i="1"/>
  <c r="B155" i="1"/>
  <c r="B154" i="1"/>
  <c r="B153" i="1"/>
  <c r="B152" i="1"/>
  <c r="B151" i="1"/>
  <c r="B150" i="1"/>
  <c r="B149" i="1"/>
  <c r="B148" i="1"/>
  <c r="B147" i="1"/>
  <c r="B146" i="1"/>
  <c r="B145" i="1"/>
  <c r="B144" i="1"/>
  <c r="B143" i="1"/>
  <c r="B142" i="1"/>
  <c r="B141" i="1"/>
  <c r="B140" i="1"/>
  <c r="B139" i="1"/>
  <c r="B138" i="1"/>
  <c r="B137" i="1"/>
  <c r="B136" i="1"/>
  <c r="B135" i="1"/>
  <c r="B134" i="1"/>
  <c r="B133" i="1"/>
  <c r="B132" i="1"/>
  <c r="B131" i="1"/>
  <c r="B130" i="1"/>
  <c r="B129" i="1"/>
  <c r="B128" i="1"/>
  <c r="B127" i="1"/>
  <c r="B126" i="1"/>
  <c r="B125" i="1"/>
  <c r="B124" i="1"/>
  <c r="B123" i="1"/>
  <c r="B122" i="1"/>
  <c r="B121" i="1"/>
  <c r="B120" i="1"/>
  <c r="B119" i="1"/>
  <c r="B118" i="1"/>
  <c r="B117" i="1"/>
  <c r="B116" i="1"/>
  <c r="B115" i="1"/>
  <c r="B114" i="1"/>
  <c r="B113" i="1"/>
  <c r="B112" i="1"/>
  <c r="B111" i="1"/>
  <c r="B110" i="1"/>
  <c r="B109" i="1"/>
  <c r="B108" i="1"/>
  <c r="B107" i="1"/>
  <c r="B106" i="1"/>
  <c r="B105" i="1"/>
  <c r="B104" i="1"/>
  <c r="B103" i="1"/>
  <c r="B102" i="1"/>
  <c r="B101" i="1"/>
  <c r="B100" i="1"/>
  <c r="B99" i="1"/>
  <c r="B98" i="1"/>
  <c r="B97" i="1"/>
  <c r="B96" i="1"/>
  <c r="B95" i="1"/>
  <c r="B94" i="1"/>
  <c r="B93" i="1"/>
  <c r="B92" i="1"/>
  <c r="B91" i="1"/>
  <c r="B90" i="1"/>
  <c r="B89" i="1"/>
  <c r="B88" i="1"/>
  <c r="B87" i="1"/>
  <c r="B86" i="1"/>
  <c r="B85" i="1"/>
  <c r="B84" i="1"/>
  <c r="B83" i="1"/>
  <c r="B82" i="1"/>
  <c r="B81" i="1"/>
  <c r="B80" i="1"/>
  <c r="B79" i="1"/>
  <c r="B78" i="1"/>
  <c r="B77" i="1"/>
  <c r="B76" i="1"/>
  <c r="B75" i="1"/>
  <c r="B74" i="1"/>
  <c r="B73" i="1"/>
  <c r="B72" i="1"/>
  <c r="B71" i="1"/>
  <c r="B70" i="1"/>
  <c r="B69" i="1"/>
  <c r="B68" i="1"/>
  <c r="B67" i="1"/>
  <c r="B66" i="1"/>
  <c r="B65" i="1"/>
  <c r="B64" i="1"/>
  <c r="B63" i="1"/>
  <c r="B62" i="1"/>
  <c r="B61" i="1"/>
  <c r="B60" i="1"/>
  <c r="B59" i="1"/>
  <c r="B58" i="1"/>
  <c r="B57" i="1"/>
  <c r="B56" i="1"/>
  <c r="B55" i="1"/>
  <c r="B54" i="1"/>
  <c r="B53" i="1"/>
  <c r="B52" i="1"/>
  <c r="B51" i="1"/>
  <c r="B50" i="1"/>
  <c r="B49" i="1"/>
  <c r="B48" i="1"/>
  <c r="B47" i="1"/>
  <c r="B46" i="1"/>
  <c r="B45" i="1"/>
  <c r="B44" i="1"/>
  <c r="B43" i="1"/>
  <c r="B42" i="1"/>
  <c r="B41" i="1"/>
  <c r="B40" i="1"/>
  <c r="B39" i="1"/>
  <c r="B38" i="1"/>
  <c r="B37" i="1"/>
  <c r="B36" i="1"/>
  <c r="B35" i="1"/>
  <c r="B34" i="1"/>
  <c r="B33" i="1"/>
  <c r="B32" i="1"/>
  <c r="B31" i="1"/>
  <c r="B30" i="1"/>
  <c r="B29" i="1"/>
  <c r="B28" i="1"/>
  <c r="B27" i="1"/>
  <c r="B26" i="1"/>
  <c r="B25" i="1"/>
  <c r="B24" i="1"/>
  <c r="B23" i="1"/>
  <c r="B22" i="1"/>
  <c r="B21" i="1"/>
  <c r="B20" i="1"/>
  <c r="B19" i="1"/>
  <c r="B18" i="1"/>
  <c r="B17" i="1"/>
  <c r="B16" i="1"/>
  <c r="B15" i="1"/>
  <c r="B14" i="1"/>
  <c r="B13" i="1"/>
  <c r="B12" i="1"/>
  <c r="B11" i="1"/>
  <c r="B10" i="1"/>
  <c r="B9" i="1"/>
  <c r="B8" i="1"/>
  <c r="B7" i="1"/>
  <c r="B6" i="1"/>
  <c r="B5" i="1"/>
  <c r="B4" i="1"/>
  <c r="B3" i="1"/>
  <c r="B2" i="1"/>
  <c r="C88" i="8"/>
  <c r="C87" i="8"/>
  <c r="C10" i="8"/>
  <c r="C11" i="8"/>
  <c r="C9" i="8"/>
  <c r="C20" i="8"/>
  <c r="C19" i="8"/>
  <c r="C18" i="8"/>
  <c r="C17" i="8"/>
  <c r="C7" i="8"/>
  <c r="C8" i="8"/>
  <c r="C6" i="8"/>
  <c r="C15" i="8"/>
  <c r="C14" i="8"/>
  <c r="C13" i="8"/>
  <c r="C12" i="8"/>
  <c r="C24" i="8"/>
  <c r="C23" i="8"/>
  <c r="C22" i="8"/>
  <c r="C21" i="8"/>
  <c r="C49" i="8"/>
  <c r="C48" i="8"/>
  <c r="C47" i="8"/>
  <c r="C46" i="8"/>
  <c r="C45" i="8"/>
  <c r="C16" i="8"/>
  <c r="C39" i="8"/>
  <c r="C38" i="8"/>
  <c r="C37" i="8"/>
  <c r="C36" i="8"/>
  <c r="C35" i="8"/>
  <c r="C104" i="8"/>
  <c r="C103" i="8"/>
  <c r="C102" i="8"/>
  <c r="C29" i="8"/>
  <c r="C28" i="8"/>
  <c r="C27" i="8"/>
  <c r="C26" i="8"/>
  <c r="C25" i="8"/>
  <c r="C34" i="8"/>
  <c r="C33" i="8"/>
  <c r="C32" i="8"/>
  <c r="C31" i="8"/>
  <c r="C30" i="8"/>
  <c r="C44" i="8"/>
  <c r="C43" i="8"/>
  <c r="C42" i="8"/>
  <c r="C41" i="8"/>
  <c r="C40" i="8"/>
  <c r="C60" i="8"/>
  <c r="C59" i="8"/>
  <c r="C58" i="8"/>
  <c r="C57" i="8"/>
  <c r="C56" i="8"/>
  <c r="C117" i="8"/>
  <c r="C116" i="8"/>
  <c r="C115" i="8"/>
  <c r="C114" i="8"/>
  <c r="C113" i="8"/>
  <c r="C55" i="8"/>
  <c r="C54" i="8"/>
  <c r="C53" i="8"/>
  <c r="C52" i="8"/>
  <c r="C51" i="8"/>
  <c r="C50" i="8"/>
  <c r="C314" i="8"/>
  <c r="C72" i="8"/>
  <c r="C86" i="8"/>
  <c r="C85" i="8"/>
  <c r="C84" i="8"/>
  <c r="C82" i="8"/>
  <c r="C81" i="8"/>
  <c r="C80" i="8"/>
  <c r="C79" i="8"/>
  <c r="C78" i="8"/>
  <c r="C132" i="8"/>
  <c r="C131" i="8"/>
  <c r="C130" i="8"/>
  <c r="C129" i="8"/>
  <c r="C93" i="8"/>
  <c r="C92" i="8"/>
  <c r="C91" i="8"/>
  <c r="C90" i="8"/>
  <c r="C77" i="8"/>
  <c r="C76" i="8"/>
  <c r="C75" i="8"/>
  <c r="C74" i="8"/>
  <c r="C148" i="8"/>
  <c r="C71" i="8"/>
  <c r="C147" i="8"/>
  <c r="C70" i="8"/>
  <c r="C146" i="8"/>
  <c r="C69" i="8"/>
  <c r="C83" i="8"/>
  <c r="C73" i="8"/>
  <c r="C101" i="8"/>
  <c r="C100" i="8"/>
  <c r="C99" i="8"/>
  <c r="C98" i="8"/>
  <c r="C128" i="8"/>
  <c r="C145" i="8"/>
  <c r="C68" i="8"/>
  <c r="C89" i="8"/>
  <c r="C97" i="8"/>
  <c r="C96" i="8"/>
  <c r="C95" i="8"/>
  <c r="C94" i="8"/>
  <c r="C181" i="8"/>
  <c r="C180" i="8"/>
  <c r="C179" i="8"/>
  <c r="C178" i="8"/>
  <c r="C177" i="8"/>
  <c r="C112" i="8"/>
  <c r="C111" i="8"/>
  <c r="C110" i="8"/>
  <c r="C174" i="8"/>
  <c r="C109" i="8"/>
  <c r="C108" i="8"/>
  <c r="C107" i="8"/>
  <c r="C106" i="8"/>
  <c r="C105" i="8"/>
  <c r="C122" i="8"/>
  <c r="C121" i="8"/>
  <c r="C120" i="8"/>
  <c r="C119" i="8"/>
  <c r="C118" i="8"/>
  <c r="C127" i="8"/>
  <c r="C126" i="8"/>
  <c r="C125" i="8"/>
  <c r="C124" i="8"/>
  <c r="C123" i="8"/>
  <c r="C137" i="8"/>
  <c r="C136" i="8"/>
  <c r="C135" i="8"/>
  <c r="C134" i="8"/>
  <c r="C133" i="8"/>
  <c r="C189" i="8"/>
  <c r="C188" i="8"/>
  <c r="C144" i="8"/>
  <c r="C67" i="8"/>
  <c r="C143" i="8"/>
  <c r="C66" i="8"/>
  <c r="C142" i="8"/>
  <c r="C65" i="8"/>
  <c r="C141" i="8"/>
  <c r="C64" i="8"/>
  <c r="C140" i="8"/>
  <c r="C63" i="8"/>
  <c r="C139" i="8"/>
  <c r="C62" i="8"/>
  <c r="C138" i="8"/>
  <c r="C61" i="8"/>
  <c r="C503" i="8"/>
  <c r="C149" i="8"/>
  <c r="C208" i="8"/>
  <c r="C207" i="8"/>
  <c r="C206" i="8"/>
  <c r="C205" i="8"/>
  <c r="C204" i="8"/>
  <c r="C153" i="8"/>
  <c r="C161" i="8"/>
  <c r="C160" i="8"/>
  <c r="C159" i="8"/>
  <c r="C342" i="8"/>
  <c r="C168" i="8"/>
  <c r="C167" i="8"/>
  <c r="C166" i="8"/>
  <c r="C165" i="8"/>
  <c r="C164" i="8"/>
  <c r="C173" i="8"/>
  <c r="C172" i="8"/>
  <c r="C171" i="8"/>
  <c r="C170" i="8"/>
  <c r="C202" i="8"/>
  <c r="C201" i="8"/>
  <c r="C176" i="8"/>
  <c r="C187" i="8"/>
  <c r="C186" i="8"/>
  <c r="C185" i="8"/>
  <c r="C184" i="8"/>
  <c r="C183" i="8"/>
  <c r="C194" i="8"/>
  <c r="C200" i="8"/>
  <c r="C193" i="8"/>
  <c r="C192" i="8"/>
  <c r="C191" i="8"/>
  <c r="C190" i="8"/>
  <c r="C199" i="8"/>
  <c r="C198" i="8"/>
  <c r="C197" i="8"/>
  <c r="C196" i="8"/>
  <c r="C291" i="8"/>
  <c r="C220" i="8"/>
  <c r="C219" i="8"/>
  <c r="C218" i="8"/>
  <c r="C217" i="8"/>
  <c r="C216" i="8"/>
  <c r="C215" i="8"/>
  <c r="C214" i="8"/>
  <c r="C195" i="8"/>
  <c r="C175" i="8"/>
  <c r="C169" i="8"/>
  <c r="C213" i="8"/>
  <c r="C212" i="8"/>
  <c r="C211" i="8"/>
  <c r="C210" i="8"/>
  <c r="C245" i="8"/>
  <c r="C244" i="8"/>
  <c r="C243" i="8"/>
  <c r="C242" i="8"/>
  <c r="C241" i="8"/>
  <c r="C203" i="8"/>
  <c r="C163" i="8"/>
  <c r="C182" i="8"/>
  <c r="C225" i="8"/>
  <c r="C224" i="8"/>
  <c r="C223" i="8"/>
  <c r="C222" i="8"/>
  <c r="C221" i="8"/>
  <c r="C152" i="8"/>
  <c r="C233" i="8"/>
  <c r="C232" i="8"/>
  <c r="C231" i="8"/>
  <c r="C230" i="8"/>
  <c r="C229" i="8"/>
  <c r="C434" i="8"/>
  <c r="C228" i="8"/>
  <c r="C240" i="8"/>
  <c r="C209" i="8"/>
  <c r="C162" i="8"/>
  <c r="C239" i="8"/>
  <c r="C238" i="8"/>
  <c r="C237" i="8"/>
  <c r="C236" i="8"/>
  <c r="C235" i="8"/>
  <c r="C234" i="8"/>
  <c r="C450" i="8"/>
  <c r="C227" i="8"/>
  <c r="C251" i="8"/>
  <c r="C250" i="8"/>
  <c r="C249" i="8"/>
  <c r="C248" i="8"/>
  <c r="C247" i="8"/>
  <c r="C246" i="8"/>
  <c r="C279" i="8"/>
  <c r="C255" i="8"/>
  <c r="C254" i="8"/>
  <c r="C253" i="8"/>
  <c r="C252" i="8"/>
  <c r="C259" i="8"/>
  <c r="C258" i="8"/>
  <c r="C257" i="8"/>
  <c r="C256" i="8"/>
  <c r="C263" i="8"/>
  <c r="C262" i="8"/>
  <c r="C261" i="8"/>
  <c r="C260" i="8"/>
  <c r="C268" i="8"/>
  <c r="C267" i="8"/>
  <c r="C266" i="8"/>
  <c r="C265" i="8"/>
  <c r="C264" i="8"/>
  <c r="C272" i="8"/>
  <c r="C271" i="8"/>
  <c r="C270" i="8"/>
  <c r="C269" i="8"/>
  <c r="C277" i="8"/>
  <c r="C276" i="8"/>
  <c r="C275" i="8"/>
  <c r="C274" i="8"/>
  <c r="C278" i="8"/>
  <c r="C295" i="8"/>
  <c r="C294" i="8"/>
  <c r="C293" i="8"/>
  <c r="C292" i="8"/>
  <c r="C296" i="8"/>
  <c r="C299" i="8"/>
  <c r="C308" i="8"/>
  <c r="C290" i="8"/>
  <c r="C289" i="8"/>
  <c r="C288" i="8"/>
  <c r="C287" i="8"/>
  <c r="C429" i="8"/>
  <c r="C341" i="8"/>
  <c r="C307" i="8"/>
  <c r="C306" i="8"/>
  <c r="C305" i="8"/>
  <c r="C304" i="8"/>
  <c r="C151" i="8"/>
  <c r="C150" i="8"/>
  <c r="C303" i="8"/>
  <c r="C302" i="8"/>
  <c r="C301" i="8"/>
  <c r="C300" i="8"/>
  <c r="C338" i="8"/>
  <c r="C312" i="8"/>
  <c r="C311" i="8"/>
  <c r="C310" i="8"/>
  <c r="C309" i="8"/>
  <c r="C333" i="8"/>
  <c r="C332" i="8"/>
  <c r="C331" i="8"/>
  <c r="C330" i="8"/>
  <c r="C313" i="8"/>
  <c r="C317" i="8"/>
  <c r="C298" i="8"/>
  <c r="C297" i="8"/>
  <c r="C321" i="8"/>
  <c r="C320" i="8"/>
  <c r="C319" i="8"/>
  <c r="C318" i="8"/>
  <c r="C325" i="8"/>
  <c r="C324" i="8"/>
  <c r="C323" i="8"/>
  <c r="C322" i="8"/>
  <c r="C316" i="8"/>
  <c r="C329" i="8"/>
  <c r="C328" i="8"/>
  <c r="C327" i="8"/>
  <c r="C326" i="8"/>
  <c r="C337" i="8"/>
  <c r="C336" i="8"/>
  <c r="C335" i="8"/>
  <c r="C334" i="8"/>
  <c r="C340" i="8"/>
  <c r="C226" i="8"/>
  <c r="C339" i="8"/>
  <c r="C346" i="8"/>
  <c r="C345" i="8"/>
  <c r="C344" i="8"/>
  <c r="C343" i="8"/>
  <c r="C385" i="8"/>
  <c r="C384" i="8"/>
  <c r="C383" i="8"/>
  <c r="C382" i="8"/>
  <c r="C352" i="8"/>
  <c r="C351" i="8"/>
  <c r="C350" i="8"/>
  <c r="C349" i="8"/>
  <c r="C357" i="8"/>
  <c r="C356" i="8"/>
  <c r="C355" i="8"/>
  <c r="C354" i="8"/>
  <c r="C363" i="8"/>
  <c r="C362" i="8"/>
  <c r="C361" i="8"/>
  <c r="C367" i="8"/>
  <c r="C366" i="8"/>
  <c r="C365" i="8"/>
  <c r="C364" i="8"/>
  <c r="C374" i="8"/>
  <c r="C353" i="8"/>
  <c r="C348" i="8"/>
  <c r="C381" i="8"/>
  <c r="C380" i="8"/>
  <c r="C379" i="8"/>
  <c r="C378" i="8"/>
  <c r="C377" i="8"/>
  <c r="C376" i="8"/>
  <c r="C391" i="8"/>
  <c r="C286" i="8"/>
  <c r="C396" i="8"/>
  <c r="C395" i="8"/>
  <c r="C394" i="8"/>
  <c r="C393" i="8"/>
  <c r="C392" i="8"/>
  <c r="C390" i="8"/>
  <c r="C285" i="8"/>
  <c r="C389" i="8"/>
  <c r="C284" i="8"/>
  <c r="C388" i="8"/>
  <c r="C283" i="8"/>
  <c r="C387" i="8"/>
  <c r="C282" i="8"/>
  <c r="C281" i="8"/>
  <c r="C401" i="8"/>
  <c r="C400" i="8"/>
  <c r="C399" i="8"/>
  <c r="C398" i="8"/>
  <c r="C397" i="8"/>
  <c r="C373" i="8"/>
  <c r="C372" i="8"/>
  <c r="C406" i="8"/>
  <c r="C405" i="8"/>
  <c r="C404" i="8"/>
  <c r="C403" i="8"/>
  <c r="C402" i="8"/>
  <c r="C410" i="8"/>
  <c r="C415" i="8"/>
  <c r="C414" i="8"/>
  <c r="C413" i="8"/>
  <c r="C412" i="8"/>
  <c r="C411" i="8"/>
  <c r="C375" i="8"/>
  <c r="C315" i="8"/>
  <c r="C273" i="8"/>
  <c r="C433" i="8"/>
  <c r="C418" i="8"/>
  <c r="C602" i="8"/>
  <c r="C419" i="8"/>
  <c r="C423" i="8"/>
  <c r="C540" i="8"/>
  <c r="C428" i="8"/>
  <c r="C427" i="8"/>
  <c r="C426" i="8"/>
  <c r="C425" i="8"/>
  <c r="C424" i="8"/>
  <c r="C386" i="8"/>
  <c r="C280" i="8"/>
  <c r="C347" i="8"/>
  <c r="C432" i="8"/>
  <c r="C431" i="8"/>
  <c r="C430" i="8"/>
  <c r="C422" i="8"/>
  <c r="C421" i="8"/>
  <c r="C420" i="8"/>
  <c r="C601" i="8"/>
  <c r="C600" i="8"/>
  <c r="C459" i="8"/>
  <c r="C458" i="8"/>
  <c r="C457" i="8"/>
  <c r="C439" i="8"/>
  <c r="C444" i="8"/>
  <c r="C438" i="8"/>
  <c r="C437" i="8"/>
  <c r="C436" i="8"/>
  <c r="C435" i="8"/>
  <c r="C443" i="8"/>
  <c r="C442" i="8"/>
  <c r="C441" i="8"/>
  <c r="C440" i="8"/>
  <c r="C448" i="8"/>
  <c r="C447" i="8"/>
  <c r="C446" i="8"/>
  <c r="C445" i="8"/>
  <c r="C360" i="8"/>
  <c r="C359" i="8"/>
  <c r="C451" i="8"/>
  <c r="C417" i="8"/>
  <c r="C416" i="8"/>
  <c r="C456" i="8"/>
  <c r="C455" i="8"/>
  <c r="C454" i="8"/>
  <c r="C453" i="8"/>
  <c r="C452" i="8"/>
  <c r="C371" i="8"/>
  <c r="C476" i="8"/>
  <c r="C475" i="8"/>
  <c r="C474" i="8"/>
  <c r="C473" i="8"/>
  <c r="C472" i="8"/>
  <c r="C481" i="8"/>
  <c r="C480" i="8"/>
  <c r="C479" i="8"/>
  <c r="C478" i="8"/>
  <c r="C477" i="8"/>
  <c r="C560" i="8"/>
  <c r="C464" i="8"/>
  <c r="C4" i="8"/>
  <c r="C463" i="8"/>
  <c r="C462" i="8"/>
  <c r="C461" i="8"/>
  <c r="C460" i="8"/>
  <c r="C487" i="8"/>
  <c r="C486" i="8"/>
  <c r="C485" i="8"/>
  <c r="C484" i="8"/>
  <c r="C483" i="8"/>
  <c r="C3" i="8"/>
  <c r="C2" i="8"/>
  <c r="C496" i="8"/>
  <c r="C492" i="8"/>
  <c r="C491" i="8"/>
  <c r="C490" i="8"/>
  <c r="C489" i="8"/>
  <c r="C488" i="8"/>
  <c r="C358" i="8"/>
  <c r="C557" i="8"/>
  <c r="C517" i="8"/>
  <c r="C516" i="8"/>
  <c r="C515" i="8"/>
  <c r="C514" i="8"/>
  <c r="C513" i="8"/>
  <c r="C519" i="8"/>
  <c r="C518" i="8"/>
  <c r="C512" i="8"/>
  <c r="C502" i="8"/>
  <c r="C501" i="8"/>
  <c r="C500" i="8"/>
  <c r="C499" i="8"/>
  <c r="C498" i="8"/>
  <c r="C370" i="8"/>
  <c r="C369" i="8"/>
  <c r="C497" i="8"/>
  <c r="C495" i="8"/>
  <c r="C494" i="8"/>
  <c r="C493" i="8"/>
  <c r="C520" i="8"/>
  <c r="C521" i="8"/>
  <c r="C527" i="8"/>
  <c r="C409" i="8"/>
  <c r="C408" i="8"/>
  <c r="C407" i="8"/>
  <c r="C526" i="8"/>
  <c r="C525" i="8"/>
  <c r="C524" i="8"/>
  <c r="C523" i="8"/>
  <c r="C522" i="8"/>
  <c r="C942" i="8"/>
  <c r="C536" i="8"/>
  <c r="C1461" i="8"/>
  <c r="C535" i="8"/>
  <c r="C534" i="8"/>
  <c r="C533" i="8"/>
  <c r="C532" i="8"/>
  <c r="C531" i="8"/>
  <c r="C689" i="8"/>
  <c r="C471" i="8"/>
  <c r="C511" i="8"/>
  <c r="C537" i="8"/>
  <c r="C510" i="8"/>
  <c r="C509" i="8"/>
  <c r="C508" i="8"/>
  <c r="C507" i="8"/>
  <c r="C506" i="8"/>
  <c r="C505" i="8"/>
  <c r="C504" i="8"/>
  <c r="C539" i="8"/>
  <c r="C547" i="8"/>
  <c r="C546" i="8"/>
  <c r="C545" i="8"/>
  <c r="C544" i="8"/>
  <c r="C543" i="8"/>
  <c r="C542" i="8"/>
  <c r="C541" i="8"/>
  <c r="C550" i="8"/>
  <c r="C549" i="8"/>
  <c r="C548" i="8"/>
  <c r="C797" i="8"/>
  <c r="C788" i="8"/>
  <c r="C556" i="8"/>
  <c r="C555" i="8"/>
  <c r="C554" i="8"/>
  <c r="C553" i="8"/>
  <c r="C552" i="8"/>
  <c r="C551" i="8"/>
  <c r="C559" i="8"/>
  <c r="C941" i="8"/>
  <c r="C940" i="8"/>
  <c r="C939" i="8"/>
  <c r="C796" i="8"/>
  <c r="C795" i="8"/>
  <c r="C794" i="8"/>
  <c r="C787" i="8"/>
  <c r="C558" i="8"/>
  <c r="C611" i="8"/>
  <c r="C1099" i="8"/>
  <c r="C841" i="8"/>
  <c r="C840" i="8"/>
  <c r="C839" i="8"/>
  <c r="C610" i="8"/>
  <c r="C587" i="8"/>
  <c r="C586" i="8"/>
  <c r="C585" i="8"/>
  <c r="C566" i="8"/>
  <c r="C565" i="8"/>
  <c r="C564" i="8"/>
  <c r="C563" i="8"/>
  <c r="C562" i="8"/>
  <c r="C568" i="8"/>
  <c r="C567" i="8"/>
  <c r="C627" i="8"/>
  <c r="C626" i="8"/>
  <c r="C625" i="8"/>
  <c r="C569" i="8"/>
  <c r="C609" i="8"/>
  <c r="C583" i="8"/>
  <c r="C561" i="8"/>
  <c r="C620" i="8"/>
  <c r="C582" i="8"/>
  <c r="C581" i="8"/>
  <c r="C580" i="8"/>
  <c r="C579" i="8"/>
  <c r="C786" i="8"/>
  <c r="C470" i="8"/>
  <c r="C793" i="8"/>
  <c r="C578" i="8"/>
  <c r="C577" i="8"/>
  <c r="C576" i="8"/>
  <c r="C575" i="8"/>
  <c r="C574" i="8"/>
  <c r="C573" i="8"/>
  <c r="C838" i="8"/>
  <c r="C597" i="8"/>
  <c r="C596" i="8"/>
  <c r="C595" i="8"/>
  <c r="C594" i="8"/>
  <c r="C593" i="8"/>
  <c r="C592" i="8"/>
  <c r="C591" i="8"/>
  <c r="C538" i="8"/>
  <c r="C571" i="8"/>
  <c r="C570" i="8"/>
  <c r="C741" i="8"/>
  <c r="C740" i="8"/>
  <c r="C739" i="8"/>
  <c r="C572" i="8"/>
  <c r="C624" i="8"/>
  <c r="C623" i="8"/>
  <c r="C622" i="8"/>
  <c r="C621" i="8"/>
  <c r="C616" i="8"/>
  <c r="C615" i="8"/>
  <c r="C614" i="8"/>
  <c r="C619" i="8"/>
  <c r="C618" i="8"/>
  <c r="C604" i="8"/>
  <c r="C605" i="8"/>
  <c r="C628" i="8"/>
  <c r="C603" i="8"/>
  <c r="C612" i="8"/>
  <c r="C631" i="8"/>
  <c r="C635" i="8"/>
  <c r="C640" i="8"/>
  <c r="C732" i="8"/>
  <c r="C639" i="8"/>
  <c r="C638" i="8"/>
  <c r="C637" i="8"/>
  <c r="C634" i="8"/>
  <c r="C633" i="8"/>
  <c r="C632" i="8"/>
  <c r="C653" i="8"/>
  <c r="C652" i="8"/>
  <c r="C651" i="8"/>
  <c r="C650" i="8"/>
  <c r="C649" i="8"/>
  <c r="C648" i="8"/>
  <c r="C1211" i="8"/>
  <c r="C655" i="8"/>
  <c r="C785" i="8"/>
  <c r="C654" i="8"/>
  <c r="C617" i="8"/>
  <c r="C469" i="8"/>
  <c r="C837" i="8"/>
  <c r="C630" i="8"/>
  <c r="C629" i="8"/>
  <c r="C792" i="8"/>
  <c r="C731" i="8"/>
  <c r="C730" i="8"/>
  <c r="C729" i="8"/>
  <c r="C728" i="8"/>
  <c r="C682" i="8"/>
  <c r="C664" i="8"/>
  <c r="C590" i="8"/>
  <c r="C589" i="8"/>
  <c r="C588" i="8"/>
  <c r="C681" i="8"/>
  <c r="C660" i="8"/>
  <c r="C659" i="8"/>
  <c r="C658" i="8"/>
  <c r="C657" i="8"/>
  <c r="C158" i="8"/>
  <c r="C157" i="8"/>
  <c r="C156" i="8"/>
  <c r="C155" i="8"/>
  <c r="C646" i="8"/>
  <c r="C645" i="8"/>
  <c r="C669" i="8"/>
  <c r="C673" i="8"/>
  <c r="C680" i="8"/>
  <c r="C679" i="8"/>
  <c r="C678" i="8"/>
  <c r="C677" i="8"/>
  <c r="C676" i="8"/>
  <c r="C675" i="8"/>
  <c r="C672" i="8"/>
  <c r="C671" i="8"/>
  <c r="C656" i="8"/>
  <c r="C711" i="8"/>
  <c r="C482" i="8"/>
  <c r="C668" i="8"/>
  <c r="C1346" i="8"/>
  <c r="C709" i="8"/>
  <c r="C687" i="8"/>
  <c r="C686" i="8"/>
  <c r="C710" i="8"/>
  <c r="C644" i="8"/>
  <c r="C643" i="8"/>
  <c r="C642" i="8"/>
  <c r="C641" i="8"/>
  <c r="C862" i="8"/>
  <c r="C695" i="8"/>
  <c r="C694" i="8"/>
  <c r="C693" i="8"/>
  <c r="C692" i="8"/>
  <c r="C613" i="8"/>
  <c r="C468" i="8"/>
  <c r="C670" i="8"/>
  <c r="C708" i="8"/>
  <c r="C716" i="8"/>
  <c r="C707" i="8"/>
  <c r="C706" i="8"/>
  <c r="C705" i="8"/>
  <c r="C2096" i="8"/>
  <c r="C715" i="8"/>
  <c r="C714" i="8"/>
  <c r="C713" i="8"/>
  <c r="C722" i="8"/>
  <c r="C721" i="8"/>
  <c r="C720" i="8"/>
  <c r="C719" i="8"/>
  <c r="C718" i="8"/>
  <c r="C727" i="8"/>
  <c r="C726" i="8"/>
  <c r="C725" i="8"/>
  <c r="C724" i="8"/>
  <c r="C738" i="8"/>
  <c r="C154" i="8"/>
  <c r="C736" i="8"/>
  <c r="C735" i="8"/>
  <c r="C734" i="8"/>
  <c r="C733" i="8"/>
  <c r="C2095" i="8"/>
  <c r="C737" i="8"/>
  <c r="C685" i="8"/>
  <c r="C684" i="8"/>
  <c r="C683" i="8"/>
  <c r="C2098" i="8"/>
  <c r="C742" i="8"/>
  <c r="C467" i="8"/>
  <c r="C751" i="8"/>
  <c r="C704" i="8"/>
  <c r="C703" i="8"/>
  <c r="C702" i="8"/>
  <c r="C701" i="8"/>
  <c r="C700" i="8"/>
  <c r="C699" i="8"/>
  <c r="C698" i="8"/>
  <c r="C697" i="8"/>
  <c r="C764" i="8"/>
  <c r="C763" i="8"/>
  <c r="C762" i="8"/>
  <c r="C761" i="8"/>
  <c r="C760" i="8"/>
  <c r="C759" i="8"/>
  <c r="C758" i="8"/>
  <c r="C757" i="8"/>
  <c r="C770" i="8"/>
  <c r="C769" i="8"/>
  <c r="C768" i="8"/>
  <c r="C767" i="8"/>
  <c r="C766" i="8"/>
  <c r="C2099" i="8"/>
  <c r="C696" i="8"/>
  <c r="C756" i="8"/>
  <c r="C861" i="8"/>
  <c r="C1224" i="8"/>
  <c r="C860" i="8"/>
  <c r="C859" i="8"/>
  <c r="C750" i="8"/>
  <c r="C749" i="8"/>
  <c r="C748" i="8"/>
  <c r="C747" i="8"/>
  <c r="C746" i="8"/>
  <c r="C745" i="8"/>
  <c r="C744" i="8"/>
  <c r="C743" i="8"/>
  <c r="C1223" i="8"/>
  <c r="C723" i="8"/>
  <c r="C858" i="8"/>
  <c r="C771" i="8"/>
  <c r="C784" i="8"/>
  <c r="C782" i="8"/>
  <c r="C781" i="8"/>
  <c r="C780" i="8"/>
  <c r="C779" i="8"/>
  <c r="C778" i="8"/>
  <c r="C777" i="8"/>
  <c r="C776" i="8"/>
  <c r="C775" i="8"/>
  <c r="C774" i="8"/>
  <c r="C2097" i="8"/>
  <c r="C799" i="8"/>
  <c r="C791" i="8"/>
  <c r="C790" i="8"/>
  <c r="C789" i="8"/>
  <c r="C812" i="8"/>
  <c r="C1307" i="8"/>
  <c r="C811" i="8"/>
  <c r="C810" i="8"/>
  <c r="C1056" i="8"/>
  <c r="C809" i="8"/>
  <c r="C808" i="8"/>
  <c r="C807" i="8"/>
  <c r="C806" i="8"/>
  <c r="C805" i="8"/>
  <c r="C804" i="8"/>
  <c r="C821" i="8"/>
  <c r="C820" i="8"/>
  <c r="C819" i="8"/>
  <c r="C818" i="8"/>
  <c r="C817" i="8"/>
  <c r="C816" i="8"/>
  <c r="C815" i="8"/>
  <c r="C814" i="8"/>
  <c r="C813" i="8"/>
  <c r="C712" i="8"/>
  <c r="C717" i="8"/>
  <c r="C857" i="8"/>
  <c r="C1210" i="8"/>
  <c r="C667" i="8"/>
  <c r="C666" i="8"/>
  <c r="C665" i="8"/>
  <c r="C831" i="8"/>
  <c r="C830" i="8"/>
  <c r="C829" i="8"/>
  <c r="C828" i="8"/>
  <c r="C827" i="8"/>
  <c r="C826" i="8"/>
  <c r="C825" i="8"/>
  <c r="C824" i="8"/>
  <c r="C823" i="8"/>
  <c r="C846" i="8"/>
  <c r="C845" i="8"/>
  <c r="C844" i="8"/>
  <c r="C836" i="8"/>
  <c r="C835" i="8"/>
  <c r="C834" i="8"/>
  <c r="C833" i="8"/>
  <c r="C765" i="8"/>
  <c r="C1027" i="8"/>
  <c r="C1026" i="8"/>
  <c r="C1142" i="8"/>
  <c r="C368" i="8"/>
  <c r="C636" i="8"/>
  <c r="C466" i="8"/>
  <c r="C832" i="8"/>
  <c r="C691" i="8"/>
  <c r="C755" i="8"/>
  <c r="C773" i="8"/>
  <c r="C822" i="8"/>
  <c r="C530" i="8"/>
  <c r="C608" i="8"/>
  <c r="C607" i="8"/>
  <c r="C917" i="8"/>
  <c r="C783" i="8"/>
  <c r="C843" i="8"/>
  <c r="C606" i="8"/>
  <c r="C2100" i="8"/>
  <c r="C842" i="8"/>
  <c r="C2093" i="8"/>
  <c r="C690" i="8"/>
  <c r="C754" i="8"/>
  <c r="C772" i="8"/>
  <c r="C916" i="8"/>
  <c r="C915" i="8"/>
  <c r="C914" i="8"/>
  <c r="C1141" i="8"/>
  <c r="C2101" i="8"/>
  <c r="C449" i="8"/>
  <c r="C688" i="8"/>
  <c r="C798" i="8"/>
  <c r="C2092" i="8"/>
  <c r="C1159" i="8"/>
  <c r="C1158" i="8"/>
  <c r="C1157" i="8"/>
  <c r="C1156" i="8"/>
  <c r="C1155" i="8"/>
  <c r="C1154" i="8"/>
  <c r="C1153" i="8"/>
  <c r="C1152" i="8"/>
  <c r="C1151" i="8"/>
  <c r="C852" i="8"/>
  <c r="C851" i="8"/>
  <c r="C850" i="8"/>
  <c r="C849" i="8"/>
  <c r="C848" i="8"/>
  <c r="C1192" i="8"/>
  <c r="C2103" i="8"/>
  <c r="C599" i="8"/>
  <c r="C598" i="8"/>
  <c r="C2094" i="8"/>
  <c r="C923" i="8"/>
  <c r="C922" i="8"/>
  <c r="C921" i="8"/>
  <c r="C529" i="8"/>
  <c r="C847" i="8"/>
  <c r="C663" i="8"/>
  <c r="C1493" i="8"/>
  <c r="C1492" i="8"/>
  <c r="C1491" i="8"/>
  <c r="C856" i="8"/>
  <c r="C855" i="8"/>
  <c r="C854" i="8"/>
  <c r="C853" i="8"/>
  <c r="C1490" i="8"/>
  <c r="C465" i="8"/>
  <c r="C898" i="8"/>
  <c r="C999" i="8"/>
  <c r="C897" i="8"/>
  <c r="C896" i="8"/>
  <c r="C895" i="8"/>
  <c r="C998" i="8"/>
  <c r="C894" i="8"/>
  <c r="C997" i="8"/>
  <c r="C893" i="8"/>
  <c r="C892" i="8"/>
  <c r="C891" i="8"/>
  <c r="C1209" i="8"/>
  <c r="C889" i="8"/>
  <c r="C876" i="8"/>
  <c r="C875" i="8"/>
  <c r="C874" i="8"/>
  <c r="C873" i="8"/>
  <c r="C872" i="8"/>
  <c r="C871" i="8"/>
  <c r="C870" i="8"/>
  <c r="C869" i="8"/>
  <c r="C888" i="8"/>
  <c r="C887" i="8"/>
  <c r="C886" i="8"/>
  <c r="C885" i="8"/>
  <c r="C884" i="8"/>
  <c r="C883" i="8"/>
  <c r="C882" i="8"/>
  <c r="C913" i="8"/>
  <c r="C912" i="8"/>
  <c r="C911" i="8"/>
  <c r="C910" i="8"/>
  <c r="C909" i="8"/>
  <c r="C908" i="8"/>
  <c r="C907" i="8"/>
  <c r="C906" i="8"/>
  <c r="C920" i="8"/>
  <c r="C890" i="8"/>
  <c r="C881" i="8"/>
  <c r="C868" i="8"/>
  <c r="C905" i="8"/>
  <c r="C867" i="8"/>
  <c r="C880" i="8"/>
  <c r="C904" i="8"/>
  <c r="C866" i="8"/>
  <c r="C879" i="8"/>
  <c r="C903" i="8"/>
  <c r="C865" i="8"/>
  <c r="C878" i="8"/>
  <c r="C902" i="8"/>
  <c r="C938" i="8"/>
  <c r="C937" i="8"/>
  <c r="C936" i="8"/>
  <c r="C935" i="8"/>
  <c r="C934" i="8"/>
  <c r="C933" i="8"/>
  <c r="C932" i="8"/>
  <c r="C931" i="8"/>
  <c r="C930" i="8"/>
  <c r="C929" i="8"/>
  <c r="C928" i="8"/>
  <c r="C927" i="8"/>
  <c r="C926" i="8"/>
  <c r="C925" i="8"/>
  <c r="C924" i="8"/>
  <c r="C1191" i="8"/>
  <c r="C1190" i="8"/>
  <c r="C1757" i="8"/>
  <c r="C952" i="8"/>
  <c r="C951" i="8"/>
  <c r="C950" i="8"/>
  <c r="C864" i="8"/>
  <c r="C877" i="8"/>
  <c r="C901" i="8"/>
  <c r="C959" i="8"/>
  <c r="C955" i="8"/>
  <c r="C962" i="8"/>
  <c r="C961" i="8"/>
  <c r="C960" i="8"/>
  <c r="C2091" i="8"/>
  <c r="C966" i="8"/>
  <c r="C965" i="8"/>
  <c r="C964" i="8"/>
  <c r="C963" i="8"/>
  <c r="C2104" i="8"/>
  <c r="C1456" i="8"/>
  <c r="C947" i="8"/>
  <c r="C975" i="8"/>
  <c r="C974" i="8"/>
  <c r="C973" i="8"/>
  <c r="C972" i="8"/>
  <c r="C971" i="8"/>
  <c r="C2111" i="8"/>
  <c r="C979" i="8"/>
  <c r="C958" i="8"/>
  <c r="C957" i="8"/>
  <c r="C1501" i="8"/>
  <c r="C946" i="8"/>
  <c r="C945" i="8"/>
  <c r="C944" i="8"/>
  <c r="C978" i="8"/>
  <c r="C977" i="8"/>
  <c r="C1066" i="8"/>
  <c r="C1065" i="8"/>
  <c r="C1064" i="8"/>
  <c r="C976" i="8"/>
  <c r="C954" i="8"/>
  <c r="C753" i="8"/>
  <c r="C919" i="8"/>
  <c r="C1063" i="8"/>
  <c r="C949" i="8"/>
  <c r="C956" i="8"/>
  <c r="C2090" i="8"/>
  <c r="C983" i="8"/>
  <c r="C982" i="8"/>
  <c r="C981" i="8"/>
  <c r="C980" i="8"/>
  <c r="C984" i="8"/>
  <c r="C943" i="8"/>
  <c r="C803" i="8"/>
  <c r="C1306" i="8"/>
  <c r="C991" i="8"/>
  <c r="C953" i="8"/>
  <c r="C996" i="8"/>
  <c r="C995" i="8"/>
  <c r="C994" i="8"/>
  <c r="C990" i="8"/>
  <c r="C989" i="8"/>
  <c r="C2110" i="8"/>
  <c r="C2109" i="8"/>
  <c r="C988" i="8"/>
  <c r="C987" i="8"/>
  <c r="C993" i="8"/>
  <c r="C992" i="8"/>
  <c r="C2108" i="8"/>
  <c r="C2107" i="8"/>
  <c r="C1004" i="8"/>
  <c r="C2106" i="8"/>
  <c r="C2105" i="8"/>
  <c r="C986" i="8"/>
  <c r="C1222" i="8"/>
  <c r="C1003" i="8"/>
  <c r="C1002" i="8"/>
  <c r="C1001" i="8"/>
  <c r="C1000" i="8"/>
  <c r="C528" i="8"/>
  <c r="C863" i="8"/>
  <c r="C802" i="8"/>
  <c r="C1305" i="8"/>
  <c r="C948" i="8"/>
  <c r="C970" i="8"/>
  <c r="C1062" i="8"/>
  <c r="C2102" i="8"/>
  <c r="C1010" i="8"/>
  <c r="C1013" i="8"/>
  <c r="C1012" i="8"/>
  <c r="C1011" i="8"/>
  <c r="C1030" i="8"/>
  <c r="C1009" i="8"/>
  <c r="C1008" i="8"/>
  <c r="C1007" i="8"/>
  <c r="C1029" i="8"/>
  <c r="C1032" i="8"/>
  <c r="C1028" i="8"/>
  <c r="C1031" i="8"/>
  <c r="C969" i="8"/>
  <c r="C968" i="8"/>
  <c r="C985" i="8"/>
  <c r="C1017" i="8"/>
  <c r="C1233" i="8"/>
  <c r="C1016" i="8"/>
  <c r="C1232" i="8"/>
  <c r="C1015" i="8"/>
  <c r="C1231" i="8"/>
  <c r="C1021" i="8"/>
  <c r="C1020" i="8"/>
  <c r="C1019" i="8"/>
  <c r="C1025" i="8"/>
  <c r="C1024" i="8"/>
  <c r="C1023" i="8"/>
  <c r="C1022" i="8"/>
  <c r="C1197" i="8"/>
  <c r="C1172" i="8"/>
  <c r="C1045" i="8"/>
  <c r="C967" i="8"/>
  <c r="C1047" i="8"/>
  <c r="C1044" i="8"/>
  <c r="C1043" i="8"/>
  <c r="C1171" i="8"/>
  <c r="C1170" i="8"/>
  <c r="C918" i="8"/>
  <c r="C1051" i="8"/>
  <c r="C1055" i="8"/>
  <c r="C1057" i="8"/>
  <c r="C1050" i="8"/>
  <c r="C1049" i="8"/>
  <c r="C1111" i="8"/>
  <c r="C752" i="8"/>
  <c r="C1054" i="8"/>
  <c r="C1053" i="8"/>
  <c r="C1052" i="8"/>
  <c r="C1110" i="8"/>
  <c r="C1109" i="8"/>
  <c r="C1006" i="8"/>
  <c r="C1005" i="8"/>
  <c r="C1061" i="8"/>
  <c r="C1060" i="8"/>
  <c r="C1059" i="8"/>
  <c r="C1070" i="8"/>
  <c r="C1071" i="8"/>
  <c r="C1069" i="8"/>
  <c r="C1068" i="8"/>
  <c r="C1079" i="8"/>
  <c r="C1090" i="8"/>
  <c r="C1085" i="8"/>
  <c r="C1084" i="8"/>
  <c r="C1083" i="8"/>
  <c r="C1082" i="8"/>
  <c r="C1081" i="8"/>
  <c r="C1078" i="8"/>
  <c r="C1077" i="8"/>
  <c r="C1076" i="8"/>
  <c r="C1075" i="8"/>
  <c r="C1041" i="8"/>
  <c r="C1018" i="8"/>
  <c r="C1089" i="8"/>
  <c r="C1088" i="8"/>
  <c r="C1087" i="8"/>
  <c r="C1048" i="8"/>
  <c r="C1058" i="8"/>
  <c r="C1080" i="8"/>
  <c r="C662" i="8"/>
  <c r="C1046" i="8"/>
  <c r="C1067" i="8"/>
  <c r="C1098" i="8"/>
  <c r="C1097" i="8"/>
  <c r="C1096" i="8"/>
  <c r="C1103" i="8"/>
  <c r="C1095" i="8"/>
  <c r="C1094" i="8"/>
  <c r="C1093" i="8"/>
  <c r="C1092" i="8"/>
  <c r="C1102" i="8"/>
  <c r="C1101" i="8"/>
  <c r="C1074" i="8"/>
  <c r="C1073" i="8"/>
  <c r="C1244" i="8"/>
  <c r="C1116" i="8"/>
  <c r="C1115" i="8"/>
  <c r="C1114" i="8"/>
  <c r="C1243" i="8"/>
  <c r="C1040" i="8"/>
  <c r="C1039" i="8"/>
  <c r="C1038" i="8"/>
  <c r="C1100" i="8"/>
  <c r="C1113" i="8"/>
  <c r="C1124" i="8"/>
  <c r="C1123" i="8"/>
  <c r="C1122" i="8"/>
  <c r="C1131" i="8"/>
  <c r="C801" i="8"/>
  <c r="C1304" i="8"/>
  <c r="C1127" i="8"/>
  <c r="C1121" i="8"/>
  <c r="C1120" i="8"/>
  <c r="C1119" i="8"/>
  <c r="C1126" i="8"/>
  <c r="C1125" i="8"/>
  <c r="C1130" i="8"/>
  <c r="C1129" i="8"/>
  <c r="C1128" i="8"/>
  <c r="C1135" i="8"/>
  <c r="C1134" i="8"/>
  <c r="C1133" i="8"/>
  <c r="C1136" i="8"/>
  <c r="C1042" i="8"/>
  <c r="C1108" i="8"/>
  <c r="C1140" i="8"/>
  <c r="C1139" i="8"/>
  <c r="C1138" i="8"/>
  <c r="C1118" i="8"/>
  <c r="C1137" i="8"/>
  <c r="C1132" i="8"/>
  <c r="C661" i="8"/>
  <c r="C2046" i="8"/>
  <c r="C1091" i="8"/>
  <c r="C1072" i="8"/>
  <c r="C1146" i="8"/>
  <c r="C1150" i="8"/>
  <c r="C1149" i="8"/>
  <c r="C1148" i="8"/>
  <c r="C1145" i="8"/>
  <c r="C1144" i="8"/>
  <c r="C1163" i="8"/>
  <c r="C1162" i="8"/>
  <c r="C1161" i="8"/>
  <c r="C900" i="8"/>
  <c r="C899" i="8"/>
  <c r="C1168" i="8"/>
  <c r="C1167" i="8"/>
  <c r="C1166" i="8"/>
  <c r="C1183" i="8"/>
  <c r="C1204" i="8"/>
  <c r="C1182" i="8"/>
  <c r="C1181" i="8"/>
  <c r="C1180" i="8"/>
  <c r="C1143" i="8"/>
  <c r="C1160" i="8"/>
  <c r="C1147" i="8"/>
  <c r="C1165" i="8"/>
  <c r="C1169" i="8"/>
  <c r="C1175" i="8"/>
  <c r="C1174" i="8"/>
  <c r="C1173" i="8"/>
  <c r="C1179" i="8"/>
  <c r="C1178" i="8"/>
  <c r="C1177" i="8"/>
  <c r="C1176" i="8"/>
  <c r="C1189" i="8"/>
  <c r="C1203" i="8"/>
  <c r="C1201" i="8"/>
  <c r="C1200" i="8"/>
  <c r="C1199" i="8"/>
  <c r="C1198" i="8"/>
  <c r="C1188" i="8"/>
  <c r="C1187" i="8"/>
  <c r="C1186" i="8"/>
  <c r="C1221" i="8"/>
  <c r="C2045" i="8"/>
  <c r="C1220" i="8"/>
  <c r="C1202" i="8"/>
  <c r="C1185" i="8"/>
  <c r="C1196" i="8"/>
  <c r="C1195" i="8"/>
  <c r="C1194" i="8"/>
  <c r="C1193" i="8"/>
  <c r="C1238" i="8"/>
  <c r="C1230" i="8"/>
  <c r="C1117" i="8"/>
  <c r="C1208" i="8"/>
  <c r="C1219" i="8"/>
  <c r="C1218" i="8"/>
  <c r="C1217" i="8"/>
  <c r="C1229" i="8"/>
  <c r="C1228" i="8"/>
  <c r="C1227" i="8"/>
  <c r="C1679" i="8"/>
  <c r="C1014" i="8"/>
  <c r="C1226" i="8"/>
  <c r="C1216" i="8"/>
  <c r="C1215" i="8"/>
  <c r="C1225" i="8"/>
  <c r="C2114" i="8"/>
  <c r="C1250" i="8"/>
  <c r="C1214" i="8"/>
  <c r="C1237" i="8"/>
  <c r="C1236" i="8"/>
  <c r="C1235" i="8"/>
  <c r="C1213" i="8"/>
  <c r="C1255" i="8"/>
  <c r="C1249" i="8"/>
  <c r="C1234" i="8"/>
  <c r="C1261" i="8"/>
  <c r="C1260" i="8"/>
  <c r="C1207" i="8"/>
  <c r="C1279" i="8"/>
  <c r="C1657" i="8"/>
  <c r="C1248" i="8"/>
  <c r="C1247" i="8"/>
  <c r="C1278" i="8"/>
  <c r="C1656" i="8"/>
  <c r="C1259" i="8"/>
  <c r="C1258" i="8"/>
  <c r="C1257" i="8"/>
  <c r="C1270" i="8"/>
  <c r="C1315" i="8"/>
  <c r="C1314" i="8"/>
  <c r="C1254" i="8"/>
  <c r="C1253" i="8"/>
  <c r="C1252" i="8"/>
  <c r="C1251" i="8"/>
  <c r="C1311" i="8"/>
  <c r="C1206" i="8"/>
  <c r="C1313" i="8"/>
  <c r="C1281" i="8"/>
  <c r="C1298" i="8"/>
  <c r="C1242" i="8"/>
  <c r="C1677" i="8"/>
  <c r="C1280" i="8"/>
  <c r="C1361" i="8"/>
  <c r="C1323" i="8"/>
  <c r="C1285" i="8"/>
  <c r="C1293" i="8"/>
  <c r="C1362" i="8"/>
  <c r="C1322" i="8"/>
  <c r="C1321" i="8"/>
  <c r="C1320" i="8"/>
  <c r="C1292" i="8"/>
  <c r="C1291" i="8"/>
  <c r="C1290" i="8"/>
  <c r="C1269" i="8"/>
  <c r="C1268" i="8"/>
  <c r="C1267" i="8"/>
  <c r="C1241" i="8"/>
  <c r="C1240" i="8"/>
  <c r="C1303" i="8"/>
  <c r="C1310" i="8"/>
  <c r="C1302" i="8"/>
  <c r="C1301" i="8"/>
  <c r="C1300" i="8"/>
  <c r="C1266" i="8"/>
  <c r="C1289" i="8"/>
  <c r="C1309" i="8"/>
  <c r="C1297" i="8"/>
  <c r="C1296" i="8"/>
  <c r="C1295" i="8"/>
  <c r="C1319" i="8"/>
  <c r="C1284" i="8"/>
  <c r="C1283" i="8"/>
  <c r="C1312" i="8"/>
  <c r="C1318" i="8"/>
  <c r="C1317" i="8"/>
  <c r="C1212" i="8"/>
  <c r="C1327" i="8"/>
  <c r="C1326" i="8"/>
  <c r="C1325" i="8"/>
  <c r="C1324" i="8"/>
  <c r="C1331" i="8"/>
  <c r="C1334" i="8"/>
  <c r="C1330" i="8"/>
  <c r="C1329" i="8"/>
  <c r="C1328" i="8"/>
  <c r="C1339" i="8"/>
  <c r="C1184" i="8"/>
  <c r="C1316" i="8"/>
  <c r="C1288" i="8"/>
  <c r="C1287" i="8"/>
  <c r="C1338" i="8"/>
  <c r="C1337" i="8"/>
  <c r="C1336" i="8"/>
  <c r="C1335" i="8"/>
  <c r="C1333" i="8"/>
  <c r="C1332" i="8"/>
  <c r="C1345" i="8"/>
  <c r="C1344" i="8"/>
  <c r="C1343" i="8"/>
  <c r="C1342" i="8"/>
  <c r="C1340" i="8"/>
  <c r="C1341" i="8"/>
  <c r="C1205" i="8"/>
  <c r="C1265" i="8"/>
  <c r="C1400" i="8"/>
  <c r="C1264" i="8"/>
  <c r="C1277" i="8"/>
  <c r="C1399" i="8"/>
  <c r="C1286" i="8"/>
  <c r="C1350" i="8"/>
  <c r="C1354" i="8"/>
  <c r="C1360" i="8"/>
  <c r="C1349" i="8"/>
  <c r="C1348" i="8"/>
  <c r="C1353" i="8"/>
  <c r="C1352" i="8"/>
  <c r="C1351" i="8"/>
  <c r="C1359" i="8"/>
  <c r="C1358" i="8"/>
  <c r="C1357" i="8"/>
  <c r="C1367" i="8"/>
  <c r="C1347" i="8"/>
  <c r="C1639" i="8"/>
  <c r="C1375" i="8"/>
  <c r="C1379" i="8"/>
  <c r="C1378" i="8"/>
  <c r="C1377" i="8"/>
  <c r="C1383" i="8"/>
  <c r="C1387" i="8"/>
  <c r="C1376" i="8"/>
  <c r="C1382" i="8"/>
  <c r="C1386" i="8"/>
  <c r="C1385" i="8"/>
  <c r="C1384" i="8"/>
  <c r="C1246" i="8"/>
  <c r="C1366" i="8"/>
  <c r="C1365" i="8"/>
  <c r="C1364" i="8"/>
  <c r="C1363" i="8"/>
  <c r="C2089" i="8"/>
  <c r="C1392" i="8"/>
  <c r="C1381" i="8"/>
  <c r="C1380" i="8"/>
  <c r="C1391" i="8"/>
  <c r="C1390" i="8"/>
  <c r="C1389" i="8"/>
  <c r="C1820" i="8"/>
  <c r="C1388" i="8"/>
  <c r="C1405" i="8"/>
  <c r="C1404" i="8"/>
  <c r="C1403" i="8"/>
  <c r="C1402" i="8"/>
  <c r="C1401" i="8"/>
  <c r="C1413" i="8"/>
  <c r="C1416" i="8"/>
  <c r="C2113" i="8"/>
  <c r="C2112" i="8"/>
  <c r="C1415" i="8"/>
  <c r="C1414" i="8"/>
  <c r="C1412" i="8"/>
  <c r="C1411" i="8"/>
  <c r="C1410" i="8"/>
  <c r="C1374" i="8"/>
  <c r="C1373" i="8"/>
  <c r="C1372" i="8"/>
  <c r="C1371" i="8"/>
  <c r="C1370" i="8"/>
  <c r="C1369" i="8"/>
  <c r="C1368" i="8"/>
  <c r="C1425" i="8"/>
  <c r="C1424" i="8"/>
  <c r="C1423" i="8"/>
  <c r="C1591" i="8"/>
  <c r="C1422" i="8"/>
  <c r="C1427" i="8"/>
  <c r="C1438" i="8"/>
  <c r="C1434" i="8"/>
  <c r="C1704" i="8"/>
  <c r="C1433" i="8"/>
  <c r="C1432" i="8"/>
  <c r="C1703" i="8"/>
  <c r="C1431" i="8"/>
  <c r="C1702" i="8"/>
  <c r="C1037" i="8"/>
  <c r="C1515" i="8"/>
  <c r="C1547" i="8"/>
  <c r="C1426" i="8"/>
  <c r="C1514" i="8"/>
  <c r="C1443" i="8"/>
  <c r="C2088" i="8"/>
  <c r="C1444" i="8"/>
  <c r="C1442" i="8"/>
  <c r="C1441" i="8"/>
  <c r="C1440" i="8"/>
  <c r="C1439" i="8"/>
  <c r="C1036" i="8"/>
  <c r="C1454" i="8"/>
  <c r="C1453" i="8"/>
  <c r="C1452" i="8"/>
  <c r="C1528" i="8"/>
  <c r="C1460" i="8"/>
  <c r="C1464" i="8"/>
  <c r="C1463" i="8"/>
  <c r="C1527" i="8"/>
  <c r="C1472" i="8"/>
  <c r="C1477" i="8"/>
  <c r="C1482" i="8"/>
  <c r="C1488" i="8"/>
  <c r="C1481" i="8"/>
  <c r="C1480" i="8"/>
  <c r="C1479" i="8"/>
  <c r="C1556" i="8"/>
  <c r="C1489" i="8"/>
  <c r="C1498" i="8"/>
  <c r="C1487" i="8"/>
  <c r="C1486" i="8"/>
  <c r="C1485" i="8"/>
  <c r="C1484" i="8"/>
  <c r="C1497" i="8"/>
  <c r="C1496" i="8"/>
  <c r="C1495" i="8"/>
  <c r="C1494" i="8"/>
  <c r="C1504" i="8"/>
  <c r="C1476" i="8"/>
  <c r="C1475" i="8"/>
  <c r="C1474" i="8"/>
  <c r="C1473" i="8"/>
  <c r="C1532" i="8"/>
  <c r="C1035" i="8"/>
  <c r="C1518" i="8"/>
  <c r="C1516" i="8"/>
  <c r="C2087" i="8"/>
  <c r="C1531" i="8"/>
  <c r="C1530" i="8"/>
  <c r="C1555" i="8"/>
  <c r="C1517" i="8"/>
  <c r="C1459" i="8"/>
  <c r="C1458" i="8"/>
  <c r="C1086" i="8"/>
  <c r="C1164" i="8"/>
  <c r="C1112" i="8"/>
  <c r="C1256" i="8"/>
  <c r="C1430" i="8"/>
  <c r="C1701" i="8"/>
  <c r="C1462" i="8"/>
  <c r="C1034" i="8"/>
  <c r="C1554" i="8"/>
  <c r="C1471" i="8"/>
  <c r="C1470" i="8"/>
  <c r="C1469" i="8"/>
  <c r="C1468" i="8"/>
  <c r="C1521" i="8"/>
  <c r="C1503" i="8"/>
  <c r="C1520" i="8"/>
  <c r="C1457" i="8"/>
  <c r="C1398" i="8"/>
  <c r="C1502" i="8"/>
  <c r="C1513" i="8"/>
  <c r="C1239" i="8"/>
  <c r="C2086" i="8"/>
  <c r="C1478" i="8"/>
  <c r="C1308" i="8"/>
  <c r="C1546" i="8"/>
  <c r="C1505" i="8"/>
  <c r="C1538" i="8"/>
  <c r="C1548" i="8"/>
  <c r="C1549" i="8"/>
  <c r="C1557" i="8"/>
  <c r="C1561" i="8"/>
  <c r="C2085" i="8"/>
  <c r="C1545" i="8"/>
  <c r="C1294" i="8"/>
  <c r="C1356" i="8"/>
  <c r="C1451" i="8"/>
  <c r="C1450" i="8"/>
  <c r="C1483" i="8"/>
  <c r="C1529" i="8"/>
  <c r="C1553" i="8"/>
  <c r="C1552" i="8"/>
  <c r="C1355" i="8"/>
  <c r="C1564" i="8"/>
  <c r="C1449" i="8"/>
  <c r="C1572" i="8"/>
  <c r="C1577" i="8"/>
  <c r="C1571" i="8"/>
  <c r="C1668" i="8"/>
  <c r="C1537" i="8"/>
  <c r="C1570" i="8"/>
  <c r="C1563" i="8"/>
  <c r="C1787" i="8"/>
  <c r="C1562" i="8"/>
  <c r="C1582" i="8"/>
  <c r="C1599" i="8"/>
  <c r="C1598" i="8"/>
  <c r="C647" i="8"/>
  <c r="C674" i="8"/>
  <c r="C584" i="8"/>
  <c r="C1585" i="8"/>
  <c r="C1590" i="8"/>
  <c r="C1421" i="8"/>
  <c r="C1786" i="8"/>
  <c r="C1107" i="8"/>
  <c r="C1584" i="8"/>
  <c r="C1589" i="8"/>
  <c r="C1576" i="8"/>
  <c r="C1575" i="8"/>
  <c r="C1574" i="8"/>
  <c r="C1397" i="8"/>
  <c r="C1455" i="8"/>
  <c r="C1595" i="8"/>
  <c r="C1596" i="8"/>
  <c r="C1594" i="8"/>
  <c r="C1593" i="8"/>
  <c r="C1592" i="8"/>
  <c r="C1467" i="8"/>
  <c r="C1409" i="8"/>
  <c r="C1448" i="8"/>
  <c r="C1447" i="8"/>
  <c r="C1446" i="8"/>
  <c r="C1445" i="8"/>
  <c r="C1603" i="8"/>
  <c r="C1597" i="8"/>
  <c r="C1512" i="8"/>
  <c r="C1544" i="8"/>
  <c r="C1276" i="8"/>
  <c r="C1581" i="8"/>
  <c r="C1580" i="8"/>
  <c r="C1579" i="8"/>
  <c r="C1578" i="8"/>
  <c r="C1655" i="8"/>
  <c r="C1519" i="8"/>
  <c r="C1814" i="8"/>
  <c r="C1396" i="8"/>
  <c r="C1275" i="8"/>
  <c r="C1526" i="8"/>
  <c r="C1606" i="8"/>
  <c r="C1627" i="8"/>
  <c r="C1622" i="8"/>
  <c r="C1605" i="8"/>
  <c r="C1604" i="8"/>
  <c r="C1612" i="8"/>
  <c r="C1420" i="8"/>
  <c r="C1583" i="8"/>
  <c r="C1617" i="8"/>
  <c r="C1616" i="8"/>
  <c r="C1615" i="8"/>
  <c r="C1611" i="8"/>
  <c r="C1610" i="8"/>
  <c r="C1609" i="8"/>
  <c r="C1614" i="8"/>
  <c r="C1626" i="8"/>
  <c r="C1625" i="8"/>
  <c r="C1395" i="8"/>
  <c r="C1621" i="8"/>
  <c r="C1620" i="8"/>
  <c r="C1634" i="8"/>
  <c r="C1830" i="8"/>
  <c r="C1635" i="8"/>
  <c r="C1638" i="8"/>
  <c r="C1637" i="8"/>
  <c r="C1636" i="8"/>
  <c r="C1282" i="8"/>
  <c r="C1437" i="8"/>
  <c r="C1436" i="8"/>
  <c r="C1435" i="8"/>
  <c r="C1394" i="8"/>
  <c r="C1106" i="8"/>
  <c r="C1105" i="8"/>
  <c r="C1511" i="8"/>
  <c r="C1543" i="8"/>
  <c r="C1510" i="8"/>
  <c r="C1542" i="8"/>
  <c r="C1509" i="8"/>
  <c r="C1541" i="8"/>
  <c r="C1644" i="8"/>
  <c r="C1643" i="8"/>
  <c r="C1642" i="8"/>
  <c r="C1645" i="8"/>
  <c r="C1560" i="8"/>
  <c r="C1559" i="8"/>
  <c r="C1558" i="8"/>
  <c r="C1588" i="8"/>
  <c r="C1419" i="8"/>
  <c r="C1508" i="8"/>
  <c r="C1540" i="8"/>
  <c r="C1633" i="8"/>
  <c r="C1829" i="8"/>
  <c r="C1632" i="8"/>
  <c r="C1648" i="8"/>
  <c r="C1649" i="8"/>
  <c r="C1650" i="8"/>
  <c r="C2118" i="8"/>
  <c r="C1647" i="8"/>
  <c r="C1646" i="8"/>
  <c r="C1507" i="8"/>
  <c r="C2119" i="8"/>
  <c r="C1525" i="8"/>
  <c r="C1524" i="8"/>
  <c r="C1274" i="8"/>
  <c r="C1660" i="8"/>
  <c r="C1667" i="8"/>
  <c r="C1716" i="8"/>
  <c r="C1866" i="8"/>
  <c r="C1715" i="8"/>
  <c r="C1666" i="8"/>
  <c r="C1659" i="8"/>
  <c r="C1658" i="8"/>
  <c r="C1665" i="8"/>
  <c r="C1714" i="8"/>
  <c r="C1671" i="8"/>
  <c r="C1673" i="8"/>
  <c r="C1523" i="8"/>
  <c r="C1273" i="8"/>
  <c r="C1393" i="8"/>
  <c r="C1676" i="8"/>
  <c r="C1675" i="8"/>
  <c r="C1672" i="8"/>
  <c r="C1104" i="8"/>
  <c r="C1263" i="8"/>
  <c r="C1678" i="8"/>
  <c r="C1506" i="8"/>
  <c r="C1539" i="8"/>
  <c r="C1613" i="8"/>
  <c r="C1608" i="8"/>
  <c r="C1573" i="8"/>
  <c r="C1680" i="8"/>
  <c r="C1654" i="8"/>
  <c r="C1653" i="8"/>
  <c r="C1681" i="8"/>
  <c r="C1670" i="8"/>
  <c r="C1669" i="8"/>
  <c r="C2117" i="8"/>
  <c r="C2116" i="8"/>
  <c r="C2115" i="8"/>
  <c r="C1986" i="8"/>
  <c r="C1682" i="8"/>
  <c r="C1687" i="8"/>
  <c r="C1619" i="8"/>
  <c r="C1569" i="8"/>
  <c r="C1693" i="8"/>
  <c r="C1272" i="8"/>
  <c r="C1652" i="8"/>
  <c r="C1919" i="8"/>
  <c r="C1694" i="8"/>
  <c r="C1697" i="8"/>
  <c r="C1700" i="8"/>
  <c r="C1522" i="8"/>
  <c r="C1692" i="8"/>
  <c r="C1691" i="8"/>
  <c r="C2084" i="8"/>
  <c r="C1696" i="8"/>
  <c r="C1695" i="8"/>
  <c r="C1429" i="8"/>
  <c r="C1699" i="8"/>
  <c r="C1271" i="8"/>
  <c r="C1651" i="8"/>
  <c r="C1428" i="8"/>
  <c r="C1698" i="8"/>
  <c r="C1709" i="8"/>
  <c r="C1705" i="8"/>
  <c r="C1713" i="8"/>
  <c r="C1918" i="8"/>
  <c r="C1708" i="8"/>
  <c r="C1712" i="8"/>
  <c r="C1711" i="8"/>
  <c r="C1710" i="8"/>
  <c r="C1551" i="8"/>
  <c r="C1607" i="8"/>
  <c r="C1262" i="8"/>
  <c r="C1631" i="8"/>
  <c r="C1828" i="8"/>
  <c r="C1707" i="8"/>
  <c r="C1706" i="8"/>
  <c r="C1408" i="8"/>
  <c r="C1407" i="8"/>
  <c r="C1721" i="8"/>
  <c r="C1686" i="8"/>
  <c r="C1685" i="8"/>
  <c r="C1684" i="8"/>
  <c r="C1683" i="8"/>
  <c r="C1722" i="8"/>
  <c r="C1727" i="8"/>
  <c r="C1720" i="8"/>
  <c r="C1719" i="8"/>
  <c r="C1718" i="8"/>
  <c r="C1726" i="8"/>
  <c r="C1725" i="8"/>
  <c r="C1724" i="8"/>
  <c r="C1717" i="8"/>
  <c r="C1723" i="8"/>
  <c r="C1731" i="8"/>
  <c r="C1618" i="8"/>
  <c r="C1734" i="8"/>
  <c r="C1739" i="8"/>
  <c r="C1738" i="8"/>
  <c r="C1737" i="8"/>
  <c r="C1736" i="8"/>
  <c r="C1735" i="8"/>
  <c r="C1602" i="8"/>
  <c r="C1601" i="8"/>
  <c r="C1600" i="8"/>
  <c r="C1733" i="8"/>
  <c r="C1732" i="8"/>
  <c r="C1033" i="8"/>
  <c r="C1743" i="8"/>
  <c r="C1746" i="8"/>
  <c r="C1742" i="8"/>
  <c r="C1741" i="8"/>
  <c r="C1745" i="8"/>
  <c r="C1744" i="8"/>
  <c r="C1674" i="8"/>
  <c r="C1690" i="8"/>
  <c r="C1730" i="8"/>
  <c r="C1587" i="8"/>
  <c r="C1418" i="8"/>
  <c r="C1586" i="8"/>
  <c r="C1417" i="8"/>
  <c r="C1749" i="8"/>
  <c r="C1768" i="8"/>
  <c r="C1748" i="8"/>
  <c r="C1747" i="8"/>
  <c r="C1755" i="8"/>
  <c r="C1850" i="8"/>
  <c r="C1756" i="8"/>
  <c r="C1763" i="8"/>
  <c r="C1754" i="8"/>
  <c r="C1729" i="8"/>
  <c r="C1728" i="8"/>
  <c r="C1762" i="8"/>
  <c r="C1624" i="8"/>
  <c r="C1761" i="8"/>
  <c r="C1753" i="8"/>
  <c r="C1767" i="8"/>
  <c r="C1776" i="8"/>
  <c r="C1775" i="8"/>
  <c r="C1550" i="8"/>
  <c r="C1752" i="8"/>
  <c r="C1751" i="8"/>
  <c r="C1766" i="8"/>
  <c r="C1765" i="8"/>
  <c r="C1764" i="8"/>
  <c r="C1772" i="8"/>
  <c r="C1777" i="8"/>
  <c r="C1750" i="8"/>
  <c r="C1623" i="8"/>
  <c r="C1771" i="8"/>
  <c r="C1770" i="8"/>
  <c r="C1568" i="8"/>
  <c r="C1664" i="8"/>
  <c r="C1536" i="8"/>
  <c r="C1567" i="8"/>
  <c r="C1663" i="8"/>
  <c r="C1535" i="8"/>
  <c r="C1785" i="8"/>
  <c r="C1791" i="8"/>
  <c r="C1799" i="8"/>
  <c r="C1795" i="8"/>
  <c r="C1798" i="8"/>
  <c r="C1797" i="8"/>
  <c r="C1794" i="8"/>
  <c r="C1793" i="8"/>
  <c r="C1792" i="8"/>
  <c r="C1784" i="8"/>
  <c r="C1783" i="8"/>
  <c r="C1782" i="8"/>
  <c r="C1801" i="8"/>
  <c r="C1781" i="8"/>
  <c r="C1780" i="8"/>
  <c r="C1779" i="8"/>
  <c r="C2083" i="8"/>
  <c r="C1796" i="8"/>
  <c r="C1805" i="8"/>
  <c r="C2082" i="8"/>
  <c r="C1790" i="8"/>
  <c r="C1789" i="8"/>
  <c r="C1788" i="8"/>
  <c r="C1809" i="8"/>
  <c r="C1804" i="8"/>
  <c r="C1803" i="8"/>
  <c r="C1813" i="8"/>
  <c r="C1812" i="8"/>
  <c r="C1802" i="8"/>
  <c r="C1818" i="8"/>
  <c r="C2122" i="8"/>
  <c r="C1630" i="8"/>
  <c r="C1827" i="8"/>
  <c r="C1819" i="8"/>
  <c r="C1824" i="8"/>
  <c r="C2044" i="8"/>
  <c r="C1769" i="8"/>
  <c r="C1833" i="8"/>
  <c r="C1817" i="8"/>
  <c r="C1816" i="8"/>
  <c r="C2121" i="8"/>
  <c r="C2120" i="8"/>
  <c r="C1823" i="8"/>
  <c r="C1822" i="8"/>
  <c r="C1840" i="8"/>
  <c r="C1837" i="8"/>
  <c r="C1836" i="8"/>
  <c r="C1832" i="8"/>
  <c r="C1831" i="8"/>
  <c r="C1858" i="8"/>
  <c r="C1844" i="8"/>
  <c r="C1847" i="8"/>
  <c r="C2081" i="8"/>
  <c r="C1760" i="8"/>
  <c r="C1839" i="8"/>
  <c r="C1838" i="8"/>
  <c r="C1854" i="8"/>
  <c r="C1689" i="8"/>
  <c r="C1688" i="8"/>
  <c r="C1811" i="8"/>
  <c r="C1810" i="8"/>
  <c r="C1808" i="8"/>
  <c r="C1807" i="8"/>
  <c r="C1806" i="8"/>
  <c r="C1857" i="8"/>
  <c r="C1759" i="8"/>
  <c r="C1843" i="8"/>
  <c r="C1842" i="8"/>
  <c r="C1846" i="8"/>
  <c r="C1845" i="8"/>
  <c r="C2080" i="8"/>
  <c r="C1629" i="8"/>
  <c r="C1826" i="8"/>
  <c r="C1628" i="8"/>
  <c r="C1825" i="8"/>
  <c r="C1855" i="8"/>
  <c r="C1856" i="8"/>
  <c r="C1860" i="8"/>
  <c r="C1859" i="8"/>
  <c r="C2079" i="8"/>
  <c r="C1861" i="8"/>
  <c r="C1865" i="8"/>
  <c r="C1864" i="8"/>
  <c r="C1863" i="8"/>
  <c r="C2078" i="8"/>
  <c r="C1853" i="8"/>
  <c r="C1852" i="8"/>
  <c r="C1566" i="8"/>
  <c r="C1662" i="8"/>
  <c r="C1534" i="8"/>
  <c r="C1862" i="8"/>
  <c r="C1245" i="8"/>
  <c r="C1821" i="8"/>
  <c r="C1758" i="8"/>
  <c r="C2077" i="8"/>
  <c r="C1869" i="8"/>
  <c r="C2076" i="8"/>
  <c r="C1868" i="8"/>
  <c r="C1778" i="8"/>
  <c r="C1870" i="8"/>
  <c r="C1871" i="8"/>
  <c r="C1500" i="8"/>
  <c r="C1499" i="8"/>
  <c r="C1875" i="8"/>
  <c r="C1874" i="8"/>
  <c r="C1873" i="8"/>
  <c r="C1872" i="8"/>
  <c r="C1879" i="8"/>
  <c r="C2075" i="8"/>
  <c r="C1887" i="8"/>
  <c r="C1867" i="8"/>
  <c r="C1878" i="8"/>
  <c r="C1877" i="8"/>
  <c r="C1921" i="8"/>
  <c r="C1888" i="8"/>
  <c r="C1920" i="8"/>
  <c r="C1886" i="8"/>
  <c r="C1885" i="8"/>
  <c r="C1884" i="8"/>
  <c r="C2074" i="8"/>
  <c r="C1891" i="8"/>
  <c r="C1890" i="8"/>
  <c r="C1889" i="8"/>
  <c r="C1992" i="8"/>
  <c r="C1895" i="8"/>
  <c r="C1894" i="8"/>
  <c r="C1893" i="8"/>
  <c r="C1406" i="8"/>
  <c r="C1899" i="8"/>
  <c r="C1898" i="8"/>
  <c r="C1897" i="8"/>
  <c r="C1900" i="8"/>
  <c r="C1904" i="8"/>
  <c r="C1903" i="8"/>
  <c r="C1902" i="8"/>
  <c r="C1466" i="8"/>
  <c r="C1465" i="8"/>
  <c r="C1905" i="8"/>
  <c r="C1774" i="8"/>
  <c r="C1773" i="8"/>
  <c r="C1908" i="8"/>
  <c r="C2031" i="8"/>
  <c r="C1907" i="8"/>
  <c r="C1906" i="8"/>
  <c r="C1565" i="8"/>
  <c r="C1661" i="8"/>
  <c r="C1533" i="8"/>
  <c r="C1849" i="8"/>
  <c r="C1848" i="8"/>
  <c r="C1892" i="8"/>
  <c r="C1912" i="8"/>
  <c r="C800" i="8"/>
  <c r="C1299" i="8"/>
  <c r="C1911" i="8"/>
  <c r="C1910" i="8"/>
  <c r="C1909" i="8"/>
  <c r="C1915" i="8"/>
  <c r="C1883" i="8"/>
  <c r="C1914" i="8"/>
  <c r="C1913" i="8"/>
  <c r="C1851" i="8"/>
  <c r="C1917" i="8"/>
  <c r="C1916" i="8"/>
  <c r="C1641" i="8"/>
  <c r="C1924" i="8"/>
  <c r="C1925" i="8"/>
  <c r="C1882" i="8"/>
  <c r="C1881" i="8"/>
  <c r="C1923" i="8"/>
  <c r="C1922" i="8"/>
  <c r="C1929" i="8"/>
  <c r="C1934" i="8"/>
  <c r="C2040" i="8"/>
  <c r="C1935" i="8"/>
  <c r="C2073" i="8"/>
  <c r="C1933" i="8"/>
  <c r="C1932" i="8"/>
  <c r="C1928" i="8"/>
  <c r="C1927" i="8"/>
  <c r="C1841" i="8"/>
  <c r="C1800" i="8"/>
  <c r="C2072" i="8"/>
  <c r="C1936" i="8"/>
  <c r="C2071" i="8"/>
  <c r="C1896" i="8"/>
  <c r="C1941" i="8"/>
  <c r="C1942" i="8"/>
  <c r="C1940" i="8"/>
  <c r="C1939" i="8"/>
  <c r="C1938" i="8"/>
  <c r="C1945" i="8"/>
  <c r="C1946" i="8"/>
  <c r="C1948" i="8"/>
  <c r="C1947" i="8"/>
  <c r="C1944" i="8"/>
  <c r="C1943" i="8"/>
  <c r="C1937" i="8"/>
  <c r="C2070" i="8"/>
  <c r="C2030" i="8"/>
  <c r="C2029" i="8"/>
  <c r="C1815" i="8"/>
  <c r="C1640" i="8"/>
  <c r="C1952" i="8"/>
  <c r="C1956" i="8"/>
  <c r="C1951" i="8"/>
  <c r="C1950" i="8"/>
  <c r="C1949" i="8"/>
  <c r="C5" i="8"/>
  <c r="C1957" i="8"/>
  <c r="C1981" i="8"/>
  <c r="C1961" i="8"/>
  <c r="C1979" i="8"/>
  <c r="C1835" i="8"/>
  <c r="C1978" i="8"/>
  <c r="C1965" i="8"/>
  <c r="C1980" i="8"/>
  <c r="C1834" i="8"/>
  <c r="C1955" i="8"/>
  <c r="C1954" i="8"/>
  <c r="C1977" i="8"/>
  <c r="C1953" i="8"/>
  <c r="C2069" i="8"/>
  <c r="C2068" i="8"/>
  <c r="C1972" i="8"/>
  <c r="C1968" i="8"/>
  <c r="C2067" i="8"/>
  <c r="C1971" i="8"/>
  <c r="C1970" i="8"/>
  <c r="C1960" i="8"/>
  <c r="C1959" i="8"/>
  <c r="C1975" i="8"/>
  <c r="C1880" i="8"/>
  <c r="C2066" i="8"/>
  <c r="C2065" i="8"/>
  <c r="C2064" i="8"/>
  <c r="C2063" i="8"/>
  <c r="C2062" i="8"/>
  <c r="C1982" i="8"/>
  <c r="C1974" i="8"/>
  <c r="C1973" i="8"/>
  <c r="C2061" i="8"/>
  <c r="C2060" i="8"/>
  <c r="C2003" i="8"/>
  <c r="C1985" i="8"/>
  <c r="C1984" i="8"/>
  <c r="C1983" i="8"/>
  <c r="C1990" i="8"/>
  <c r="C1989" i="8"/>
  <c r="C1988" i="8"/>
  <c r="C2059" i="8"/>
  <c r="C2058" i="8"/>
  <c r="C1991" i="8"/>
  <c r="C2057" i="8"/>
  <c r="C1987" i="8"/>
  <c r="C1995" i="8"/>
  <c r="C1994" i="8"/>
  <c r="C1993" i="8"/>
  <c r="C2002" i="8"/>
  <c r="C2038" i="8"/>
  <c r="C2007" i="8"/>
  <c r="C1958" i="8"/>
  <c r="C2056" i="8"/>
  <c r="C1964" i="8"/>
  <c r="C1963" i="8"/>
  <c r="C2010" i="8"/>
  <c r="C2013" i="8"/>
  <c r="C2055" i="8"/>
  <c r="C2037" i="8"/>
  <c r="C2036" i="8"/>
  <c r="C2009" i="8"/>
  <c r="C2008" i="8"/>
  <c r="C1967" i="8"/>
  <c r="C1966" i="8"/>
  <c r="C2054" i="8"/>
  <c r="C1926" i="8"/>
  <c r="C1976" i="8"/>
  <c r="C2006" i="8"/>
  <c r="C2005" i="8"/>
  <c r="C2014" i="8"/>
  <c r="C2053" i="8"/>
  <c r="C2019" i="8"/>
  <c r="C2001" i="8"/>
  <c r="C2000" i="8"/>
  <c r="C2052" i="8"/>
  <c r="C2018" i="8"/>
  <c r="C2051" i="8"/>
  <c r="C2032" i="8"/>
  <c r="C2021" i="8"/>
  <c r="C1931" i="8"/>
  <c r="C2050" i="8"/>
  <c r="C1901" i="8"/>
  <c r="C1999" i="8"/>
  <c r="C2004" i="8"/>
  <c r="C2020" i="8"/>
  <c r="C2025" i="8"/>
  <c r="C2041" i="8"/>
  <c r="C2039" i="8"/>
  <c r="C1998" i="8"/>
  <c r="C1997" i="8"/>
  <c r="C1996" i="8"/>
  <c r="C1969" i="8"/>
  <c r="C2028" i="8"/>
  <c r="C1930" i="8"/>
  <c r="C1962" i="8"/>
  <c r="C1876" i="8"/>
  <c r="C1740" i="8"/>
  <c r="C2012" i="8"/>
  <c r="C2011" i="8"/>
  <c r="C2017" i="8"/>
  <c r="C2016" i="8"/>
  <c r="C2015" i="8"/>
  <c r="C2049" i="8"/>
  <c r="C2048" i="8"/>
  <c r="C2027" i="8"/>
  <c r="C2026" i="8"/>
  <c r="C2024" i="8"/>
  <c r="C2023" i="8"/>
  <c r="C2022" i="8"/>
  <c r="C2035" i="8"/>
  <c r="C2034" i="8"/>
  <c r="C2033" i="8"/>
  <c r="C2047" i="8"/>
  <c r="C2042" i="8"/>
  <c r="C2043" i="8"/>
  <c r="C22" i="12" l="1"/>
  <c r="C26" i="12"/>
  <c r="C25" i="12"/>
  <c r="C24" i="12"/>
  <c r="D79" i="12" l="1"/>
  <c r="E79" i="12"/>
  <c r="F79" i="12"/>
  <c r="G79" i="12"/>
  <c r="H79" i="12"/>
  <c r="I79" i="12"/>
  <c r="J79" i="12"/>
  <c r="K79" i="12"/>
  <c r="L79" i="12"/>
  <c r="M79" i="12"/>
  <c r="N79" i="12"/>
  <c r="O79" i="12"/>
  <c r="O78" i="12"/>
  <c r="N78" i="12"/>
  <c r="M78" i="12"/>
  <c r="L78" i="12"/>
  <c r="K78" i="12"/>
  <c r="J78" i="12"/>
  <c r="I78" i="12"/>
  <c r="H78" i="12"/>
  <c r="G78" i="12"/>
  <c r="F78" i="12"/>
  <c r="E78" i="12"/>
  <c r="D78" i="12"/>
  <c r="P79" i="12" l="1"/>
  <c r="K80" i="12"/>
  <c r="H80" i="12"/>
  <c r="P78" i="12"/>
  <c r="C78" i="12"/>
  <c r="F74" i="12"/>
  <c r="G74" i="12"/>
  <c r="H74" i="12"/>
  <c r="I74" i="12"/>
  <c r="J74" i="12"/>
  <c r="K74" i="12"/>
  <c r="L74" i="12"/>
  <c r="M74" i="12"/>
  <c r="K73" i="12"/>
  <c r="K75" i="12" s="1"/>
  <c r="L73" i="12"/>
  <c r="J73" i="12"/>
  <c r="J75" i="12" s="1"/>
  <c r="I73" i="12"/>
  <c r="H73" i="12"/>
  <c r="G73" i="12"/>
  <c r="F73" i="12"/>
  <c r="M73" i="12"/>
  <c r="C79" i="12"/>
  <c r="C74" i="12"/>
  <c r="C73" i="12"/>
  <c r="C94" i="12"/>
  <c r="F94" i="12"/>
  <c r="G94" i="12"/>
  <c r="H94" i="12"/>
  <c r="I94" i="12"/>
  <c r="J94" i="12"/>
  <c r="K94" i="12"/>
  <c r="L94" i="12"/>
  <c r="M94" i="12"/>
  <c r="N94" i="12"/>
  <c r="D113" i="12"/>
  <c r="E113" i="12"/>
  <c r="F113" i="12"/>
  <c r="G113" i="12"/>
  <c r="H113" i="12"/>
  <c r="I113" i="12"/>
  <c r="J113" i="12"/>
  <c r="K113" i="12"/>
  <c r="L113" i="12"/>
  <c r="M113" i="12"/>
  <c r="N113" i="12"/>
  <c r="O113" i="12"/>
  <c r="C113" i="12"/>
  <c r="O117" i="12"/>
  <c r="N117" i="12"/>
  <c r="M117" i="12"/>
  <c r="L117" i="12"/>
  <c r="K117" i="12"/>
  <c r="J117" i="12"/>
  <c r="I117" i="12"/>
  <c r="H117" i="12"/>
  <c r="G117" i="12"/>
  <c r="F117" i="12"/>
  <c r="E117" i="12"/>
  <c r="D117" i="12"/>
  <c r="E106" i="12"/>
  <c r="G106" i="12"/>
  <c r="M106" i="12"/>
  <c r="O106" i="12"/>
  <c r="I107" i="12"/>
  <c r="K107" i="12"/>
  <c r="E108" i="12"/>
  <c r="G108" i="12"/>
  <c r="M108" i="12"/>
  <c r="O108" i="12"/>
  <c r="K109" i="12"/>
  <c r="E110" i="12"/>
  <c r="G110" i="12"/>
  <c r="M110" i="12"/>
  <c r="O110" i="12"/>
  <c r="E112" i="12"/>
  <c r="G112" i="12"/>
  <c r="M112" i="12"/>
  <c r="O112" i="12"/>
  <c r="I114" i="12"/>
  <c r="K114" i="12"/>
  <c r="E115" i="12"/>
  <c r="G115" i="12"/>
  <c r="M115" i="12"/>
  <c r="O115" i="12"/>
  <c r="I116" i="12"/>
  <c r="K116" i="12"/>
  <c r="K105" i="12"/>
  <c r="I105" i="12"/>
  <c r="M105" i="12"/>
  <c r="O105" i="12"/>
  <c r="E104" i="12"/>
  <c r="F104" i="12"/>
  <c r="G104" i="12"/>
  <c r="H104" i="12"/>
  <c r="I104" i="12"/>
  <c r="J104" i="12"/>
  <c r="K104" i="12"/>
  <c r="L104" i="12"/>
  <c r="M104" i="12"/>
  <c r="N104" i="12"/>
  <c r="O104" i="12"/>
  <c r="D104" i="12"/>
  <c r="C117" i="12"/>
  <c r="C105" i="12"/>
  <c r="C107" i="12"/>
  <c r="C110" i="12"/>
  <c r="C112" i="12"/>
  <c r="C114" i="12"/>
  <c r="C116" i="12"/>
  <c r="C104" i="12"/>
  <c r="B105" i="12"/>
  <c r="H105" i="12" s="1"/>
  <c r="B106" i="12"/>
  <c r="H106" i="12" s="1"/>
  <c r="B107" i="12"/>
  <c r="D107" i="12" s="1"/>
  <c r="B108" i="12"/>
  <c r="H108" i="12" s="1"/>
  <c r="B109" i="12"/>
  <c r="D109" i="12" s="1"/>
  <c r="B110" i="12"/>
  <c r="H110" i="12" s="1"/>
  <c r="B111" i="12"/>
  <c r="D111" i="12" s="1"/>
  <c r="B112" i="12"/>
  <c r="H112" i="12" s="1"/>
  <c r="B114" i="12"/>
  <c r="D114" i="12" s="1"/>
  <c r="B115" i="12"/>
  <c r="H115" i="12" s="1"/>
  <c r="B116" i="12"/>
  <c r="D116" i="12" s="1"/>
  <c r="B117" i="12"/>
  <c r="B118" i="12"/>
  <c r="B104" i="12"/>
  <c r="M98" i="12"/>
  <c r="M86" i="12"/>
  <c r="M87" i="12"/>
  <c r="M88" i="12"/>
  <c r="M89" i="12"/>
  <c r="M90" i="12"/>
  <c r="M91" i="12"/>
  <c r="M92" i="12"/>
  <c r="M93" i="12"/>
  <c r="M95" i="12"/>
  <c r="M96" i="12"/>
  <c r="M97" i="12"/>
  <c r="M85" i="12"/>
  <c r="L98" i="12"/>
  <c r="L86" i="12"/>
  <c r="L87" i="12"/>
  <c r="L88" i="12"/>
  <c r="L89" i="12"/>
  <c r="L90" i="12"/>
  <c r="L91" i="12"/>
  <c r="L92" i="12"/>
  <c r="L93" i="12"/>
  <c r="L95" i="12"/>
  <c r="L96" i="12"/>
  <c r="L97" i="12"/>
  <c r="L85" i="12"/>
  <c r="I98" i="12"/>
  <c r="J98" i="12"/>
  <c r="K98" i="12"/>
  <c r="N98" i="12"/>
  <c r="H98" i="12"/>
  <c r="G98" i="12"/>
  <c r="F98" i="12"/>
  <c r="C98" i="12"/>
  <c r="J96" i="12"/>
  <c r="C86" i="12"/>
  <c r="C87" i="12"/>
  <c r="C88" i="12"/>
  <c r="C89" i="12"/>
  <c r="C90" i="12"/>
  <c r="C91" i="12"/>
  <c r="C92" i="12"/>
  <c r="C93" i="12"/>
  <c r="C95" i="12"/>
  <c r="C96" i="12"/>
  <c r="C97" i="12"/>
  <c r="F87" i="12"/>
  <c r="G87" i="12"/>
  <c r="H87" i="12"/>
  <c r="I87" i="12"/>
  <c r="J87" i="12"/>
  <c r="K87" i="12"/>
  <c r="N87" i="12"/>
  <c r="F88" i="12"/>
  <c r="G88" i="12"/>
  <c r="H88" i="12"/>
  <c r="I88" i="12"/>
  <c r="J88" i="12"/>
  <c r="K88" i="12"/>
  <c r="N88" i="12"/>
  <c r="F89" i="12"/>
  <c r="G89" i="12"/>
  <c r="H89" i="12"/>
  <c r="I89" i="12"/>
  <c r="J89" i="12"/>
  <c r="K89" i="12"/>
  <c r="N89" i="12"/>
  <c r="F90" i="12"/>
  <c r="G90" i="12"/>
  <c r="H90" i="12"/>
  <c r="I90" i="12"/>
  <c r="J90" i="12"/>
  <c r="K90" i="12"/>
  <c r="N90" i="12"/>
  <c r="F91" i="12"/>
  <c r="G91" i="12"/>
  <c r="H91" i="12"/>
  <c r="I91" i="12"/>
  <c r="J91" i="12"/>
  <c r="K91" i="12"/>
  <c r="N91" i="12"/>
  <c r="F92" i="12"/>
  <c r="G92" i="12"/>
  <c r="H92" i="12"/>
  <c r="I92" i="12"/>
  <c r="J92" i="12"/>
  <c r="K92" i="12"/>
  <c r="N92" i="12"/>
  <c r="F93" i="12"/>
  <c r="G93" i="12"/>
  <c r="H93" i="12"/>
  <c r="I93" i="12"/>
  <c r="J93" i="12"/>
  <c r="K93" i="12"/>
  <c r="N93" i="12"/>
  <c r="F95" i="12"/>
  <c r="G95" i="12"/>
  <c r="H95" i="12"/>
  <c r="I95" i="12"/>
  <c r="J95" i="12"/>
  <c r="K95" i="12"/>
  <c r="N95" i="12"/>
  <c r="F96" i="12"/>
  <c r="G96" i="12"/>
  <c r="H96" i="12"/>
  <c r="I96" i="12"/>
  <c r="K96" i="12"/>
  <c r="N96" i="12"/>
  <c r="F97" i="12"/>
  <c r="G97" i="12"/>
  <c r="H97" i="12"/>
  <c r="I97" i="12"/>
  <c r="J97" i="12"/>
  <c r="K97" i="12"/>
  <c r="N97" i="12"/>
  <c r="I86" i="12"/>
  <c r="J86" i="12"/>
  <c r="K86" i="12"/>
  <c r="N86" i="12"/>
  <c r="H86" i="12"/>
  <c r="H85" i="12"/>
  <c r="F86" i="12"/>
  <c r="G86" i="12"/>
  <c r="I85" i="12"/>
  <c r="J85" i="12"/>
  <c r="K85" i="12"/>
  <c r="N85" i="12"/>
  <c r="C85" i="12"/>
  <c r="G85" i="12"/>
  <c r="F85" i="12"/>
  <c r="E66" i="12"/>
  <c r="F66" i="12"/>
  <c r="G66" i="12"/>
  <c r="H66" i="12"/>
  <c r="I66" i="12"/>
  <c r="J66" i="12"/>
  <c r="K66" i="12"/>
  <c r="L66" i="12"/>
  <c r="M66" i="12"/>
  <c r="N66" i="12"/>
  <c r="O66" i="12"/>
  <c r="D66" i="12"/>
  <c r="D65" i="12"/>
  <c r="C66" i="12"/>
  <c r="E65" i="12"/>
  <c r="F65" i="12"/>
  <c r="G65" i="12"/>
  <c r="H65" i="12"/>
  <c r="I65" i="12"/>
  <c r="J65" i="12"/>
  <c r="K65" i="12"/>
  <c r="L65" i="12"/>
  <c r="M65" i="12"/>
  <c r="N65" i="12"/>
  <c r="O65" i="12"/>
  <c r="C65" i="12"/>
  <c r="E1" i="1"/>
  <c r="F75" i="12" l="1"/>
  <c r="D74" i="12"/>
  <c r="G75" i="12"/>
  <c r="M75" i="12"/>
  <c r="H75" i="12"/>
  <c r="I75" i="12"/>
  <c r="E80" i="12"/>
  <c r="O74" i="12"/>
  <c r="I80" i="12"/>
  <c r="M80" i="12"/>
  <c r="L75" i="12"/>
  <c r="O73" i="12"/>
  <c r="F80" i="12"/>
  <c r="N80" i="12"/>
  <c r="J80" i="12"/>
  <c r="D80" i="12"/>
  <c r="L80" i="12"/>
  <c r="G80" i="12"/>
  <c r="O80" i="12"/>
  <c r="E74" i="12"/>
  <c r="C80" i="12"/>
  <c r="C75" i="12"/>
  <c r="D73" i="12"/>
  <c r="E73" i="12"/>
  <c r="E94" i="12"/>
  <c r="D94" i="12"/>
  <c r="O94" i="12"/>
  <c r="P113" i="12"/>
  <c r="C115" i="12"/>
  <c r="C106" i="12"/>
  <c r="N105" i="12"/>
  <c r="J105" i="12"/>
  <c r="J116" i="12"/>
  <c r="N115" i="12"/>
  <c r="F115" i="12"/>
  <c r="J114" i="12"/>
  <c r="N112" i="12"/>
  <c r="F112" i="12"/>
  <c r="J111" i="12"/>
  <c r="N110" i="12"/>
  <c r="F110" i="12"/>
  <c r="J109" i="12"/>
  <c r="N108" i="12"/>
  <c r="F108" i="12"/>
  <c r="J107" i="12"/>
  <c r="N106" i="12"/>
  <c r="F106" i="12"/>
  <c r="I111" i="12"/>
  <c r="I109" i="12"/>
  <c r="D105" i="12"/>
  <c r="L105" i="12"/>
  <c r="H116" i="12"/>
  <c r="L115" i="12"/>
  <c r="D115" i="12"/>
  <c r="H114" i="12"/>
  <c r="L112" i="12"/>
  <c r="D112" i="12"/>
  <c r="H111" i="12"/>
  <c r="L110" i="12"/>
  <c r="D110" i="12"/>
  <c r="H109" i="12"/>
  <c r="L108" i="12"/>
  <c r="D108" i="12"/>
  <c r="H107" i="12"/>
  <c r="L106" i="12"/>
  <c r="D106" i="12"/>
  <c r="K111" i="12"/>
  <c r="C111" i="12"/>
  <c r="E105" i="12"/>
  <c r="O116" i="12"/>
  <c r="G116" i="12"/>
  <c r="K115" i="12"/>
  <c r="O114" i="12"/>
  <c r="G114" i="12"/>
  <c r="K112" i="12"/>
  <c r="O111" i="12"/>
  <c r="G111" i="12"/>
  <c r="K110" i="12"/>
  <c r="O109" i="12"/>
  <c r="G109" i="12"/>
  <c r="K108" i="12"/>
  <c r="O107" i="12"/>
  <c r="G107" i="12"/>
  <c r="K106" i="12"/>
  <c r="F105" i="12"/>
  <c r="N116" i="12"/>
  <c r="F116" i="12"/>
  <c r="J115" i="12"/>
  <c r="N114" i="12"/>
  <c r="F114" i="12"/>
  <c r="J112" i="12"/>
  <c r="N111" i="12"/>
  <c r="F111" i="12"/>
  <c r="J110" i="12"/>
  <c r="N109" i="12"/>
  <c r="F109" i="12"/>
  <c r="J108" i="12"/>
  <c r="N107" i="12"/>
  <c r="F107" i="12"/>
  <c r="J106" i="12"/>
  <c r="C109" i="12"/>
  <c r="G105" i="12"/>
  <c r="M116" i="12"/>
  <c r="E116" i="12"/>
  <c r="I115" i="12"/>
  <c r="M114" i="12"/>
  <c r="E114" i="12"/>
  <c r="I112" i="12"/>
  <c r="M111" i="12"/>
  <c r="E111" i="12"/>
  <c r="I110" i="12"/>
  <c r="M109" i="12"/>
  <c r="E109" i="12"/>
  <c r="I108" i="12"/>
  <c r="M107" i="12"/>
  <c r="E107" i="12"/>
  <c r="I106" i="12"/>
  <c r="C108" i="12"/>
  <c r="L116" i="12"/>
  <c r="L114" i="12"/>
  <c r="L111" i="12"/>
  <c r="L109" i="12"/>
  <c r="L107" i="12"/>
  <c r="P104" i="12"/>
  <c r="P117" i="12"/>
  <c r="G99" i="12"/>
  <c r="D97" i="12"/>
  <c r="H99" i="12"/>
  <c r="N99" i="12"/>
  <c r="M99" i="12"/>
  <c r="L99" i="12"/>
  <c r="K99" i="12"/>
  <c r="C99" i="12"/>
  <c r="J99" i="12"/>
  <c r="F99" i="12"/>
  <c r="I99" i="12"/>
  <c r="O98" i="12"/>
  <c r="D98" i="12"/>
  <c r="E98" i="12"/>
  <c r="D90" i="12"/>
  <c r="E97" i="12"/>
  <c r="D96" i="12"/>
  <c r="E93" i="12"/>
  <c r="D87" i="12"/>
  <c r="D93" i="12"/>
  <c r="D92" i="12"/>
  <c r="D95" i="12"/>
  <c r="O88" i="12"/>
  <c r="E87" i="12"/>
  <c r="E92" i="12"/>
  <c r="E88" i="12"/>
  <c r="D88" i="12"/>
  <c r="E90" i="12"/>
  <c r="O87" i="12"/>
  <c r="E91" i="12"/>
  <c r="E89" i="12"/>
  <c r="E95" i="12"/>
  <c r="O90" i="12"/>
  <c r="D89" i="12"/>
  <c r="O93" i="12"/>
  <c r="E96" i="12"/>
  <c r="O96" i="12"/>
  <c r="O95" i="12"/>
  <c r="O91" i="12"/>
  <c r="O97" i="12"/>
  <c r="O92" i="12"/>
  <c r="D91" i="12"/>
  <c r="O89" i="12"/>
  <c r="E86" i="12"/>
  <c r="D86" i="12"/>
  <c r="D85" i="12"/>
  <c r="O86" i="12"/>
  <c r="P65" i="12"/>
  <c r="P66" i="12"/>
  <c r="D75" i="12" l="1"/>
  <c r="O75" i="12"/>
  <c r="E75" i="12"/>
  <c r="P80" i="12"/>
  <c r="P112" i="12"/>
  <c r="P110" i="12"/>
  <c r="P116" i="12"/>
  <c r="P108" i="12"/>
  <c r="P114" i="12"/>
  <c r="P107" i="12"/>
  <c r="P106" i="12"/>
  <c r="P111" i="12"/>
  <c r="P105" i="12"/>
  <c r="P109" i="12"/>
  <c r="P115" i="12"/>
  <c r="D118" i="12"/>
  <c r="M118" i="12"/>
  <c r="H118" i="12"/>
  <c r="E118" i="12"/>
  <c r="G118" i="12"/>
  <c r="L118" i="12"/>
  <c r="F118" i="12"/>
  <c r="O118" i="12"/>
  <c r="K118" i="12"/>
  <c r="N118" i="12"/>
  <c r="I118" i="12"/>
  <c r="C118" i="12"/>
  <c r="J118" i="12"/>
  <c r="O99" i="12"/>
  <c r="D99" i="12"/>
  <c r="P118" i="12" l="1"/>
  <c r="C6655" i="8" l="1"/>
  <c r="C6553" i="8" l="1"/>
  <c r="C6552" i="8"/>
  <c r="C6551" i="8"/>
  <c r="C6556" i="8"/>
  <c r="C6555" i="8"/>
  <c r="C6554" i="8"/>
  <c r="L32" i="12" l="1"/>
  <c r="L33" i="12"/>
  <c r="L34" i="12"/>
  <c r="L35" i="12"/>
  <c r="L36" i="12"/>
  <c r="L37" i="12"/>
  <c r="L38" i="12"/>
  <c r="L39" i="12"/>
  <c r="L40" i="12"/>
  <c r="L41" i="12"/>
  <c r="L42" i="12"/>
  <c r="L43" i="12"/>
  <c r="L31" i="12"/>
  <c r="L12" i="12"/>
  <c r="L13" i="12"/>
  <c r="C12" i="12"/>
  <c r="C6559" i="8"/>
  <c r="C6558" i="8"/>
  <c r="C6557" i="8"/>
  <c r="I18" i="12"/>
  <c r="J18" i="12"/>
  <c r="K18" i="12"/>
  <c r="L18" i="12"/>
  <c r="M18" i="12"/>
  <c r="N18" i="12"/>
  <c r="O18" i="12"/>
  <c r="I17" i="12"/>
  <c r="J17" i="12"/>
  <c r="K17" i="12"/>
  <c r="L17" i="12"/>
  <c r="M17" i="12"/>
  <c r="N17" i="12"/>
  <c r="O17" i="12"/>
  <c r="F31" i="12"/>
  <c r="B49" i="12"/>
  <c r="B50" i="12"/>
  <c r="L50" i="12" s="1"/>
  <c r="B51" i="12"/>
  <c r="G51" i="12" s="1"/>
  <c r="B52" i="12"/>
  <c r="B53" i="12"/>
  <c r="E53" i="12" s="1"/>
  <c r="B54" i="12"/>
  <c r="O54" i="12" s="1"/>
  <c r="B55" i="12"/>
  <c r="D55" i="12" s="1"/>
  <c r="B56" i="12"/>
  <c r="F56" i="12" s="1"/>
  <c r="B57" i="12"/>
  <c r="E57" i="12" s="1"/>
  <c r="B58" i="12"/>
  <c r="H58" i="12" s="1"/>
  <c r="B59" i="12"/>
  <c r="I59" i="12" s="1"/>
  <c r="C38" i="12"/>
  <c r="F38" i="12"/>
  <c r="G38" i="12"/>
  <c r="H38" i="12"/>
  <c r="I38" i="12"/>
  <c r="J38" i="12"/>
  <c r="K38" i="12"/>
  <c r="M38" i="12"/>
  <c r="N38" i="12"/>
  <c r="C33" i="12"/>
  <c r="F33" i="12"/>
  <c r="G33" i="12"/>
  <c r="H33" i="12"/>
  <c r="I33" i="12"/>
  <c r="J33" i="12"/>
  <c r="K33" i="12"/>
  <c r="M33" i="12"/>
  <c r="N33" i="12"/>
  <c r="C42" i="12"/>
  <c r="F42" i="12"/>
  <c r="G42" i="12"/>
  <c r="H42" i="12"/>
  <c r="I42" i="12"/>
  <c r="J42" i="12"/>
  <c r="K42" i="12"/>
  <c r="M42" i="12"/>
  <c r="N42" i="12"/>
  <c r="O60" i="12"/>
  <c r="E60" i="12"/>
  <c r="F60" i="12"/>
  <c r="G60" i="12"/>
  <c r="H60" i="12"/>
  <c r="I60" i="12"/>
  <c r="J60" i="12"/>
  <c r="K60" i="12"/>
  <c r="L60" i="12"/>
  <c r="M60" i="12"/>
  <c r="N60" i="12"/>
  <c r="D60" i="12"/>
  <c r="C60" i="12"/>
  <c r="K49" i="12"/>
  <c r="G49" i="12"/>
  <c r="O52" i="12"/>
  <c r="B48" i="12"/>
  <c r="G48" i="12" s="1"/>
  <c r="N43" i="12"/>
  <c r="M43" i="12"/>
  <c r="K43" i="12"/>
  <c r="J43" i="12"/>
  <c r="I43" i="12"/>
  <c r="H43" i="12"/>
  <c r="G43" i="12"/>
  <c r="F43" i="12"/>
  <c r="C43" i="12"/>
  <c r="N41" i="12"/>
  <c r="N32" i="12"/>
  <c r="N34" i="12"/>
  <c r="N35" i="12"/>
  <c r="N36" i="12"/>
  <c r="N37" i="12"/>
  <c r="N39" i="12"/>
  <c r="N40" i="12"/>
  <c r="N31" i="12"/>
  <c r="M32" i="12"/>
  <c r="M34" i="12"/>
  <c r="M35" i="12"/>
  <c r="M36" i="12"/>
  <c r="M37" i="12"/>
  <c r="M39" i="12"/>
  <c r="M40" i="12"/>
  <c r="M41" i="12"/>
  <c r="M31" i="12"/>
  <c r="K31" i="12"/>
  <c r="K32" i="12"/>
  <c r="K34" i="12"/>
  <c r="K35" i="12"/>
  <c r="K36" i="12"/>
  <c r="K37" i="12"/>
  <c r="K39" i="12"/>
  <c r="K40" i="12"/>
  <c r="K41" i="12"/>
  <c r="J41" i="12"/>
  <c r="J32" i="12"/>
  <c r="J34" i="12"/>
  <c r="J35" i="12"/>
  <c r="J36" i="12"/>
  <c r="J37" i="12"/>
  <c r="J39" i="12"/>
  <c r="J40" i="12"/>
  <c r="J31" i="12"/>
  <c r="I31" i="12"/>
  <c r="I41" i="12"/>
  <c r="I32" i="12"/>
  <c r="I34" i="12"/>
  <c r="I35" i="12"/>
  <c r="I36" i="12"/>
  <c r="I37" i="12"/>
  <c r="I39" i="12"/>
  <c r="I40" i="12"/>
  <c r="H32" i="12"/>
  <c r="H34" i="12"/>
  <c r="H35" i="12"/>
  <c r="H36" i="12"/>
  <c r="H37" i="12"/>
  <c r="H39" i="12"/>
  <c r="H40" i="12"/>
  <c r="H41" i="12"/>
  <c r="H31" i="12"/>
  <c r="F41" i="12"/>
  <c r="G41" i="12"/>
  <c r="C41" i="12"/>
  <c r="C40" i="12"/>
  <c r="F40" i="12"/>
  <c r="G40" i="12"/>
  <c r="F37" i="12"/>
  <c r="G37" i="12"/>
  <c r="F39" i="12"/>
  <c r="G39" i="12"/>
  <c r="C37" i="12"/>
  <c r="C39" i="12"/>
  <c r="F35" i="12"/>
  <c r="G35" i="12"/>
  <c r="F36" i="12"/>
  <c r="G36" i="12"/>
  <c r="C35" i="12"/>
  <c r="C36" i="12"/>
  <c r="F34" i="12"/>
  <c r="G34" i="12"/>
  <c r="C34" i="12"/>
  <c r="F32" i="12"/>
  <c r="G32" i="12"/>
  <c r="C32" i="12"/>
  <c r="G31" i="12"/>
  <c r="C31" i="12"/>
  <c r="N57" i="12" l="1"/>
  <c r="O58" i="12"/>
  <c r="G58" i="12"/>
  <c r="L57" i="12"/>
  <c r="L58" i="12"/>
  <c r="F57" i="12"/>
  <c r="J48" i="12"/>
  <c r="D58" i="12"/>
  <c r="I57" i="12"/>
  <c r="H57" i="12"/>
  <c r="D57" i="12"/>
  <c r="C59" i="12"/>
  <c r="N58" i="12"/>
  <c r="F58" i="12"/>
  <c r="K57" i="12"/>
  <c r="C57" i="12"/>
  <c r="M58" i="12"/>
  <c r="E58" i="12"/>
  <c r="J57" i="12"/>
  <c r="C48" i="12"/>
  <c r="K58" i="12"/>
  <c r="C58" i="12"/>
  <c r="J58" i="12"/>
  <c r="O57" i="12"/>
  <c r="G57" i="12"/>
  <c r="I58" i="12"/>
  <c r="M57" i="12"/>
  <c r="J19" i="12"/>
  <c r="K19" i="12"/>
  <c r="N19" i="12"/>
  <c r="M19" i="12"/>
  <c r="I19" i="12"/>
  <c r="D33" i="12"/>
  <c r="O19" i="12"/>
  <c r="L19" i="12"/>
  <c r="D38" i="12"/>
  <c r="D42" i="12"/>
  <c r="E33" i="12"/>
  <c r="E38" i="12"/>
  <c r="O38" i="12"/>
  <c r="O33" i="12"/>
  <c r="K50" i="12"/>
  <c r="E50" i="12"/>
  <c r="L54" i="12"/>
  <c r="M56" i="12"/>
  <c r="E54" i="12"/>
  <c r="I56" i="12"/>
  <c r="G56" i="12"/>
  <c r="I52" i="12"/>
  <c r="I53" i="12"/>
  <c r="M55" i="12"/>
  <c r="E56" i="12"/>
  <c r="O56" i="12"/>
  <c r="J54" i="12"/>
  <c r="M52" i="12"/>
  <c r="K56" i="12"/>
  <c r="N54" i="12"/>
  <c r="G52" i="12"/>
  <c r="J59" i="12"/>
  <c r="C52" i="12"/>
  <c r="K54" i="12"/>
  <c r="N52" i="12"/>
  <c r="H54" i="12"/>
  <c r="I54" i="12"/>
  <c r="D54" i="12"/>
  <c r="E42" i="12"/>
  <c r="O42" i="12"/>
  <c r="J51" i="12"/>
  <c r="D51" i="12"/>
  <c r="H51" i="12"/>
  <c r="J50" i="12"/>
  <c r="N51" i="12"/>
  <c r="D50" i="12"/>
  <c r="J55" i="12"/>
  <c r="L48" i="12"/>
  <c r="N50" i="12"/>
  <c r="D49" i="12"/>
  <c r="F48" i="12"/>
  <c r="H59" i="12"/>
  <c r="C56" i="12"/>
  <c r="I50" i="12"/>
  <c r="K48" i="12"/>
  <c r="L56" i="12"/>
  <c r="M49" i="12"/>
  <c r="N49" i="12"/>
  <c r="D56" i="12"/>
  <c r="F55" i="12"/>
  <c r="H48" i="12"/>
  <c r="O59" i="12"/>
  <c r="G59" i="12"/>
  <c r="N48" i="12"/>
  <c r="E48" i="12"/>
  <c r="F52" i="12"/>
  <c r="H56" i="12"/>
  <c r="O48" i="12"/>
  <c r="N59" i="12"/>
  <c r="F59" i="12"/>
  <c r="I48" i="12"/>
  <c r="J56" i="12"/>
  <c r="K55" i="12"/>
  <c r="L52" i="12"/>
  <c r="N56" i="12"/>
  <c r="D48" i="12"/>
  <c r="E55" i="12"/>
  <c r="F50" i="12"/>
  <c r="H55" i="12"/>
  <c r="O55" i="12"/>
  <c r="M59" i="12"/>
  <c r="E59" i="12"/>
  <c r="N55" i="12"/>
  <c r="L59" i="12"/>
  <c r="D59" i="12"/>
  <c r="I55" i="12"/>
  <c r="J52" i="12"/>
  <c r="K52" i="12"/>
  <c r="M48" i="12"/>
  <c r="D52" i="12"/>
  <c r="E52" i="12"/>
  <c r="H52" i="12"/>
  <c r="K59" i="12"/>
  <c r="P60" i="12"/>
  <c r="C55" i="12"/>
  <c r="G55" i="12"/>
  <c r="L55" i="12"/>
  <c r="G54" i="12"/>
  <c r="F54" i="12"/>
  <c r="C54" i="12"/>
  <c r="M54" i="12"/>
  <c r="C53" i="12"/>
  <c r="N53" i="12"/>
  <c r="D53" i="12"/>
  <c r="H53" i="12"/>
  <c r="J53" i="12"/>
  <c r="M53" i="12"/>
  <c r="F53" i="12"/>
  <c r="G53" i="12"/>
  <c r="O53" i="12"/>
  <c r="K53" i="12"/>
  <c r="L53" i="12"/>
  <c r="M50" i="12"/>
  <c r="G50" i="12"/>
  <c r="H50" i="12"/>
  <c r="C50" i="12"/>
  <c r="O50" i="12"/>
  <c r="E51" i="12"/>
  <c r="F51" i="12"/>
  <c r="O51" i="12"/>
  <c r="C51" i="12"/>
  <c r="I51" i="12"/>
  <c r="K51" i="12"/>
  <c r="L51" i="12"/>
  <c r="M51" i="12"/>
  <c r="L49" i="12"/>
  <c r="H49" i="12"/>
  <c r="O49" i="12"/>
  <c r="C49" i="12"/>
  <c r="E49" i="12"/>
  <c r="F49" i="12"/>
  <c r="I49" i="12"/>
  <c r="J49" i="12"/>
  <c r="D35" i="12"/>
  <c r="D40" i="12"/>
  <c r="O32" i="12"/>
  <c r="H44" i="12"/>
  <c r="D34" i="12"/>
  <c r="F44" i="12"/>
  <c r="I44" i="12"/>
  <c r="J44" i="12"/>
  <c r="O34" i="12"/>
  <c r="L44" i="12"/>
  <c r="O39" i="12"/>
  <c r="O40" i="12"/>
  <c r="K44" i="12"/>
  <c r="O31" i="12"/>
  <c r="O37" i="12"/>
  <c r="O41" i="12"/>
  <c r="M44" i="12"/>
  <c r="O36" i="12"/>
  <c r="N44" i="12"/>
  <c r="G44" i="12"/>
  <c r="O35" i="12"/>
  <c r="C44" i="12"/>
  <c r="O43" i="12"/>
  <c r="E43" i="12"/>
  <c r="D43" i="12"/>
  <c r="D39" i="12"/>
  <c r="D41" i="12"/>
  <c r="D36" i="12"/>
  <c r="D37" i="12"/>
  <c r="D32" i="12"/>
  <c r="E37" i="12"/>
  <c r="E35" i="12"/>
  <c r="E34" i="12"/>
  <c r="E32" i="12"/>
  <c r="E41" i="12"/>
  <c r="E36" i="12"/>
  <c r="E40" i="12"/>
  <c r="D31" i="12"/>
  <c r="E39" i="12"/>
  <c r="E31" i="12"/>
  <c r="B26" i="12"/>
  <c r="G26" i="12" s="1"/>
  <c r="B25" i="12"/>
  <c r="B24" i="12"/>
  <c r="B23" i="12"/>
  <c r="B22" i="12"/>
  <c r="J22" i="12" s="1"/>
  <c r="H18" i="12"/>
  <c r="H17" i="12"/>
  <c r="G18" i="12"/>
  <c r="G17" i="12"/>
  <c r="F18" i="12"/>
  <c r="F17" i="12"/>
  <c r="E17" i="12"/>
  <c r="E18" i="12"/>
  <c r="D18" i="12"/>
  <c r="D17" i="12"/>
  <c r="C18" i="12"/>
  <c r="C17" i="12"/>
  <c r="P58" i="12" l="1"/>
  <c r="K22" i="12"/>
  <c r="G22" i="12"/>
  <c r="G61" i="12"/>
  <c r="H22" i="12"/>
  <c r="P57" i="12"/>
  <c r="N26" i="12"/>
  <c r="M24" i="12"/>
  <c r="L24" i="12"/>
  <c r="M23" i="12"/>
  <c r="C23" i="12"/>
  <c r="L23" i="12"/>
  <c r="H25" i="12"/>
  <c r="L25" i="12"/>
  <c r="H26" i="12"/>
  <c r="L26" i="12"/>
  <c r="I25" i="12"/>
  <c r="J26" i="12"/>
  <c r="M22" i="12"/>
  <c r="L22" i="12"/>
  <c r="F26" i="12"/>
  <c r="D26" i="12" s="1"/>
  <c r="N22" i="12"/>
  <c r="J61" i="12"/>
  <c r="D61" i="12"/>
  <c r="O61" i="12"/>
  <c r="F61" i="12"/>
  <c r="M61" i="12"/>
  <c r="E61" i="12"/>
  <c r="N61" i="12"/>
  <c r="L61" i="12"/>
  <c r="I61" i="12"/>
  <c r="K61" i="12"/>
  <c r="H61" i="12"/>
  <c r="C61" i="12"/>
  <c r="F22" i="12"/>
  <c r="D22" i="12" s="1"/>
  <c r="K23" i="12"/>
  <c r="G24" i="12"/>
  <c r="P17" i="12"/>
  <c r="H24" i="12"/>
  <c r="J25" i="12"/>
  <c r="P18" i="12"/>
  <c r="I26" i="12"/>
  <c r="P52" i="12"/>
  <c r="P56" i="12"/>
  <c r="P59" i="12"/>
  <c r="P48" i="12"/>
  <c r="H23" i="12"/>
  <c r="G25" i="12"/>
  <c r="I22" i="12"/>
  <c r="J24" i="12"/>
  <c r="J23" i="12"/>
  <c r="P50" i="12"/>
  <c r="I24" i="12"/>
  <c r="K26" i="12"/>
  <c r="N25" i="12"/>
  <c r="M26" i="12"/>
  <c r="G23" i="12"/>
  <c r="F25" i="12"/>
  <c r="F24" i="12"/>
  <c r="I23" i="12"/>
  <c r="K25" i="12"/>
  <c r="N24" i="12"/>
  <c r="M25" i="12"/>
  <c r="P55" i="12"/>
  <c r="F23" i="12"/>
  <c r="K24" i="12"/>
  <c r="N23" i="12"/>
  <c r="P53" i="12"/>
  <c r="P49" i="12"/>
  <c r="P54" i="12"/>
  <c r="P51" i="12"/>
  <c r="O44" i="12"/>
  <c r="D44" i="12"/>
  <c r="E44" i="12"/>
  <c r="F19" i="12"/>
  <c r="D19" i="12"/>
  <c r="E19" i="12"/>
  <c r="C19" i="12"/>
  <c r="G19" i="12"/>
  <c r="H19" i="12"/>
  <c r="C13" i="12"/>
  <c r="M13" i="12"/>
  <c r="K13" i="12"/>
  <c r="J13" i="12"/>
  <c r="F13" i="12"/>
  <c r="F12" i="12"/>
  <c r="M12" i="12"/>
  <c r="K12" i="12"/>
  <c r="J12" i="12"/>
  <c r="I13" i="12"/>
  <c r="I12" i="12"/>
  <c r="G12" i="12"/>
  <c r="G13" i="12"/>
  <c r="H13" i="12"/>
  <c r="H12" i="12"/>
  <c r="H27" i="12" l="1"/>
  <c r="D24" i="12"/>
  <c r="M27" i="12"/>
  <c r="P19" i="12"/>
  <c r="C27" i="12"/>
  <c r="O22" i="12"/>
  <c r="E22" i="12"/>
  <c r="L27" i="12"/>
  <c r="D25" i="12"/>
  <c r="G27" i="12"/>
  <c r="I27" i="12"/>
  <c r="O23" i="12"/>
  <c r="J14" i="12"/>
  <c r="K27" i="12"/>
  <c r="E26" i="12"/>
  <c r="J27" i="12"/>
  <c r="O24" i="12"/>
  <c r="F27" i="12"/>
  <c r="N27" i="12"/>
  <c r="O26" i="12"/>
  <c r="E24" i="12"/>
  <c r="D23" i="12"/>
  <c r="E23" i="12"/>
  <c r="E25" i="12"/>
  <c r="O25" i="12"/>
  <c r="K14" i="12"/>
  <c r="M14" i="12"/>
  <c r="I14" i="12"/>
  <c r="L14" i="12"/>
  <c r="H14" i="12"/>
  <c r="C14" i="12"/>
  <c r="F14" i="12"/>
  <c r="G14" i="12"/>
  <c r="D12" i="12"/>
  <c r="E12" i="12"/>
  <c r="E13" i="12"/>
  <c r="O12" i="12"/>
  <c r="O13" i="12"/>
  <c r="D13" i="12"/>
  <c r="C6562" i="8"/>
  <c r="C6561" i="8"/>
  <c r="C6560" i="8"/>
  <c r="O14" i="12" l="1"/>
  <c r="D27" i="12"/>
  <c r="O27" i="12"/>
  <c r="E27" i="12"/>
  <c r="E14" i="12"/>
  <c r="D14" i="12"/>
  <c r="C6565" i="8"/>
  <c r="C6564" i="8"/>
  <c r="C6563" i="8"/>
  <c r="C6568" i="8" l="1"/>
  <c r="C6567" i="8"/>
  <c r="C6566" i="8"/>
  <c r="C6571" i="8" l="1"/>
  <c r="C6570" i="8"/>
  <c r="C6569" i="8"/>
  <c r="C6574" i="8" l="1"/>
  <c r="C6573" i="8"/>
  <c r="C6572" i="8"/>
  <c r="A1" i="8" l="1"/>
  <c r="C6577" i="8"/>
  <c r="C6576" i="8"/>
  <c r="C6575" i="8"/>
  <c r="Z2003" i="1"/>
  <c r="C6580" i="8"/>
  <c r="C6579" i="8"/>
  <c r="C6578" i="8"/>
  <c r="C6583" i="8" l="1"/>
  <c r="C6582" i="8"/>
  <c r="C6581" i="8"/>
  <c r="C6586" i="8" l="1"/>
  <c r="C6585" i="8"/>
  <c r="C6584" i="8"/>
  <c r="C6589" i="8" l="1"/>
  <c r="C6588" i="8"/>
  <c r="C6587" i="8"/>
  <c r="C6592" i="8" l="1"/>
  <c r="C6591" i="8"/>
  <c r="C6590" i="8"/>
  <c r="C6595" i="8" l="1"/>
  <c r="C6594" i="8"/>
  <c r="C6593" i="8"/>
  <c r="C6598" i="8" l="1"/>
  <c r="C6597" i="8"/>
  <c r="C6596" i="8"/>
  <c r="C6601" i="8" l="1"/>
  <c r="C6600" i="8"/>
  <c r="C6599" i="8"/>
  <c r="C6604" i="8" l="1"/>
  <c r="C6603" i="8"/>
  <c r="C6602" i="8"/>
  <c r="C6607" i="8"/>
  <c r="C6606" i="8"/>
  <c r="C6605" i="8"/>
  <c r="C6610" i="8"/>
  <c r="C6609" i="8"/>
  <c r="C6608" i="8"/>
  <c r="C6613" i="8"/>
  <c r="C6612" i="8"/>
  <c r="C6611" i="8"/>
  <c r="C6616" i="8" l="1"/>
  <c r="C6615" i="8"/>
  <c r="C6614" i="8"/>
  <c r="C6619" i="8"/>
  <c r="C6618" i="8"/>
  <c r="C6617" i="8"/>
  <c r="C6622" i="8" l="1"/>
  <c r="C6621" i="8"/>
  <c r="C6620" i="8"/>
  <c r="C6625" i="8" l="1"/>
  <c r="C6624" i="8"/>
  <c r="C6623" i="8"/>
  <c r="C6628" i="8"/>
  <c r="C6627" i="8"/>
  <c r="C6626" i="8"/>
  <c r="C6631" i="8" l="1"/>
  <c r="C6630" i="8"/>
  <c r="C6629" i="8"/>
  <c r="C6634" i="8" l="1"/>
  <c r="C6633" i="8"/>
  <c r="C6632" i="8"/>
  <c r="C6637" i="8" l="1"/>
  <c r="C6636" i="8"/>
  <c r="C6635" i="8"/>
  <c r="C6640" i="8" l="1"/>
  <c r="C6639" i="8"/>
  <c r="C6638" i="8"/>
  <c r="Y1" i="1"/>
  <c r="X1" i="1"/>
  <c r="W1" i="1"/>
  <c r="C6643" i="8"/>
  <c r="C6642" i="8"/>
  <c r="C6641" i="8"/>
  <c r="C6646" i="8"/>
  <c r="C6645" i="8"/>
  <c r="C6644" i="8"/>
  <c r="B49" i="6" l="1"/>
  <c r="B48" i="6"/>
  <c r="B47" i="6"/>
  <c r="B34" i="6"/>
  <c r="B6" i="2"/>
  <c r="C6652" i="8"/>
  <c r="C6651" i="8"/>
  <c r="C6650" i="8"/>
  <c r="C6649" i="8"/>
  <c r="C6648" i="8"/>
  <c r="C6647" i="8"/>
  <c r="D1" i="1"/>
  <c r="O85" i="12"/>
  <c r="E85" i="12"/>
  <c r="E99" i="12" s="1"/>
</calcChain>
</file>

<file path=xl/connections.xml><?xml version="1.0" encoding="utf-8"?>
<connections xmlns="http://schemas.openxmlformats.org/spreadsheetml/2006/main">
  <connection id="1" interval="60" name="All CFI Query" type="1" refreshedVersion="5" minRefreshableVersion="3" savePassword="1" saveData="1">
    <dbPr connection="DRIVER=SQL Server;SERVER=16.78.1.105;UID=bugzilla_database_reader;PWD=Bugs!;APP=Microsoft Office 2013;WSID=ROBERTSA4;DATABASE=Bugzilla" command="SELECT [CfCfiNumberText] ,[BugID] ,[Summary] ,[AssignedTo] ,[Status] ,[Resolution] ,[Priority] ,[CfBedrock] ,[Severity] ,[CfProbability] ,[Product] ,[Component] ,[TargetMilestone] ,[Keywords] ,[WhiteBoard] ,[Version] ,[CfVersionIntroducedIn] ,[CreationTime] ,[LastChangeTime] ,[Creator] ,[CfTargetBuild],[cfdudl]  FROM [Bugzilla].[dbo].[Bug]  WHERE (([Classification] LIKE '%Avatar%') OR ([Classification] LIKE 'Protocols') OR ([Classification] LIKE 'Platform') ) AND  ([Product] NOT LIKE 'Raptor') AND  (([Component] NOT LIKE 'FW%') AND ([Component] NOT LIKE 'Drive%')) AND   ([CfCfiNumberText] &lt;&gt;'')  ORDER BY [BugId]"/>
  </connection>
</connections>
</file>

<file path=xl/sharedStrings.xml><?xml version="1.0" encoding="utf-8"?>
<sst xmlns="http://schemas.openxmlformats.org/spreadsheetml/2006/main" count="97706" uniqueCount="5239">
  <si>
    <t>CFI Home</t>
  </si>
  <si>
    <t>matthew.leach3@hpe.com</t>
  </si>
  <si>
    <t>don.gibbons@hpe.com</t>
  </si>
  <si>
    <t>chad.mitchell@hpe.com</t>
  </si>
  <si>
    <t>daisuke.oouchi@hpe.com</t>
  </si>
  <si>
    <t>bertram.stoeckler@hpe.com</t>
  </si>
  <si>
    <t>http://vasa0097.cxo.storage.hpecorp.net/Cfi/CFIIssues?gridIssues-sort=&amp;gridIssues-page=1&amp;gridIssues-pageSize=500&amp;gridIssues-group=&amp;gridIssues-filter=(ProductFamily~contains~%27persona%27~and~TrackState~contains~%27development%27)~and~(CFIState~eq~%27emerging%27~or~CFIState~eq~%27open%27)</t>
  </si>
  <si>
    <t>http://vasa0097.cxo.storage.hpecorp.net/Cfi/CFIIssues?gridIssues-sort=&amp;gridIssues-page=1&amp;gridIssues-pageSize=500&amp;gridIssues-group=&amp;gridIssues-filter=((ProductFamily~contains~%27persona%27~or~ProductFamily~contains~%27StoreOnce%27)~and~TrackState~contains~%27development%27)~and~(CFIState~eq~%27emerging%27~or~CFIState~eq~%27open%27)</t>
  </si>
  <si>
    <t>CFI FP and SO</t>
  </si>
  <si>
    <t>CFI FP only</t>
  </si>
  <si>
    <t>BugID</t>
  </si>
  <si>
    <t>Summary</t>
  </si>
  <si>
    <t>AssignedTo</t>
  </si>
  <si>
    <t>Status</t>
  </si>
  <si>
    <t>Resolution</t>
  </si>
  <si>
    <t>Priority</t>
  </si>
  <si>
    <t>CfBedrock</t>
  </si>
  <si>
    <t>Severity</t>
  </si>
  <si>
    <t>CfProbability</t>
  </si>
  <si>
    <t>Product</t>
  </si>
  <si>
    <t>Keywords</t>
  </si>
  <si>
    <t>WhiteBoard</t>
  </si>
  <si>
    <t>Version</t>
  </si>
  <si>
    <t>CfVersionIntroducedIn</t>
  </si>
  <si>
    <t>CreationTime</t>
  </si>
  <si>
    <t>LastChangeTime</t>
  </si>
  <si>
    <t>Creator</t>
  </si>
  <si>
    <t>[Norway Geological Survey, Kawasaki, Zagreb, A-Insinrit Oy] IBRIX might take advantage of IDR feature in Gen8 Controllers</t>
  </si>
  <si>
    <t>jgarrett@hpe.com</t>
  </si>
  <si>
    <t>REOPENED</t>
  </si>
  <si>
    <t>P2</t>
  </si>
  <si>
    <t>Red Zone</t>
  </si>
  <si>
    <t>critical</t>
  </si>
  <si>
    <t>Low</t>
  </si>
  <si>
    <t>Platform Software</t>
  </si>
  <si>
    <t>---</t>
  </si>
  <si>
    <t>Move2Rally,Sig_Logged,Signatured</t>
  </si>
  <si>
    <t>9/16: Recommend to close a WONT FIX and target development activities focused on Avengers</t>
  </si>
  <si>
    <t>G8 Single Node</t>
  </si>
  <si>
    <t>david.burden@hpe.com</t>
  </si>
  <si>
    <t>[Master] [University of Chicago] Unable to rename file beginning with @ symbol with numbers in the file name</t>
  </si>
  <si>
    <t>alban-k.lyndem@hpe.com</t>
  </si>
  <si>
    <t>ASSIGNED</t>
  </si>
  <si>
    <t>major</t>
  </si>
  <si>
    <t>Medium</t>
  </si>
  <si>
    <t>ADE</t>
  </si>
  <si>
    <t/>
  </si>
  <si>
    <t>Astra-1.0.1</t>
  </si>
  <si>
    <t>eddy.hutson@hpe.com</t>
  </si>
  <si>
    <t>[Master] [UDU138218] [Customer: 3PAR Dogfood] Failed growfpg and repeated khungtask crashes on system with nearly full (possibly fragmented) FPG</t>
  </si>
  <si>
    <t>anilkb@hpe.com</t>
  </si>
  <si>
    <t>High</t>
  </si>
  <si>
    <t>AvatarFS</t>
  </si>
  <si>
    <t>matthew.dav.bondurant@hpe.com</t>
  </si>
  <si>
    <t>P1</t>
  </si>
  <si>
    <t>SystemPanic</t>
  </si>
  <si>
    <t>unspecified</t>
  </si>
  <si>
    <t>Green Zone</t>
  </si>
  <si>
    <t>normal</t>
  </si>
  <si>
    <t>[Master] [Customer: University of Chicago] AV enabled generates multiple semaphore calls per file impacting performance</t>
  </si>
  <si>
    <t>Escape</t>
  </si>
  <si>
    <t>Astra-1.1.0</t>
  </si>
  <si>
    <t>kishore-krishna.mamillapalli@hpe.com</t>
  </si>
  <si>
    <t>[Master][Cutomer: BCGov; Edelweiss Web Services Limited; BELL CANADA, TGT.128218-ALCALA DE HENARES,,MADRID] When writing and deleting large amounts of data, CPG free space is consumed faster than expected, requiring purchase of additional storage earlier</t>
  </si>
  <si>
    <t>shruti@hpe.com</t>
  </si>
  <si>
    <t>Atlas</t>
  </si>
  <si>
    <t>paul.evertson@hpe.com</t>
  </si>
  <si>
    <t>NEW</t>
  </si>
  <si>
    <t>Yellow Zone</t>
  </si>
  <si>
    <t>Avitus</t>
  </si>
  <si>
    <t>matt.dumm@hpe.com</t>
  </si>
  <si>
    <t>[Master] [Customer: Sjofartsverket,QPnT: Aurora Release Test] lwio throws an assert in InotifySetFcbMask()</t>
  </si>
  <si>
    <t>arnab.das@hpe.com</t>
  </si>
  <si>
    <t>Protocols-SMB</t>
  </si>
  <si>
    <t>[Master] [Customer: Baxter] netlogon crashes resulting in loss of AD access</t>
  </si>
  <si>
    <t>Atlas-1.2.1</t>
  </si>
  <si>
    <t>[Master] [Customer: Wuerth] memory leak in slabs results in kernel panic: out of memory</t>
  </si>
  <si>
    <t>Atlas-1.2.2</t>
  </si>
  <si>
    <t>iris.yi@hpe.com</t>
  </si>
  <si>
    <t>[Master] [Customer Sporting Index Ltd.] slow reclamation with heavily fragmented large files affects system performance.</t>
  </si>
  <si>
    <t>anoopk@hpe.com</t>
  </si>
  <si>
    <t>[Master] [Customer: Star Financial] lwio segfaults in lwmsg_peer_assoc_session_dispatch_calls()</t>
  </si>
  <si>
    <t>arpan.chatterjee@hpe.com</t>
  </si>
  <si>
    <t>[Master] [Customer: Unipol, Big Lots Stores]: lwiod crashed, NAS shares inaccessible</t>
  </si>
  <si>
    <t>sujasha.de@hpe.com</t>
  </si>
  <si>
    <t>3.14.1 Asterix</t>
  </si>
  <si>
    <t>horvath@hpe.com</t>
  </si>
  <si>
    <t>[Master] [Customer: Lego, SFMC, SOMINCOR, Kenshoo, Kforce, NewSouthWales] Multiple Java crashes from out of memory conditions</t>
  </si>
  <si>
    <t>tom.nelson@hpe.com</t>
  </si>
  <si>
    <t>1.2?</t>
  </si>
  <si>
    <t>[Master] [Customer: Sony Mobile] Customer cant join AD, shows error 40700 (unknown error code)</t>
  </si>
  <si>
    <t>das.souvik@hpe.com</t>
  </si>
  <si>
    <t>3.13.X Zirkel Next</t>
  </si>
  <si>
    <t>[Master] [Customer : Picscout (Israel) Ltd] lwio memory leak after upgrade to 1.2.2, OOM ocurred</t>
  </si>
  <si>
    <t>steve.e.douglas@hpe.com</t>
  </si>
  <si>
    <t>[Master] [Customer: Sky Italia, YOOX Net-A-Porter] Unable to use the same name for local user and local group</t>
  </si>
  <si>
    <t>Protocols-AAUM</t>
  </si>
  <si>
    <t>Enhancement</t>
  </si>
  <si>
    <t>tom.connolly@hpe.com</t>
  </si>
  <si>
    <t>[Master] [Customer: Arcadia University] startfs fails with 'Error: Failed to bring up internal networking on virtual machine on node 0 after VM re-define" moved from UDU bug 192117</t>
  </si>
  <si>
    <t>gayatri.kaveri@hpe.com</t>
  </si>
  <si>
    <t>3/16: Fixed on Trunk and Aurora, Atlas-maint INACTIVE</t>
  </si>
  <si>
    <t>[Master] [Customer: Tetra Pak AB,Kraft, NewSouthWales] Loss of the schannel connection to AD is not detected by service monitoring, resulting in DU and requiring manual intervention</t>
  </si>
  <si>
    <t>alexander.petliar@hpe.com</t>
  </si>
  <si>
    <t>[Master] [Customer: Jajah Ltd., Tetra Pak AB] Snapshot plugin some times fails with cannot get actor reference. Actor system is terminated</t>
  </si>
  <si>
    <t>mukunda.chowdaiah@hpe.com</t>
  </si>
  <si>
    <t>Snapshots</t>
  </si>
  <si>
    <t>Atlas-1.2.3</t>
  </si>
  <si>
    <t>kotreshi.chikkabidari@hpe.com</t>
  </si>
  <si>
    <t>[Master] [Customer: Tetra Pak AB, Ternium] probable lwio deadlock</t>
  </si>
  <si>
    <t>souravb@hpe.com</t>
  </si>
  <si>
    <t>[Master] [Customer: Tetra Pak AB,Kforce] ASSERTION FAILED: Expression = (ntStatus == ((LW_NTSTATUS)0x00000000)) File Name = '../lwio/server/srv/protocols/smb2/lock.c' Line Num = '992'</t>
  </si>
  <si>
    <t>subhabrata.mallick@hpe.com</t>
  </si>
  <si>
    <t>[Customer: Xo Communications, LLC] failover node2fs with not pingable, under heavy NFS workload with enumeration of directories with millions of files</t>
  </si>
  <si>
    <t>[Master] [UDU 196066] [The Dairy Farm Company Limited] Fix the upgrade record status in case of post update node crash</t>
  </si>
  <si>
    <t>aruna.murthy@hpe.com</t>
  </si>
  <si>
    <t>P0</t>
  </si>
  <si>
    <t>3/16: Only Atlas maint clone still open, fixed on other clones - INACTIVE for now</t>
  </si>
  <si>
    <t>TS2.1 (Atlas)</t>
  </si>
  <si>
    <t>ravi.mehta3@hpe.com</t>
  </si>
  <si>
    <t>[Master] [Customer: Tetra Pak AB] When using the Open Files functionality in MMC, "Error 6: The handle is invalid" is often returned</t>
  </si>
  <si>
    <t>Escape,One-off_Patch</t>
  </si>
  <si>
    <t>[Master][Customer: TURKUAZ TEKSTIL, Microfinance, LaTrobe]  lwio: ASSERTION FAILED: Expression = ((((LW_NTSTATUS)0x00000103) == status) || (pIrp-&gt;IoStatusBlock.Status == status))</t>
  </si>
  <si>
    <t>[Master] [Customer: Tetra Pak AB] segfault in LwRtlWakeTask task pointer is null</t>
  </si>
  <si>
    <t>[Master] [Customer: Tetra Pak AB] When active PML node becomes unresponsive, the passive nodes are unable to transition to the active state</t>
  </si>
  <si>
    <t>eric.swartz@hpe.com</t>
  </si>
  <si>
    <t>4/10: Waiting on 97915 at this point. (fix under test)</t>
  </si>
  <si>
    <t>[Master][Customer MarketAmerica] FPG failover fails in SrvProtocolDeleteSessionsByServerAddress because srvconnection.c:1942 encounters an internal error, 0xc00000e5</t>
  </si>
  <si>
    <t>WIPRO, Pending for Review</t>
  </si>
  <si>
    <t>[Master] [Customer: Tetra Pak AB] Apparent deadlock in FPG umount operation</t>
  </si>
  <si>
    <t>[Master] [Customer: Tetra Pak AB, Sabic] Stuck in starting state - PML threads exhausted, due to hang in SMB share enumeration</t>
  </si>
  <si>
    <t>santanug@hpe.com</t>
  </si>
  <si>
    <t>WIPRO, Analysis in Progress</t>
  </si>
  <si>
    <t>Aurora</t>
  </si>
  <si>
    <t>bryan.mcdade@hpe.com</t>
  </si>
  <si>
    <t>[Master] [Customer: Tetra Pak AB] After PML is restarted (due to memory leak for instance), it may not automatically return to a healthy state due to Exception starting module Infrastructure Manager Module:...Address already in use</t>
  </si>
  <si>
    <t>bill.fitzgerald@hpe.com</t>
  </si>
  <si>
    <t xml:space="preserve">4/4: Fixed on Trunk,  17A next.  3/23: Waiver for Aurora. </t>
  </si>
  <si>
    <t>[Master] [Customer: SafeTech] No alert raised or health reported as degraded when clock out of sync vs. AD, and can't be adjusted because VM time is ahead of AD</t>
  </si>
  <si>
    <t>avik.mondal@hpe.com</t>
  </si>
  <si>
    <t>Reopened-Other</t>
  </si>
  <si>
    <t>bharatp@hpe.com</t>
  </si>
  <si>
    <t>[Master] [Customer: Tetra Pak AB] seq_search() misguides insert_seq() resulting in directory pages truncation</t>
  </si>
  <si>
    <t>anand.ganjihal@hpe.com</t>
  </si>
  <si>
    <t>[Master][Customer: Mitsubishi Electric Information Network Corporation, Orange] fail to remove fstore when fshare is generated with -shardir option</t>
  </si>
  <si>
    <t>Open to track F822 for ERT visibility</t>
  </si>
  <si>
    <t>[Master] [Customer - Sporting Index] After upgrade to 1.2.3, Cisco-switch reports "STM_LOOP_DETECT: Loops detected in the network" 2 VLANs configured</t>
  </si>
  <si>
    <t>jeremy.goss@hpe.com</t>
  </si>
  <si>
    <t xml:space="preserve">10/9: Already fixed for Axion (BZ98723). 8/31: Will address for FP 1.4.2  7/10: Only 17A left WAIVER. 6/22: Waiver submitted for 17A. 6/7: Fixed on Trunk. </t>
  </si>
  <si>
    <t>richard.barry@hpe.com</t>
  </si>
  <si>
    <t>[Master] [Customer Sabic] PML HA not working.</t>
  </si>
  <si>
    <t>5/22: All approvals for CRB are now in, should progress..</t>
  </si>
  <si>
    <t>[Master] [Customer: Tetra Pak AB] dentry list corruption leads to crash with: kernel BUG at fs/dcache.c:471!</t>
  </si>
  <si>
    <t>santigopal.mondal@hpe.com</t>
  </si>
  <si>
    <t>[Master][Customer: WBC] Archive-bit on FilePersona SMB-share not set when MS-Word modifies a file</t>
  </si>
  <si>
    <t>nitin.prakash@hpe.com</t>
  </si>
  <si>
    <t>[Master][Customer: Tetra Pak AB] Domain goes offline, then lsass reports Domain is now online but lwio thread pool is consumed with calls to lsass while lsass thread pool is empty</t>
  </si>
  <si>
    <t>Escape,Reopened-Other</t>
  </si>
  <si>
    <t>Reopend to allow CFI tracking of user story</t>
  </si>
  <si>
    <t>Day One</t>
  </si>
  <si>
    <t>[Master][Customer: Samsung] smb share inaccessible after node crash</t>
  </si>
  <si>
    <t>vandana.n@hpe.com</t>
  </si>
  <si>
    <t>rohit.pandey@hpe.com</t>
  </si>
  <si>
    <t>[Master] [Customer Kforce] removeVFS does not delete related route table entries as needed on all of the File Persona nodes</t>
  </si>
  <si>
    <t>spider@hpe.com</t>
  </si>
  <si>
    <t xml:space="preserve">9/11: Out for code review. 8/31: Target Hard Sprint for FP 1.4.2  8/14: Behind other RZs.  7/6: Waivered for 17A, only Atlas 1.2-Maint open. 6/15: Will go to WAIVER for 17A. Has been fixed on Trunk. </t>
  </si>
  <si>
    <t>[Master] [Customer Kforce] Data not available to network clients because of an incorrect route table entry from a createVFS subnet mask mistake.</t>
  </si>
  <si>
    <t>leslie.colasanti@hpe.com</t>
  </si>
  <si>
    <t>[Master][Customer Centric] SMB hangs almost twice a day. core-files generated</t>
  </si>
  <si>
    <t>[Master] [Customer: Tetra Pak AB] ASSERTION FAILED: Expression = (RtlWC16StringIsEqual(pwszNewVShareName, pShareInfoDst-&gt;pwszName, 0)) File Name = ../lwio/server/srv/shares/api/shareapi.c' Line Num = '4414</t>
  </si>
  <si>
    <t>sobhan.patra@hpe.com</t>
  </si>
  <si>
    <t>andrea.tanner@hpe.com</t>
  </si>
  <si>
    <t>[Master] [Customer: Wuerth] offline fsck taking a long time, likely while checking BMT chains</t>
  </si>
  <si>
    <t>ankit.gupta4@hpe.com</t>
  </si>
  <si>
    <t xml:space="preserve">7/13: May follow how Avitus does to see if more work needed. 7/10: Active Trunk clone, WONTFIX on branches. 6/19: 1.4 does have periodic collectl - could help in diagnosing future instances. </t>
  </si>
  <si>
    <t>scott.lemieux@hpe.com</t>
  </si>
  <si>
    <t>[Customer: Market America] SrvConnection2SessionCompare asserts because pKey2 value is null</t>
  </si>
  <si>
    <t xml:space="preserve">WIPRPO - Analysis in progress </t>
  </si>
  <si>
    <t>[Master][Customer CityOfAlbermarle] Unplanned HPE-SMB service stack restart due to unexpected thread termination causing lsass to be detected as non-operational by Service Monitor</t>
  </si>
  <si>
    <t>[Master] [Customer: Samsung Electro-Mechanics] multiple vm node crash during smb share load test</t>
  </si>
  <si>
    <t>naveen.b@hpe.com</t>
  </si>
  <si>
    <t>[Master][Customer: Kforce] thousands of the following messages logged per minute followed by what appears to be an HPEIdmapd restart: ade_idmapd: Name not found: Authenticated^Users@NT^AUTHORITY</t>
  </si>
  <si>
    <t>[Master][KPMG] SMB directory folder creation fails intermittently in a trusted domain environment</t>
  </si>
  <si>
    <t>yuriy.kirichok@hpe.com</t>
  </si>
  <si>
    <t>[Customer: Kforce] ade_mtst.log size is excessive and leads to excessively large fcollects</t>
  </si>
  <si>
    <t>[Master][Customer: Tetra Pak AB] lwio: [lwio] ASSERTION FAILED: Expression = (ntStatus == ((LW_NTSTATUS)0x00000000)) File Name = '../lwio/server/srv/protocols/smb2/close.c' Line Num = '301'</t>
  </si>
  <si>
    <t>[Master][Customer: Omnicom, Woking] Same file listed in dentry more than once, dentry truncated after this listing, files not accessable</t>
  </si>
  <si>
    <t>[Master] [Customer: Omnicom, Woking] Snapshots not reclaimed with: &lt;ERROR&gt; | 2386073344 | Corrupt dentry - needs ibfsck (B=1505250001, D=1505250001, STARTUP) inode_id 1000006749e/15.1000006749e0000000300000015, dir 32c9</t>
  </si>
  <si>
    <t>[Master][Customer USProbation] SMB Server Initiated oplock / lease break causes Win7 Network Client Delayed Response</t>
  </si>
  <si>
    <t>Would like to know by 11-Oct if this is test client problem</t>
  </si>
  <si>
    <t>Atlas-1.2.4</t>
  </si>
  <si>
    <t>[Master] [Customer: Omincom] OFSCK causes an OOM panic on the FP VM with: Kernel panic - not syncing: Out of memory: system-wide panic_on_oom is enabled</t>
  </si>
  <si>
    <t>prashanth.v@hpe.com</t>
  </si>
  <si>
    <t>[Master][Customer: Ternium] Share unresponsive, attempt to connect results in tree connect error STATUS_ACCESS_DENIED</t>
  </si>
  <si>
    <t>jeonggoo@hpe.com</t>
  </si>
  <si>
    <t>FileSystem Management (IAS)</t>
  </si>
  <si>
    <t>CfCfiNumberText</t>
  </si>
  <si>
    <t>5002</t>
  </si>
  <si>
    <t>11152</t>
  </si>
  <si>
    <t>10559</t>
  </si>
  <si>
    <t>10944</t>
  </si>
  <si>
    <t>11098</t>
  </si>
  <si>
    <t>11311</t>
  </si>
  <si>
    <t>11690</t>
  </si>
  <si>
    <t>11730, 18157</t>
  </si>
  <si>
    <t>11710</t>
  </si>
  <si>
    <t>11878</t>
  </si>
  <si>
    <t>12271</t>
  </si>
  <si>
    <t>12478</t>
  </si>
  <si>
    <t>12561</t>
  </si>
  <si>
    <t>12886</t>
  </si>
  <si>
    <t>12452</t>
  </si>
  <si>
    <t>13183</t>
  </si>
  <si>
    <t>13204,18520</t>
  </si>
  <si>
    <t>16212</t>
  </si>
  <si>
    <t>13235</t>
  </si>
  <si>
    <t>16394</t>
  </si>
  <si>
    <t>17327</t>
  </si>
  <si>
    <t>16647</t>
  </si>
  <si>
    <t>17090</t>
  </si>
  <si>
    <t>17092</t>
  </si>
  <si>
    <t>17100</t>
  </si>
  <si>
    <t>17360</t>
  </si>
  <si>
    <t>17112</t>
  </si>
  <si>
    <t>10297</t>
  </si>
  <si>
    <t>17330</t>
  </si>
  <si>
    <t>17510</t>
  </si>
  <si>
    <t>10556</t>
  </si>
  <si>
    <t>17486</t>
  </si>
  <si>
    <t>17550</t>
  </si>
  <si>
    <t>17688</t>
  </si>
  <si>
    <t>17496</t>
  </si>
  <si>
    <t>17757</t>
  </si>
  <si>
    <t>17789</t>
  </si>
  <si>
    <t>17779</t>
  </si>
  <si>
    <t>17774</t>
  </si>
  <si>
    <t>17772</t>
  </si>
  <si>
    <t>17885</t>
  </si>
  <si>
    <t>13205</t>
  </si>
  <si>
    <t>17373</t>
  </si>
  <si>
    <t>17859</t>
  </si>
  <si>
    <t>18118</t>
  </si>
  <si>
    <t>18172</t>
  </si>
  <si>
    <t>18265</t>
  </si>
  <si>
    <t>18242</t>
  </si>
  <si>
    <t>18486</t>
  </si>
  <si>
    <t>18492</t>
  </si>
  <si>
    <t>18516</t>
  </si>
  <si>
    <t>18581</t>
  </si>
  <si>
    <t>18636</t>
  </si>
  <si>
    <t>18701</t>
  </si>
  <si>
    <t>18723</t>
  </si>
  <si>
    <t>18773</t>
  </si>
  <si>
    <t>18783</t>
  </si>
  <si>
    <t>18817</t>
  </si>
  <si>
    <t>18827</t>
  </si>
  <si>
    <t>18879</t>
  </si>
  <si>
    <t>Component</t>
  </si>
  <si>
    <t>*Unknown (Triage)-Platform</t>
  </si>
  <si>
    <t>Storage allocation</t>
  </si>
  <si>
    <t>*Unknown (Triage)-ADE</t>
  </si>
  <si>
    <t>AV</t>
  </si>
  <si>
    <t>Thp</t>
  </si>
  <si>
    <t>Server-SMB</t>
  </si>
  <si>
    <t>Other-SMB</t>
  </si>
  <si>
    <t>ADE IDE</t>
  </si>
  <si>
    <t>PML-Core</t>
  </si>
  <si>
    <t>Manageability-AAUM</t>
  </si>
  <si>
    <t>PML-Install/Update</t>
  </si>
  <si>
    <t>Authentication-AAUM</t>
  </si>
  <si>
    <t>Manageability-Snapshots</t>
  </si>
  <si>
    <t>PML-Network Monitor</t>
  </si>
  <si>
    <t>Unmount &amp; Recovery</t>
  </si>
  <si>
    <t>*Unknown (Triage)-SMB</t>
  </si>
  <si>
    <t>PML-PML Monitor</t>
  </si>
  <si>
    <t>*Unknown (Triage)-AAUM</t>
  </si>
  <si>
    <t>bTree &amp; Index</t>
  </si>
  <si>
    <t>Manageability-SMB</t>
  </si>
  <si>
    <t>PML-Network Services</t>
  </si>
  <si>
    <t>PML-HA Coordinator</t>
  </si>
  <si>
    <t>Case Insensitivity</t>
  </si>
  <si>
    <t>Server-AAUM</t>
  </si>
  <si>
    <t>Misc</t>
  </si>
  <si>
    <t>ONfsck</t>
  </si>
  <si>
    <t>Manageabilty-FS</t>
  </si>
  <si>
    <t>CFI Track</t>
  </si>
  <si>
    <t>[Master][Customer: Tetra Pak AB, Leica Geosystems AG] MMC displays open files for all FPGs owned by the FP node instead of on a per VFS basis as you would expect</t>
  </si>
  <si>
    <t>[Master] [Customer: Georgia Dept of Banking] Failover fails with "Error handling umount notification before for host" yet VIF is still deactivated</t>
  </si>
  <si>
    <t>olga.revsin@hpe.com</t>
  </si>
  <si>
    <t>18930</t>
  </si>
  <si>
    <t>[Master] [Customer GE Health Care] 3PAR File Persona local user account requires local domain prefix</t>
  </si>
  <si>
    <t>sayan.ghosh@hpe.com</t>
  </si>
  <si>
    <t>User Mapping-AAUM</t>
  </si>
  <si>
    <t>sean.flaherty@hpe.com</t>
  </si>
  <si>
    <t>18888</t>
  </si>
  <si>
    <t>Install/Upgrade-SMB</t>
  </si>
  <si>
    <t>sasha.epstein@hpe.com</t>
  </si>
  <si>
    <t>CFI FP closed</t>
  </si>
  <si>
    <t>http://vasa0097.cxo.storage.hpecorp.net/Cfi/CFIIssues?gridIssues-sort=CFIState-asc&amp;gridIssues-page=1&amp;gridIssues-pageSize=500&amp;gridIssues-group=&amp;gridIssues-filter=CFIState~contains~%27closed%27~and~ProductFamily~contains~%27persona%27</t>
  </si>
  <si>
    <t>david.vasiliu@hpe.com</t>
  </si>
  <si>
    <t>johny.bens@hpe.com</t>
  </si>
  <si>
    <t>michael.roberts@hpe.com</t>
  </si>
  <si>
    <t>Manageability-HTTP</t>
  </si>
  <si>
    <t>Protocols-HTTP</t>
  </si>
  <si>
    <t>FIXED</t>
  </si>
  <si>
    <t>CLOSED</t>
  </si>
  <si>
    <t>precilla.menezes@hpe.com</t>
  </si>
  <si>
    <t>Axion</t>
  </si>
  <si>
    <t>[Master=67806, Axion] Httpd service monitoring is running on both the nodes (on a 4 node cluster) after performing FPG failover, even though http shares are not available on both the nodes of the cluster</t>
  </si>
  <si>
    <t>padmapraveena.vusa@hpe.com</t>
  </si>
  <si>
    <t>INVALID</t>
  </si>
  <si>
    <t>mike.rottinghaus@hpe.com</t>
  </si>
  <si>
    <t>martyn.bell@hpe.com</t>
  </si>
  <si>
    <t>[Master] [Customer:IND] Filename Wild Carding from CMD "DOS" does not work correctly on Server 2012R2</t>
  </si>
  <si>
    <t>larry.fenske@hpe.com</t>
  </si>
  <si>
    <t>Approved</t>
  </si>
  <si>
    <t>Atlas_1.2.3.2-20161116</t>
  </si>
  <si>
    <t>BugzillaCloningAutomation@hp.com</t>
  </si>
  <si>
    <t>[Master=89408, Atlas-1.2-Maint] [Customer: HPE(3par)] Daily OOM using NFSv3 and NIS on Virtual Machines with lwsmd as majority memory holder since upgrading to 1.2.2</t>
  </si>
  <si>
    <t>RESOLVED</t>
  </si>
  <si>
    <t>[Master] [Customer Wolverine, UnivOfChicago] createfsnap and startfsnapclean fail frequently - cannot enqueue after timer shutdown</t>
  </si>
  <si>
    <t>Data Unavailable</t>
  </si>
  <si>
    <t>[Master] [Customer: Kraft] Group/User with uninherited permission unable to access share</t>
  </si>
  <si>
    <t>[Master] [Customer : Panasonic Corporation, Star Financial Bank, Wolverine, Kraft] disappear security credential intermittent from directory/file in smb share</t>
  </si>
  <si>
    <t>FileSystem Services</t>
  </si>
  <si>
    <t>in triage</t>
  </si>
  <si>
    <t>[Master][Customer: Invaluable] Alert and degraded messages need to be thrown when customer approaches 100 Million files on an FPG</t>
  </si>
  <si>
    <t>eric.sco.champagne@hpe.com</t>
  </si>
  <si>
    <t>CANTREPRODUCE</t>
  </si>
  <si>
    <t>[Master] [Customer: Taiwan Mobile] PML unresponsive, Java dump triggered</t>
  </si>
  <si>
    <t>brian.zimpfer@hpe.com</t>
  </si>
  <si>
    <t>Regression</t>
  </si>
  <si>
    <t>john.fiorillo@hpe.com</t>
  </si>
  <si>
    <t>blocker</t>
  </si>
  <si>
    <t>[Master] lwsmd restart during Roaming Profile logout of 43 sessions</t>
  </si>
  <si>
    <t>hugo.kiehl@hpe.com</t>
  </si>
  <si>
    <t>Documentation</t>
  </si>
  <si>
    <t>WONTFIX</t>
  </si>
  <si>
    <t>[Master][Customer: Wuerth]: createfshare smb fails with error ERROR_INVALID_PARAMETER in a specific directory</t>
  </si>
  <si>
    <t>manojtv@hpe.com</t>
  </si>
  <si>
    <t>Aurora_1.3.0.36-20160622</t>
  </si>
  <si>
    <t>usha.kumaraswamy@hpe.com</t>
  </si>
  <si>
    <t>[Master=83717, Aurora] SNunity-aurora-130-1 :Timeout error(rc=5) while taking snapshots during aim7 tests execution with NFS Genfs+SNAP</t>
  </si>
  <si>
    <t>pranav.swaroop@hpe.com</t>
  </si>
  <si>
    <t>[Master] [Customer: Wuerth] Snapshot plugin will not set MAXSPEED strategy.</t>
  </si>
  <si>
    <t>[Master][Customer mobile.de] nfsd-deadlock khungtask, vmcore manually generated</t>
  </si>
  <si>
    <t>amit.shaw@hpe.com</t>
  </si>
  <si>
    <t>joffy.jose@hpe.com</t>
  </si>
  <si>
    <t>[Master] [Customer: Wuerth] SMB(lwsmd) services getting restarted after 20 hours of continuous of IO run</t>
  </si>
  <si>
    <t>[Master] [Customer: Centric Belgium, HP Brazil, Star Financial] lwio segfault in LwInterlockedDecrement()</t>
  </si>
  <si>
    <t>varun.arora@hpe.com</t>
  </si>
  <si>
    <t>[Master] [Wuerth, Tetra Pak AB]Intermittent failure in scheduled snapshots/ snapshot reclamation</t>
  </si>
  <si>
    <t>[Master] [Customer: SafeTech] Multiple PML plugins failed to stop on PML shutdown with:  SEVERE: Can't stop component Snapshot service Component: java.lang.NullPointerException</t>
  </si>
  <si>
    <t>DUPLICATE</t>
  </si>
  <si>
    <t>[Master] [Customer: SafeTech] localauth threads non responsive, throwing the following: WARNING: Pending request: 127.127.0.2  GET  /hp/rest/provisioning/c4c68832-7505-4ca9-a00f-b78b35e047e2/system/localauth/user  3350sec</t>
  </si>
  <si>
    <t>Candidate for 1.2 maint backport per SbugCourt</t>
  </si>
  <si>
    <t>[Master] [Customer: SafeTech] PML task queue repeatedly fills and PML repeatedly restarts</t>
  </si>
  <si>
    <t>[Master] [Customer: SafeTech] startfsnapclean fails with error: cannot enqueue after timer shutdown</t>
  </si>
  <si>
    <t>WIPRO</t>
  </si>
  <si>
    <t>sandeep.r.lad@hpe.com</t>
  </si>
  <si>
    <t>[Master][Customer: Wuerth] fsct max user test failed on SMB share with ERROR lwsmd segfault, ade_idmapd failure and lwio auxiliary response.</t>
  </si>
  <si>
    <t>amit.debnath@hpe.com</t>
  </si>
  <si>
    <t>Network Protocol Coordinator</t>
  </si>
  <si>
    <t>[Master] [Customer RTP_Lisboa] VFS and shares inaccessible because of a failure to deactivate networking</t>
  </si>
  <si>
    <t>10211, 11307</t>
  </si>
  <si>
    <t>[Master] [Customer: NTTDataWare, Wolverine, Panasonic, TIS Inc.] lwio crashed with SIGSEGV because pFcB is zero.</t>
  </si>
  <si>
    <t>[Master] [Customer: SafeTech] OOM Panic during Roaming Profile testing of 1.2 Maintenance kit</t>
  </si>
  <si>
    <t>[Master] [Customer: Sporting Index] Local Users created with "password never expires = no" as default</t>
  </si>
  <si>
    <t>hpsphal</t>
  </si>
  <si>
    <t>TS2.0 (Astra-1.0.1-ChelseaMU3)</t>
  </si>
  <si>
    <t>[Master] [Customer: Sporting Index] hpspmon consuming a large amount of system memory</t>
  </si>
  <si>
    <t>harlan.hecker@hpe.com</t>
  </si>
  <si>
    <t>[Master] [Customer: Kinecta] Error 1721:Not enough resources are available to complete this operation</t>
  </si>
  <si>
    <t>OS-VDU OS 1.1</t>
  </si>
  <si>
    <t>TS2.0 (Astra-Chelsea)</t>
  </si>
  <si>
    <t>[Master] [Customer: Keppel Fels, Kinecta] numerous page allocation failures reported in syslog</t>
  </si>
  <si>
    <t>curtis.nottberg@hpe.com</t>
  </si>
  <si>
    <t>TS2.0.5 (Astra-1.1.0-Manchester)</t>
  </si>
  <si>
    <t>[Master] [Customer: Kinecta,Informatica Trentina,Cold Tech Svcs] Spurious report of file services failed with "Symbolic link by ID is missing for this volume"</t>
  </si>
  <si>
    <t>Server-NFS</t>
  </si>
  <si>
    <t>Protocols-NFS</t>
  </si>
  <si>
    <t>[Master] [Customer: Informatica Trentina] nfs deadlock in nfsd3_proc_rename</t>
  </si>
  <si>
    <t>david.noveck@hpe.com</t>
  </si>
  <si>
    <t>sanjaya.swamy@hpe.com</t>
  </si>
  <si>
    <t>Memory_Leak</t>
  </si>
  <si>
    <t>[Master] [Customer: Kinecta] Memory leak in lwio during data migration</t>
  </si>
  <si>
    <t>[Master] [Customer Kinecta]:lwsmd segfault during Roaming Profile Synch from 45 client sessions</t>
  </si>
  <si>
    <t>shounak.banerjee@hpe.com</t>
  </si>
  <si>
    <t>9501, 10061</t>
  </si>
  <si>
    <t>[Master] [Customer: Kinecta] HP-SMB crash in SrvBuildInterimResponse_SMB_V2 : kernel: lwsmd[8679]: segfault at 1 ip 00007fd22e6c06ec sp 00007fd226e4a8b0 error 4 in liblwmsg_nothr.so.0.0.0[7fd22e6af000+2b000]</t>
  </si>
  <si>
    <t>[Master] [Customer: Kinecta FCU] Unable to migrate data from NetApp filer to File Persona SMB share</t>
  </si>
  <si>
    <t>akshay.ballal@hpe.com</t>
  </si>
  <si>
    <t>[Master] [Customer: Baxter Pharmaceuticals] Multiple "Failed to read registry key" errors in /var/log/pml/smb_rpc.log after node failover</t>
  </si>
  <si>
    <t>[Master] [Customer: Coast Community College]  smb2 find on directory with &gt;5k entries fails, find request response exceeds 60 second timeout</t>
  </si>
  <si>
    <t>Astra</t>
  </si>
  <si>
    <t>MOVED to Rally</t>
  </si>
  <si>
    <t>[Master] [Customer: US Army National Guard] directory structure of FP share not displayed in windows explorer on Win7 64 client after upgrade to SP1</t>
  </si>
  <si>
    <t>Need documentation why expected behavior is not supported.</t>
  </si>
  <si>
    <t>[Master] [Customer Kinecta, Texas A&amp;M, Viasat, Sporting Index] After adding static routes to VLAN tagged bond0 interface File Persona VMs still not routing</t>
  </si>
  <si>
    <t>[Master] [Customer: Keppel Fels] hp-smb stack crashes with: lwsmd[3235]: segfault at 20 ip 0000003c38009220 sp 00007f7210585cc8 error 4 in libpthread-2.12.so[3c38000000+17000]</t>
  </si>
  <si>
    <t>ipsita.samantray@hpe.com</t>
  </si>
  <si>
    <t>[Master] [Customer: Informatica Trentina] sprint15: on NFS, moving files from snapshots to mount point hangs and gives a khung panic at the corresponding snaptree in vm</t>
  </si>
  <si>
    <t>OS-VDU OS 1.0</t>
  </si>
  <si>
    <t xml:space="preserve">2/6: On Kyle's list.  11/10: Dependent on Avitus going to Trunk. 10/27: Work done, just waiting for target soln defined. </t>
  </si>
  <si>
    <t>[Master][Customer: Keppel Fels] collectl should be installed and configured by default on the OS image</t>
  </si>
  <si>
    <t>kyles@hpe.com</t>
  </si>
  <si>
    <t>[Master] [Customer Keppel Fels] rsyslog rate limiting does not print message that was throttled</t>
  </si>
  <si>
    <t>*Unknown (Triage)-Quotas</t>
  </si>
  <si>
    <t>Quotas</t>
  </si>
  <si>
    <t>harry.banbury@hpe.com</t>
  </si>
  <si>
    <t>[Master] [Customer: Army National Guard] File Persona - Unintelligible VFS Quota Alerts Logged to STaTS ("Quota Event:Unable to persist quota limits on Virtual Server ")</t>
  </si>
  <si>
    <t>ramesh.velusamy@hpe.com</t>
  </si>
  <si>
    <t>Documentation-SMB</t>
  </si>
  <si>
    <t>[Master][Customer: Keppel Fels] Need to document the supported features when using Microsoft Management Console (MMC) to manage a File Persona share</t>
  </si>
  <si>
    <t>suchita.naik@hpe.com</t>
  </si>
  <si>
    <t>david.limato@hpe.com</t>
  </si>
  <si>
    <t>[Master] [BETA-Dogfood] Slow memory leak and eventual OOM panic, if AV has been enabled and then disabled</t>
  </si>
  <si>
    <t>mehul.joshi@hpe.com</t>
  </si>
  <si>
    <t>denis.k.legeido@hpe.com</t>
  </si>
  <si>
    <t>[Master] [Customer: Army National Guard] User Quotas: Changing ownership of files from one user to another, does not show/calculate in quota for new file owner</t>
  </si>
  <si>
    <t>alexandr.petrunin@hpe.com</t>
  </si>
  <si>
    <t>[Master] [Customer: Army National Guard] The primary group quota stays in effect even after changing/removing it.</t>
  </si>
  <si>
    <t>PML-Log Collection</t>
  </si>
  <si>
    <t>Astra-1.0.0.31 (20150126)</t>
  </si>
  <si>
    <t>[Master] [Customer Army National Guard] Request for additional data to be gathered by fcollect</t>
  </si>
  <si>
    <t>shantappa_teekappanavar@hpe.com</t>
  </si>
  <si>
    <t>P3</t>
  </si>
  <si>
    <t>Astra-Post IR13 11-21</t>
  </si>
  <si>
    <t>Bellatrix</t>
  </si>
  <si>
    <t>[Customer: Army National Guard,Keppel Fels Baltech] Directory Quotas should have path option for changing directory quotas for some directories</t>
  </si>
  <si>
    <t>rama-srinath.kondaveeti@hpe.com</t>
  </si>
  <si>
    <t>[Master] [Customer: Army National Guard] removefstore fails when the file store path is a substring of another file store path which contains shares still</t>
  </si>
  <si>
    <t>[Master] [Customer: Army National Guard] Cannot change the owner of folder to a group from the Windows client(Error message on Windows client: The security ID structure is invalid )</t>
  </si>
  <si>
    <t>rachna.guru@hpe.com</t>
  </si>
  <si>
    <t>Manageability-NFS</t>
  </si>
  <si>
    <t>moorthy.mm@hpe.com</t>
  </si>
  <si>
    <t>[Master] [Customer: Informatica Trentina] stray entries in /etc/exports after CURL delete/update export having more than 31 individual client ips</t>
  </si>
  <si>
    <t>Astra-Post IR13 10-31</t>
  </si>
  <si>
    <t>sanjay.mehrotra@hpe.com</t>
  </si>
  <si>
    <t>[Master] [Customer: Keppel Fels] If VFS fails to activate IPs due to link down, IPs are not automatically activated when link comes up</t>
  </si>
  <si>
    <t>jose.calderon@hpe.com</t>
  </si>
  <si>
    <t>[Master] PML requests hang in PAM authentication, when LDAP enabled and network anomalies prevent communication with LDAP server</t>
  </si>
  <si>
    <t>thomas.jam.hromatka@hpe.com</t>
  </si>
  <si>
    <t>Astra-Post IR13 08-22</t>
  </si>
  <si>
    <t>[Master] [self-desc-luns][Customer: Kinecta] treeconnect failures after SMB startup because srv starts accepting SMB requests before shares are online</t>
  </si>
  <si>
    <t>abhisek.banerjee@hpe.com</t>
  </si>
  <si>
    <t>[Master][Customer: Woking] Microsoft Project can't open file, Wireshark trace shows SMB Create is returning STATUS_SHARING_VIOLATION</t>
  </si>
  <si>
    <t>TBVbyDevelopment</t>
  </si>
  <si>
    <t>18960</t>
  </si>
  <si>
    <t>3.16.3 Cacophonix</t>
  </si>
  <si>
    <t>gokul.tarun@hpe.com</t>
  </si>
  <si>
    <t>[Master][Customer:Kasturi &amp; Sons Limited, Kforce] lwio crashed in InotifySetFcbMask</t>
  </si>
  <si>
    <t>19024</t>
  </si>
  <si>
    <t>http://vasa0097.cxo.storage.hpecorp.net/Cfi/CFIIssues/Details?CFINumber=19005&amp;gridIssues-pageSize=10&amp;gridIssues-page=1&amp;gridIssues-filter=PowerSearch~contains~%27lo%3A1_x%27</t>
  </si>
  <si>
    <t>http://vasa0097.cxo.storage.hpecorp.net/Cfi/CFIIssues?gridIssues-sort=&amp;gridIssues-page=1&amp;gridIssues-pageSize=500&amp;gridIssues-group=&amp;gridIssues-filter=(CFIState~eq~%27emerging%27~and~ProductFamily~contains~%27persona%27~and~PowerSearch~contains~%27du%3A1%27)</t>
  </si>
  <si>
    <t>http://vasa0097.cxo.storage.hpecorp.net/Cfi/CFIIssues?gridIssues-sort=&amp;gridIssues-page=1&amp;gridIssues-pageSize=500&amp;gridIssues-group=&amp;gridIssues-filter=(CFIState~eq~%27emerging%27~and~ProductFamily~contains~%27persona%27~and(~PowerSearch~contains~%27du%3A1%27))</t>
  </si>
  <si>
    <t>DU open/emerging</t>
  </si>
  <si>
    <t>http://vasa0097.cxo.storage.hpecorp.net/Cfi/CFIIssues?gridIssues-sort=&amp;gridIssues-page=1&amp;gridIssues-pageSize=500&amp;gridIssues-group=&amp;gridIssues-filter=(CFIState~eq~%27open%27~or~CFIState~eq~%27Emerging%27)~and~ProductFamily~contains~%27persona%27~and~(PowerSearch~contains~%27du%3A1%27)</t>
  </si>
  <si>
    <t>Open/emerging, not awaiting release</t>
  </si>
  <si>
    <t>http://vasa0097.cxo.storage.hpecorp.net/Cfi/CFIIssues?gridIssues-sort=&amp;gridIssues-page=1&amp;gridIssues-pageSize=500&amp;gridIssues-group=&amp;gridIssues-filter=ProductFamily~contains~%27persona%27~and~(CFIState~eq~%27Open%27~or~CFIState~eq~%27Emerging%27)~and~(TrackState~neq~%27unknown%27~and~TrackState~neq~%27Awaiting%20Release%27)</t>
  </si>
  <si>
    <t>DU Open/emerging, not awaiting release</t>
  </si>
  <si>
    <t>Data</t>
  </si>
  <si>
    <t>State</t>
  </si>
  <si>
    <t>Active</t>
  </si>
  <si>
    <t>DL</t>
  </si>
  <si>
    <t>du,lo,in</t>
  </si>
  <si>
    <t>http://vasa0097.cxo.storage.hpecorp.net/Cfi/CFIIssues?gridIssues-page=1&amp;gridIssues-pageSize=500&amp;gridIssues-filter=ProductFamily~contains~%27persona%27~and~(CFIState~eq~%27Open%27~or~CFIState~eq~%27Emerging%27)~and~(TrackState~neq~%27unknown%27~and~TrackState~neq~%27Awaiting%20Release%27)~and~(PowerSearch~contains~%27du%3A1%27)</t>
  </si>
  <si>
    <t>CFI prefix</t>
  </si>
  <si>
    <t>CFI active</t>
  </si>
  <si>
    <t>(CFIState~eq~%27Open%27~or~CFIState~eq~%27Emerging%27)</t>
  </si>
  <si>
    <t>(TrackState~neq~%27unknown%27~and~TrackState~neq~%27Awaiting%20Release%27)</t>
  </si>
  <si>
    <t>CFI state inprogress</t>
  </si>
  <si>
    <t>(PowerSearch~contains~%27du%3A1%27)</t>
  </si>
  <si>
    <t>CFI DU</t>
  </si>
  <si>
    <t>CFI DI</t>
  </si>
  <si>
    <t>CFI DL</t>
  </si>
  <si>
    <t>(PowerSearch~contains~%27in%3A1%27)</t>
  </si>
  <si>
    <t>(PowerSearch~contains~%27lo%3A1%27)</t>
  </si>
  <si>
    <t>(CFIState~contains~'closed')</t>
  </si>
  <si>
    <t>CFI closed</t>
  </si>
  <si>
    <t>AND</t>
  </si>
  <si>
    <t>~and~</t>
  </si>
  <si>
    <t>OR</t>
  </si>
  <si>
    <t>~or~</t>
  </si>
  <si>
    <t>[Master] [Customer: Woking]  domain panic with "Failed to add missing entries for tag" since online fsck failure</t>
  </si>
  <si>
    <t>http://vasa0097.cxo.storage.hpecorp.net/Cfi/CFIIssues/Export</t>
  </si>
  <si>
    <t>CFI csv export</t>
  </si>
  <si>
    <t>Andromeda</t>
  </si>
  <si>
    <t>9676</t>
  </si>
  <si>
    <t>[Master] [Customer: Toshiba] Lost access to CIFS shares  lwsmd core files</t>
  </si>
  <si>
    <t>robin.kumar@hpe.com</t>
  </si>
  <si>
    <t>StoreOnce Ypsilon(SMB 6.5.x)</t>
  </si>
  <si>
    <t>Triangulum</t>
  </si>
  <si>
    <t>19139</t>
  </si>
  <si>
    <t>vijaya-sai.vakacharla@hpe.com</t>
  </si>
  <si>
    <t>*Unknown (Triage)-Snapshots</t>
  </si>
  <si>
    <t>CFI detail prefix</t>
  </si>
  <si>
    <t>CFI number</t>
  </si>
  <si>
    <t>CFI detail suffix</t>
  </si>
  <si>
    <t>http://vasa0097.cxo.storage.hpecorp.net/Cfi/CFIIssues/Details?CFINumber=</t>
  </si>
  <si>
    <t>&amp;gridIssues-pageSize=500&amp;gridIssues-page=1&amp;gridIssues-filter=ProductFamily~contains~%27persona%27</t>
  </si>
  <si>
    <t>CFI detail combined</t>
  </si>
  <si>
    <t>https://bugzilla.houston.hpecorp.net:1181/bugzilla/show_bug.cgi?id=</t>
  </si>
  <si>
    <t>https://bugs.storage.hpecorp.net/show_bug.cgi?id=</t>
  </si>
  <si>
    <t>FP BZ detail</t>
  </si>
  <si>
    <t>3PAR BZ detail</t>
  </si>
  <si>
    <t>8824, 11902</t>
  </si>
  <si>
    <t>[Master] [Customer: Wolfson Hospital,SafeTech,Baxter,Panasonic] HP-SMB stack crash on shutdown, SIGABRT with: lwio: [lwio] Failed to lock mutex: 22. Aborting program</t>
  </si>
  <si>
    <t>[Master=77469, Bellatrix] [Cutomer: BELL CANADA, TGT.128218-ALCALA DE HENARES,,MADRID] When writing and deleting large amounts of data, CPG free space is consumed faster than expected, requiring purchase of additional storage earlier</t>
  </si>
  <si>
    <t>narayanan.a.n@hpe.com</t>
  </si>
  <si>
    <t>Forwardport_Needed</t>
  </si>
  <si>
    <t>[Master=84801, Bellatrix] [Customer Sporting Index Ltd.] slow reclamation with heavily fragmented large files affects system performance.</t>
  </si>
  <si>
    <t>Forwardport_Needed,Preexisting</t>
  </si>
  <si>
    <t>[Master=87060, Avitus-1.4-Maint] [Customer: Unipol]: lwiod crashed, NAS shares inaccessible</t>
  </si>
  <si>
    <t>kankana.samanta@hpe.com</t>
  </si>
  <si>
    <t>Evaluated by FPQA, Support, and Dev. NOT accepted into 1.4.2</t>
  </si>
  <si>
    <t>[Master=87236, Atlas-1.2-Maint] [Customer: Lego, SFMC, SOMINCOR, Kenshoo, Kforce] Multiple Java crashes from out of memory conditions</t>
  </si>
  <si>
    <t>[Master=87236, Trunk] [Customer: Lego, SFMC, SOMINCOR, Kenshoo, Kforce] Multiple Java crashes from out of memory conditions</t>
  </si>
  <si>
    <t>Previous_Waiver</t>
  </si>
  <si>
    <t>1.0.1</t>
  </si>
  <si>
    <t>[Master=87735, 3.18.0 Eccentric] [Customer: Sony Mobile] Customer cant join AD, shows error 40700 (unknown error code)</t>
  </si>
  <si>
    <t>rimpa.paul@hpe.com</t>
  </si>
  <si>
    <t>[Master=91565, Atlas-1.2-Maint] [Customer : Picscout (Israel) Ltd] lwio memory leak after upgrade to 1.2.2, OOM ocurred</t>
  </si>
  <si>
    <t>One-off_Patch</t>
  </si>
  <si>
    <t>Atlas 1.2.2</t>
  </si>
  <si>
    <t>[Master=94074, Atlas-1.2-Maint] [Customer: Tetra Pak AB] Loss of the schannel connection to AD is not detected by service monitoring, resulting in DU and requiring manual intervention</t>
  </si>
  <si>
    <t>[Master=94687, Atlas-1.2-Maint] [Customer: Jajah Ltd., Tetra Pak AB] Snapshot plugin some times fails with cannot get actor reference. Actor system is terminated</t>
  </si>
  <si>
    <t>sakshi.tundulwar@hpe.com</t>
  </si>
  <si>
    <t>1.0</t>
  </si>
  <si>
    <t>[Master=94830, Atlas-1.2-Maint] [Customer: Tetra Pak AB] probable lwio deadlock</t>
  </si>
  <si>
    <t>[Master=101033, Atlas-1.2-Maint] [Customer: Tetra Pak AB] ASSERTION FAILED: Expression = (RtlWC16StringIsEqual(pwszNewVShareName, pShareInfoDst-&gt;pwszName, 0)) File Name = ../lwio/server/srv/shares/api/shareapi.c' Line Num = '4414</t>
  </si>
  <si>
    <t>[Master=94968, Atlas-1.2-Maint] [Customer: Tetra Pak AB,Kforce] ASSERTION FAILED: Expression = (ntStatus == ((LW_NTSTATUS)0x00000000)) File Name = '../lwio/server/srv/protocols/smb2/lock.c' Line Num = '992'</t>
  </si>
  <si>
    <t>[Master=95771, Atlas-1.2-Maint] [UDU 196066] [The Dairy Farm Company Limited] Fix the upgrade record status in case of post update node crash</t>
  </si>
  <si>
    <t>[see master]</t>
  </si>
  <si>
    <t>[Master=97007, Atlas-1.2-Maint][Customer MarketAmerica] FPG failover fails in SrvProtocolDeleteSessionsByServerAddress because srvconnection.c:1942 encounters an internal error, 0xc00000e5</t>
  </si>
  <si>
    <t>WIPRO- Waiting for CRB Approval</t>
  </si>
  <si>
    <t>[Master=97008, Bellatrix] [Customer: Tetra Pak AB] Apparent deadlock in FPG umount operation</t>
  </si>
  <si>
    <t>[Master=97077, Atlas-1.2-Maint] [Customer: Tetra Pak AB] After PML is restarted (due to memory leak for instance), it may not automatically return to a healthy state due to Exception starting module Infrastructure Manager Module:...Address already in use</t>
  </si>
  <si>
    <t>[Master=96996, Atlas-1.2-Maint] [Customer: Tetra Pak AB] When active PML node becomes unresponsive, the passive nodes are unable to transition to the active state</t>
  </si>
  <si>
    <t>17250</t>
  </si>
  <si>
    <t>[Master=97550, Atlas-1.2-Maint] [Customer: Tetra Pak AB] Offline fsck reconnected lost+found directory names could not be renamed with snapshot is in picture</t>
  </si>
  <si>
    <t>[Master=82252, Axion][Customer: Baxter] netlogon crashes resulting in loss of AD access</t>
  </si>
  <si>
    <t>[Master=79031, Axion][Customer: Sjofartsverket,QPnT: Aurora Release Test] lwio throws an assert in InotifySetFcbMask()</t>
  </si>
  <si>
    <t>[Master=87008, Axion][Customer: Star Financial] lwio segfaults in lwmsg_peer_assoc_session_dispatch_calls()</t>
  </si>
  <si>
    <t>[Master=96335, Axion][Customer: Tetra Pak AB] segfault in LwRtlWakeTask task pointer is null</t>
  </si>
  <si>
    <t>[Master=87735, D2D future] [Customer: Sony Mobile] Customer cant join AD, shows error 40700 (unknown error code)</t>
  </si>
  <si>
    <t>[Master=95967, Atlas-1.2-Maint] [Customer: Tetra Pak AB] When using the Open Files functionality in MMC, "Error 6: The handle is invalid" is often returned</t>
  </si>
  <si>
    <t>1.2.3</t>
  </si>
  <si>
    <t>joann.mcintyre@hpe.com</t>
  </si>
  <si>
    <t>[Master=97008, Aurora-1.3-Maint] [Customer: Tetra Pak AB] Apparent deadlock in FPG umount operation</t>
  </si>
  <si>
    <t>[Master=97520, Aurora-1.3-Maint] [Customer: Tetra Pak AB] seq_search() misguides insert_seq() resulting in directory pages truncation</t>
  </si>
  <si>
    <t>[Master=97056, Atlas-1.2-Maint] [Customer: Tetra Pak AB] Stuck in starting state - PML threads exhausted, due to hang in SMB share enumeration</t>
  </si>
  <si>
    <t>[Master=97056, Aurora-1.3-Maint] [Customer: Tetra Pak AB] Stuck in starting state - PML threads exhausted, due to hang in SMB share enumeration</t>
  </si>
  <si>
    <t>[Master=91565, Aurora-1.3-Maint] [Customer : Picscout (Israel) Ltd] lwio memory leak after upgrade to 1.2.2, OOM ocurred</t>
  </si>
  <si>
    <t>[Master=98973, Atlas-1.2-Maint] [Customer - Sporting Index] After upgrade to 1.2.3, Cisco-switch reports "STM_LOOP_DETECT: Loops detected in the network" 2 VLANs configured</t>
  </si>
  <si>
    <t>[Master=99168, Atlas-1.2-Maint] [Customer Sabic] PML HA not working.</t>
  </si>
  <si>
    <t>5/8: Bill is investigating.  Matt will clone.</t>
  </si>
  <si>
    <t>[Master=99785, Atlas-1.2-Maint] [Customer: Tetra Pak AB] dentry list corruption leads to crash with: kernel BUG at fs/dcache.c:471!</t>
  </si>
  <si>
    <t>[Master=100065, Atlas-1.2-Maint] [Customer Kforce] removeVFS does not delete related route table entries as needed on all of the File Persona nodes</t>
  </si>
  <si>
    <t>[Master=99942, Axion][Customer: Tetra Pak AB] Domain goes offline, then lsass reports "Domain is now online" but lwio thread pool is consumed with calls to lsass while lsass thread pool is empty</t>
  </si>
  <si>
    <t>ron.chambers@hpe.com</t>
  </si>
  <si>
    <t>Previous_Waiver,Reopened-Other</t>
  </si>
  <si>
    <t>Unity 1.0</t>
  </si>
  <si>
    <t>[Master=99949, Axion][Customer: Samsung] smb share inaccessible after node crash</t>
  </si>
  <si>
    <t>[Master=103727, Aurora-1.3-Maint] [Customer: Samsung Electro-Mechanics] multiple vm node crash during smb share load test</t>
  </si>
  <si>
    <t>[Master=103171, Atlas-1.2-Maint][Customer CityOfAlbermarle] Unplanned HPE-SMB service stack restart due to unexpected thread termination causing lsass to be detected as non-operational by Service Monitor</t>
  </si>
  <si>
    <t>[Master=87236, PPI-17A] [Customer: Lego, SFMC, SOMINCOR, Kenshoo, Kforce, NewSouthWales] Multiple Java crashes from out of memory conditions</t>
  </si>
  <si>
    <t>[Master=98973, PPI-17A] [Customer - Sporting Index] After upgrade to 1.2.3, Cisco-switch reports "STM_LOOP_DETECT: Loops detected in the network" 2 VLANs configured</t>
  </si>
  <si>
    <t>[Master=99949, Avitus-1.4-Maint][Customer: Samsung] smb share inaccessible after node crash</t>
  </si>
  <si>
    <t>[Master=96060, Avitus-1.4-Maint][Customer: TURKUAZ TEKSTIL, Microfinance, LaTrobe]  lwio: ASSERTION FAILED: Expression = ((((LW_NTSTATUS)0x00000103) == status) || (pIrp-&gt;IoStatusBlock.Status == status))</t>
  </si>
  <si>
    <t>[Master=104097, Avitus-1.4-Maint][Customer: Kforce] thousands of the following messages logged per minute followed by what appears to be an HPEIdmapd restart: ade_idmapd: Name not found: Authenticated^Users@NT^AUTHORITY</t>
  </si>
  <si>
    <t>[Master=104803, Avitus-1.4-Maint][Customer: Tetra Pak AB] lwio: [lwio] ASSERTION FAILED: Expression = (ntStatus == ((LW_NTSTATUS)0x00000000)) File Name = '../lwio/server/srv/protocols/smb2/close.c' Line Num = '301'</t>
  </si>
  <si>
    <t>Escape,TBVbyDevelopment</t>
  </si>
  <si>
    <t>Awating for CRB Approval</t>
  </si>
  <si>
    <t>[Master=104046, Atlas-1.2-Maint][Customer: Nissho Electronics Corporation] crash lwio due to invalid in memory data structure (PHS.</t>
  </si>
  <si>
    <t>[Master=99949, Azha] [Customer: Samsung] smb share inaccessible after node crash</t>
  </si>
  <si>
    <t>[Master=105794, Azha] [Customer: Omincom] OFSCK causes an OOM panic on the FP VM with: Kernel panic - not syncing: Out of memory: system-wide panic_on_oom is enabled</t>
  </si>
  <si>
    <t>kancharla.hemanth@hpe.com</t>
  </si>
  <si>
    <t>[Master=99490, Axion][Customer: Tetra Pak AB, Leica Geosystems AG] MMC displays open files for all FPGs owned by the FP node instead of on a per VFS basis as you would expect</t>
  </si>
  <si>
    <t>Escape,Zone_Increased</t>
  </si>
  <si>
    <t>[Master=99490, Avitus-1.4-Maint][Customer: Tetra Pak AB, Leica Geosystems AG] MMC displays open files for all FPGs owned by the FP node instead of on a per VFS basis as you would expect</t>
  </si>
  <si>
    <t>[Master=99490, Azha][Customer: Tetra Pak AB, Leica Geosystems AG] MMC displays open files for all FPGs owned by the FP node instead of on a per VFS basis as you would expect</t>
  </si>
  <si>
    <t>Preexisting</t>
  </si>
  <si>
    <t>[Master=105692, Azha][Customer USProbation] SMB Server Initiated oplock / lease break causes Win7 Network Client Delayed Response</t>
  </si>
  <si>
    <t>[Master=97480, Avitus-1.4-Maint] [Customer: SafeTech] No alert raised or health reported as degraded when clock out of sync vs. AD, and can't be adjusted because VM time is ahead of AD</t>
  </si>
  <si>
    <t>[Master=106032, Axion][Customer: Ternium] Share unresponsive, attempt to connect results in tree connect error STATUS_ACCESS_DENIED</t>
  </si>
  <si>
    <t>[Master=106032, Azha][Customer: Ternium] Share unresponsive, attempt to connect results in tree connect error STATUS_ACCESS_DENIED</t>
  </si>
  <si>
    <t>[Master=106089, Axion][Customer: Woking] Microsoft Project can't open file, Wireshark trace shows SMB Create is returning STATUS_SHARING_VIOLATION</t>
  </si>
  <si>
    <t>[Master=106089, Azha][Customer: Woking] Microsoft Project can't open file, Wireshark trace shows SMB Create is returning STATUS_SHARING_VIOLATION</t>
  </si>
  <si>
    <t>[Master=104097, Azha] [Customer: Kforce] thousands of the following messages logged per minute followed by what appears to be an HPEIdmapd restart: ade_idmapd: Name not found: Authenticated^Users@NT^AUTHORITY</t>
  </si>
  <si>
    <t>[Master=106596, Avitus-1.4-Maint] [Customer: Georgia Dept of Banking] Failover fails with "Error handling umount notification before for host" yet VIF is still deactivated</t>
  </si>
  <si>
    <t>[Master=99942, Azha] [Customer: Tetra Pak AB] Domain goes offline, then lsass reports Domain is now online but lwio thread pool is consumed with calls to lsass while lsass thread pool is empty</t>
  </si>
  <si>
    <t>[Master=107554, Avitus-1.4-Maint] [Customer: Woking]  domain panic with "Failed to add missing entries for tag" since online fsck failure</t>
  </si>
  <si>
    <t>[Master=97056, Avitus-1.4-Maint] [Customer: Tetra Pak AB, Sabic] Stuck in starting state - PML threads exhausted, due to hang in SMB share enumeration</t>
  </si>
  <si>
    <t>[Master=107554, Azha] [Customer: Woking]  domain panic with "Failed to add missing entries for tag" since online fsck failure</t>
  </si>
  <si>
    <t>Forwardport_Needed,Reopened-Other</t>
  </si>
  <si>
    <t>CFI 9676 is closed, bug 107728 tracks porting to Avengers</t>
  </si>
  <si>
    <t>CFI open/emerge/monitor</t>
  </si>
  <si>
    <t>http://link.osp.hpe.com/u/2ayb</t>
  </si>
  <si>
    <t>[support plan needed, leverage Avitus waiver]</t>
  </si>
  <si>
    <t>Temp Internet files</t>
  </si>
  <si>
    <t>C:\Users\mwroberts\AppData\Local\Temp\</t>
  </si>
  <si>
    <t>Browser path</t>
  </si>
  <si>
    <t xml:space="preserve">C:\Program Files (x86)\Mozilla Firefox\firefox.exe </t>
  </si>
  <si>
    <t>CFINumber</t>
  </si>
  <si>
    <t xml:space="preserve"> CFIState</t>
  </si>
  <si>
    <t xml:space="preserve"> ProductFamily</t>
  </si>
  <si>
    <t xml:space="preserve"> CFIClass</t>
  </si>
  <si>
    <t xml:space="preserve"> OpenedBy</t>
  </si>
  <si>
    <t xml:space="preserve"> L3Engineer</t>
  </si>
  <si>
    <t xml:space="preserve"> TechnicalCoordinator</t>
  </si>
  <si>
    <t xml:space="preserve"> BedrockRating</t>
  </si>
  <si>
    <t xml:space="preserve"> CreateDate</t>
  </si>
  <si>
    <t xml:space="preserve"> CloseDate</t>
  </si>
  <si>
    <t xml:space="preserve"> TrackId</t>
  </si>
  <si>
    <t xml:space="preserve"> TrackState</t>
  </si>
  <si>
    <t xml:space="preserve"> ProductFamily2</t>
  </si>
  <si>
    <t xml:space="preserve"> Title</t>
  </si>
  <si>
    <t xml:space="preserve"> Emerging</t>
  </si>
  <si>
    <t xml:space="preserve"> HPSD</t>
  </si>
  <si>
    <t xml:space="preserve"> 3PAR File Persona</t>
  </si>
  <si>
    <t xml:space="preserve"> </t>
  </si>
  <si>
    <t xml:space="preserve"> Matt Leach</t>
  </si>
  <si>
    <t xml:space="preserve"> matthew.leach3@hpe.com</t>
  </si>
  <si>
    <t xml:space="preserve"> Beth Andres</t>
  </si>
  <si>
    <t xml:space="preserve"> Red</t>
  </si>
  <si>
    <t xml:space="preserve"> Lab Review</t>
  </si>
  <si>
    <t xml:space="preserve"> Bertram Stoeckler</t>
  </si>
  <si>
    <t xml:space="preserve"> bertram.stoeckler@hpe.com</t>
  </si>
  <si>
    <t xml:space="preserve"> Yellow</t>
  </si>
  <si>
    <t xml:space="preserve"> CSS SAP HANA</t>
  </si>
  <si>
    <t xml:space="preserve"> Daisuke Oouchi</t>
  </si>
  <si>
    <t xml:space="preserve"> daisuke.oouchi@hpe.com</t>
  </si>
  <si>
    <t xml:space="preserve"> Emerging/Closed</t>
  </si>
  <si>
    <t xml:space="preserve"> Don Gibbons</t>
  </si>
  <si>
    <t xml:space="preserve"> don.gibbons@hpe.com</t>
  </si>
  <si>
    <t xml:space="preserve"> Released</t>
  </si>
  <si>
    <t xml:space="preserve"> Development</t>
  </si>
  <si>
    <t xml:space="preserve"> UDU - Upgrade to 3.2.2 MU*4 P85 fails with: exit_status=1; output=FAILED: Failed</t>
  </si>
  <si>
    <t xml:space="preserve"> Unknown</t>
  </si>
  <si>
    <t xml:space="preserve"> Awaiting Release</t>
  </si>
  <si>
    <t xml:space="preserve"> Open</t>
  </si>
  <si>
    <t xml:space="preserve"> Green</t>
  </si>
  <si>
    <t xml:space="preserve"> Chad Mitchell</t>
  </si>
  <si>
    <t xml:space="preserve"> chad.mitchell@hpe.com</t>
  </si>
  <si>
    <t xml:space="preserve"> Closed-No Change</t>
  </si>
  <si>
    <t xml:space="preserve"> UDU - Multiple device definitions in File Persona node configuration for same VV</t>
  </si>
  <si>
    <t xml:space="preserve"> VDU - multiple threads hung when trying to access dentry recently 'corrected' by</t>
  </si>
  <si>
    <t xml:space="preserve"> Unplanned HPE-SMB service stack restart due to unexpected thread termination cau</t>
  </si>
  <si>
    <t xml:space="preserve"> Support Review</t>
  </si>
  <si>
    <t xml:space="preserve"> failing FPG failover during high load smb access; and orphaned mount point gener</t>
  </si>
  <si>
    <t xml:space="preserve"> multiple vm node crash during smb share load test</t>
  </si>
  <si>
    <t xml:space="preserve"> smb share inaccessible with huge connection count in lwio-cli; but it is not mat</t>
  </si>
  <si>
    <t xml:space="preserve"> Java crash by out of memory error</t>
  </si>
  <si>
    <t xml:space="preserve"> VDU - When creating an SMB share with NTFS fstore mode from SSMC the Principal E</t>
  </si>
  <si>
    <t xml:space="preserve"> UDU - Upgrade fails because File Persona node never starts after StoreServ node </t>
  </si>
  <si>
    <t xml:space="preserve"> Unable to open MS Access DB from the client if the another is already opened it </t>
  </si>
  <si>
    <t xml:space="preserve"> lsass is always high CPU load on active PML node although no smb share is config</t>
  </si>
  <si>
    <t xml:space="preserve"> SMB hangs almost twice a day. core-files generated</t>
  </si>
  <si>
    <t xml:space="preserve"> snapshot creation failure</t>
  </si>
  <si>
    <t xml:space="preserve"> JVM crash</t>
  </si>
  <si>
    <t xml:space="preserve"> smb share inaccessible after node crash</t>
  </si>
  <si>
    <t xml:space="preserve"> Data not available to network clients because removeVFS does not delete related </t>
  </si>
  <si>
    <t xml:space="preserve"> Archive-bit on FilePersona SMB-share not set when MS-Word modifies a file</t>
  </si>
  <si>
    <t xml:space="preserve"> MMC displays open files for all FPGs owned by the FP node instead of on a per VF</t>
  </si>
  <si>
    <t xml:space="preserve"> Closed</t>
  </si>
  <si>
    <t xml:space="preserve"> Completed</t>
  </si>
  <si>
    <t xml:space="preserve"> VDU - Taking/changing ownership for Files and Folders on CIFS share denied</t>
  </si>
  <si>
    <t xml:space="preserve"> PML HA not working.</t>
  </si>
  <si>
    <t xml:space="preserve"> Windows network client cannot create a symbolic link on a mapped File Persona sh</t>
  </si>
  <si>
    <t xml:space="preserve"> JVM consumes all CPU cores and eventually exhausts thread pool with: The thread </t>
  </si>
  <si>
    <t xml:space="preserve"> FP VM crash: dentry list corruption leads to crash with: kernel BUG at fs/dcache</t>
  </si>
  <si>
    <t xml:space="preserve"> After upgrade to 1.2.3; Cisco-switch reports "STM_LOOP_DETECT: Loops detected in</t>
  </si>
  <si>
    <t xml:space="preserve"> SMB share access lost for all shares seved from a single node; restarting the HP</t>
  </si>
  <si>
    <t xml:space="preserve"> SMB delete operation fails and no error is returned when the directory in questi</t>
  </si>
  <si>
    <t xml:space="preserve"> offline fsck stuck in non-terminating loop; likely while checking BMT chains</t>
  </si>
  <si>
    <t xml:space="preserve"> SMBv1 should be disabled by the customer operation; because of security vulnerab</t>
  </si>
  <si>
    <t xml:space="preserve"> SMB shares unavailable for all shares served by a single node; share enumeration</t>
  </si>
  <si>
    <t xml:space="preserve"> snapshot task failed status although snapshot was generated properly</t>
  </si>
  <si>
    <t xml:space="preserve"> Intermittently failed to delete oldest snapshot by scheduled tasks; looks snapsh</t>
  </si>
  <si>
    <t xml:space="preserve"> Duplicate</t>
  </si>
  <si>
    <t xml:space="preserve"> SMB shares unresponsive - many lwio threads in lwmsg_peer_assoc_call_dispatch_ou</t>
  </si>
  <si>
    <t xml:space="preserve"> After fsck; subsequent rename of dentries may result in DU for a subset of direc</t>
  </si>
  <si>
    <t xml:space="preserve"> Windows backup fails with "The sector size of the physical disk on which the vir</t>
  </si>
  <si>
    <t xml:space="preserve"> Offline fsck does not appear to correct the directory index correctly</t>
  </si>
  <si>
    <t xml:space="preserve"> Active PML could not restart unresponsive passive PML instance with: SEVERE: Fai</t>
  </si>
  <si>
    <t xml:space="preserve"> Likely JVM memory leak results in java.lang.OutOfMemoryError: Java heap space</t>
  </si>
  <si>
    <t xml:space="preserve"> Apparent deadlock in FPG umount operation</t>
  </si>
  <si>
    <t xml:space="preserve"> FPG failover fails because SMB rundown delete sessions encounters an internal er</t>
  </si>
  <si>
    <t xml:space="preserve"> When active PML node becomes unresponsive; the passive nodes are unable to trans</t>
  </si>
  <si>
    <t xml:space="preserve"> Binary files with a significant number of null bytes are asymmetrically truncate</t>
  </si>
  <si>
    <t xml:space="preserve"> NFS File Service shares do not have an /etc/export entry.</t>
  </si>
  <si>
    <t xml:space="preserve"> httpd is enabled by default in in File Persona 1.2.x</t>
  </si>
  <si>
    <t xml:space="preserve"> When using the Open Files functionality in MMC to manage an SMB share; "Error 6:</t>
  </si>
  <si>
    <t xml:space="preserve"> VDU - failover node2fs with not pingable; but there is no network error</t>
  </si>
  <si>
    <t xml:space="preserve"> ASSERTION FAILED: Expression = (ntStatus == ((LW_NTSTATUS)0x00000000)) File Name</t>
  </si>
  <si>
    <t xml:space="preserve"> VDU - lwio deadlock</t>
  </si>
  <si>
    <t xml:space="preserve"> File Persona VM's only reporting 3 instead of 4 processors</t>
  </si>
  <si>
    <t xml:space="preserve"> UDU - TRIGGERING_CRASH_DUMP fails with Error: Failure calling stopvm on node 3: </t>
  </si>
  <si>
    <t xml:space="preserve"> VDU -Loss of the schannel connection to AD is not detected by service monitoring</t>
  </si>
  <si>
    <t xml:space="preserve"> VDU - intermittent HPSP Unity Platform Component Failure due to ChannelConnect e</t>
  </si>
  <si>
    <t xml:space="preserve"> startfs fails with 'Error: Failed to bring up internal networking on virtual mac</t>
  </si>
  <si>
    <t xml:space="preserve"> UDU - If invalid domain user is added to a group; all domain users removed</t>
  </si>
  <si>
    <t xml:space="preserve"> VDU - Filename Wild Carding from CMD "DOS" does not work correctly on Server 201</t>
  </si>
  <si>
    <t xml:space="preserve"> VDU- Unable to use the same name for local user and local group</t>
  </si>
  <si>
    <t xml:space="preserve"> Testing</t>
  </si>
  <si>
    <t xml:space="preserve"> srvsvc 100% CPU utilization occurred</t>
  </si>
  <si>
    <t xml:space="preserve"> All snapshots fail with Snapshot component is not functional. Cannot get actor r</t>
  </si>
  <si>
    <t xml:space="preserve"> PML reports false alert for hpspmon status</t>
  </si>
  <si>
    <t xml:space="preserve"> VDU - lwio memory leak after upgrade to 1.2.2; OOM ocurred</t>
  </si>
  <si>
    <t xml:space="preserve"> Closed-Monitor</t>
  </si>
  <si>
    <t xml:space="preserve"> VDU - lwio asserted in SrvProcessLockRequest_SMB_V2 of smb2/lock.c</t>
  </si>
  <si>
    <t xml:space="preserve"> Ton Drummen</t>
  </si>
  <si>
    <t xml:space="preserve"> ton.drummen@hpe.com</t>
  </si>
  <si>
    <t xml:space="preserve"> UDU - No memory reserved for File Persona</t>
  </si>
  <si>
    <t xml:space="preserve"> beth.andres@hpe.com</t>
  </si>
  <si>
    <t xml:space="preserve"> Collectl needs to be preinstalled and configured in File Persona</t>
  </si>
  <si>
    <t xml:space="preserve"> VDU - inaccessible VFS every hour because bond is down/up after reset PML; nullp</t>
  </si>
  <si>
    <t xml:space="preserve"> Upgrade</t>
  </si>
  <si>
    <t xml:space="preserve"> InForm OS and File Persona upgrade fails and data is unavailable.</t>
  </si>
  <si>
    <t xml:space="preserve"> VDU - createfsnap and startfsnapclean fail frequently and usually succeed for af</t>
  </si>
  <si>
    <t xml:space="preserve"> Daily OOM on Virtual Machines with lwsmd as majority memory holder since upgradi</t>
  </si>
  <si>
    <t xml:space="preserve"> Group/User with uninherited permission unable to access share</t>
  </si>
  <si>
    <t xml:space="preserve"> VDU - PML unresponsive; Java dump triggered</t>
  </si>
  <si>
    <t xml:space="preserve"> VDU - disappear security credential intermittent from directory/file in smb shar</t>
  </si>
  <si>
    <t xml:space="preserve"> VDU - (Resolved with IDs on Disk 1.4) SMB load; driven higher by the use of ABE </t>
  </si>
  <si>
    <t xml:space="preserve"> VDU - Alert and degraded messages need to be thrown when customer approaches 100</t>
  </si>
  <si>
    <t xml:space="preserve"> UDU - InForm OS upgrade failure; File Services is not configured on this array</t>
  </si>
  <si>
    <t xml:space="preserve"> UDU - upgrade failure because upgrade task was initiated on a node while pair vm</t>
  </si>
  <si>
    <t xml:space="preserve"> VDU - Multiple java dumps created due java to running out of memory</t>
  </si>
  <si>
    <t xml:space="preserve"> VDU - lwio segfaults in lwmsg_peer_assoc_session_dispatch_calls()</t>
  </si>
  <si>
    <t xml:space="preserve"> VDU - createfshare smb fails with error ERROR_INVALID_PARAMETER in a specific di</t>
  </si>
  <si>
    <t xml:space="preserve"> VDU - Restarting a robocopy session reports all newer files and copy data again</t>
  </si>
  <si>
    <t xml:space="preserve"> VDU - Poor performance during reclamation  (confirm title with bug)</t>
  </si>
  <si>
    <t xml:space="preserve"> VDU -  lwio segfault in LwInterlockedIncrement() </t>
  </si>
  <si>
    <t xml:space="preserve"> VDU - failed to umount file system by error on RMFS during setfpg -deactivate</t>
  </si>
  <si>
    <t xml:space="preserve"> VDU - FP-shutdown hung in nf_conntrack.ko. vmcore generated </t>
  </si>
  <si>
    <t xml:space="preserve"> VDU - Snapshot plugin will not set MAXSPEED strategy.</t>
  </si>
  <si>
    <t xml:space="preserve"> VDU - When writing and deleting large amounts of data; CPG free space is consume</t>
  </si>
  <si>
    <t xml:space="preserve"> VDU - nfsd deadlock khungtask; vmcore manually generated</t>
  </si>
  <si>
    <t xml:space="preserve"> VDU - Multiple lwsmd core files on node0fs after installing hp-smb-7.0.UNITY.Uni</t>
  </si>
  <si>
    <t xml:space="preserve"> VDU - 446 java threads in hung state caused kernel panic: out of memory</t>
  </si>
  <si>
    <t xml:space="preserve">  lwsmd crash in conjunction with "Unable to map lwmsg status 12" messages</t>
  </si>
  <si>
    <t xml:space="preserve"> netlogon crashes resulting in loss of AD access </t>
  </si>
  <si>
    <t xml:space="preserve"> VDU - (Resolved with IDs on Disk) lwio consumes all available CPU cores; work mo</t>
  </si>
  <si>
    <t xml:space="preserve"> VDU - Error SEVERE: Error reading key\value Services\lwio\Parameters\Drivers\ibf</t>
  </si>
  <si>
    <t xml:space="preserve"> VDU - (Resolved with IDs on Disk 1.4) lwio responding to Create requests from cl</t>
  </si>
  <si>
    <t xml:space="preserve"> VDU - lwio segfault in LwInterlockedDecrement() </t>
  </si>
  <si>
    <t xml:space="preserve"> VDU - Intermittent failure in scheduled snapshots/ snapshot reclamation</t>
  </si>
  <si>
    <t xml:space="preserve"> UDU - After upgrade to 1.2.1 a new share named [international data] appears and </t>
  </si>
  <si>
    <t xml:space="preserve"> VDU - HPE-SMB hang in kernel space in __isolate_lru_page() and isolate_lru_pages</t>
  </si>
  <si>
    <t xml:space="preserve"> VDU - lwio throws an assert in InotifySetFcbMask()</t>
  </si>
  <si>
    <t xml:space="preserve"> VDU - Deletion of SMB share leaves the root directory in FStore; so subsequent d</t>
  </si>
  <si>
    <t xml:space="preserve"> VDU - Thousands of service protocolinterfaced restart failed messages generated </t>
  </si>
  <si>
    <t xml:space="preserve"> UDU - libvirtd died on InServ node1 rendering File Persona unmanageable </t>
  </si>
  <si>
    <t xml:space="preserve"> UDU - File Services upgrade failed from Infrom OS 3.2.1 EMU3 to 3.2.2 MU1.</t>
  </si>
  <si>
    <t xml:space="preserve"> VDU - PML monitor fails to start with: SEVERE: starting pml monitor - Execution </t>
  </si>
  <si>
    <t xml:space="preserve"> VDU - Multiple PML plugins failed to stop on PML shutdown with: SEVERE: Can't st</t>
  </si>
  <si>
    <t xml:space="preserve"> UDU - numerous PML plugins throwing a warning that they "did not authenticate"</t>
  </si>
  <si>
    <t xml:space="preserve"> VDU - PML throws multiple of the following errors per day: SEVERE: Error executi</t>
  </si>
  <si>
    <t xml:space="preserve"> VDU - PML localauth threads non responsive; throwing the following: WARNING: Pen</t>
  </si>
  <si>
    <t xml:space="preserve"> VDU - Unbound crond thread growth after PML restart</t>
  </si>
  <si>
    <t xml:space="preserve"> VDU - PML task queue repeatedly fills and PML repeatedly restarts </t>
  </si>
  <si>
    <t xml:space="preserve"> VDU - when user "helpdesk1" and group "helpdesk" exist in same domain; bad UPN g</t>
  </si>
  <si>
    <t xml:space="preserve"> VDU - startfsnapclean fails with error: cannot enqueue after timer shutdown </t>
  </si>
  <si>
    <t xml:space="preserve"> UDU - showfpg -d and fm_fs -i show different health states concurrently </t>
  </si>
  <si>
    <t xml:space="preserve"> VDU - OOM panic caused by memory leak in kernel space </t>
  </si>
  <si>
    <t xml:space="preserve"> VDU - SMB not responding. Impossible to login to KVM. Crash-dump manually genera</t>
  </si>
  <si>
    <t xml:space="preserve"> VDU - Access to shares associated with a VFS is lost until file services is cycl</t>
  </si>
  <si>
    <t xml:space="preserve"> VDU - lwio hang followed by assert ASSERTION FAILED: Expression = (0) File Name </t>
  </si>
  <si>
    <t xml:space="preserve"> VDU - lwio crashed with SIGSEGV because pFcB is zero.</t>
  </si>
  <si>
    <t xml:space="preserve"> VDU - Local Users created with "password never expires = no" as default</t>
  </si>
  <si>
    <t xml:space="preserve"> VDU - hpspmon consuming a large amount of system memory</t>
  </si>
  <si>
    <t xml:space="preserve"> VDU - AV enabled generates multiple semaphore calls per file impacting performan</t>
  </si>
  <si>
    <t xml:space="preserve"> VDU - ASSERTION FAILED: Expression = (!(((pSmbRequest-&gt;Flags) &amp; (0x00001)) != 0)</t>
  </si>
  <si>
    <t xml:space="preserve"> VDU - Call to LWIO_ASSERT fails to result in daemon core file creation </t>
  </si>
  <si>
    <t xml:space="preserve"> UDU - File services failed to start on RCIP ports with "Port 2:3:1 already reser</t>
  </si>
  <si>
    <t xml:space="preserve"> UDU - after upgrade to 1.1; customer receives the following message once per min</t>
  </si>
  <si>
    <t xml:space="preserve"> VDU - Multiple UIDs present for the same user </t>
  </si>
  <si>
    <t xml:space="preserve"> VDU - Error 1721:Not enough resources are available to complete this operation</t>
  </si>
  <si>
    <t xml:space="preserve"> VDU - File services marked as failed with "Symbolic link by ID is missing for th</t>
  </si>
  <si>
    <t xml:space="preserve"> UDU - Potential non-terminating loop in the rundown code: rpc.mountd[32718]: Cau</t>
  </si>
  <si>
    <t xml:space="preserve"> VDU - nfs deadlock in nfsd3_proc_rename</t>
  </si>
  <si>
    <t xml:space="preserve"> VDU - Memory leak in lwio during data migration</t>
  </si>
  <si>
    <t xml:space="preserve"> VDU - Intermittent page allocation failures in File Persona</t>
  </si>
  <si>
    <t xml:space="preserve"> VDU - Secondary HP-SMB stack crash in __strlen_sse2 with lwsmd[23911]: segfault </t>
  </si>
  <si>
    <t xml:space="preserve"> VDU - Unable to migrate data from NetApp filer to File Persona SMB share</t>
  </si>
  <si>
    <t xml:space="preserve"> Johny Bens</t>
  </si>
  <si>
    <t xml:space="preserve"> johny.bens@hpe.com</t>
  </si>
  <si>
    <t xml:space="preserve"> UDU -  Could not join AD due to clock out of sync between FP and 3Par node.</t>
  </si>
  <si>
    <t xml:space="preserve"> VDU - HP-SMB crash in SrvBuildInterimResponse_SMB_V2 : kernel: lwsmd[8679]: segf</t>
  </si>
  <si>
    <t xml:space="preserve"> VDU - HP-SMB stack crashes in lwmsg_object_is_zero () with lwsmd[13925]: segfaul</t>
  </si>
  <si>
    <t xml:space="preserve"> VDU - lsass crash in malloc_consolidate() with lwsmd[21874] general protection i</t>
  </si>
  <si>
    <t xml:space="preserve"> VDU - sprint15: on NFS; moving files from snapshots to mount point hangs and giv</t>
  </si>
  <si>
    <t xml:space="preserve"> David Vasiliu</t>
  </si>
  <si>
    <t xml:space="preserve"> david.vasiliu@hpe.com</t>
  </si>
  <si>
    <t xml:space="preserve"> VDU - Share subdirectories are being created automatically when creating the sha</t>
  </si>
  <si>
    <t xml:space="preserve"> VDU - Kerberos authentication not working as expected.</t>
  </si>
  <si>
    <t xml:space="preserve"> UDU - Unable to install file services; failure is "File Persona must be running </t>
  </si>
  <si>
    <t xml:space="preserve"> VDU - can not add/remove export entry to file share due to /etc/exports corrupti</t>
  </si>
  <si>
    <t xml:space="preserve"> VDU - smb2 find on directory fails with STACK_BUFFER_OVERFLOW</t>
  </si>
  <si>
    <t xml:space="preserve"> UDU - Procedure for upgrading StoreServe 7200c; with File Persona feature enable</t>
  </si>
  <si>
    <t xml:space="preserve"> VDU - HP-SMB stack crash on shutdown; SIGABRT with: lwio: [lwio] Failed to lock </t>
  </si>
  <si>
    <t xml:space="preserve"> VDU - domain controller 'problem' leads to share unavailability and FP node unre</t>
  </si>
  <si>
    <t xml:space="preserve"> VDU - If VFS fails to activate IPs due to link down; IPs are not automatically a</t>
  </si>
  <si>
    <t xml:space="preserve"> VDU - Up to 30 second delay in response to setinfo for SMB2_FILE_DISPOSITION_INF</t>
  </si>
  <si>
    <t xml:space="preserve"> VDU - During umount of FS receiving a FAILED_TO_RMFS on the filesystem even thou</t>
  </si>
  <si>
    <t xml:space="preserve"> VDU - directory structure of FP share not displayed in windows explorer on Win7 </t>
  </si>
  <si>
    <t xml:space="preserve"> UDU - Unable to recover FPG using createfpg -recover of RW Virtual Copy of RCIP </t>
  </si>
  <si>
    <t xml:space="preserve"> VDU - StorServ File Persona - AdvFS or ADE require contiguous free space to func</t>
  </si>
  <si>
    <t xml:space="preserve"> Suzanne Weiler</t>
  </si>
  <si>
    <t xml:space="preserve"> suzanne.weiler@hpe.com</t>
  </si>
  <si>
    <t xml:space="preserve"> UDU - Upgrade OS-3.2.1.292-MU3 File Service Failed</t>
  </si>
  <si>
    <t xml:space="preserve"> VDU</t>
  </si>
  <si>
    <t xml:space="preserve"> UDU - PML network events throw the errors:SEVERE: EventReceiver - userEventComma</t>
  </si>
  <si>
    <t xml:space="preserve"> VDU - suspected memory leak in size-32 slab in kernel space "Kernel panic - not </t>
  </si>
  <si>
    <t xml:space="preserve"> VDU - Failed growfpg and repeated khungtask crashes on system with nearly full (</t>
  </si>
  <si>
    <t xml:space="preserve"> VDU - After adding static routes to VLAN tagged bond0 interface File Persona VMs</t>
  </si>
  <si>
    <t xml:space="preserve"> VDU - rsyslog rate limiting does not print message that was throttled</t>
  </si>
  <si>
    <t xml:space="preserve"> VDU - HpProtocolsServices.log logs hundreds of these 'errors' per day: /pmlInter</t>
  </si>
  <si>
    <t xml:space="preserve"> VDU - hp-smb stack crashes with: lwsmd[3235]: segfault at 20 ip 0000003c38009220</t>
  </si>
  <si>
    <t xml:space="preserve"> VDU - Robocopy throws "ERROR 31 (0x0000001F) Copying NTFS Security to Destinatio</t>
  </si>
  <si>
    <t xml:space="preserve"> VDU - Unable to rename file beginning with @ symbol with numbers in the file nam</t>
  </si>
  <si>
    <t xml:space="preserve"> VDU - File Persona - Unintelligible VFS Quota Alerts Logged to STaTS </t>
  </si>
  <si>
    <t xml:space="preserve"> Dana Flocken</t>
  </si>
  <si>
    <t xml:space="preserve"> dana.flocken@hpe.com</t>
  </si>
  <si>
    <t xml:space="preserve"> VDU - Unable to mount share as NFSV4</t>
  </si>
  <si>
    <t xml:space="preserve"> UDU</t>
  </si>
  <si>
    <t xml:space="preserve"> Mike Grigg</t>
  </si>
  <si>
    <t xml:space="preserve"> mike.grigg@hpe.com</t>
  </si>
  <si>
    <t xml:space="preserve"> UDU - OS NIC HBA/SFP PN check needs to be updated for Avago SFP's once HW suppor</t>
  </si>
  <si>
    <t xml:space="preserve"> UDU - No option neither in GUI nor in CLI to specify destination/source folder f</t>
  </si>
  <si>
    <t xml:space="preserve"> UDU - All communication ports required for 3Par File Persona operation need to b</t>
  </si>
  <si>
    <t xml:space="preserve"> MSDU</t>
  </si>
  <si>
    <t xml:space="preserve"> VDU - Allow users to select the 3PAR system while logging into SSMC</t>
  </si>
  <si>
    <t xml:space="preserve"> UDU - File Services network configured wrong on the node if network is down on t</t>
  </si>
  <si>
    <t xml:space="preserve"> VDU - SSMC throws unexpected error from server when the File Persona network is </t>
  </si>
  <si>
    <t xml:space="preserve"> MSDU - Mega Menu is not refreshed after adding File Persona license</t>
  </si>
  <si>
    <t xml:space="preserve"> VDU - User Quotas: Changing ownership of files from one user to another; does no</t>
  </si>
  <si>
    <t xml:space="preserve"> The primary group quota stays in effect even after changing/removing it.</t>
  </si>
  <si>
    <t xml:space="preserve"> VDU - Request for additional data to be gathered by fcollect</t>
  </si>
  <si>
    <t xml:space="preserve"> VDU - Directory Quotas should have path option for changing directory quotas for</t>
  </si>
  <si>
    <t xml:space="preserve"> VDU - Taking/changing ownership for Files and Folders on CIFS share denied </t>
  </si>
  <si>
    <t xml:space="preserve"> VDU - removefstore fails when the file store path is a substring of another file</t>
  </si>
  <si>
    <t xml:space="preserve"> MSDU/UDU</t>
  </si>
  <si>
    <t xml:space="preserve"> VDU (MSDU)/UDU - Large Domain Controller tree (the customer has over 150 Domain </t>
  </si>
  <si>
    <t xml:space="preserve"> UDU - Unable to modify the nodeip VLAN tag</t>
  </si>
  <si>
    <t xml:space="preserve"> VDU - SSMC should allow File Persona to be enabled without a default gateway</t>
  </si>
  <si>
    <t>Open Bug</t>
  </si>
  <si>
    <t>http://vasa0097.cxo.storage.hpecorp.net/Cfi/CFIIssues?gridIssues-page=1&amp;gridIssues-pageSize=500&amp;gridIssues-filter=ProductFamily~contains~%27persona%27~or~ProductFamily~contains~%27StoreOnce%20%28G3%27</t>
  </si>
  <si>
    <t xml:space="preserve"> StoreOnce (G3)</t>
  </si>
  <si>
    <t xml:space="preserve"> Arend Lensen</t>
  </si>
  <si>
    <t xml:space="preserve"> arend.lensen@hpe.com</t>
  </si>
  <si>
    <t xml:space="preserve"> Bjoern Seeholzer</t>
  </si>
  <si>
    <t xml:space="preserve"> Replication Process Crash communicating with Likewise</t>
  </si>
  <si>
    <t xml:space="preserve"> Alain Vercammen</t>
  </si>
  <si>
    <t xml:space="preserve"> alain.vercammen@hpe.com</t>
  </si>
  <si>
    <t xml:space="preserve"> Drive replacement in D6000 storage unit may result in massive SAS disruption lea</t>
  </si>
  <si>
    <t xml:space="preserve"> Robert O'Reilly</t>
  </si>
  <si>
    <t xml:space="preserve"> rob.oreilly@hpe.com</t>
  </si>
  <si>
    <t xml:space="preserve"> Dedupe crash when reading a specific faulty index</t>
  </si>
  <si>
    <t xml:space="preserve"> Node crashes with exception RIP: trgt_search_hash+220</t>
  </si>
  <si>
    <t xml:space="preserve"> After updating to 3.13.7 the likewise process is crashing after each reboot of t</t>
  </si>
  <si>
    <t xml:space="preserve"> Archesh Shah</t>
  </si>
  <si>
    <t xml:space="preserve"> archesh.shah@hpe.com</t>
  </si>
  <si>
    <t xml:space="preserve"> StoreOnce GUI - Exporting the event log and save to a CSV file locally does not </t>
  </si>
  <si>
    <t xml:space="preserve"> VTL has same RSNN Data on different StoreOnce appliances used in the same enviro</t>
  </si>
  <si>
    <t xml:space="preserve"> Marco A Ortega</t>
  </si>
  <si>
    <t xml:space="preserve"> marco.ortega@hpe.com</t>
  </si>
  <si>
    <t xml:space="preserve"> Cipher (-cbc) security vulnerability reported by Nessus on StoreOnce 5100</t>
  </si>
  <si>
    <t xml:space="preserve"> Ove Altberg</t>
  </si>
  <si>
    <t xml:space="preserve"> ove.altberg@hpe.com</t>
  </si>
  <si>
    <t xml:space="preserve"> cannot modify local user running 3.16.3 and 3.16.4</t>
  </si>
  <si>
    <t xml:space="preserve"> Node crash on 3.16.2 with exception RIP: ext3_get_group_desc; Kernel panic - not</t>
  </si>
  <si>
    <t xml:space="preserve"> Fans 5 and 6 noisy and working on 90% speed randomly on the 5100 node</t>
  </si>
  <si>
    <t xml:space="preserve"> Julian Sandoval</t>
  </si>
  <si>
    <t xml:space="preserve"> julian.sandoval@hpe.com</t>
  </si>
  <si>
    <t xml:space="preserve"> 3.16.3 Shares Become inaccessible; restart of Likewise services is required to f</t>
  </si>
  <si>
    <t xml:space="preserve"> MSA P2000 Controller logging massive parity errors since months but not detected</t>
  </si>
  <si>
    <t xml:space="preserve"> Out of memory crash; slab usage high</t>
  </si>
  <si>
    <t xml:space="preserve"> Unable to gain exclusive lock on object</t>
  </si>
  <si>
    <t xml:space="preserve"> Catalyst Replication process crashes due to segmentation fault when federated ca</t>
  </si>
  <si>
    <t xml:space="preserve"> Reporting Central graphs tab "CPU/Memory" is reporting CPU utilisation including</t>
  </si>
  <si>
    <t xml:space="preserve"> StoreOnce 6500 Qlogic fw dump occurs after FC HBA port fails or locks up</t>
  </si>
  <si>
    <t xml:space="preserve"> Reporting Central  "Capacity Usage" Report fails to generate and does not send e</t>
  </si>
  <si>
    <t xml:space="preserve"> Replication process crashes during Catalyst copy process when dealing with an ex</t>
  </si>
  <si>
    <t xml:space="preserve"> Ken Mclain</t>
  </si>
  <si>
    <t xml:space="preserve"> ken.mclain@hpe.com</t>
  </si>
  <si>
    <t xml:space="preserve"> After upgrade-conversion from 3.13.x to 3.16.3; trying to modify cifs configurat</t>
  </si>
  <si>
    <t xml:space="preserve"> Jack Ramos</t>
  </si>
  <si>
    <t xml:space="preserve"> jack.ramos@hpe.com</t>
  </si>
  <si>
    <t xml:space="preserve"> AD user or group members missing under NAS configuration after StoreOnce is rebo</t>
  </si>
  <si>
    <t xml:space="preserve"> Software</t>
  </si>
  <si>
    <t xml:space="preserve"> Copy Function of HPEStoreOnceCatalystTool when used with Bridgehead Store causes</t>
  </si>
  <si>
    <t xml:space="preserve">  Smart Array Smart component firmware update leads to kernel crash </t>
  </si>
  <si>
    <t xml:space="preserve"> Reporting central threshold setting for storage alert reporting is not used corr</t>
  </si>
  <si>
    <t xml:space="preserve"> Customer receives alert events indicating that the FC HBA has generated a firmwa</t>
  </si>
  <si>
    <t xml:space="preserve"> Firmware upgrade on SAS expander (shiner) was performed using HPE Proliant Servi</t>
  </si>
  <si>
    <t xml:space="preserve"> Illegal option available  to configure 16 Gbit in combination with LOOP-mode in </t>
  </si>
  <si>
    <t xml:space="preserve"> SEM v1.5.1  StoreOnce GUI Fails to load within SEM.</t>
  </si>
  <si>
    <t xml:space="preserve"> Security Vulnerability exists for iLO version 2.44 in use by StoreOnce appliance</t>
  </si>
  <si>
    <t xml:space="preserve"> Confidencechecker declaring different segments to be corrupted</t>
  </si>
  <si>
    <t xml:space="preserve"> Support Ticket collections causes access issues to Federated Store and can cause</t>
  </si>
  <si>
    <t xml:space="preserve"> AD login fails but event log shows a successful login</t>
  </si>
  <si>
    <t xml:space="preserve"> 3.13.6 B6200 cored for scheduled-event:segfault</t>
  </si>
  <si>
    <t xml:space="preserve"> AIX host configuration change is seemingly not working - host may disappear</t>
  </si>
  <si>
    <t xml:space="preserve"> Dedupe core with: kernel:tfmr-PortionBui[3598461]: segfault at f5a1bbf67 ip 0000</t>
  </si>
  <si>
    <t xml:space="preserve"> Fusion manager not starting after reboot</t>
  </si>
  <si>
    <t xml:space="preserve"> tony.seeholzer@hpe.com</t>
  </si>
  <si>
    <t xml:space="preserve"> Cannot remove client access permissions for Federated stores via the GUI</t>
  </si>
  <si>
    <t xml:space="preserve"> Veeam backups using CoFC fail when the devices per initiator is set to 32 or hig</t>
  </si>
  <si>
    <t xml:space="preserve"> Single node Management connections (GUI + CLI) may no longer work after upgrade </t>
  </si>
  <si>
    <t xml:space="preserve"> Data Protector copy jobs of catalyst items report ?unknown? in taglist</t>
  </si>
  <si>
    <t xml:space="preserve"> 3520/3540 do not generate Ibrix alert events when capacity is over 85% used by V</t>
  </si>
  <si>
    <t xml:space="preserve"> Backup failure on large databases using Microsoft SQL Server Plug-in </t>
  </si>
  <si>
    <t xml:space="preserve"> Network configuration lost after update from 3.13.3 to 3.13.5 (can happen any up</t>
  </si>
  <si>
    <t xml:space="preserve"> iRS cases generated by 3.16.2: "The port link is up but some devices did not acq</t>
  </si>
  <si>
    <t xml:space="preserve"> Shadow Clone cartridges stuck in deleting state</t>
  </si>
  <si>
    <t xml:space="preserve"> When a volume is failed due to multiple drive failures; the volume cannot be for</t>
  </si>
  <si>
    <t xml:space="preserve"> D2DManager going critical due to RpcServer process failing on 3.16.2 and created</t>
  </si>
  <si>
    <t xml:space="preserve"> Using Active Directory (AD) to join a domain fails when user account has '@' in </t>
  </si>
  <si>
    <t xml:space="preserve"> AIX emulation type goes away whenever their StoreOnce is rebooted</t>
  </si>
  <si>
    <t xml:space="preserve"> Invalid Block length reported reading VTL cartridges from Target VTL</t>
  </si>
  <si>
    <t xml:space="preserve"> Node crash -  Process: ksoftirqd; RIP: list_del leads to kernel panic; node cras</t>
  </si>
  <si>
    <t xml:space="preserve"> Unable to access CIFS shares using "user" mode authentication on multimode syste</t>
  </si>
  <si>
    <t xml:space="preserve"> CRITICAL: External Storage Enclosure Device Failure</t>
  </si>
  <si>
    <t xml:space="preserve"> core files generated in /dump/corefiles/core.ibravscand.xxxx using space on /dum</t>
  </si>
  <si>
    <t xml:space="preserve"> NAS crashes with lwsmd core file every ~10 days.</t>
  </si>
  <si>
    <t xml:space="preserve"> Node crash while Failed over Serviceset was failing back</t>
  </si>
  <si>
    <t xml:space="preserve"> Creating a large replication map may freeze the GUI and at that time; the mappin</t>
  </si>
  <si>
    <t xml:space="preserve"> OS upgrade-conversion  from 3.13.X to 3.15.x may fail due to 'Aborted Quick Rest</t>
  </si>
  <si>
    <t xml:space="preserve"> System may become irresponsive (GUI not reacting) due to memory fragmentation</t>
  </si>
  <si>
    <t xml:space="preserve"> After upgrade to 3.16.x the VSA wont boot; shows GRUB error 2</t>
  </si>
  <si>
    <t xml:space="preserve"> 3.16.2 RPCserver crashed leading to dump</t>
  </si>
  <si>
    <t xml:space="preserve"> NBU duplication jobs fail with Catalyst Status logs showing status code â€œ-213870</t>
  </si>
  <si>
    <t xml:space="preserve"> BMA process may hang when DataProctor version 9.07 or higher is configured for F</t>
  </si>
  <si>
    <t xml:space="preserve"> StoreOnce GUI add SNMP TRAPSINK does not allow for entry of 0 in 2nd â€“ 4th byte</t>
  </si>
  <si>
    <t xml:space="preserve"> Race condition in dtpxGetLocalCartridgeDataJobStatus() leads to Replication serv</t>
  </si>
  <si>
    <t xml:space="preserve"> Unable to add Active Directory user or group if hyphen "-" exist in either usern</t>
  </si>
  <si>
    <t xml:space="preserve"> StoreOnce 4430 False warning about pending software update </t>
  </si>
  <si>
    <t xml:space="preserve"> After upgrade to 3.16.2 routes via non Default subnet fails</t>
  </si>
  <si>
    <t xml:space="preserve"> GUI/CLI checks of the network FQDN do not accept â€˜_â€™ or TLD (top level domain) l</t>
  </si>
  <si>
    <t xml:space="preserve"> Dedupe process may crash when it encounters a â€œWARN cmd-handler Unable to scan â€¦</t>
  </si>
  <si>
    <t xml:space="preserve"> Node crashed post upgrade to v3.16.2 (call traces from SCSI FCP drivers are show</t>
  </si>
  <si>
    <t xml:space="preserve"> StoreOnce Gen9  systems don't have SWAP device configured when shipping from fac</t>
  </si>
  <si>
    <t xml:space="preserve"> 3.15.4 Replicated CommVault file(s) can not be read on Target StoreOnce</t>
  </si>
  <si>
    <t xml:space="preserve"> Backups failing due to lack of memory resources.</t>
  </si>
  <si>
    <t xml:space="preserve"> NBU Restore Jobs failing after OST upgrade when using % character in search stri</t>
  </si>
  <si>
    <t xml:space="preserve">  Initial password fails authentication for local user if using supported Charact</t>
  </si>
  <si>
    <t xml:space="preserve"> 3.15.1 Ibrix logs are not rotated daily due to "bad file mode" /usr/local/ibrix/</t>
  </si>
  <si>
    <t xml:space="preserve"> 6600/D6020 on 3.16.X reports issues with Power Supply or Fans (C2 or C6) alerts </t>
  </si>
  <si>
    <t xml:space="preserve"> B6200 3.13.5 Service set faulty and one store goes offline; resolved by SS resta</t>
  </si>
  <si>
    <t xml:space="preserve"> Capacity upgrade causes an unbalance in segments between nodes on 3.16.x</t>
  </si>
  <si>
    <t xml:space="preserve"> Node crashes on 3.16.2 running CoFC and messages / vsp logs full with: qla2xxx 0</t>
  </si>
  <si>
    <t xml:space="preserve">  Periodic (Monthly) D2DManager process state has changed: OK to Critical (Object</t>
  </si>
  <si>
    <t xml:space="preserve"> kernel crash on 3.15.4 with  tcp_fragment+0x332/0x340</t>
  </si>
  <si>
    <t xml:space="preserve"> Upgrading FC HBA on 5100 fails running 3.16.2 &gt;&gt; FCHBA(Internal error - details:</t>
  </si>
  <si>
    <t xml:space="preserve"> Drive can be failed for NAKs on active SAS path without passive SAS path being t</t>
  </si>
  <si>
    <t xml:space="preserve"> When adding second couplet on 3.13.3; nodes are seen as couplet3</t>
  </si>
  <si>
    <t xml:space="preserve"> 6500 Node 1 /tmp directory getting to 98% full. Alert logged showing its more th</t>
  </si>
  <si>
    <t xml:space="preserve"> Space used on Reporting Central and GUI Storage reporting does not agree</t>
  </si>
  <si>
    <t xml:space="preserve"> 2nd Rack Network Switches WSN/WPN are logged to BB918A and not BB920A </t>
  </si>
  <si>
    <t xml:space="preserve"> Ken McLain</t>
  </si>
  <si>
    <t xml:space="preserve"> Potential file corruption at 4MB boundaries when using Re-balancer tool.</t>
  </si>
  <si>
    <t xml:space="preserve"> P1228 locks up with F252 code</t>
  </si>
  <si>
    <t xml:space="preserve"> D6020 Storage Became Unavailable</t>
  </si>
  <si>
    <t xml:space="preserve"> StoreOnce (3.16.2) - AD domain join does not work ; command does not complete; n</t>
  </si>
  <si>
    <t xml:space="preserve"> StoreOnce B6200 Alerts showing drive is missing then not missing and healthy bei</t>
  </si>
  <si>
    <t xml:space="preserve"> robert.oâ€™reilly @hpe.com</t>
  </si>
  <si>
    <t xml:space="preserve"> After upgrading SO4700 to 3.15.x the Warranty Serial Number is "missing" for exp</t>
  </si>
  <si>
    <t xml:space="preserve"> NAS failing after update to 3.16.2. lwsmd Core files reporting "LwIoAssertionFai</t>
  </si>
  <si>
    <t xml:space="preserve"> Two 6500's have duplicate WWID's after experiencing CFI 15564 (change of WWID af</t>
  </si>
  <si>
    <t xml:space="preserve"> CommVault NAS / NFS reporting: Insufficient disk space. Available mount paths ar</t>
  </si>
  <si>
    <t xml:space="preserve"> NBU Catalyst COPY jobe reports 3X copy size since OSTv4 installation </t>
  </si>
  <si>
    <t xml:space="preserve"> OST Plugin upgrade may fail on a Windows media server if that Windows server is </t>
  </si>
  <si>
    <t xml:space="preserve"> After a upgrade to 3.16.x; service set does not start - "Failed to Start" due to</t>
  </si>
  <si>
    <t xml:space="preserve"> Node crashes with active command â€œifconfigâ€ when rebooted (OS 3.15.2 â€“ 3.15.4)</t>
  </si>
  <si>
    <t xml:space="preserve"> NBU Accelerator INCREMENTAL backups fail intermittently when using plugin versio</t>
  </si>
  <si>
    <t xml:space="preserve"> StoreOnce reports 100Mbps network link as 1Gbps</t>
  </si>
  <si>
    <t xml:space="preserve"> 6500 at 3.15.1 node crash and failover with [exception RIP: intel_idle+254] and </t>
  </si>
  <si>
    <t xml:space="preserve"> after deleting a large store; free space is not increasing after a long time; a </t>
  </si>
  <si>
    <t xml:space="preserve"> backups failing with Disk Volume Down - NBU status: 2074</t>
  </si>
  <si>
    <t xml:space="preserve"> using OST 4.0.0; AIR replications works; but no Import jobs starts at Target NBU</t>
  </si>
  <si>
    <t xml:space="preserve"> SSH Security encryption SHA-256 not available in 3.13.6 (or older code)</t>
  </si>
  <si>
    <t xml:space="preserve"> node crash with: [exception RIP: intel_idle+209] with An NMI occurred</t>
  </si>
  <si>
    <t xml:space="preserve"> Node crash with footprint "isolate_lru_pages.clone" found in Crash file running </t>
  </si>
  <si>
    <t xml:space="preserve"> ILO may become irresponsive after update from the system to 3.15.x. Node might c</t>
  </si>
  <si>
    <t xml:space="preserve"> Replaced Fan still reported as missing or failed</t>
  </si>
  <si>
    <t xml:space="preserve"> False Alerts indicating that the FC HBA is missing or has failed reported after </t>
  </si>
  <si>
    <t xml:space="preserve"> After runninig fsck phase 1 there are "spillover_snap_violation" errors reported</t>
  </si>
  <si>
    <t xml:space="preserve"> ObjectCopy jobs which contain "TIR" in the filename max out at 1Mb/sec write spe</t>
  </si>
  <si>
    <t xml:space="preserve"> CoFC  : When in LOOP mode only 1 LUN is being presented regardless of the value </t>
  </si>
  <si>
    <t xml:space="preserve"> 10GbE / 557SFP+ card goes into Flex qbg mode during reboot when connected to Alc</t>
  </si>
  <si>
    <t xml:space="preserve"> Veeam backups will fail with Returnstatus = -3206 OSCLT_ERR_NOT_IN_READ_MODE</t>
  </si>
  <si>
    <t xml:space="preserve"> Hpspmon indicates that node is in an unknown state (multi-node systems)</t>
  </si>
  <si>
    <t xml:space="preserve"> Moving Fibre Channel connections to new ports causes Node panic leading to core </t>
  </si>
  <si>
    <t xml:space="preserve"> GEN9 Node crashes on OS 3.15.1 - invalidate_inode_page; exception RIP: try_to_re</t>
  </si>
  <si>
    <t xml:space="preserve"> After system upgrade to 3.13.3 SSID fails to initialize upon restart/reboot</t>
  </si>
  <si>
    <t xml:space="preserve"> Missing DIMM messages reported for multiple DIMMs after upgrading to 3.15.1</t>
  </si>
  <si>
    <t xml:space="preserve"> NAS share metadata corrupted after running NAS share full continuously. Corrupti</t>
  </si>
  <si>
    <t xml:space="preserve"> RMAN RAC duplication job fail intermittently with error OSCLT_ERR_SERVER_OFFLINE</t>
  </si>
  <si>
    <t xml:space="preserve"> p1224 self-test failure during post </t>
  </si>
  <si>
    <t xml:space="preserve"> WWNs change from default after SW upgrade to 3.16.0 completes (also seen with 3.</t>
  </si>
  <si>
    <t xml:space="preserve"> Replay of transaction logs fail; leading to dedupe stores not starting</t>
  </si>
  <si>
    <t xml:space="preserve"> GUI Unresponsive or very slow to respond</t>
  </si>
  <si>
    <t xml:space="preserve"> Cannot enroll with external key manager if certificate chain has three or more c</t>
  </si>
  <si>
    <t xml:space="preserve"> Gen9 StoreOnce nodes BIOS settings may display at C6_State and/or Package_C6_Sta</t>
  </si>
  <si>
    <t xml:space="preserve"> Federated catalyst will stop working when a new couplet is partially added to an</t>
  </si>
  <si>
    <t xml:space="preserve"> Space Reporting Issues / Missing Capacity</t>
  </si>
  <si>
    <t xml:space="preserve"> StoreOnce GUI shows Configured Raw Storage as 0TB</t>
  </si>
  <si>
    <t xml:space="preserve"> Server too busy when doing high stream counts</t>
  </si>
  <si>
    <t xml:space="preserve"> All</t>
  </si>
  <si>
    <t xml:space="preserve"> Reporting Central on 3.13.x StoreOnce-code does not communicate with 3.15.x conn</t>
  </si>
  <si>
    <t xml:space="preserve"> Multi Node StoreOnce - No response on StoreOnce GUI  and CLI; Issue resolve by f</t>
  </si>
  <si>
    <t xml:space="preserve"> DataProtector backups to StoreOnce NSF shares; slow performance.</t>
  </si>
  <si>
    <t xml:space="preserve"> Oracle filesystem backups incorrectly filtered by CA splitter</t>
  </si>
  <si>
    <t xml:space="preserve"> NASman fails and core file created running Acronis backups from 60 clients.</t>
  </si>
  <si>
    <t xml:space="preserve"> When resizing a library that has an existing replication map; the adjustment of </t>
  </si>
  <si>
    <t xml:space="preserve"> 3.15.1 reports ConfigWarn when configured bond does not have an IP address whils</t>
  </si>
  <si>
    <t xml:space="preserve"> 6500- FC port connection error is reported as an alert and the FC connection is </t>
  </si>
  <si>
    <t xml:space="preserve"> StoreOnce 4430 - Hard drive fw update to HPDA version fails. </t>
  </si>
  <si>
    <t xml:space="preserve"> d2d.software.upgrade.notify event is having level ALERT and therefore not maskab</t>
  </si>
  <si>
    <t xml:space="preserve"> StoreOnce software 3.14.x and 3.15.x use OpenSSL version that has medium securit</t>
  </si>
  <si>
    <t xml:space="preserve"> SO 3.15.1 GUI has misalignment when showing the System Information</t>
  </si>
  <si>
    <t xml:space="preserve"> Node writes a io core file which stops stores from being accessed</t>
  </si>
  <si>
    <t xml:space="preserve"> System show status may report disk space available for adding after update from </t>
  </si>
  <si>
    <t xml:space="preserve"> StoreOnce CLI doesn't correctly work in case of logging in StoreOnce GUI with Ja</t>
  </si>
  <si>
    <t xml:space="preserve"> MultiStream NAS backups fail when using SMB1 Signing</t>
  </si>
  <si>
    <t xml:space="preserve"> Performance of similar backup job reduces over time when high amount of streams </t>
  </si>
  <si>
    <t xml:space="preserve"> StoreOnce CLI and StoreOnce GUI doesn't show any licenses</t>
  </si>
  <si>
    <t xml:space="preserve"> Software update encountered error on multi node StoreOnce - not enough informati</t>
  </si>
  <si>
    <t xml:space="preserve"> B6200 under heavy Federated Catalyst store load and high segment usage fails ove</t>
  </si>
  <si>
    <t xml:space="preserve"> the 6600 GUI is not showing all 8 servicesets and this causes confusion to the u</t>
  </si>
  <si>
    <t xml:space="preserve"> Service set stuck in initialization phase after file system check was invoked (i</t>
  </si>
  <si>
    <t xml:space="preserve"> node crash with:  ibrix:ibr_tree_extract_node </t>
  </si>
  <si>
    <t xml:space="preserve"> Replication process core on 3.13.4</t>
  </si>
  <si>
    <t xml:space="preserve"> NMI Watchdog detected LOCKUP / qla2xxx_fcti:HP_qla24xx_process_atio_queue_isr (3</t>
  </si>
  <si>
    <t xml:space="preserve"> VTL commands fail at StoreOnce CLI: 'vtl show cartridge setX lib Y'. Also REST c</t>
  </si>
  <si>
    <t xml:space="preserve"> VTL backups aborting. In VTBufMgr.log we find: "FlushOpcode took too long. Dedup</t>
  </si>
  <si>
    <t xml:space="preserve"> crash on 3.15.1 with:  [&lt;ffffffffa05286d6&gt;] catalyst_ioctl+0x4f9/0x562 [qla2xxx_</t>
  </si>
  <si>
    <t xml:space="preserve"> Update from 3.13.x to 3.15.1 Fails.</t>
  </si>
  <si>
    <t xml:space="preserve"> Internal Controller; PSU and FAN reported as missing for Node in B6200 Cluster</t>
  </si>
  <si>
    <t xml:space="preserve"> NMI lockup caused by crash within Ibrix software: ibrix:getfree_receipt+0xfa</t>
  </si>
  <si>
    <t xml:space="preserve"> COFC Catalyst stores unavailable after update from 3.13.3 to 3.15.1 when devices</t>
  </si>
  <si>
    <t xml:space="preserve"> VSA fails to start up and mount file system due to /var/log directory being 100%</t>
  </si>
  <si>
    <t xml:space="preserve"> kernel panic in the catalyst section for the qla driver </t>
  </si>
  <si>
    <t xml:space="preserve"> Corrupt NAS DFS and VTL entries cause Replication to stall indefinitely  </t>
  </si>
  <si>
    <t xml:space="preserve"> AD rejoin not working correctly after update to 3.13.x software -  lsass Error 4</t>
  </si>
  <si>
    <t xml:space="preserve"> Recovered cartridge  due to End Of Data (EOD) mismatch events reported in GUI.  </t>
  </si>
  <si>
    <t xml:space="preserve"> GUI displays time in UTC in some displays and others displays correct Local time</t>
  </si>
  <si>
    <t xml:space="preserve"> SEM fails to generate reports; SEM application freezes up causing customer to no</t>
  </si>
  <si>
    <t xml:space="preserve"> Node crash due to an NMI watchdog panic in the ibrix RPC cache area (release_RPC</t>
  </si>
  <si>
    <t xml:space="preserve"> Encrypted Stores Not starting after reboot</t>
  </si>
  <si>
    <t xml:space="preserve"> SO6500: HPSPMON reporting may show storage degraded and pools in unknown state </t>
  </si>
  <si>
    <t xml:space="preserve"> NAS SHARES OFFLINE due to crashing likewise process</t>
  </si>
  <si>
    <t xml:space="preserve"> Replication process in Dead State on source.</t>
  </si>
  <si>
    <t xml:space="preserve"> Long delay in starting up service set due to a large amount of invalid SI transa</t>
  </si>
  <si>
    <t xml:space="preserve"> Reseating 2E cable shortly after reseating 1E cable led to most drives being mar</t>
  </si>
  <si>
    <t xml:space="preserve"> StoreOnce 5100 User Interface (GUI) not accessible but CLI functionality remains</t>
  </si>
  <si>
    <t xml:space="preserve"> Catalyst copy job (optimized duplication): FQDN not resolved with DNS correctly </t>
  </si>
  <si>
    <t xml:space="preserve"> DFS Entry CRC mismatch detected; ShareIndex x; EntryID yyyyy </t>
  </si>
  <si>
    <t xml:space="preserve"> StoreOnce attempt to join AD crashes NAS service</t>
  </si>
  <si>
    <t xml:space="preserve"> System Degraded C6 Error Fans Commanded at maximum speed</t>
  </si>
  <si>
    <t xml:space="preserve"> VTL stuck in Deleting State after attempting to delete the VTL.</t>
  </si>
  <si>
    <t xml:space="preserve"> Unsuccessful 3.14.0 -- 3.14.1 upgrade: leading to Kernel Panic when booting up</t>
  </si>
  <si>
    <t xml:space="preserve"> Cannot start GUI for SQL plugin for Microsoft Windows</t>
  </si>
  <si>
    <t xml:space="preserve"> Replication jobs intermittently failing but retries are successful in Federated </t>
  </si>
  <si>
    <t xml:space="preserve"> RMC express backup fails due to a StoreOnce  dedupe error when SO appliance is u</t>
  </si>
  <si>
    <t xml:space="preserve"> 3.13.3 and OST 3.1.5 for NBU with Catalyst Store can't do incrementals or differ</t>
  </si>
  <si>
    <t xml:space="preserve"> Node fails over wtih FC HBA Catalyst errors listed in the VSP logs crash details</t>
  </si>
  <si>
    <t xml:space="preserve"> CAT CoFC test core dump - "catalyst_clear_reconnection_task_got_halock"</t>
  </si>
  <si>
    <t xml:space="preserve"> Group Managed Service account (gMSA) cannot write to or access CIFS shares on St</t>
  </si>
  <si>
    <t xml:space="preserve"> NBU OST Import operation fails with JSON parse error</t>
  </si>
  <si>
    <t xml:space="preserve"> Missing postgresql directories preventing postgresql initializing </t>
  </si>
  <si>
    <t xml:space="preserve"> Drive Array Subsystem - Smart Array Controller Failure (Slot 0). lock up code = </t>
  </si>
  <si>
    <t xml:space="preserve"> StoreOnce B6200 shows DISCOVERY ERROR for Component NIC when running hardware sh</t>
  </si>
  <si>
    <t xml:space="preserve"> Storage Firmware upgrade stuck in loop</t>
  </si>
  <si>
    <t xml:space="preserve"> Configuring a mail server running 3.12.0 and higher with a .local top level doma</t>
  </si>
  <si>
    <t xml:space="preserve"> Networker reports errors when using different cartridgesizes than its related em</t>
  </si>
  <si>
    <t xml:space="preserve"> Can't set jumbo frames on the 10gig interface (3520 running 3.14.1)</t>
  </si>
  <si>
    <t xml:space="preserve"> Backups fail with corrupt VTL cartridge reported in the GUI event log.  Example:</t>
  </si>
  <si>
    <t xml:space="preserve"> intermittent network connection issues when connecting to NAS CIFS Shares with 3</t>
  </si>
  <si>
    <t xml:space="preserve"> SO5100 running 3.14.0 and 3.14.1 experience kernel panic / crash when configurin</t>
  </si>
  <si>
    <t xml:space="preserve"> GUI Admin/local account access with blank password on internal network on Multi-</t>
  </si>
  <si>
    <t xml:space="preserve"> iLO 4 INFO events are sent to e-mail when e-mail notification is set to ALERT le</t>
  </si>
  <si>
    <t xml:space="preserve"> VSA Update to 3.11.7  fails because REST timeout 30 minutes is reached</t>
  </si>
  <si>
    <t xml:space="preserve"> Targeted A.I.R (NBU) cannot be set up between federated stores when Client Crede</t>
  </si>
  <si>
    <t xml:space="preserve"> Checksum mismatch House Keeping errors.  Clearing the integrity flag resolves th</t>
  </si>
  <si>
    <t xml:space="preserve"> ibdircheck runs for long durations after unclean shutdown or failover</t>
  </si>
  <si>
    <t xml:space="preserve"> Service set in failed state due to VTRPC process crash</t>
  </si>
  <si>
    <t xml:space="preserve"> Installer for (OST) plugin does not check for needed dependencies </t>
  </si>
  <si>
    <t xml:space="preserve"> kernel panic with "RIP: qla2xxx_fcti:catalyst_unattach_current_task+0x43/0x8a" /</t>
  </si>
  <si>
    <t xml:space="preserve"> Replication process hitting page allocation error </t>
  </si>
  <si>
    <t xml:space="preserve"> StoreOnce NAS Share intermittently goes offline when Likewise (lsass) services p</t>
  </si>
  <si>
    <t xml:space="preserve"> Ingest performance drops significantly (between 40% to 90%) when segment utiliza</t>
  </si>
  <si>
    <t xml:space="preserve"> Catalyst over fibre CoFC jobs reporting "Could not communicate with the server" </t>
  </si>
  <si>
    <t xml:space="preserve"> Fan speed raises and lowers rapidly on the new Gen 9 products (Asterix's).   </t>
  </si>
  <si>
    <t xml:space="preserve"> 3.13.0  Support Ticket is incomplete; missing all d2d Subsystem information.</t>
  </si>
  <si>
    <t xml:space="preserve"> After upgrading to 3.13.1 customer is getting the "Remote Support is not enabled</t>
  </si>
  <si>
    <t xml:space="preserve"> Service Set faults on 3.13.1 due to dedupe process causing a segfault and core f</t>
  </si>
  <si>
    <t xml:space="preserve"> Tony Seeholzer</t>
  </si>
  <si>
    <t xml:space="preserve"> Shadow Inodes in user space causing Memory Overcommit due to dedupe process memo</t>
  </si>
  <si>
    <t xml:space="preserve"> Netbackup Accelarator jobs fail as a result of netbackup process bptm crashing.</t>
  </si>
  <si>
    <t xml:space="preserve"> CLI command â€œCONFIG SAVE DEVICESâ€ TIMES OUT</t>
  </si>
  <si>
    <t xml:space="preserve"> Catalyst support ticket content is truncated when log files grow large</t>
  </si>
  <si>
    <t xml:space="preserve"> Catalyst devices stop being accessible (Backup Failures) from Windows clients if</t>
  </si>
  <si>
    <t xml:space="preserve"> IRS fails to generate a support case for HW error on StoreOnce appliance due to </t>
  </si>
  <si>
    <t xml:space="preserve"> 3.13.1 Replication Cores due to Race condition in thread clean up for failed Fed</t>
  </si>
  <si>
    <t xml:space="preserve"> Ticket View completes extraction of Support Ticket; but data extracted is incomp</t>
  </si>
  <si>
    <t xml:space="preserve"> [StoreOnce/HDD]Megalodon fails with error "no seek complete"</t>
  </si>
  <si>
    <t xml:space="preserve"> Federated catalyst object copy jobs may fail if node times are not in sync</t>
  </si>
  <si>
    <t xml:space="preserve"> STaTS system cannot differentiate between two idential StoreOnce Serial Numbers </t>
  </si>
  <si>
    <t xml:space="preserve"> NFS mounted share for  Windows client hungs on StoreOnce</t>
  </si>
  <si>
    <t xml:space="preserve"> unable to change network type to IPV4 from IPV6 for CIFs configuration on a Stor</t>
  </si>
  <si>
    <t xml:space="preserve"> Node not reachable - failoverâ€“ too many open files (JAVA) â€“ FD (file descriptor)</t>
  </si>
  <si>
    <t xml:space="preserve"> Unable to read or access CommVault backups on StoreOnce V2 NAS shares.</t>
  </si>
  <si>
    <t xml:space="preserve"> StoreOnce update may fail on a multi-node system due to lack of free space on th</t>
  </si>
  <si>
    <t xml:space="preserve"> GEN8 models can show a 1GB NIC DISCOVERY ERROR when firmware version is on the n</t>
  </si>
  <si>
    <t xml:space="preserve"> StoreOnce support ticket generation exits without error but resulting support ti</t>
  </si>
  <si>
    <t xml:space="preserve"> VTL Encryption Issue - (Releases X - Z) - Feb 16 - BZ TBA</t>
  </si>
  <si>
    <t xml:space="preserve"> Node failover due to "ibr_queue_work_item_after(): *** ASSERT[FALSE] failed: Fai</t>
  </si>
  <si>
    <t xml:space="preserve"> Catalyst copy job fails from one appliance to another due to network or firewall</t>
  </si>
  <si>
    <t xml:space="preserve"> Customer express concerns with performance (ibrix_fs_tune reporting incorrect se</t>
  </si>
  <si>
    <t xml:space="preserve"> Total Capacity not comprehensive in Storage Space Usage Report </t>
  </si>
  <si>
    <t xml:space="preserve"> Node crashed with Oops: 0000 [1] SMP when executing Qlogic module</t>
  </si>
  <si>
    <t xml:space="preserve"> NAS shares are no longer visible in the GUI but data is still on the appliance.</t>
  </si>
  <si>
    <t xml:space="preserve"> Reporting Central shows UTC time for certain time zones in GUI and exported file</t>
  </si>
  <si>
    <t xml:space="preserve"> Encrypted Catalyst with Veeam 9.1 causes replication process to core.</t>
  </si>
  <si>
    <t xml:space="preserve"> After updating to 3.13.x there may be a discrepancy in the storage reporting </t>
  </si>
  <si>
    <t xml:space="preserve"> Partial failover may not be detected during upgrade of the system software leadi</t>
  </si>
  <si>
    <t xml:space="preserve"> After upgrading to 3.12.x or 3.13.x backing up VMDK snapshots has very poor perf</t>
  </si>
  <si>
    <t xml:space="preserve"> After upgrading to 3.12.2 replication Sources reports loss of communications to </t>
  </si>
  <si>
    <t xml:space="preserve"> Storage Controllers (Storage_Ctlr) are not being updated from 2.3x to 2.52 runni</t>
  </si>
  <si>
    <t xml:space="preserve"> [StoreOnce StoreAll]No events visible after upgrade because upgrade_hsql_dbs scr</t>
  </si>
  <si>
    <t xml:space="preserve"> PlugIn install script does not set permissions correctly above the StoreOnce-cof</t>
  </si>
  <si>
    <t xml:space="preserve"> GUI access lost intermittently</t>
  </si>
  <si>
    <t xml:space="preserve"> Drastic drop in write performance on upgrade from 3.11.7 to 3.12.2 and 3.13.0 wh</t>
  </si>
  <si>
    <t xml:space="preserve"> After upgrading to 3.13.0  some VTLs will not start.  VTmanager then shows a fau</t>
  </si>
  <si>
    <t xml:space="preserve"> RHEL vulnerability  CVE-2015-5600</t>
  </si>
  <si>
    <t xml:space="preserve"> housekeeping failing with "batch-reclaimer Error (2) No such file or directory /</t>
  </si>
  <si>
    <t xml:space="preserve"> Too many open files reported by DFS (this is NOT cfi6588 caused by Java process)</t>
  </si>
  <si>
    <t xml:space="preserve"> Event warning: Catalyst database backup failed to complete (during heavy workloa</t>
  </si>
  <si>
    <t xml:space="preserve"> Storage enclosure reports missing from GUI. </t>
  </si>
  <si>
    <t xml:space="preserve"> On 3.13.0 Node core dumping due to deadlocked java process leading to NMI watchd</t>
  </si>
  <si>
    <t xml:space="preserve"> Event Log reporting: WARN  System  CPU 91% on server and/or high MEMORY reported</t>
  </si>
  <si>
    <t xml:space="preserve"> Embedded 1GB nic ports on 4500 are shown as being out of order in the GUI someti</t>
  </si>
  <si>
    <t xml:space="preserve"> 3.12.1 Using Catalyst over fiber Channel; StoreOnce 4500 crashes.</t>
  </si>
  <si>
    <t xml:space="preserve"> NAS shares replication alternating between paused and synchronising. Replication</t>
  </si>
  <si>
    <t xml:space="preserve"> Replication reports synchronized while the source share has more file than the t</t>
  </si>
  <si>
    <t xml:space="preserve"> Don Hansen</t>
  </si>
  <si>
    <t xml:space="preserve"> don.hansen@hpe.com</t>
  </si>
  <si>
    <t xml:space="preserve"> Tracking</t>
  </si>
  <si>
    <t xml:space="preserve"> StoreOnce Catalyst backups fail after exceeding the 4 hour data session timeout</t>
  </si>
  <si>
    <t xml:space="preserve"> 3.11.1  Unable to send backups to a Store after an SSID restart.   Error (9) Bad</t>
  </si>
  <si>
    <t xml:space="preserve"> Catalyst replication (objectcopy jobs) failing intermittently due to timeout err</t>
  </si>
  <si>
    <t xml:space="preserve"> Replication is limited to 1000 metadata changes per day per node</t>
  </si>
  <si>
    <t xml:space="preserve"> Replication of CIFS Shares show Items out of sync are not listing metadata chang</t>
  </si>
  <si>
    <t xml:space="preserve"> Hundreds of events logged in IML on a StoreOnce 4500 during rebuild of a storage</t>
  </si>
  <si>
    <t xml:space="preserve"> Unable to create federated catalyst stores when client authentication is in use.</t>
  </si>
  <si>
    <t xml:space="preserve"> Cartridge reports as corrupt; dedupe crashes and Store Goes offline.</t>
  </si>
  <si>
    <t xml:space="preserve"> user unable to export  data into CSV files in the GUI reporting tab on all store</t>
  </si>
  <si>
    <t xml:space="preserve"> HP StoreOnce Backup System Running Software version 3.12.0; 3.12.1 or 3.13.0 Do </t>
  </si>
  <si>
    <t xml:space="preserve"> Persistent storageController status reporting Degraded message in StoreOnce GUI </t>
  </si>
  <si>
    <t xml:space="preserve"> G3 Backup Failures to encrypted NAS shares from Windows 2008 &lt; R2 or higher</t>
  </si>
  <si>
    <t xml:space="preserve"> G3 3.12.1 During Backup to VTL; Dedupe crashes and leaves the tape corrupt.</t>
  </si>
  <si>
    <t xml:space="preserve"> David B Wong</t>
  </si>
  <si>
    <t xml:space="preserve"> dwong@hpe.com</t>
  </si>
  <si>
    <t xml:space="preserve"> Security software has detected the StoreOnce system 3.11.4 is vunerable to:  1) </t>
  </si>
  <si>
    <t xml:space="preserve"> B6500 reports server node lost access to a storage cluster. Event: SERVER_STORAG</t>
  </si>
  <si>
    <t xml:space="preserve"> GUI Access lost on all nodes on 3.12.1 with SEM polling port 12443</t>
  </si>
  <si>
    <t xml:space="preserve"> Event log doesn't report an alert when NAS share exceeds 1 million file threshol</t>
  </si>
  <si>
    <t xml:space="preserve"> StoreOnce VSA web gui and cli screen does not allow one to select the 10 Gigabit</t>
  </si>
  <si>
    <t xml:space="preserve"> VTL; NAS and Catalyst replication alternating between paused and synchronising. </t>
  </si>
  <si>
    <t xml:space="preserve"> 6500 system could not be upgraded from 3.12.0 to 3.12.1 due to too many events i</t>
  </si>
  <si>
    <t xml:space="preserve"> Degraded backup performance when NetBackup Accelerator feature is enabled</t>
  </si>
  <si>
    <t xml:space="preserve"> GUI not accessable; FM service not running after failing to do a getserviceset w</t>
  </si>
  <si>
    <t xml:space="preserve"> Store failed due to having no access to files on remote segments (dangling/dangl</t>
  </si>
  <si>
    <t xml:space="preserve"> 3.12.1 - Changing the replication map will enable 'Recover first' for the change</t>
  </si>
  <si>
    <t xml:space="preserve"> B6200 - Service set went to "Not Started" state; no event logged </t>
  </si>
  <si>
    <t xml:space="preserve"> When running autoregister_chassis_and_vs command on a node it fails due to no cr</t>
  </si>
  <si>
    <t xml:space="preserve"> Drop in write throughput to NAS share from Solaris when forcedirectio option is </t>
  </si>
  <si>
    <t xml:space="preserve"> When doing a quick restore of an existing node in a cluster to overcome issues; </t>
  </si>
  <si>
    <t xml:space="preserve"> [StoreOnce/StoreAll]Nodes failover with the resulting dump file showing a NMI ev</t>
  </si>
  <si>
    <t xml:space="preserve"> [StoreOnce/StoreAll]File system becomes unavailable after 497 days of uptime; al</t>
  </si>
  <si>
    <t xml:space="preserve"> [StoreOnce/MSA] P2000 fw bug: Managed Logs warning event 401 not being sent for </t>
  </si>
  <si>
    <t xml:space="preserve"> Dan Eaton</t>
  </si>
  <si>
    <t xml:space="preserve"> deaton@hpe.com</t>
  </si>
  <si>
    <t xml:space="preserve"> Catalyst database backup fails after 3.12.1 upgrade completes successfully</t>
  </si>
  <si>
    <t xml:space="preserve"> Federated Catalyst at some sites have discovery issue of Federated stores when d</t>
  </si>
  <si>
    <t xml:space="preserve"> Replication jobs cancelling due to NAS reporting "NAS_DFSReplication_DeleteShado</t>
  </si>
  <si>
    <t xml:space="preserve"> Using "Delete All" to bulk delete cartridges does not complete. </t>
  </si>
  <si>
    <t xml:space="preserve"> BulkDelete of Cartridges didn't complete</t>
  </si>
  <si>
    <t xml:space="preserve"> [StoreOnce/MSA] P2000 - TS251 firmware - Corrective Scrub Firmware Fix</t>
  </si>
  <si>
    <t xml:space="preserve"> VSA GUI Storage Space Usage Report section is not displaying the actual data use</t>
  </si>
  <si>
    <t xml:space="preserve"> StoreOnce GUI incorrectly shows unit of measurement as KB/s when it really shoul</t>
  </si>
  <si>
    <t xml:space="preserve"> Mixed cluster does not read security keys when VIF is on 6500 nodes in couplet2 </t>
  </si>
  <si>
    <t xml:space="preserve"> Replication fails on VSA once customer adds a 10TB E-LTU capacity license which </t>
  </si>
  <si>
    <t xml:space="preserve"> Windows 2012R2 native backup didn't work with Ypsilon - 3.12.1</t>
  </si>
  <si>
    <t xml:space="preserve"> Customer experiences several alert events that Storage_Cluster is degraded. 5 mi</t>
  </si>
  <si>
    <t xml:space="preserve"> 3.11.7  Integrity flag thrown with "Reference count on hash 'xxxxxxxxxxxxxx' wou</t>
  </si>
  <si>
    <t xml:space="preserve"> SSLv3 Padding Oracle Attack Information Disclosure Vulnerability (POODLE) CVE-20</t>
  </si>
  <si>
    <t xml:space="preserve"> CIFS share cannot be accessed by hosts after upgrade to 3.12.1</t>
  </si>
  <si>
    <t xml:space="preserve"> Random backup failures when DP is backing up to CoFC stores and the media server</t>
  </si>
  <si>
    <t xml:space="preserve"> VTL name using (Japanese) special character set on StoreOnce 4700 (G3) is garble</t>
  </si>
  <si>
    <t xml:space="preserve"> After upgrade to 3.12.1 file system reports issues when ibfsck is ran</t>
  </si>
  <si>
    <t xml:space="preserve"> Reporting issue which is only seen by support: When failover is disabled with St</t>
  </si>
  <si>
    <t xml:space="preserve"> Customer is complaining about poor write performance when using the StoreOnce v2</t>
  </si>
  <si>
    <t xml:space="preserve"> [Customer HPES] FM not activating after upgrade from 3.6.5 to 3.11.7 due to data</t>
  </si>
  <si>
    <t xml:space="preserve"> Insufficient capacity license error on repeated "hardware discover storage" on 4</t>
  </si>
  <si>
    <t xml:space="preserve"> Existing CIFS NAS shares lose permissions after a new share is created</t>
  </si>
  <si>
    <t xml:space="preserve"> The search feature of the Replication event log does not work correctly in Store</t>
  </si>
  <si>
    <t xml:space="preserve"> When a 6500 couplet is added to a B6200 cluster on 3.11.7; the GUI users do not </t>
  </si>
  <si>
    <t xml:space="preserve"> Mixed cluster on 3.11.7 depending on which nodes are the FM Ticket Viewer will s</t>
  </si>
  <si>
    <t xml:space="preserve">  </t>
  </si>
  <si>
    <t xml:space="preserve"> B6200 have their P2000 MSA controller set to Managed Logs enabled causing a lot </t>
  </si>
  <si>
    <t xml:space="preserve"> Cannot successfully QR nodes 7 &amp; 8 using 3.11.4 ISO.</t>
  </si>
  <si>
    <t xml:space="preserve"> [Customer Velux] new ibdircheck error message when run in  multiple threads does</t>
  </si>
  <si>
    <t xml:space="preserve"> StoreOnce 4700 GUI reports Storage Cluster 2 as UNAVAILABLE</t>
  </si>
  <si>
    <t xml:space="preserve"> Degraded 6500 SAS connectivity</t>
  </si>
  <si>
    <t xml:space="preserve"> 3.12.0  has issues with adding capacity or catalyst license adds with Dat file o</t>
  </si>
  <si>
    <t xml:space="preserve"> Customer is complaining they are seeing a negative dedupe ratio for their Netbac</t>
  </si>
  <si>
    <t xml:space="preserve"> SEM 1.3.0 StoreOnce device go into a failed to connect status when collecting a </t>
  </si>
  <si>
    <t xml:space="preserve"> Running 3.12CR - GUI shows "0.0" for dedup ratio on v1 Catalyst stores (created </t>
  </si>
  <si>
    <t xml:space="preserve"> Large (1.5TB)  RMAN Catalyst backups failing with Unable to write mete backup pi</t>
  </si>
  <si>
    <t xml:space="preserve"> Manageability</t>
  </si>
  <si>
    <t xml:space="preserve"> Fusion Manager is unable to start within the default timeout period &amp; hence FM J</t>
  </si>
  <si>
    <t xml:space="preserve"> Timestamps of replicated files between source and target are sometimes not ident</t>
  </si>
  <si>
    <t xml:space="preserve"> Network Configuration problems after firmware upgrade due to wrong installation </t>
  </si>
  <si>
    <t xml:space="preserve"> 6500 reboots and fails over node after the error "java.io.IOException: Too many </t>
  </si>
  <si>
    <t xml:space="preserve"> 3.12.0 CR  NAS CIFs share become inaccessible due to Lsass crash.  (6500)</t>
  </si>
  <si>
    <t xml:space="preserve"> SEM 1.3.0 and 1.4.0 stops capturing the StoreOnce device information after runni</t>
  </si>
  <si>
    <t xml:space="preserve"> FMT update operations fail running 3.12 CR because FIND commands seem to keep th</t>
  </si>
  <si>
    <t xml:space="preserve"> Dedupe</t>
  </si>
  <si>
    <t xml:space="preserve"> NAS share out of Lock and System memory threshold reached alert notifications al</t>
  </si>
  <si>
    <t xml:space="preserve"> Firmware</t>
  </si>
  <si>
    <t xml:space="preserve"> Switch firmware 2308P01 upgrade from software 3.12.0 fails with not enough space</t>
  </si>
  <si>
    <t xml:space="preserve"> Replication not starting after upgrading to 3.11.4 </t>
  </si>
  <si>
    <t xml:space="preserve"> [Server/StoreOnce]Windows Blade Servers Crash if SSID is restarted on StoreOnce.</t>
  </si>
  <si>
    <t xml:space="preserve"> RMAN Catalyst objects fail to delete creating orphaned objects that can not be d</t>
  </si>
  <si>
    <t xml:space="preserve"> Hardware</t>
  </si>
  <si>
    <t xml:space="preserve"> Poor NAS backup performance via 10 GB Nic Card.</t>
  </si>
  <si>
    <t xml:space="preserve"> StoreOnce VSA 4TB fails to come up and shuts down with the error "cluster ID mis</t>
  </si>
  <si>
    <t xml:space="preserve"> Nodes failover without obvious root cause running StoreOnce 3.11.4 to 3.13.4..</t>
  </si>
  <si>
    <t xml:space="preserve"> Nodes failover due to missing FM update/polling cycle on 3.11.4 with messages re</t>
  </si>
  <si>
    <t xml:space="preserve"> hw show problems report via GUI is showing this error "sa_logicaldrive_-_1 + sa_</t>
  </si>
  <si>
    <t xml:space="preserve"> CFI 3685 issue re-opened Not fixed after 3.6.5 - Mpath issue reported when doing</t>
  </si>
  <si>
    <t xml:space="preserve"> Upgrade from 3.9.4 to 3.11.4 led to a node failover and a core file triggered [i</t>
  </si>
  <si>
    <t xml:space="preserve"> CommVault Aging/pruning processes can cause shares to be slow to respond or coul</t>
  </si>
  <si>
    <t xml:space="preserve"> Customer cannot run the rebalance tool on code version 3.11.4 and earlier becaus</t>
  </si>
  <si>
    <t xml:space="preserve"> License violations reported and unable to add license due to maximum unit capaci</t>
  </si>
  <si>
    <t xml:space="preserve"> System set config used by install team does not work on 6500's with all drives i</t>
  </si>
  <si>
    <t xml:space="preserve"> New type assert seen on 3.11.4 and 3.11.5 causing stores to go failed; IFS getti</t>
  </si>
  <si>
    <t xml:space="preserve"> ibrix_nic output has status Up; LinkUp;ConfigWarn after setting VLANs are set us</t>
  </si>
  <si>
    <t xml:space="preserve"> unable to upgrade fw of harddrives in base enclosure of StoreOnce 4430 unit to H</t>
  </si>
  <si>
    <t xml:space="preserve"> Fusion Manager unresponsive and fails to start on reboot after wrong proxy port </t>
  </si>
  <si>
    <t xml:space="preserve"> [StoreOnce - StoreAll] StoreOnce 3.11.5 DOUBLE DEALLOC panic; fsn crasshes and r</t>
  </si>
  <si>
    <t xml:space="preserve"> restore config devices fails to restore the saved config with Command Failed - I</t>
  </si>
  <si>
    <t xml:space="preserve"> After update from 3.9.4 to 3.11.4 Catalyst stores cannot be accessed on 2 of the</t>
  </si>
  <si>
    <t xml:space="preserve"> StoreOnce [3.11.4 Upgrade] - Upgrading node/storage firmware leaves the Ibrix fi</t>
  </si>
  <si>
    <t xml:space="preserve"> After upgrading to 3.11.4 StoreOnce code SEM 1.3.0 stops collecting StoreOnce de</t>
  </si>
  <si>
    <t xml:space="preserve"> david-wc.wong@hpe.com</t>
  </si>
  <si>
    <t xml:space="preserve"> [StoreOnce](Symptom - Hash Not Found) Incorrect HA configuration could result in</t>
  </si>
  <si>
    <t xml:space="preserve"> Copy of MSA CFI 4397 - P2000 - TriCor Compact Flash Card Failure  (Model C0-P9)</t>
  </si>
  <si>
    <t xml:space="preserve"> When Doing hardware show firmware nodeX show 1G NIC's with discovery error and i</t>
  </si>
  <si>
    <t xml:space="preserve"> StoreOnce - [3.11.4 Upgrade] There appears to be no way to rebuild a damaged fil</t>
  </si>
  <si>
    <t xml:space="preserve"> StoreOnce [3.11.4 Upgrade] when stopping the service sets before upgrading cause</t>
  </si>
  <si>
    <t xml:space="preserve"> [StoreOnce/StoreAll]Upgrade to 3.11.4 VTL's or NAS shares no longer seen and bac</t>
  </si>
  <si>
    <t xml:space="preserve"> StoreOnce - [3.11.4 Upgrade] Nodes storage and network goes stale</t>
  </si>
  <si>
    <t xml:space="preserve"> StoreOnce  [3.11.4 upgrade] HPSPMON can not start on all nodes </t>
  </si>
  <si>
    <t xml:space="preserve"> StoreOnce [3.11.4 Upgrade] GUI access to internal cluster IP address 10.154.1.1 </t>
  </si>
  <si>
    <t xml:space="preserve"> StoreOnce [3.11.4 Upgrade] HBA ports; not connected to a SAN switch are reported</t>
  </si>
  <si>
    <t xml:space="preserve"> Network</t>
  </si>
  <si>
    <t xml:space="preserve"> hardware show node status reporting NicsConfigWarn and ibrix_nic reporting Confi</t>
  </si>
  <si>
    <t xml:space="preserve"> After updating to 3.11.4 internal network will not allow 10.154.1.1 to open the </t>
  </si>
  <si>
    <t xml:space="preserve"> Catalyst; NAS and host unable to access stores after upgrading from 3.9.4 and ea</t>
  </si>
  <si>
    <t xml:space="preserve"> Alert events in GUI are "garbled" when using Japanese language setting.</t>
  </si>
  <si>
    <t xml:space="preserve"> when performing a barcode batch update an error messageis reported - "A duplicat</t>
  </si>
  <si>
    <t xml:space="preserve"> 51546 / 51548</t>
  </si>
  <si>
    <t xml:space="preserve"> VTL goes to offline state after drive delete and add in quick succession. </t>
  </si>
  <si>
    <t xml:space="preserve"> Filesystem</t>
  </si>
  <si>
    <t xml:space="preserve"> Multinode StoreOnce:  GUI reporting issue of SSID as Unknown and unable to see S</t>
  </si>
  <si>
    <t xml:space="preserve"> Node crashes unexpectedly but no core dump is created for Failure Analysis on a </t>
  </si>
  <si>
    <t xml:space="preserve"> [StoreOnce](Symptom-Hash Not Found) -  Suspect HW failure</t>
  </si>
  <si>
    <t xml:space="preserve"> [StoreOnce/StoreAll](Symptom-Hash Not Found) - CRC failure on file with previous</t>
  </si>
  <si>
    <t xml:space="preserve"> Replication of encrypted NAS files fail at WIP stage on both CIFS and NFS type s</t>
  </si>
  <si>
    <t xml:space="preserve"> Tools</t>
  </si>
  <si>
    <t xml:space="preserve"> Background scrub and PFU left disabled after upgrade to 3.11.x on P2000 enclosur</t>
  </si>
  <si>
    <t xml:space="preserve"> D2D_Ibrix</t>
  </si>
  <si>
    <t xml:space="preserve"> Alert Events logged on a 4900 indicating that all 4 FC HBA Links are down after </t>
  </si>
  <si>
    <t xml:space="preserve"> StoreOnce software upgrade failed from 3.9.0 to 3.11.2 due to the 10 Gb NIC card</t>
  </si>
  <si>
    <t xml:space="preserve"> Missing Java symbolic link after StoreOnce upgrade to 3.11.2 or 3.11.3 </t>
  </si>
  <si>
    <t xml:space="preserve"> SEM 1.3 stops reporting and locks up after more than 10 devices are added for mo</t>
  </si>
  <si>
    <t xml:space="preserve"> Catalyst/Replication</t>
  </si>
  <si>
    <t xml:space="preserve"> Replication License violation occurred message in event log of B6200 and 6500 af</t>
  </si>
  <si>
    <t xml:space="preserve"> 4900 on 3.11.X will not collect a complete Support Ticket.</t>
  </si>
  <si>
    <t xml:space="preserve"> [StoreOnce/MSA]P2000 expander modules running 1130 firmware but should be runnin</t>
  </si>
  <si>
    <t xml:space="preserve"> hpsphal</t>
  </si>
  <si>
    <t xml:space="preserve"> Hardware component â€œUnavailableâ€ with message â€œFailed to get Hardware report obj</t>
  </si>
  <si>
    <t xml:space="preserve"> GUI issues post 3-11-2 CR SW upgrade on B6200</t>
  </si>
  <si>
    <t xml:space="preserve"> Host(s) loss access to all NAS CIFS shares at once. various HP-SMB components ar</t>
  </si>
  <si>
    <t xml:space="preserve"> [Platform with ILO]ASR on 4700 4900 6500 due to issue with current  ILO version </t>
  </si>
  <si>
    <t xml:space="preserve"> After upgrading from 3.11.0 to 3.11.1 NAS share with high number of files </t>
  </si>
  <si>
    <t xml:space="preserve"> Support Ticket Collect issues on 3.11.0 or 3.11.1 (partially collected)</t>
  </si>
  <si>
    <t xml:space="preserve"> 44716 45219</t>
  </si>
  <si>
    <t xml:space="preserve"> 3.9.4 Unusually long cart load times</t>
  </si>
  <si>
    <t xml:space="preserve"> [StoreOnce]Dangling dentries - Performance implications of Ibrix Branching Alloc</t>
  </si>
  <si>
    <t xml:space="preserve"> [MSA]Capacity Upgrades or Couplet Expansions being shipped with MSA2040 instead </t>
  </si>
  <si>
    <t xml:space="preserve"> NASMan shown faulted on SSID5 without any shares created</t>
  </si>
  <si>
    <t xml:space="preserve"> [Platform/StoreOnce]StoreOnce 4500; 4700; and 6500 are reporting an event log en</t>
  </si>
  <si>
    <t xml:space="preserve"> Store faults in GUI with integrity flag showing too many active jobs</t>
  </si>
  <si>
    <t xml:space="preserve"> [StoreOnce] 4700 and 6500 after software upgrade to 3.11.0 and related firmware </t>
  </si>
  <si>
    <t xml:space="preserve"> Server-SMB</t>
  </si>
  <si>
    <t xml:space="preserve"> Host communication to NAS shares are lost and backups fail. AKA Likewise memory </t>
  </si>
  <si>
    <t xml:space="preserve"> The customer is limited to a subset number of the maximum target shares avaibale</t>
  </si>
  <si>
    <t xml:space="preserve"> [Platform/StoreOnce]FC HBA reported as down in event log after upgrade to 3.11.0</t>
  </si>
  <si>
    <t xml:space="preserve"> Store faults with CheckSum error in integrity flag due to P2000 ECC failure thre</t>
  </si>
  <si>
    <t xml:space="preserve"> Aborted Write and/or Read commands between host (NodeX) and Array controller res</t>
  </si>
  <si>
    <t xml:space="preserve"> [StoreOnce]Hash not found on faulted store </t>
  </si>
  <si>
    <t xml:space="preserve"> CIM monitoring fails after 80 days uptime on StoreOnce 4500 Backup Systems with </t>
  </si>
  <si>
    <t xml:space="preserve"> After upgrade to 3.9.4; customer not receiving email notifications for WARNING e</t>
  </si>
  <si>
    <t xml:space="preserve"> [StoreOnce MN]Container Data backup file not found error resulting in integrity </t>
  </si>
  <si>
    <t xml:space="preserve"> StoreOnce Events shows Fan failure message for Fan 2;3 &amp; 4 and within 30 minutes</t>
  </si>
  <si>
    <t xml:space="preserve"> Event log reports that a Nic is missing on LOM when VLANs are configured on a 49</t>
  </si>
  <si>
    <t xml:space="preserve"> After upgrade from 3.6.x  to 3.9.x replication or catalyst copy jobs fail becaus</t>
  </si>
  <si>
    <t xml:space="preserve"> NAS shares have some files that will not replicate</t>
  </si>
  <si>
    <t xml:space="preserve"> Replication does not run on VSA</t>
  </si>
  <si>
    <t xml:space="preserve"> Customers continue to fill storage so integrity flag is set and house keeping fa</t>
  </si>
  <si>
    <t xml:space="preserve"> SEM 1.2 is not correctly updating the storage reporting information</t>
  </si>
  <si>
    <t xml:space="preserve"> Firmware upgrade failed when upgrading to 3.9.3 or 3.9.4 coming from 3.9.0. serv</t>
  </si>
  <si>
    <t xml:space="preserve"> Rob Oâ€™Reilly</t>
  </si>
  <si>
    <t xml:space="preserve"> Current firmware used on internal Procurve switches may experience rare NMI even</t>
  </si>
  <si>
    <t xml:space="preserve"> "recover first flag on GUI is not being read by replication and so target data i</t>
  </si>
  <si>
    <t xml:space="preserve"> simultaneous restore of the same file causing performance issue with Oracle RMAN</t>
  </si>
  <si>
    <t xml:space="preserve"> NFS Stale Handles on the B6200 Shares</t>
  </si>
  <si>
    <t xml:space="preserve"> David Wong</t>
  </si>
  <si>
    <t xml:space="preserve"> Customer is complaining about loss of access to Node due to the systen using too</t>
  </si>
  <si>
    <t xml:space="preserve"> 18892/18893</t>
  </si>
  <si>
    <t xml:space="preserve"> 4500 and 4700 fans are too noisy</t>
  </si>
  <si>
    <t xml:space="preserve"> Marco Ortega</t>
  </si>
  <si>
    <t xml:space="preserve"> Catalyst object copy jobs with DP stopped working with Link Failure reported in </t>
  </si>
  <si>
    <t xml:space="preserve"> ibdircheck runs for a very long time; 5 days or more; on a service set which con</t>
  </si>
  <si>
    <t xml:space="preserve"> [Platform/StoreOnce/StoreAll]SN Vauxhall Backups products (2700/4500/4700) tempo</t>
  </si>
  <si>
    <t xml:space="preserve"> Incorrectly inserted drive blanks / blanking panels in D6000 block drawer</t>
  </si>
  <si>
    <t xml:space="preserve"> Disabled cache module - due to super cap charging issue (only Defender and Gen 8</t>
  </si>
  <si>
    <t xml:space="preserve"> [StoreOnce/StoreAll] Analysis Needed on corrupted ibr_mode values </t>
  </si>
  <si>
    <t xml:space="preserve"> StoreOnce VSA/G3 Single Node Root Security Issue</t>
  </si>
  <si>
    <t xml:space="preserve"> OST 2.1 plugin for NBU 7.6 only works with "all client" permissions with 3.9.0.</t>
  </si>
  <si>
    <t xml:space="preserve"> Cannot set more than 2 gateways on a Network configuration running 3.9.0. </t>
  </si>
  <si>
    <t xml:space="preserve"> 17467 17559 </t>
  </si>
  <si>
    <t xml:space="preserve"> Expected hash not found in hash map</t>
  </si>
  <si>
    <t xml:space="preserve"> Customers complaining the 4900 amd 6500 fans are too noisy.</t>
  </si>
  <si>
    <t xml:space="preserve">  StoreOnce 2700/4500/4700/4900 and B6500 - Systems Are Reporting TempSensor Miss</t>
  </si>
  <si>
    <t xml:space="preserve"> CLI reference guide does not have a warning about serviceset unclean shutdown us</t>
  </si>
  <si>
    <t xml:space="preserve"> [StoreOnce]Catalyst Store failes to start due to CheckSum Mismatch on Container</t>
  </si>
  <si>
    <t xml:space="preserve"> Duplicate carts are shown in the cart listing for both slot and drive locations </t>
  </si>
  <si>
    <t xml:space="preserve"> P2000 event highlighting supercapacitor reached end of its life is not reported </t>
  </si>
  <si>
    <t xml:space="preserve"> After upgrading from 3.6.5 to 3.9.0 the GUI is reporting corrupt cartridges due </t>
  </si>
  <si>
    <t xml:space="preserve"> 4430 3.9.0 Unable to write backups using Netbackup OST Catalyst store.</t>
  </si>
  <si>
    <t xml:space="preserve"> after upgrade to 3.9.0 Catalyst store offline and/or replication not starting du</t>
  </si>
  <si>
    <t xml:space="preserve"> Using Australian time zone settings; the customer cannot used blackout windows a</t>
  </si>
  <si>
    <t xml:space="preserve"> Awaiting Decision</t>
  </si>
  <si>
    <t xml:space="preserve"> B6200 3.3.1 software causes file system corruption problem leading customer data</t>
  </si>
  <si>
    <t xml:space="preserve"> Missing segment when upgrading a G2 to Single Node G3 product with QR 3.9.0 SW r</t>
  </si>
  <si>
    <t xml:space="preserve"> Replication reports slots are critically out of sync. Replication jobs are faili</t>
  </si>
  <si>
    <t xml:space="preserve"> StoreOnce B6200 Backup Systems Report Invalid Request Error When Adding Capacity</t>
  </si>
  <si>
    <t xml:space="preserve"> [StoreOnce/StoreAll] Fusion manager crashing due to "too many open files". </t>
  </si>
  <si>
    <t xml:space="preserve"> Storage failure are causing segments "Not Available" due to MSA failures </t>
  </si>
  <si>
    <t xml:space="preserve"> HA/Failover</t>
  </si>
  <si>
    <t xml:space="preserve"> [StoreOnce/StoreAll] Node reports FM failed to start causing a partial failover </t>
  </si>
  <si>
    <t xml:space="preserve"> After upgrading from 3.5.0 to 3.6.5 "System Show Status" shows Nodes do not have</t>
  </si>
  <si>
    <t xml:space="preserve"> unable to discover and add storage after rebuilding the file system if a storage</t>
  </si>
  <si>
    <t xml:space="preserve"> Customers are reporting a web gui issue with the storage reporting graph on G3 s</t>
  </si>
  <si>
    <t xml:space="preserve"> Netbackup Catalyst when jobs fail or get cancelled can cause the replicated copy</t>
  </si>
  <si>
    <t xml:space="preserve"> Domain name issue</t>
  </si>
  <si>
    <t xml:space="preserve">  When a reboot/failover occurs while cartridges are marked for delete; the Libra</t>
  </si>
  <si>
    <t xml:space="preserve"> Housekeeping can stop running on a store and no longer update the XML file</t>
  </si>
  <si>
    <t xml:space="preserve"> Cartridges fail to replicate - shown in pending state</t>
  </si>
  <si>
    <t xml:space="preserve"> Store failed to start due to integrity flag set</t>
  </si>
  <si>
    <t xml:space="preserve"> NO CR in ALM</t>
  </si>
  <si>
    <t xml:space="preserve"> Customer reports capacity is missing or not reported correctly</t>
  </si>
  <si>
    <t xml:space="preserve"> When Time is setup on a B6200 it has been seen that nodes do not use the same ti</t>
  </si>
  <si>
    <t xml:space="preserve"> Backup Exec 2010 will not do GRT restore of a single mail box message</t>
  </si>
  <si>
    <t xml:space="preserve"> NBU tape copies run Very slow after upgrading to 3.6.2</t>
  </si>
  <si>
    <t xml:space="preserve"> On 3.6.2 share failed to start due to DFS not mounting all entries for the share</t>
  </si>
  <si>
    <t xml:space="preserve"> [StoreOnce/StoreAll]Store Problem with HK tasks causes Dedupe Mgr to close PIDS </t>
  </si>
  <si>
    <t xml:space="preserve"> No CR in ALM</t>
  </si>
  <si>
    <t xml:space="preserve"> Customer is complaining that the incorrect information in the web gui for availa</t>
  </si>
  <si>
    <t xml:space="preserve"> B6200 with 3.6.2 experiences extremely long restore times with CIFS NAS Shares</t>
  </si>
  <si>
    <t xml:space="preserve"> Restore or Object Copy jobs using DataProtector are failing due to Medium Format</t>
  </si>
  <si>
    <t xml:space="preserve"> Customer uses SuSE Linux when doing NFS exports their script looks for root acce</t>
  </si>
  <si>
    <t xml:space="preserve"> NAS share store failed to start due to Core dump</t>
  </si>
  <si>
    <t xml:space="preserve"> Remap function if Replication greys out next button if the VTL has more than 1 p</t>
  </si>
  <si>
    <t xml:space="preserve"> Customer reports not being able to access NAS share and VTL Storage</t>
  </si>
  <si>
    <t xml:space="preserve"> After upgrading to 3.6.0 customer lost access to VTL (Failed to Start)</t>
  </si>
  <si>
    <t xml:space="preserve"> Stan Huseman</t>
  </si>
  <si>
    <t xml:space="preserve"> stan.huseman@hpe.com</t>
  </si>
  <si>
    <t xml:space="preserve"> ibfsck segfaults on B6200 3.5.0 6.2.305000033; in Pass 3</t>
  </si>
  <si>
    <t xml:space="preserve"> Segments Not Available with file sytem not mounted</t>
  </si>
  <si>
    <t xml:space="preserve"> Service set in failed to initialize after MSA upgrade to unsupport firmware</t>
  </si>
  <si>
    <t xml:space="preserve"> Files systems failing to mount due to segments not available that do not show er</t>
  </si>
  <si>
    <t xml:space="preserve"> Storage failure are causing segments "Not Available" resulting in storage not mo</t>
  </si>
  <si>
    <t xml:space="preserve"> StoreOnce - Segments "Not Available" Issues - Due to human error (not following </t>
  </si>
  <si>
    <t xml:space="preserve"> Denise Schorsch</t>
  </si>
  <si>
    <t xml:space="preserve"> 3.5.0 Unable to change "Admin" user's password; Also unable to create new user a</t>
  </si>
  <si>
    <t xml:space="preserve"> 3.5.0 Backups Fail with 1117 I/O device error</t>
  </si>
  <si>
    <t xml:space="preserve"> Unable to collect Support tickets for version 3.5.0 and higher</t>
  </si>
  <si>
    <t xml:space="preserve"> D2D G2 upgraded to 3.5.0 sw is displaying false errors and extra hw on the GUI</t>
  </si>
  <si>
    <t xml:space="preserve"> Barrie Evans</t>
  </si>
  <si>
    <t xml:space="preserve"> denise.schorsch@hpe.com</t>
  </si>
  <si>
    <t xml:space="preserve"> Library stuck in deleting state while node segments are 100% full or Service set</t>
  </si>
  <si>
    <t xml:space="preserve"> DataProtector Catalyst backup is failing multiple times</t>
  </si>
  <si>
    <t xml:space="preserve"> B6200 at SW 3.3.6; OST Replication jobs failed with error 83 and 84 using Netbac</t>
  </si>
  <si>
    <t xml:space="preserve"> barrie.evans@hpe.com</t>
  </si>
  <si>
    <t xml:space="preserve"> Store goes into a defunct state</t>
  </si>
  <si>
    <t xml:space="preserve"> HW - Driver Issue</t>
  </si>
  <si>
    <t xml:space="preserve"> Several Virtual Target Ports marked as "Address Not Acquired"</t>
  </si>
  <si>
    <t xml:space="preserve"> NAS share goes unavailable [deduplication process segfault due to decompression </t>
  </si>
  <si>
    <t xml:space="preserve"> Stores going offline resulting in backup failures [due to dedupe process aborts]</t>
  </si>
  <si>
    <t xml:space="preserve"> Unable to access the web GUI on B6200</t>
  </si>
  <si>
    <t xml:space="preserve"> Loss of connectivity to CIFS share [due to Likewise Stack Issue]</t>
  </si>
  <si>
    <t xml:space="preserve"> B6200 - Unable to add an SSL certificate to B6200 G3 systems using the StoreOnce</t>
  </si>
  <si>
    <t xml:space="preserve"> D2D4210fc SNG3 GUI displays incorrect status information and replication mapping</t>
  </si>
  <si>
    <t xml:space="preserve"> Customer's box fills up quickly due to heavy use of WIP files</t>
  </si>
  <si>
    <t xml:space="preserve"> The customer is complaiing that Mode 4 Port Bonding is not supported in 3.5.0 fo</t>
  </si>
  <si>
    <t xml:space="preserve"> Extending slot mappings on existing Target  VTL causes a timeout  with Fusion Ma</t>
  </si>
  <si>
    <t xml:space="preserve"> When trying to setup replication the partner device is not pingable beyond the t</t>
  </si>
  <si>
    <t xml:space="preserve"> Customer was unable to join AD domain on node2 due to incomplete entries using t</t>
  </si>
  <si>
    <t xml:space="preserve"> B6200 or SNG3 with NAS shares experience a loss of access to the shares</t>
  </si>
  <si>
    <t xml:space="preserve"> SIngle Node G3 missing serial number in system BIOS.</t>
  </si>
  <si>
    <t xml:space="preserve"> Customer is not able to access the B6200 when the B6200 is directly connected to</t>
  </si>
  <si>
    <t xml:space="preserve"> US13051</t>
  </si>
  <si>
    <t xml:space="preserve"> Online capacity upgrade issue. [MSA controllers shows new vdisks as quarantined </t>
  </si>
  <si>
    <t xml:space="preserve"> StoreOnce Subsystem on GUI shows â€œFailed to Startâ€ [due to dedupe filesystem inc</t>
  </si>
  <si>
    <t xml:space="preserve"> FCIDs for existing VTL devices can shift if B6200 is rebooted or if trying to mo</t>
  </si>
  <si>
    <t xml:space="preserve"> Backups failing of virtual machines with the Data Protector VMWARE integration t</t>
  </si>
  <si>
    <t xml:space="preserve"> Files written to NAS shares are not getting correct Date Modified / Date Created</t>
  </si>
  <si>
    <t xml:space="preserve"> Jobs fail with stuck cartridges with 3.3.6</t>
  </si>
  <si>
    <t xml:space="preserve"> Host  cannot discover device from B6200 Node4 on SAN.</t>
  </si>
  <si>
    <t xml:space="preserve"> Customer is complaining that they are seeing duplicate S/N's after installing 3.</t>
  </si>
  <si>
    <t xml:space="preserve"> Unable to expand storage via CLI if a storage controller was replaced previously</t>
  </si>
  <si>
    <t xml:space="preserve"> GUI VTL pages not available when FS is down</t>
  </si>
  <si>
    <t xml:space="preserve"> FC HBAs showing as failed in GUI after upgrading to 3.5.0</t>
  </si>
  <si>
    <t xml:space="preserve"> Node reboots due to kernel panic or dump is reported</t>
  </si>
  <si>
    <t xml:space="preserve"> After upgrading system to 3.5.0 when software reboots system a node was seen in </t>
  </si>
  <si>
    <t xml:space="preserve"> Customers report getting segment full alerts but when you look at Storage Report</t>
  </si>
  <si>
    <t xml:space="preserve"> Upgrading to 3.5.0 fails to reboot the solution if any part of the upgrade fails</t>
  </si>
  <si>
    <t xml:space="preserve"> With 3.3.6 cli command "config save devices" fail due to not having restore-inst</t>
  </si>
  <si>
    <t xml:space="preserve"> GUI or Admin reports no issue; but ibrix_dd -L shows a failover on 3.2.4</t>
  </si>
  <si>
    <t xml:space="preserve"> Node 1  fails over and does a dump. Node 2 is up but customer claims they can't </t>
  </si>
  <si>
    <t xml:space="preserve"> When adding Storage back after deleting file system "system show status" shows m</t>
  </si>
  <si>
    <t xml:space="preserve"> VTL fault after unexpected reboot</t>
  </si>
  <si>
    <t xml:space="preserve"> Unable to access VTL pages though GUI on a two couplet cluster when one is down </t>
  </si>
  <si>
    <t xml:space="preserve"> StoreOnce/P2000:  P2000 controllers losing sync causing a reporting mismatch of </t>
  </si>
  <si>
    <t xml:space="preserve"> Replication Wizard To Create Slot Hangs</t>
  </si>
  <si>
    <t xml:space="preserve"> Fibre Channel Crashes </t>
  </si>
  <si>
    <t xml:space="preserve"> StoreOnce/IBRIX/P2000: Service Set fails to go online due to Segments Not availa</t>
  </si>
  <si>
    <t xml:space="preserve"> Customer is allowed to create duplicate WW Port Name and Node Name. When default</t>
  </si>
  <si>
    <t xml:space="preserve"> B6200 with 3.2.4 failed to start store.</t>
  </si>
  <si>
    <t xml:space="preserve"> Drives stuck deleting on replication target VTLs on 3.3.x SW</t>
  </si>
  <si>
    <t xml:space="preserve"> GUI Reporting duplicate FCID for Media Changer Port1 and Port2</t>
  </si>
  <si>
    <t xml:space="preserve"> StoreOnce/P2000: 3.3.5 upgrade fails to upgrade all P2000 controller pairs</t>
  </si>
  <si>
    <t xml:space="preserve"> Painful Workarounds</t>
  </si>
  <si>
    <t xml:space="preserve"> When default WWNN/WWPN are changed from defaults; you could see WWNN/WWPN is not</t>
  </si>
  <si>
    <t xml:space="preserve"> FC Ports offline after changing drive configuration or adding additional drives</t>
  </si>
  <si>
    <t xml:space="preserve"> Replication Target reports diskbytes have reduced or show 0. with only newly ing</t>
  </si>
  <si>
    <t xml:space="preserve"> Replication Wizard show undefined for all steps through the process</t>
  </si>
  <si>
    <t xml:space="preserve"> Barcode change in 3.2.4 screws up NBU barcodes already at 6 chars</t>
  </si>
  <si>
    <t xml:space="preserve"> D2D service set failing to stop</t>
  </si>
  <si>
    <t xml:space="preserve"> B6200 Web GUI shows VTL in deleting state for extended period of time</t>
  </si>
  <si>
    <t xml:space="preserve"> System Events are incorrectly showing capacity license violations on 3.3.1</t>
  </si>
  <si>
    <t xml:space="preserve"> VTL crash - Cause is unknown; further analysis required; and request lab to reco</t>
  </si>
  <si>
    <t xml:space="preserve"> One Fan failure results in System Event log showing all 5 fans have failed</t>
  </si>
  <si>
    <t xml:space="preserve"> Throughput performance extremely slow after failback</t>
  </si>
  <si>
    <t xml:space="preserve"> 3 drives stuck in creating state</t>
  </si>
  <si>
    <t xml:space="preserve"> B6200 fills up service set and is no longer usable</t>
  </si>
  <si>
    <t xml:space="preserve"> No status information is provided during ibdirchk after reboot  (User is kept "b</t>
  </si>
  <si>
    <t xml:space="preserve"> Dedupe HK queue examination can take some time affecting startstore response to </t>
  </si>
  <si>
    <t xml:space="preserve"> Executing the cli command "system show performance SETX" reports -&gt; Error: java.</t>
  </si>
  <si>
    <t xml:space="preserve"> Performance</t>
  </si>
  <si>
    <t xml:space="preserve"> Gross performance degradation being experienced on B6200 - Variable container ma</t>
  </si>
  <si>
    <t xml:space="preserve"> StoreOnce/P2000:  The GUI reports an extra MSA's attached for a node. </t>
  </si>
  <si>
    <t xml:space="preserve"> Store fails &amp; is non-functional until system is rebooted or service set restarte</t>
  </si>
  <si>
    <t xml:space="preserve"> B6200 Template will not work with a .126 IP using a /25 subnet mask</t>
  </si>
  <si>
    <t xml:space="preserve"> P2000 G3 MSA controller is not self replicating the fimrware versions in a dual </t>
  </si>
  <si>
    <t xml:space="preserve"> B6200 FC port being messaged as down on GUI but customer can use the drives conn</t>
  </si>
  <si>
    <t xml:space="preserve"> B6200 Template changes fail when going from Template 3 to Template 1</t>
  </si>
  <si>
    <t xml:space="preserve"> GUI reported HK does not reflect actual load of the D2D</t>
  </si>
  <si>
    <t xml:space="preserve"> B6200 software upgrades upgrades fail; as a result of not coming out of maintena</t>
  </si>
  <si>
    <t xml:space="preserve"> B6200 systems more than 60 days old from time of creation cannot have the cluste</t>
  </si>
  <si>
    <t xml:space="preserve"> Service Set status goes to "Failed to Start" and VTL's status "Not Started"</t>
  </si>
  <si>
    <t xml:space="preserve"> Replication Recovery Wizard fails to perform "one off recovery" of data and data</t>
  </si>
  <si>
    <t xml:space="preserve"> Barcode configuration during setup doesn't work on the B6200  </t>
  </si>
  <si>
    <t xml:space="preserve"> Poor backup performance with oracle databases using linux</t>
  </si>
  <si>
    <t xml:space="preserve"> Troubled disk prevents Nodes from booting.</t>
  </si>
  <si>
    <t xml:space="preserve"> B6200 MSA or HDD incorrectly displays online status with no LED illuminated</t>
  </si>
  <si>
    <t xml:space="preserve"> Management console is unable to display carts with a VTL that has &gt; 16K cartridg</t>
  </si>
  <si>
    <t xml:space="preserve"> HP-UX clients cannot â€œseeâ€/access virtual drives on the B6200.</t>
  </si>
  <si>
    <t xml:space="preserve"> VTL causing storm of aborts</t>
  </si>
  <si>
    <t xml:space="preserve"> Changes to external network template of any kind are not reliable</t>
  </si>
  <si>
    <t xml:space="preserve"> No backup VIF's are seen when creating the external network using template 4</t>
  </si>
  <si>
    <t xml:space="preserve"> Mailbox timeout errors on power up not allowing FC connectivity (Gen3)</t>
  </si>
  <si>
    <t xml:space="preserve"> vDrives fail to delete successfully; leaving rogue threads</t>
  </si>
  <si>
    <t>[Master=106868, Atlas-1.2-maint] [Customer: St Joseph's][UDU221824] Upgrade to 3.2.2 MU4 P85 fails with 0x102F1002 : The CONFIG_CHANGE_TRANSFORM command reg_upgrade.sh for component hp-smb timed out after the specified limit of 100 seconds</t>
  </si>
  <si>
    <t>1.2</t>
  </si>
  <si>
    <t xml:space="preserve"> tbd</t>
  </si>
  <si>
    <t xml:space="preserve"> TBC</t>
  </si>
  <si>
    <t xml:space="preserve"> N/A</t>
  </si>
  <si>
    <t xml:space="preserve"> Bucket</t>
  </si>
  <si>
    <t xml:space="preserve"> Dedupe Store process goes offline due to cmd handler process aborting</t>
  </si>
  <si>
    <t xml:space="preserve"> RMC backups failing when using high amount of streams and buffers cannot get all</t>
  </si>
  <si>
    <t>[Master=99942, Avitus-1.4-Maint] [Customer: Tetra Pak AB] Domain goes offline, then lsass reports Domain is now online but lwio thread pool is consumed with calls to lsass while lsass thread pool is empty</t>
  </si>
  <si>
    <t>[Master] [Customer: Tetra Pak AB] startfsnapclean fails with: Unexpected exception while resolving coordinator akka.tcp://SnapShotServices@127.127.0.13:9015/user/SnapShotCoordinator-R Futures timed out after [20 seconds]</t>
  </si>
  <si>
    <t>[Master=107941, Atlas-1.2-Maint] [Customer: Tetra Pak AB] startfsnapclean fails with: Unexpected exception while resolving coordinator akka.tcp://SnapShotServices@127.127.0.13:9015/user/SnapShotCoordinator-R Futures timed out after [20 seconds]</t>
  </si>
  <si>
    <t>[Master=107941, Aurora-1.3-Maint] [Customer: Tetra Pak AB] startfsnapclean fails with: Unexpected exception while resolving coordinator akka.tcp://SnapShotServices@127.127.0.13:9015/user/SnapShotCoordinator-R Futures timed out after [20 seconds]</t>
  </si>
  <si>
    <t>Legacy Manageability-SMB</t>
  </si>
  <si>
    <t>SA_3D_Completed</t>
  </si>
  <si>
    <t>enhancement : do not use</t>
  </si>
  <si>
    <t>monty.phillips@hp.com</t>
  </si>
  <si>
    <t>bret.mckee@hp.com</t>
  </si>
  <si>
    <t>3124</t>
  </si>
  <si>
    <t>6.0 (Daytona)</t>
  </si>
  <si>
    <t>tim.thomas2@hpe.com</t>
  </si>
  <si>
    <t>5.5A (Bahamas patch)</t>
  </si>
  <si>
    <t>michael.viola@hpe.com</t>
  </si>
  <si>
    <t>2948</t>
  </si>
  <si>
    <t>Suresh.Bellamkonda@hp.com</t>
  </si>
  <si>
    <t>2555</t>
  </si>
  <si>
    <t>scott.dangelo@hpe.com</t>
  </si>
  <si>
    <t>5.6 (Cancun)</t>
  </si>
  <si>
    <t>chi-ti.chen@hp.com</t>
  </si>
  <si>
    <t>6.1 (Ensenada)</t>
  </si>
  <si>
    <t>3469</t>
  </si>
  <si>
    <t>[Master][Customer Somerville Group] ibrix_auth fails to leave old domain and join new domain</t>
  </si>
  <si>
    <t>ryan.keppel@hp.com</t>
  </si>
  <si>
    <t>[Master=19002, 6.1] [Customer Somerville Group] ibrix_auth fails to leave old domain and join new domain</t>
  </si>
  <si>
    <t>[Master=17357, 6.1] [VIDA Digital] Unable to select local users while trying to add ACLS on folders and files</t>
  </si>
  <si>
    <t>2954</t>
  </si>
  <si>
    <t>[master=NA] The Likewise &lt;-&gt; Fusion manager interface needs to be rethought (share management, settings, etc)</t>
  </si>
  <si>
    <t>Referenced_in_QC</t>
  </si>
  <si>
    <t>[Master=17357, 6.0] [VIDA Digital]  Unable to select local users while trying to add ACLS on folders and files</t>
  </si>
  <si>
    <t>aman.kumar.manot@hp.com</t>
  </si>
  <si>
    <t>3006</t>
  </si>
  <si>
    <t>[Master] [Customer: Hypertec- Transcontinental Printing] CIFS stops responding to the windows clients where Commvault is running</t>
  </si>
  <si>
    <t>5.6.x (Cancun patch)</t>
  </si>
  <si>
    <t>bill.braswell@hp.com</t>
  </si>
  <si>
    <t>[Master=19462, 5.5/6maint] [Customer: Hypertec- Transcontinental Printing] CIFS stops responding to the windows clients where Commvault is running</t>
  </si>
  <si>
    <t>[Master=19462, 6.0+] [Customer: Hypertec- Transcontinental Printing] CIFS stops responding to the windows clients where Commvault is running</t>
  </si>
  <si>
    <t>[Master=19462, 6.1maint] [Customer: Hypertec- Transcontinental Printing] CIFS stops responding to the windows clients where Commvault is running</t>
  </si>
  <si>
    <t>Waiting for more information</t>
  </si>
  <si>
    <t>[Master=17577, 5.56maint] [LW13185] [Customer Bestsellers] Windows XP Service Pack 3 CIFS clients are unable to save a file when the filename includes a Danish character</t>
  </si>
  <si>
    <t>[Master=17357, 5.5/5.6maint] [VIDA Digital] Unable to select local users while trying to add ACLS on folders and files</t>
  </si>
  <si>
    <t>[Master=17577, 6.1] [LW13185] [Customer Bestsellers] Likewise/Ibrix are not caseinsensitive for Danish characters (Latin-1)</t>
  </si>
  <si>
    <t>2991</t>
  </si>
  <si>
    <t>[Master] [Customer Madison Square Garden GR8 4000247567] Clients unable to write to CIFS share with STATUS_OBJECT_NAME_NOT_FOUND error</t>
  </si>
  <si>
    <t>[Master=19698, 6.1] [Customer Madison Square Garden GR8 4000247567] Clients unable to write to CIFS share with STATUS_OBJECT_NAME_NOT_FOUND error</t>
  </si>
  <si>
    <t>[Master=19698, 6.0maint] [Customer Madison Square Garden GR8 4000247567] Clients unable to write to CIFS share with STATUS_OBJECT_NAME_NOT_FOUND error</t>
  </si>
  <si>
    <t>[Master=19698, 5.5maint] [Customer Madison Square Garden GR8 4000247567] Clients unable to write to CIFS share with STATUS_OBJECT_NAME_NOT_FOUND error</t>
  </si>
  <si>
    <t>[Master=16096, 5.5maint] [LW 12714] can't join domain after X9000 moved from one site to another without un-configuring AD (need a process to clear Likewise Registry?)</t>
  </si>
  <si>
    <t>[Master=16096, 6.0maint] [LW 12714] can't join domain after X9000 moved from one site to another without un-configuring AD (need a process to clear Likewise Registry?)</t>
  </si>
  <si>
    <t>[Master=16096, 6.1maint] [LW 12714] can't join domain after X9000 moved from one site to another without un-configuring AD (need a process to clear Likewise Registry?)</t>
  </si>
  <si>
    <t>[Master=16096, F release] [LW 12714] can't join domain after X9000 moved from one site to another without un-configuring AD (need a process to clear Likewise Registry?)</t>
  </si>
  <si>
    <t>3218</t>
  </si>
  <si>
    <t>[Master] [LW 13613] Removing inherited Creator Owner ACL does not get removed from subdirectory that were created by user</t>
  </si>
  <si>
    <t>ggupta@hpe.com</t>
  </si>
  <si>
    <t>[Master=20382, 5.5maint] [LW 13613] Removing inherited Creator Owner ACL does not get removed from subdirectory that were created by user</t>
  </si>
  <si>
    <t>[Master=20382, 6.0maint] [LW 13613] Removing inherited Creator Owner ACL does not get removed from subdirectory that were created by user</t>
  </si>
  <si>
    <t>[Master=20382, 6.1maint] [LW 13613] Removing inherited Creator Owner ACL does not get removed from subdirectory that were created by user</t>
  </si>
  <si>
    <t>[Master=20382, F release] [LW 13613] Removing inherited Creator Owner ACL does not get removed from subdirectory that were created by user</t>
  </si>
  <si>
    <t>[Master=19462, F release] [Customer: Hypertec- Transcontinental Printing] CIFS stops responding to the windows clients where Commvault is running</t>
  </si>
  <si>
    <t>3213</t>
  </si>
  <si>
    <t>[Master] [Customer UMSL] LW reporting the error "The cached data is incorrect" while assigning Share admins to users or groups</t>
  </si>
  <si>
    <t>[Master=21306, 6.0maint] [Customer UMSL] LW reporting the error "The cached data is incorrect" while assigning Share admins to users or groups</t>
  </si>
  <si>
    <t>[Master=21306, 6.1maint] [Customer UMSL] LW reporting the error "The cached data is incorrect" while assigning Share admins to users or groups</t>
  </si>
  <si>
    <t>[Master=21306, F release] [Customer UMSL] LW reporting the error "The cached data is incorrect" while assigning Share admins to users or groups</t>
  </si>
  <si>
    <t>[Master=21306, 5.5maint] [Customer UMSL] LW reporting the error "The cached data is incorrect" while assigning Share admins to users or groups</t>
  </si>
  <si>
    <t>3553</t>
  </si>
  <si>
    <t>[Master][Customer Hyundai Samho Heavy Industry] DCNs not working in 6.1.209</t>
  </si>
  <si>
    <t>[Master=21420, 6.1maint][Customer Hyundai Samho Heavy Industry] DCNs not working in 6.1.209</t>
  </si>
  <si>
    <t>[Master=21420, F release] DCNs not working in 6.1.209</t>
  </si>
  <si>
    <t>3130</t>
  </si>
  <si>
    <t>[Master][Customer ATV] Security Tab displays SID of child domain and not friendly name</t>
  </si>
  <si>
    <t>[Master=21447, 6.0maint] [Customer ATV] Security Tab displays SID of child domain and not friendly name</t>
  </si>
  <si>
    <t>[Master=21447, 6.1maint] [Customer ATV] Security Tab displays SID of child domain and not friendly name</t>
  </si>
  <si>
    <t>[Master=21447, F release] [Customer ATV] Security Tab displays SID of child domain and not friendly name</t>
  </si>
  <si>
    <t>[Master=21447, 5.5maint] [Customer ATV] Security Tab displays SID of child domain and not friendly name</t>
  </si>
  <si>
    <t>3175</t>
  </si>
  <si>
    <t>[Master] [LW 13726] [Customer Portugal Telecom] CIFS Share Inaccessible - STATUS_INSUFF_SERVER_RESOURCES</t>
  </si>
  <si>
    <t>[Master=22000, F release] [Customer Portugal Telecom] CIFS Share Inaccessible - STATUS_INSUFF_SERVER_RESOURCES</t>
  </si>
  <si>
    <t>[Master=22000, 6.1maint] [Customer Portugal Telecom] CIFS Share Inaccessible - STATUS_INSUFF_SERVER_RESOURCES</t>
  </si>
  <si>
    <t>[Master=22000, 6.0maint] [Customer Portugal Telecom] CIFS Share Inaccessible - STATUS_INSUFF_SERVER_RESOURCES</t>
  </si>
  <si>
    <t>[Master=22000, 5.5maint] [Customer Portugal Telecom] CIFS Share Inaccessible - STATUS_INSUFF_SERVER_RESOURCES</t>
  </si>
  <si>
    <t>[Master] [Customer Erasmus MC] Spurious &lt;not inherited&gt; permissions entry added when subfolders are created</t>
  </si>
  <si>
    <t>[Master=22432, F release] [Customer Erasmus MC] Spurious &lt;not inherited&gt; permissions entry added when subfolders are created</t>
  </si>
  <si>
    <t>[Master=22432, 6.1maint] [Customer Erasmus MC] Spurious &lt;not inherited&gt; permissions entry added when subfolders are created</t>
  </si>
  <si>
    <t>[Master=22432, 6.0maint] [Customer Erasmus MC] Spurious &lt;not inherited&gt; permissions entry added when subfolders are created</t>
  </si>
  <si>
    <t>[Master=22432, 5.5maint] [Customer Erasmus MC] Spurious &lt;not inherited&gt; permissions entry added when subfolders are created</t>
  </si>
  <si>
    <t>3299</t>
  </si>
  <si>
    <t>[Master] [Customer Best Buy / Geeksquad] lwiod[...]: 0x455d5940:Failed to accept connection due to too many open files</t>
  </si>
  <si>
    <t>michael.acosta@hp.com</t>
  </si>
  <si>
    <t>[Master=22674, F release] [Customer Best Buy / Geeksquad] lwiod[...]: 0x455d5940:Failed to accept connection due to too many open files</t>
  </si>
  <si>
    <t>[Master=22674, 6.1maint] [Customer Best Buy / Geeksquad] lwiod[...]: 0x455d5940:Failed to accept connection due to too many open files</t>
  </si>
  <si>
    <t>[Master=22674, 6.0maint] [Customer Best Buy / Geeksquad] lwiod[...]: 0x455d5940:Failed to accept connection due to too many open files</t>
  </si>
  <si>
    <t>[Master=22674, 5.5maint] [Customer Best Buy / Geeksquad] lwiod[...]: 0x455d5940:Failed to accept connection due to too many open files</t>
  </si>
  <si>
    <t>3602</t>
  </si>
  <si>
    <t>[Master][Customer GE Healthcare, CanonIT] Unable to add users with names starting with 'n' from FM</t>
  </si>
  <si>
    <t>teles@hpe.com</t>
  </si>
  <si>
    <t>[Master=22783, 6.2maint] [Customer GE Healthcare] Unable to add user as nasxxx in CIFS Authentication</t>
  </si>
  <si>
    <t>[Master=22783, 6.1maint] [Customer GE Healthcare] Unable to add user as nasxxx in CIFS Authentication</t>
  </si>
  <si>
    <t>[Master=22783, 6.0maint] [Customer GE Healthcare] Unable to add user as nasxxx in CIFS Authentication</t>
  </si>
  <si>
    <t>[Master=22783, 5.5maint] [Customer GE Healthcare] Unable to add user as nasxxx in CIFS Authentication</t>
  </si>
  <si>
    <t>[Master][Customer: Best Buy/Geeksquad lwiod[4520]: [IopIrpCompleteInternal()ioirp.c:316] ASSERTION FAILED</t>
  </si>
  <si>
    <t>ada.lam@hp.com</t>
  </si>
  <si>
    <t>[Master=23238, G release][Customer: Best Buy/Geeksquad lwiod[4520]: [IopIrpCompleteInternal()ioirp.c:316] ASSERTION FAILED</t>
  </si>
  <si>
    <t>md-meraj.ahmed@hpe.com</t>
  </si>
  <si>
    <t>[Master=23238, F release][Customer: Best Buy/Geeksquad lwiod[4520]: [IopIrpCompleteInternal()ioirp.c:316] ASSERTION FAILED</t>
  </si>
  <si>
    <t>[Master=23238, 6.1maint][Customer: Best Buy/Geeksquad lwiod[4520]: [IopIrpCompleteInternal()ioirp.c:316] ASSERTION FAILED</t>
  </si>
  <si>
    <t>[Master=23238, 6.0maint][Customer: Best Buy/Geeksquad lwiod[4520]: [IopIrpCompleteInternal()ioirp.c:316] ASSERTION FAILED</t>
  </si>
  <si>
    <t>[Master=23238, 5.5maint][Customer: Best Buy/Geeksquad lwiod[4520]: [IopIrpCompleteInternal()ioirp.c:316] ASSERTION FAILED</t>
  </si>
  <si>
    <t>3360</t>
  </si>
  <si>
    <t>[Customer Dansk Scanning] Replacing MSD600 Drawer and Power Block cleared MDS600 serial number, causing error in SPT</t>
  </si>
  <si>
    <t>bradley_culter@hpe.com</t>
  </si>
  <si>
    <t>MOVED to 3Par</t>
  </si>
  <si>
    <t>[Master=19002, G-Release][Customer Somerville Group] ibrix_auth fails to leave old domain and join new domain</t>
  </si>
  <si>
    <t>[Master=19002, 6.2maint] [Customer Somerville Group] ibrix_auth fails to leave old domain and join new domain</t>
  </si>
  <si>
    <t>[Master=19002, 6.1maint] [Customer Somerville Group] ibrix_auth fails to leave old domain and join new domain</t>
  </si>
  <si>
    <t>3467</t>
  </si>
  <si>
    <t>[Master] [UHG Sierra (Las Vegas)] Customer can't "Traverse Bypass" with office 2010 files after Robocopy is used to migrate files from Windows NAS to IBRIX cluster.</t>
  </si>
  <si>
    <t>[Master=24588, G-Release] [UHG Sierra (Las Vegas)] Customer can't "Traverse Bypass" with office 2010 files after Robocopy is used to migrate files from Windows NAS to IBRIX cluster.</t>
  </si>
  <si>
    <t>[Master=24588, F-Release] [UHG Sierra (Las Vegas)] Customer can't "Traverse Bypass" with office 2010 files after Robocopy is used to migrate files from Windows NAS to IBRIX cluster.</t>
  </si>
  <si>
    <t>[Master=24588, 6.1maint] [UHG Sierra (Las Vegas)] Customer can't "Traverse Bypass" with office 2010 files after Robocopy is used to migrate files from Windows NAS to IBRIX cluster.</t>
  </si>
  <si>
    <t>[Master=24588, 6.0maint] [UHG Sierra (Las Vegas)] Customer can't "Traverse Bypass" with office 2010 files after Robocopy is used to migrate files from Windows NAS to IBRIX cluster.</t>
  </si>
  <si>
    <t>3624</t>
  </si>
  <si>
    <t>[Master] [Customer Health Shared Services BC] Cannot add groups with ( and &amp; in the name to share admins</t>
  </si>
  <si>
    <t>nagina.parween@hp.com</t>
  </si>
  <si>
    <t>6.5 (Ghost)</t>
  </si>
  <si>
    <t>[master=24651, G-Release][Customer Health Shared Services BC] Cannot add groups with ( and &amp; in the name to share admins</t>
  </si>
  <si>
    <t>[master=24651, 6.2maint][Customer Health Shared Services BC] Cannot add groups with ( and &amp; in the name to share admins</t>
  </si>
  <si>
    <t>[master=24651, 6.1maint][Customer Health Shared Services BC] Cannot add groups with ( and &amp; in the name to share admins</t>
  </si>
  <si>
    <t>3487</t>
  </si>
  <si>
    <t>[Master] [LW 13764] [Customer King Abdullah University of sc] ibrix_auth fails with ERROR_GEN_FAILURE</t>
  </si>
  <si>
    <t>arun-vishnu.p-k@hpe.com</t>
  </si>
  <si>
    <t>[Master=24796, G-Release] [Customer King Abdullah University of sc] ibrix_auth fails with ERROR_GEN_FAILURE</t>
  </si>
  <si>
    <t>[Master=24796, 6.2maint] [Customer King Abdullah University of sc] ibrix_auth fails with ERROR_GEN_FAILURE</t>
  </si>
  <si>
    <t>[Master=24796, 6.1maint] [Customer King Abdullah University of sc] ibrix_auth fails with ERROR_GEN_FAILURE</t>
  </si>
  <si>
    <t>3404</t>
  </si>
  <si>
    <t>[Master] Symantec EV WORM &gt;&gt;  A time of a CIFS share file properties and A time of Linux stat is mismatch</t>
  </si>
  <si>
    <t>6.2 (Fiji)</t>
  </si>
  <si>
    <t>ramesha.raghuramarao@hpe.com</t>
  </si>
  <si>
    <t>[Master=24920, G-Release] Symantec EV WORM &gt;&gt;  A time of a CIFS share file properties and A time of Linux stat is mismatch</t>
  </si>
  <si>
    <t>[Master=24920, F-Release] Symantec EV WORM &gt;&gt;  A time of a CIFS share file properties and A time of Linux stat is mismatch</t>
  </si>
  <si>
    <t>[Master=24920, 6.1maint] Symantec EV WORM &gt;&gt;  A time of a CIFS share file properties and A time of Linux stat is mismatch</t>
  </si>
  <si>
    <t>3649 3345</t>
  </si>
  <si>
    <t>[master=24948,6.2maint] [LW 13771] [LG Display] srvsvcd crash</t>
  </si>
  <si>
    <t>[master=24948, 6.1maint] [LW 13771] [LG Display] srvsvcd crash</t>
  </si>
  <si>
    <t>[master=24948, 6.0maint] [LW 13771] [LG Display] srvsvcd crash</t>
  </si>
  <si>
    <t>[Master=19002, 6.3] [Customer Somerville Group] ibrix_auth fails to leave old domain and join new domain</t>
  </si>
  <si>
    <t>[Master=24920, 6.3] Symantec EV WORM &gt;&gt; A time of a CIFS share file properties and A time of Linux stat is mismatch</t>
  </si>
  <si>
    <t>[Master=21420, 6.3] DCNs not working in 6.1.209</t>
  </si>
  <si>
    <t>[Master=21420, G-Release][Customer Hyundai Samho Heavy Industry] DCNs not working in 6.1.209</t>
  </si>
  <si>
    <t>[Master=21420, G-Release] DCNs not working in 6.1.209</t>
  </si>
  <si>
    <t>[Master=21420, 6.2maint] DCNs not working in 6.1.209</t>
  </si>
  <si>
    <t>[master=24651, 6.3][Customer Health Shared Services BC] Cannot add groups with ( and &amp; in the name to share admins</t>
  </si>
  <si>
    <t>VERIFIED_FIXED_V6_Mainline</t>
  </si>
  <si>
    <t>[Master=24948, 6.3] [LW 13771] [Customer LG Display] srvsvcd crash</t>
  </si>
  <si>
    <t>[Master=24796, 6.3] [Customer King Abdullah University of sc] ibrix_auth fails with ERROR_GEN_FAILURE</t>
  </si>
  <si>
    <t>3527</t>
  </si>
  <si>
    <t>[Master] [Customer Hyundai Heavy Industries] lwiod: page allocation failure. order:4, mode:0xd0</t>
  </si>
  <si>
    <t>[Master=25192, G-Release] [Customer Hyundai Heavy Industries] lwiod: page allocation failure. order:4, mode:0xd0</t>
  </si>
  <si>
    <t>[Master=25192, 6.3] [Customer Hyundai Heavy Industries] lwiod: page allocation failure. order:4, mode:0xd0</t>
  </si>
  <si>
    <t>[Master=25192, 6.2maint] [Customer Hyundai Heavy Industries] lwiod: page allocation failure. order:4, mode:0xd0</t>
  </si>
  <si>
    <t>3823</t>
  </si>
  <si>
    <t>[Master][Customer Total E&amp;P] CIFS client crashes after subscribing the "Create", "Change" and "delete" events on files or folders</t>
  </si>
  <si>
    <t>anuj.garg@hpe.com</t>
  </si>
  <si>
    <t>[master=25309, G-Release] [Customer Total E&amp;P] CIFS client crashes after subscribing the "Create", "Change" and "delete" events on files or folders</t>
  </si>
  <si>
    <t>[master=25309, 6.3maint] [Customer Total E&amp;P] CIFS client crashes after subscribing the "Create", "Change" and "delete" events on files or folders</t>
  </si>
  <si>
    <t>dipak.singh@hpe.com</t>
  </si>
  <si>
    <t>[master=25309, 6.2maint] [Customer Total E&amp;P] CIFS client crashes after subscribing the "Create", "Change" and "delete" events on files or folders</t>
  </si>
  <si>
    <t>[master=25309, 6.1maint] [Customer Total E&amp;P] CIFS client crashes after subscribing the "Create", "Change" and "delete" events on files or folders</t>
  </si>
  <si>
    <t>[Master=22783, G-Release] [Customer GE Healthcare] Unable to add user as ?nasxxx? in CIFS Authentication</t>
  </si>
  <si>
    <t>[Master=22783, 6.3] [Customer GE Healthcare] Unable to add user as ?nasxxx? in CIFS Authentication</t>
  </si>
  <si>
    <t>VERIFIED_IN_6_3</t>
  </si>
  <si>
    <t>3576</t>
  </si>
  <si>
    <t>[Master] [Customer: Turner Broadcasting] CIFS Service Monitoring Fails to Restart Stopped Services &amp; Data Migration Task Aborts</t>
  </si>
  <si>
    <t>richard.jacobik@hp.com</t>
  </si>
  <si>
    <t>3822</t>
  </si>
  <si>
    <t>[Master][Customer: Insight] IBFS driver has un-necessary Lwreg interaction during IRP processing.</t>
  </si>
  <si>
    <t>vinod.eswaraprasad@hp.com</t>
  </si>
  <si>
    <t>[Master=25679, GO-Release] [Customer: Turner Broadcasting] CIFS Service Monitoring Fails to Restart Stopped Services &amp; Data Migration Task Aborts</t>
  </si>
  <si>
    <t>[Master=25679, 6.3maint] [Customer: Turner Broadcasting] CIFS Service Monitoring Fails to Restart Stopped Services &amp; Data Migration Task Aborts</t>
  </si>
  <si>
    <t>Waiting for more info.</t>
  </si>
  <si>
    <t>[Master=25679, 6.2maint] [Customer: Turner Broadcasting] CIFS Service Monitoring Fails to Restart Stopped Services &amp; Data Migration Task Aborts</t>
  </si>
  <si>
    <t>[Master=25679, 5.5maint] [Customer: Turner Broadcasting] CIFS Service Monitoring Fails to Restart Stopped Services &amp; Data Migration Task Aborts</t>
  </si>
  <si>
    <t>[Master=25679, 6.1maint] [Customer: Turner Broadcasting] CIFS Service Monitoring Fails to Restart Stopped Services &amp; Data Migration Task Aborts</t>
  </si>
  <si>
    <t>3621</t>
  </si>
  <si>
    <t>[Master][Customer: Miami-Dade] Failed to authenticate user (name = '') -&gt; error = 40041, symbol = LW_ERROR_INVALID_PARAMETER</t>
  </si>
  <si>
    <t>[Master=25959, GO-Release] [Customer: Miami-Dade] Failed to authenticate user (name = '') -&gt; error = 40041, symbol = LW_ERROR_INVALID_PARAMETER</t>
  </si>
  <si>
    <t>[Master=25959, 6.3] [Customer: Miami-Dade] Failed to authenticate user (name = '') -&gt; error = 40041, symbol = LW_ERROR_INVALID_PARAMETER</t>
  </si>
  <si>
    <t>[Master=25959, 6.2maint] [Customer: Miami-Dade] Failed to authenticate user (name = '') -&gt; error = 40041, symbol = LW_ERROR_INVALID_PARAMETER</t>
  </si>
  <si>
    <t>[Master=25959, 6.1maint] [Customer: Miami-Dade] Failed to authenticate user (name = '') -&gt; error = 40041, symbol = LW_ERROR_INVALID_PARAMETER</t>
  </si>
  <si>
    <t>[Master] [Customer HealthBC] delete fails on a CIFS share if group administrators name includes parens</t>
  </si>
  <si>
    <t>stan.huseman@hpe.com</t>
  </si>
  <si>
    <t>WORKSFORME</t>
  </si>
  <si>
    <t>[master=26056, GO-Release] [customer HealthBC] delete fails on a CIFS share if group administrators name includes parens</t>
  </si>
  <si>
    <t>[master=26056, 6.3] [customer HealthBC] delete fails on a CIFS share if group administrators name includes parens</t>
  </si>
  <si>
    <t>[master=26056, 6.2maint] [customer HealthBC] delete fails on a CIFS share if group administrators name includes parens</t>
  </si>
  <si>
    <t>[master=26056, 6.1maint] [customer HealthBC] delete fails on a CIFS share if group administrators name includes parens</t>
  </si>
  <si>
    <t>3636</t>
  </si>
  <si>
    <t>[Master] [Customer MIAMI DADE SPCC, Brown Bag Films]lsassd: LsaHashGetValue passing NULL pKey1 to LsaSrvDomainKeyCompare</t>
  </si>
  <si>
    <t>Information provided!</t>
  </si>
  <si>
    <t>[Master=26201, GO-Release] [Customer MIAMI DADE SPCC, Brown Bag Films]lsassd: LsaHashGetValue passing NULL pKey1 to LsaSrvDomainKeyCompare</t>
  </si>
  <si>
    <t>Candidate for G-release.</t>
  </si>
  <si>
    <t>[Master=26201, 6.3maint] [Customer MIAMI DADE SPCC, Brown Bag Films]lsassd: LsaHashGetValue passing NULL pKey1 to LsaSrvDomainKeyCompare</t>
  </si>
  <si>
    <t>[Master=26201, 6.2maint] [Customer MIAMI DADE SPCC, Brown Bag Films]lsassd: LsaHashGetValue passing NULL pKey1 to LsaSrvDomainKeyCompare</t>
  </si>
  <si>
    <t>[Master=26201, 6.1maint] [Customer MIAMI DADE SPCC, Brown Bag Films]lsassd: LsaHashGetValue passing NULL pKey1 to LsaSrvDomainKeyCompare</t>
  </si>
  <si>
    <t>3824</t>
  </si>
  <si>
    <t>[Master][LW 13784] The filename in the DCN response is the complete UNIX file name and not what Windows gives</t>
  </si>
  <si>
    <t>[master=26266, G-release] [LW 13784] The filename in the DCN response is the complete UNIX file name and not what Windows gives</t>
  </si>
  <si>
    <t>Analysis in Progress</t>
  </si>
  <si>
    <t>[Master][Customer Polygon Pictures Inc][srvsvd crash - X9000 cifs shares disconnection]</t>
  </si>
  <si>
    <t>[Master=26286, GO-Release][Customer Polygon Pictures Inc][srvsvd crash - X9000 cifs shares disconnection]</t>
  </si>
  <si>
    <t>[Master=26286, 6.3][Customer Polygon Pictures Inc][srvsvd crash - X9000 cifs shares disconnection]</t>
  </si>
  <si>
    <t>[Master=26286, 6.2maint][Customer Polygon Pictures Inc][srvsvd crash - X9000 cifs shares disconnection]</t>
  </si>
  <si>
    <t>[Master=26286, 6.1maint][Customer Polygon Pictures Inc][srvsvd crash - X9000 cifs shares disconnection]</t>
  </si>
  <si>
    <t>[Master=26286, 6.0maint] [Customer Polygon Pictures Inc][srvsvd crash - X9000 cifs shares disconnection]</t>
  </si>
  <si>
    <t>[Master=26286, 5.5maint][Customer Polygon Pictures Inc][srvsvd crash - X9000 cifs shares disconnection]</t>
  </si>
  <si>
    <t>5424</t>
  </si>
  <si>
    <t>[Master][Customer BT, Gemeente Eindhoven, TV2Nord] [ALM1045] 9730 chassis health report wrong, BLADE_ENCLOSURE_ILO_COMMUNICATION_ERROR</t>
  </si>
  <si>
    <t>mark.rasmussen@hpe.com</t>
  </si>
  <si>
    <t>Tools-hpsp_chassis_info</t>
  </si>
  <si>
    <t>6.3: hponconfig/ILO firmware changed and the issue started appearing.</t>
  </si>
  <si>
    <t>unassigned@hp.com</t>
  </si>
  <si>
    <t>3674</t>
  </si>
  <si>
    <t>[Customer Aju] [ALM1058] Running hpspmon process indicates controller is not responding, but offline hpspmon report and CCU say things are OK (Check Condition 05/24/00)</t>
  </si>
  <si>
    <t>Once</t>
  </si>
  <si>
    <t>CCU</t>
  </si>
  <si>
    <t>3885</t>
  </si>
  <si>
    <t>[Master] [Customer: canon it] ibrix_cifs and other scripts incorrect displaying the name start with "n" on output</t>
  </si>
  <si>
    <t>[Master=27583, GO-Release][Customer: canon it] ibrix_cifs and other scripts incorrect displaying the name start with "n" on output</t>
  </si>
  <si>
    <t>[Master=27583, 6.3maint][Customer: canon it] ibrix_cifs and other scripts incorrect displaying the name start with "n" on output</t>
  </si>
  <si>
    <t>[Master=27583, 6.2maint] [Customer: canon it] ibrix_cifs and other scripts incorrect displaying the name start with "n" on output</t>
  </si>
  <si>
    <t>[Master=27583, 6.1maint][Customer: canon it] ibrix_cifs and other scripts incorrect displaying the name start with "n" on output</t>
  </si>
  <si>
    <t>3736</t>
  </si>
  <si>
    <t>[master=27834, GO-Release][customer GEHC] Quota not taken into account for disk size queries</t>
  </si>
  <si>
    <t>[master=27834, 6.2maint][customer GEHC] Quota not taken into account for disk size queries</t>
  </si>
  <si>
    <t>[master=27834, 6.1maint][customer GEHC] Quota not taken into account for disk size queries</t>
  </si>
  <si>
    <t>4317</t>
  </si>
  <si>
    <t>[Customer HP][Master, 6.4 and Ghost] Segfaults written to /var/log/messages on G6 9320 server apparently when bond mode 4 enabled</t>
  </si>
  <si>
    <t>tim.beaudin@hpe.com</t>
  </si>
  <si>
    <t>Legacy-Log Collection</t>
  </si>
  <si>
    <t>6.3 (FlyingSaucer)</t>
  </si>
  <si>
    <t>3821</t>
  </si>
  <si>
    <t>[Master] [Customer: Insight Health Corp, Qualcomm Panel Manufacturing, AFIP] CIFS connection issues due to frequent restarting of likewise, after upgrading to StoreAll 6.2.2.</t>
  </si>
  <si>
    <t>praveen.adiga@hpe.com</t>
  </si>
  <si>
    <t>[Master=28476, GO-Release][Customer: Insight Health Corp] CIFS connection issues due to frequent restarting of likewise, after upgrading to StoreAll 6.2.2.</t>
  </si>
  <si>
    <t>[Master=28476, 6.3maint][Customer: Insight Health Corp, Qualcomm Panel Manufacturing] CIFS connection issues due to frequent restarting of likewise, after upgrading to StoreAll 6.2.2.</t>
  </si>
  <si>
    <t>[Master=28476, 6.2maint][Customer: Insight Health Corp] CIFS connection issues due to frequent restarting of likewise, after upgrading to StoreAll 6.2.2.</t>
  </si>
  <si>
    <t>[Master=28476, 6.1maint][Customer: Insight Health Corp] CIFS connection issues due to frequent restarting of likewise, after upgrading to StoreAll 6.2.2.</t>
  </si>
  <si>
    <t>[Master=25680, GO-Release][Customer: Insight] IBFS driver has un-necessary Lwreg interaction during IRP processing.</t>
  </si>
  <si>
    <t>[Master=25680, 6.3maint] [Customer: Insight] IBFS driver has un-necessary Lwreg interaction during IRP processing.</t>
  </si>
  <si>
    <t>[Master=25680, 6.2maint] [Customer: Insight] IBFS driver has un-necessary Lwreg interaction during IRP processing.</t>
  </si>
  <si>
    <t>[Master=25680, 6.1maint] [Customer: Insight] IBFS driver has un-necessary Lwreg interaction during IRP processing.</t>
  </si>
  <si>
    <t>[Customer Total] FILE_NOTIFY_INFORMATION has extraneous null character.</t>
  </si>
  <si>
    <t>[Customer Total] FILE_NOTIFY_INFORMATION may have unnecessary path information.</t>
  </si>
  <si>
    <t>[Master=26266, GO-Release][LW 13784] The filename in the DCN response is the complete UNIX file name and not what Windows gives</t>
  </si>
  <si>
    <t>[Master=26266, 6.3maint][LW 13784] The filename in the DCN response is the complete UNIX file name and not what Windows gives</t>
  </si>
  <si>
    <t>[Master=26266, 6.2maint][LW 13784] The filename in the DCN response is the complete UNIX file name and not what Windows gives</t>
  </si>
  <si>
    <t>[Master=26266, 6.1maint] [LW 13784] The filename in the DCN response is the complete UNIX file name and not what Windows gives</t>
  </si>
  <si>
    <t>3835</t>
  </si>
  <si>
    <t>[Master] [Customer: Insight Health Corp] Customer experienced Lwiod crash</t>
  </si>
  <si>
    <t>3836</t>
  </si>
  <si>
    <t>[Master][Customer: Insight Health Corp] Customer experienced Lwnet crash</t>
  </si>
  <si>
    <t>[Master=28657, GO-Release] [Customer: Insight Health Corp] Customer experienced Lwiod crash</t>
  </si>
  <si>
    <t>[Master=28657, 6.3maint] [Customer: Insight Health Corp] Customer experienced Lwiod crash</t>
  </si>
  <si>
    <t>[Master=28657, 6.2maint] [Customer: Insight Health Corp] Customer experienced Lwiod crash</t>
  </si>
  <si>
    <t>[Master=28657, 6.1maint] [Customer: Insight Health Corp] Customer experienced Lwiod crash</t>
  </si>
  <si>
    <t>[Master=28659, GO-Release][Customer: Insight Health Corp] Customer experienced Lwnet crash</t>
  </si>
  <si>
    <t>[Master=28659, 6.3maint] [Customer: Insight Health Corp] Customer experienced Lwnet crash</t>
  </si>
  <si>
    <t>[Master=28659, 6.2maint] [Customer: Insight Health Corp] Customer experienced Lwnet crash</t>
  </si>
  <si>
    <t>[Master=28659, 6.1maint] [Customer: Insight Health Corp] Customer experienced Lwnet crash</t>
  </si>
  <si>
    <t>3934</t>
  </si>
  <si>
    <t>[Master] Share Management and FM interface architecture change</t>
  </si>
  <si>
    <t>[Master=28914, LW-NAS-GO-Release] Share Management and FM interface architecture change</t>
  </si>
  <si>
    <t>[Master=28914, LW-NAS-6.4maint] Share Management and FM interface architecture change</t>
  </si>
  <si>
    <t>[Master=28914, LW-NAS-6.3maint] Share Management and FM interface architecture change</t>
  </si>
  <si>
    <t>[Master=28914, LW-NAS-6.2maint] Share Management and FM interface architecture change</t>
  </si>
  <si>
    <t>[Master=28914, LW-NAS-6.1maint] Share Management and FM interface architecture change</t>
  </si>
  <si>
    <t>[Master][customer: Belgacom] inconsistent user-access issues with MMC managed CIFS shares after upgrade</t>
  </si>
  <si>
    <t>[Master=28659, 6.4.1] [Customer: Insight Health Corp] Customer experienced Lwnet crash</t>
  </si>
  <si>
    <t>Duane.Smith@hp.com</t>
  </si>
  <si>
    <t>[Master=25309, 6.4.1] [Customer Total E&amp;P] CIFS client crashes after subscribing the "Create", "Change" and "delete" events on files or folders</t>
  </si>
  <si>
    <t>[Master=25680, 6.4.1] [Customer: Insight] IBFS driver has un-necessary Lwreg interaction during IRP processing.</t>
  </si>
  <si>
    <t>[Master=29598, Ghost][customer: Belgacom] inconsistent user-access issues with MMC managed CIFS shares after upgrade</t>
  </si>
  <si>
    <t>Candidate For G-Release</t>
  </si>
  <si>
    <t>[Master=29598, 64maint] [customer : Belgacom] inconsistent user-access issues with MMC managed CIFS shares after upgrade</t>
  </si>
  <si>
    <t>[Master=29598, 63maint][customer: Belgacom] inconsistent user-access issues with MMC managed CIFS shares after upgrade</t>
  </si>
  <si>
    <t>[Master=29598, 62maint] [customer : Belgacom] inconsistent user-access issues with MMC managed CIFS shares after upgrade</t>
  </si>
  <si>
    <t>4016</t>
  </si>
  <si>
    <t>[Master] [Customer Belgacom] Share named C$ causes error ERROR_INVALID_NAME and subsequent share creation failure</t>
  </si>
  <si>
    <t>[Master=29697, Ghost] [Customer Belgacom] Share named C$ causes error ERROR_INVALID_NAME and subsequent share creation failure</t>
  </si>
  <si>
    <t>[Master=29697, 64maint] [Customer Belgacom] Share named C$ causes error ERROR_INVALID_NAME and subsequent share creation failure</t>
  </si>
  <si>
    <t>[Master=29697, 63maint] [Customer Belgacom] Share named C$ causes error ERROR_INVALID_NAME and subsequent share creation failure</t>
  </si>
  <si>
    <t>[Master=29697, 62maint] [Customer Belgacom] Share named C$ causes error ERROR_INVALID_NAME and subsequent share creation failure</t>
  </si>
  <si>
    <t>[Master=27583, 64maint] [Customer: canon it] ibrix_cifs and other scripts incorrect displaying the name start with "n" on output</t>
  </si>
  <si>
    <t>[Master=28476, 64maint] [Customer: Insight Health Corp, Qualcomm Panel Manufacturing] CIFS connection issues due to frequent restarting of likewise, after upgrading to StoreAll 6.2.2.</t>
  </si>
  <si>
    <t>[Master=26266, 6.4.1][LW 13784] The filename in the DCN response is the complete UNIX file name and not what Windows gives</t>
  </si>
  <si>
    <t>3954</t>
  </si>
  <si>
    <t>[Master][Customer: University of New Mexico Center] java.lang.NullPointerException during modifying a ibrix localuser account if password is not provided as part of the command options.</t>
  </si>
  <si>
    <t>[Master=29959, Ghost][Customer: University of New Mexico Center] java.lang.NullPointerException during modifying a ibrix localuser account if password is not provided as part of the command options.</t>
  </si>
  <si>
    <t>[Master=29959, 64maint] [Customer: University of New Mexico Center] java.lang.NullPointerException during modifying a ibrix localuser account if password is not provided as part of the command options.</t>
  </si>
  <si>
    <t>[Master=29959, 63maint] [Customer: University of New Mexico Center] java.lang.NullPointerException during modifying a ibrix localuser account if password is not provided as part of the command options.</t>
  </si>
  <si>
    <t>[Master=29959, 62maint] [Customer: University of New Mexico Center] java.lang.NullPointerException during modifying a ibrix localuser account if password is not provided as part of the command options.</t>
  </si>
  <si>
    <t>3716</t>
  </si>
  <si>
    <t>User Guide not available for Credential Manager</t>
  </si>
  <si>
    <t>Credential Manager</t>
  </si>
  <si>
    <t>7/22: Recommend we close by 8/14 unless comments to the contrary.</t>
  </si>
  <si>
    <t>3974</t>
  </si>
  <si>
    <t>[Master] [Customer UNM] Unable to see 'Save As' pdf files from MAC client</t>
  </si>
  <si>
    <t>[Master=30311, Ghost] [Customer UNM] Unable to see 'Save As' pdf files from MAC client</t>
  </si>
  <si>
    <t>Candidate for G-release;</t>
  </si>
  <si>
    <t>[Master=30311, 64maint] [Customer UNM] Unable to see 'Save As' pdf files from MAC client</t>
  </si>
  <si>
    <t>[Master=30311, 63maint] [Customer UNM] Unable to see 'Save As' pdf files from MAC client</t>
  </si>
  <si>
    <t>[Master=30311, 62maint] [Customer UNM] Unable to see 'Save As' pdf files from MAC client</t>
  </si>
  <si>
    <t>4730</t>
  </si>
  <si>
    <t>[Master][ALM 13286, La Trobe, ALU] G6/G7 Vesuvius message on boot: Warning: pci_mmcfg_init marking 256MB space uncacheable</t>
  </si>
  <si>
    <t>greg.turpin@hpe.com</t>
  </si>
  <si>
    <t>Quick Restore</t>
  </si>
  <si>
    <t>unknown</t>
  </si>
  <si>
    <t>sean.beary@hp.com</t>
  </si>
  <si>
    <t>[Master=30311, Future] [Customer UNM] Unable to see 'Save As' pdf files from MAC client</t>
  </si>
  <si>
    <t>[Master=29697, Future] [Customer Belgacom] Share named C$ causes error ERROR_INVALID_NAME and subsequent share creation failure</t>
  </si>
  <si>
    <t>[Master=29598, Future][customer: Belgacom] inconsistent user-access issues with MMC managed CIFS shares after upgrade</t>
  </si>
  <si>
    <t>[Master=28476, Future] [Customer: Insight Health Corp, Qualcomm Panel Manufacturing] CIFS connection issues due to frequent restarting of likewise, after upgrading to StoreAll 6.2.2.</t>
  </si>
  <si>
    <t>3999</t>
  </si>
  <si>
    <t>[Master][Customer - MSK] ibrix_auth command to set share admins do not update the FM version of sam.db</t>
  </si>
  <si>
    <t>[Master=30652, Future] [Customer - MSK] ibrix_auth command to set share admins do not update the FM version of sam.db</t>
  </si>
  <si>
    <t>[Master=30652, Ghost] [Customer - MSK] ibrix_auth command to set share admins do not update the FM version of sam.db</t>
  </si>
  <si>
    <t>[Master=30652, 63maint] [Customer - MSK] ibrix_auth command to set share admins do not update the FM version of sam.db</t>
  </si>
  <si>
    <t>[Master=30652, 62maint] [Customer - MSK] ibrix_auth command to set share admins do not update the FM version of sam.db</t>
  </si>
  <si>
    <t>[Master=30652, 61maint] [Customer - MSK] ibrix_auth command to set share admins do not update the FM version of sam.db</t>
  </si>
  <si>
    <t>3970</t>
  </si>
  <si>
    <t>[Partners Healthcare] x9720 Disk Drive Firmware process on www.hp.com (external site) has a documentation hole where customers may not take file system offline.</t>
  </si>
  <si>
    <t>christopher.anderson2@hp.com</t>
  </si>
  <si>
    <t>4033</t>
  </si>
  <si>
    <t>[Master][Customer CBRE] Frequent Schannel resets in hp-smb during user authentication</t>
  </si>
  <si>
    <t>[Master=30996, Future] [Customer CBRE] Frequent Schannel resets in hp-smb during user authentication</t>
  </si>
  <si>
    <t>[Master=30996, Ghost] [Customer CBRE] Frequent Schannel resets in hp-smb during user authentication</t>
  </si>
  <si>
    <t>Candidate for G-release</t>
  </si>
  <si>
    <t>[Master=30996, 63maint] [Customer CBRE] Frequent Schannel resets in hp-smb during user authentication</t>
  </si>
  <si>
    <t>[Master=30996, 62maint] [Customer CBRE] Frequent Schannel resets in hp-smb during user authentication</t>
  </si>
  <si>
    <t>[Master=30996, 61maint] [Customer CBRE] Frequent Schannel resets in hp-smb during user authentication</t>
  </si>
  <si>
    <t>4187</t>
  </si>
  <si>
    <t>[Derby Computer Centre. GR8# 4000276417] SAS discovery timed out with an error code 0x1A13 while executing "hpsp_fmt -cs --discover Chassis -F text -cs"</t>
  </si>
  <si>
    <t>chuck.fuqua@hpe.com</t>
  </si>
  <si>
    <t>FMT</t>
  </si>
  <si>
    <t>G8 Couplet (trunk)</t>
  </si>
  <si>
    <t>ranga.perera@hp.com</t>
  </si>
  <si>
    <t>4064</t>
  </si>
  <si>
    <t>[Master] [Customer: Savvis] Large number of concurrent connections causing lwsmd to core</t>
  </si>
  <si>
    <t>[Master=31387, Future] [Customer: Savvis] Large number of concurrent connections causing lwsmd to core</t>
  </si>
  <si>
    <t>[Master=31387, Ghost] [Customer: Savvis] Large number of concurrent connections causing lwsmd to core</t>
  </si>
  <si>
    <t xml:space="preserve">Candidate For G-Release.; </t>
  </si>
  <si>
    <t>[Master=31387, 63maint] [Customer: Savvis] Large number of concurrent connections causing lwsmd to core</t>
  </si>
  <si>
    <t>4083</t>
  </si>
  <si>
    <t>[Master] [Customer: Savvis]  Extremely slow permission creation after implementation of patch for bug 29598</t>
  </si>
  <si>
    <t>christine.connell@hpe.com</t>
  </si>
  <si>
    <t>[Master=31460, Future] [Customer: Savvis]  Extremely slow permission creation after implementation of patch for bug 29598</t>
  </si>
  <si>
    <t>[Master=31460, Ghost] [Customer: Savvis]  Extremely slow permission creation after implementation of patch for bug 29598</t>
  </si>
  <si>
    <t>christina.rothwell@hpe.com</t>
  </si>
  <si>
    <t>[Master=31460, 63maint] [Customer: Savvis]  Extremely slow permission creation after implementation of patch for bug 29598</t>
  </si>
  <si>
    <t>4100</t>
  </si>
  <si>
    <t>[Master] [Customer: GEHC] Joining an AD domain causes system time to be syncronized from 2 different sources and can cause Ibrix errors/failures.</t>
  </si>
  <si>
    <t>[Master=31845, Future] [Customer: GEHC] Joining an AD domain causes system time to be syncronized from 2 different sources and can cause Ibrix errors/failures.</t>
  </si>
  <si>
    <t>[Master=31845, Ghost] [Customer: GEHC] Joining an AD domain causes system time to be syncronized from 2 different sources and can cause Ibrix errors/failures.</t>
  </si>
  <si>
    <t>[Master=31845, 63maint] [Customer: GEHC] Joining an AD domain causes system time to be syncronized from 2 different sources and can cause Ibrix errors/failures.</t>
  </si>
  <si>
    <t>4104</t>
  </si>
  <si>
    <t>[Master] [Customer CBRE] SMB users continually prompted for credentials {[lsass] Failed to authenticate user} and services hang restarting {srv Error: LW_ERROR_SERVICE_UNRESPONSIVE}</t>
  </si>
  <si>
    <t>[Master=31893, Astra] [Customer CBRE] SMB users continually prompted for credentials {[lsass] Failed to authenticate user} and services hang restarting {srv Error: LW_ERROR_SERVICE_UNRESPONSIVE}</t>
  </si>
  <si>
    <t>[Master=31893, Ghost] [Customer CBRE] SMB users continually prompted for credentials {[lsass] Failed to authenticate user} and services hang restarting {srv Error: LW_ERROR_SERVICE_UNRESPONSIVE}</t>
  </si>
  <si>
    <t>[Master=31893, 63maint] [Customer CBRE] SMB users continually prompted for credentials {[lsass] Failed to authenticate user} and services hang restarting {srv Error: LW_ERROR_SERVICE_UNRESPONSIVE}</t>
  </si>
  <si>
    <t>[Master=31893, Halo] [Customer CBRE] SMB users continually prompted for credentials {[lsass] Failed to authenticate user} and services hang restarting {srv Error: LW_ERROR_SERVICE_UNRESPONSIVE}</t>
  </si>
  <si>
    <t>4123</t>
  </si>
  <si>
    <t>[Master] [Customer VRT] kernel: lwsmd[17077]: segfault at fffffffffffffff7 rip 000000374a47273e rsp 0000000071a94010 error 4 - lwsmd: Container dead with signal 11: 9035</t>
  </si>
  <si>
    <t>[Master=32061, Astra] [Customer VRT] kernel: lwsmd[17077]: segfault at fffffffffffffff7 rip 000000374a47273e rsp 0000000071a94010 error 4 - lwsmd: Container dead with signal 11: 9035</t>
  </si>
  <si>
    <t>[Master=32061, Ghost] [Customer VRT] kernel: lwsmd[17077]: segfault at fffffffffffffff7 rip 000000374a47273e rsp 0000000071a94010 error 4 - lwsmd: Container dead with signal 11: 9035</t>
  </si>
  <si>
    <t>Candidate for G-release. Waiting for more information!</t>
  </si>
  <si>
    <t>[Master=32061, 63maint] [Customer VRT] kernel: lwsmd[17077]: segfault at fffffffffffffff7 rip 000000374a47273e rsp 0000000071a94010 error 4 - lwsmd: Container dead with signal 11: 9035</t>
  </si>
  <si>
    <t>4167</t>
  </si>
  <si>
    <t>[Master][Customer Brown Bag Films, Miami Dade County, Telephonica] lwio: [lwio] GetSnapshotList failed error -33 written to messages intermittently</t>
  </si>
  <si>
    <t>[Master=32564, Astra][Customer Brown Bag Films, Miami Dade County, Telephonica] lwio: [lwio] GetSnapshotList failed error -33 written to messages intermittently</t>
  </si>
  <si>
    <t>[Master=32564, Ghost][Customer Brown Bag Films, Miami Dade County, Telephonica] lwio: [lwio] GetSnapshotList failed error -33 written to messages intermittently</t>
  </si>
  <si>
    <t xml:space="preserve">Candidate for G-release. </t>
  </si>
  <si>
    <t>[Master=32564, 63maint][Customer Brown Bag Films, Miami Dade County, Telephonica] lwio: [lwio] GetSnapshotList failed error -33 written to messages intermittently</t>
  </si>
  <si>
    <t>4219</t>
  </si>
  <si>
    <t>[Master] [Customer UNM] CIFS MAC user are unable to access CIFS shares after 6.2.2 upgrade</t>
  </si>
  <si>
    <t>[Master=33368, Astra] [Customer UNM] CIFS MAC user are unable to access CIFS shares after 6.2.2 upgrade</t>
  </si>
  <si>
    <t>[Master=33368, Ghost] [Customer UNM] CIFS MAC user are unable to access CIFS shares after 6.2.2 upgrade</t>
  </si>
  <si>
    <t>[Master=33368, 63maint] [Customer UNM] CIFS MAC user are unable to access CIFS shares after 6.2.2 upgrade</t>
  </si>
  <si>
    <t>4223</t>
  </si>
  <si>
    <t>[Master=33301, Astra] [Customer Sectra] robocopy sometimes fails to copy zero size files to an SMB share if WORM autocommit is enabled on filesystem</t>
  </si>
  <si>
    <t>4228</t>
  </si>
  <si>
    <t>[Master][Customer CBRE] P2000 900G SAS drives Model #(EG0900FBVFQ) not reported by FMT</t>
  </si>
  <si>
    <t>kishore-kumar.banda@hpe.com</t>
  </si>
  <si>
    <t>6.4</t>
  </si>
  <si>
    <t>4195</t>
  </si>
  <si>
    <t>[Master] [Customer:  Advanced Info Services, Morrisons] 6.1.4 cannot delete or create share</t>
  </si>
  <si>
    <t>Deferred beyond Ghost</t>
  </si>
  <si>
    <t>[Master=33558, Astra] [Customer:  Advanced Info Services] 6.1.4 cannot delete or create share</t>
  </si>
  <si>
    <t>[Master=33558, Ghost] [Customer:  Advanced Info Services] 6.1.4 cannot delete or create share</t>
  </si>
  <si>
    <t>[Master=33558, 63maint] [Customer:  Advanced Info Services] 6.1.4 cannot delete or create share</t>
  </si>
  <si>
    <t>Unhandled exception message in hpsp_raidLogRotate resulting in python segfaults in var/log/messages every 120 seconds</t>
  </si>
  <si>
    <t>TS2.0 (Astra-IR3)</t>
  </si>
  <si>
    <t>omar.a.dominguez@hp.com</t>
  </si>
  <si>
    <t>[master=33519, Ghost][Customer CBRE] P2000 900G SAS drives Model #(EG0900FBVFQ) not reported by FMT</t>
  </si>
  <si>
    <t>steve.heye@hpe.com</t>
  </si>
  <si>
    <t>[master=33519, 63maint][Customer CBRE] P2000 900G SAS drives Model #(EG0900FBVFQ) not reported by FMT</t>
  </si>
  <si>
    <t>4315</t>
  </si>
  <si>
    <t>[Morrisons,Florida Hospital, Telenor Norge, Aeroflat, EFTEC] IBRIX should shut down before any critical component hits thermal shutdown</t>
  </si>
  <si>
    <t>jmccarthy@hpe.com</t>
  </si>
  <si>
    <t>Day Zero.</t>
  </si>
  <si>
    <t>4259</t>
  </si>
  <si>
    <t>[Master] [Customer Qualcomm, KT Music, Brown Bag Films,GlobeCast, GE Medical Systems Ltd., Navisite] memory leak in lwiod</t>
  </si>
  <si>
    <t>[Master=34152, Astra] [Customer Qualcomm, KT Music, Brown Bag Films, GlobeCast] memory leak in lwiod</t>
  </si>
  <si>
    <t>[Master=34152, Ghost] [Customer Qualcomm, KT Music, Brown Bag Films, GlobeCast] memory leak in lwiod</t>
  </si>
  <si>
    <t>SA_3D_Scheduled</t>
  </si>
  <si>
    <t>[Master=34152, 63maint][Customer Qualcomm, KT Music, Brown Bag Films,GlobeCast ] memory leak in lwiod</t>
  </si>
  <si>
    <t>4309</t>
  </si>
  <si>
    <t>[Master] [Customer Heritage Valley] During file migration from GEHC Centricity EA, files stop processing until SMB services restarted</t>
  </si>
  <si>
    <t>[Master=34168, Astra] [Customer Heritage Valley] During file migration from GEHC Centricity EA, files stop processing until SMB services restarted</t>
  </si>
  <si>
    <t>[Master=34168, Ghost] [Customer Heritage Valley] During file migration from GEHC Centricity EA, files stop processing until SMB services restarted</t>
  </si>
  <si>
    <t xml:space="preserve">Candidate for G-release, </t>
  </si>
  <si>
    <t>[Master=34168, 63maint] [Customer Heritage Valley] During file migration from GEHC Centricity EA, files stop processing until SMB services restarted</t>
  </si>
  <si>
    <t>4269</t>
  </si>
  <si>
    <t>[Customer RELS, CBRE] [QXCR1001272725]FMT reports 'Failure: Flashing enclosure HDDs failed with error 0x1011</t>
  </si>
  <si>
    <t>Thirumavalavan.Srinivasan@hp.com</t>
  </si>
  <si>
    <t>4286</t>
  </si>
  <si>
    <t>[Master] [Customer CBRE]  lwsmd[26788]: segfault at 0000000000000008 rip 00002af0d71232f4 rsp 0000000054559e70 error 4 - Container dead with signal 11: 6590</t>
  </si>
  <si>
    <t>[Master=34610, Astra] [Customer CBRE]  lwsmd[26788]: segfault at 0000000000000008 rip 00002af0d71232f4 rsp 0000000054559e70 error 4 - Container dead with signal 11: 6590</t>
  </si>
  <si>
    <t>[Master=34610, Ghost] [Customer CBRE]  lwsmd[26788]: segfault at 0000000000000008 rip 00002af0d71232f4 rsp 0000000054559e70 error 4 - Container dead with signal 11: 6590</t>
  </si>
  <si>
    <t>[Master=34610, 63maint] [Customer CBRE]  lwsmd[26788]: segfault at 0000000000000008 rip 00002af0d71232f4 rsp 0000000054559e70 error 4 - Container dead with signal 11: 6590</t>
  </si>
  <si>
    <t>4287</t>
  </si>
  <si>
    <t>[Master] [Customer CBRE] eVault client intermittently cannot access the SMB share</t>
  </si>
  <si>
    <t>[Master=34646, Astra] [Customer CBRE] eVault client intermittently cannot access the SMB share</t>
  </si>
  <si>
    <t>[Master=34646, Ghost] [Customer CBRE] eVault client intermittently cannot access the SMB share</t>
  </si>
  <si>
    <t>[Master=34646, 63maint] [Customer CBRE] eVault client intermittently cannot access the SMB share</t>
  </si>
  <si>
    <t>[Master=34312, 6.3] [Customer RELS CBRE] [QXCR1001272725] FMT reports 'Failure: Flashing enclosure HDDs failed with error 0x1011</t>
  </si>
  <si>
    <t>swarnalatha.srinivasan2@hpe.com</t>
  </si>
  <si>
    <t>Available in 6.3.3.5</t>
  </si>
  <si>
    <t>4292</t>
  </si>
  <si>
    <t>[Master][Customer: Roswell Park, Cigna] Authentication wizard should have a warning and better explanation of 'Linux static user mapping' (rfc2307)</t>
  </si>
  <si>
    <t>[Master=34751, Astra] [Customer: Roswell Park, Cigna] Authentication wizard should have a warning and better explanation of 'Linux static user mapping' (rfc2307)</t>
  </si>
  <si>
    <t>[Master=34751, Ghost][Customer: Roswell Park, Cigna] Authentication wizard should have a warning and better explanation of 'Linux static user mapping' (rfc2307)</t>
  </si>
  <si>
    <t>[Master=34751, 63maint][Customer: Roswell Park, Cigna] Authentication wizard should have a warning and better explanation of 'Linux static user mapping' (rfc2307)</t>
  </si>
  <si>
    <t>4313</t>
  </si>
  <si>
    <t>[Master] [Customer Navisite] lwio Program Aborted signal 6</t>
  </si>
  <si>
    <t>[Master=35037, Astra] [Customer Navisite] lwio Program Aborted signal 6</t>
  </si>
  <si>
    <t>[Master=35037, Ghost] [Customer Navisite] lwio Program Aborted signal 6</t>
  </si>
  <si>
    <t>[Master=35037, 63maint] [Customer Navisite] lwio Program Aborted signal 6</t>
  </si>
  <si>
    <t>[Customer HP] x9320 getting python segfaults in var/log/messages every 120 seconds</t>
  </si>
  <si>
    <t>abhishek.mohapatra@hpe.com</t>
  </si>
  <si>
    <t>6.2.1 (Fiji Patch)</t>
  </si>
  <si>
    <t>3960</t>
  </si>
  <si>
    <t>[Master=35263, Astra] [Customer: TV2/Nord] Files with Danish special characters in their names do not show up when viewed from CIFS shares.</t>
  </si>
  <si>
    <t>[Master=28464, Target=6.3maint][Customer HP] Segfaults written to /var/log/messages on G6 9320 server apparently when bond mode 4 enabled</t>
  </si>
  <si>
    <t>tulika.dhar@hpe.com</t>
  </si>
  <si>
    <t>4347</t>
  </si>
  <si>
    <t>[Master] [Customer Chalmers, Telefonica, Shanghai Changhai Hospital] If ibrix_upgrade is interrupted then on subsequent upgrade lwsmd does not start</t>
  </si>
  <si>
    <t>[Master=35408, Astra] [Customer Chalmers, Telefonica, Shanghai Changhai Hospital] If ibrix_upgrade is interrupted then on subsequent upgrade lwsmd does not start</t>
  </si>
  <si>
    <t>[Master=35408, Ghost] [Customer Chalmers, Telefonica, Shanghai Changhai Hospital] If ibrix_upgrade is interrupted then on subsequent upgrade lwsmd does not start</t>
  </si>
  <si>
    <t>[Master=35408, 63maint] [Customer Chalmers, Telefonica, Shanghai Changhai Hospital] If ibrix_upgrade is interrupted then on subsequent upgrade lwsmd does not start</t>
  </si>
  <si>
    <t>Available in 6.3.3.1</t>
  </si>
  <si>
    <t>4516</t>
  </si>
  <si>
    <t>[Master] [Customer: KwangJu BroadCasting Company,Hyundai Samho Heavy Industries] LWIO core dumps when an attempt to delete a file is made.</t>
  </si>
  <si>
    <t>[Master=36171, Astra] [Customer: KwangJu BroadCasting Company] LWIO core dumps when an attempt to delete a file is made.</t>
  </si>
  <si>
    <t>[Master=36171, Ghost] [Customer: KwangJu BroadCasting Company] LWIO core dumps when an attempt to delete a file is made.</t>
  </si>
  <si>
    <t>[Master=36171, 63maint] [Customer: KwangJu BroadCasting Company] LWIO core dumps when an attempt to delete a file is made.</t>
  </si>
  <si>
    <t>4436</t>
  </si>
  <si>
    <t>[Master] [Customer O'Neil Data Systems] HP-SMB (likewise) becomes unresponsive intermittently when attempting to access a file</t>
  </si>
  <si>
    <t>[Master=36409, Astra] [Customer O'Neil Data Systems] HP-SMB (likewise) becomes unresponsive intermittently when attempting to access a file</t>
  </si>
  <si>
    <t>[Master=36409, Ghost] [Customer O'Neil Data Systems] HP-SMB (likewise) becomes unresponsive intermittently when attempting to access a file</t>
  </si>
  <si>
    <t>[Master=36409, 63maint] [Customer O'Neil Data Systems] HP-SMB (likewise) becomes unresponsive intermittently when attempting to access a file</t>
  </si>
  <si>
    <t>4447</t>
  </si>
  <si>
    <t>[Master] [Customer Wm Morrisons Supermarkets,HP] LW_ERROR_SERVICE_UNRESPONSIVE (41203), srv,srvsvc will not restart</t>
  </si>
  <si>
    <t>[Master=36586, Astra] [Customer Wm Morrisons Supermarkets,HP] LW_ERROR_SERVICE_UNRESPONSIVE (41203), srv,srvsvc will not restart</t>
  </si>
  <si>
    <t>[Master=36586, Ghost] [Customer Wm Morrisons Supermarkets,HP] LW_ERROR_SERVICE_UNRESPONSIVE (41203), srv,srvsvc will not restart</t>
  </si>
  <si>
    <t>[Master=36586, 63maint] [Customer Wm Morrisons Supermarkets,HP] LW_ERROR_SERVICE_UNRESPONSIVE (41203), srv,srvsvc will not restart</t>
  </si>
  <si>
    <t>4488</t>
  </si>
  <si>
    <t>[Master] [Customer Hyundai Samho Heavy Industries] high numbers of concurrent directory enumerations can cause high lwiod cpu utilization resulting in poor SMB performance</t>
  </si>
  <si>
    <t>[Master=36714, Astra] [Customer Hyundai Samho Heavy Industries] high numbers of concurrent directory enumerations can cause high lwiod cpu utilization resulting in poor SMB performance</t>
  </si>
  <si>
    <t>[Master=36714, Ghost] [Customer Hyundai Samho Heavy Industries] high numbers of concurrent directory enumerations can cause high lwiod cpu utilization resulting in poor SMB performance</t>
  </si>
  <si>
    <t>[Master=36714, 63maint] [Customer Hyundai Samho Heavy Industries] high numbers of concurrent directory enumerations can cause high lwiod cpu utilization resulting in poor SMB performance</t>
  </si>
  <si>
    <t>[Master=36586, Halo] [Customer Wm Morrisons Supermarkets,HP] LW_ERROR_SERVICE_UNRESPONSIVE (41203), srv,srvsvc will not restart</t>
  </si>
  <si>
    <t>[Master=36409, Halo] [Customer O'Neil Data Systems] HP-SMB (likewise) becomes unresponsive intermittently when attempting to access a file</t>
  </si>
  <si>
    <t>[Master=36171, Halo] [Customer: KwangJu BroadCasting Company] LWIO core dumps when an attempt to delete a file is made.</t>
  </si>
  <si>
    <t>4512</t>
  </si>
  <si>
    <t>[Master] [Customer LaTrobe University] Duplicate permission entries in "Windows Security Settings" screen</t>
  </si>
  <si>
    <t>[Master=37351, Astra] [Customer LaTrobe University] Duplicate permission entries in "Windows Security Settings" screen</t>
  </si>
  <si>
    <t>[Master=37351, Ghost] [Customer LaTrobe University] Duplicate permission entries in "Windows Security Settings" screen</t>
  </si>
  <si>
    <t>[Master=37351, Halo] [Customer LaTrobe University] Duplicate permission entries in "Windows Security Settings" screen</t>
  </si>
  <si>
    <t>HaloQualityPRD</t>
  </si>
  <si>
    <t>[Master=37351, 63maint] [Customer LaTrobe University] Duplicate permission entries in "Windows Security Settings" screen</t>
  </si>
  <si>
    <t>4522, 4195</t>
  </si>
  <si>
    <t>[Master] [Customer Morrisons, City of Mississauga] Unable to add, delete or modify SMB shares, failed command (&lt;HIDDEN_COMMAND&gt;) status (1) output:</t>
  </si>
  <si>
    <t>dipanwita.roy@hpe.com</t>
  </si>
  <si>
    <t>4526</t>
  </si>
  <si>
    <t>[Master] [Customer KeiMyung University]lwio: Assertion failed: result == 0</t>
  </si>
  <si>
    <t>[Master=37545, Astra] [Customer KeiMyung University]lwio: Assertion failed: result == 0</t>
  </si>
  <si>
    <t>[Master=37545, 6.5maint] [Customer KeiMyung University]lwio: Assertion failed: result == 0</t>
  </si>
  <si>
    <t>Available in 6.5.3.1</t>
  </si>
  <si>
    <t>[Master=37545, Halo] [Customer KeiMyung University]lwio: Assertion failed: result == 0</t>
  </si>
  <si>
    <t>HaloQualityPRD,HaloQualityPRD_P0</t>
  </si>
  <si>
    <t>[Master=37545, 63maint] [Customer KeiMyung University]lwio: Assertion failed: result == 0</t>
  </si>
  <si>
    <t>[Master=37471, Astra] [Customer Morrisons, City of Mississauga] Unable to add, delete or modify SMB shares, failed command (&lt;HIDDEN_COMMAND&gt;) status (1) output:</t>
  </si>
  <si>
    <t>[Master=37471, Ghost] [Customer Morrisons, City of Mississauga] Unable to add, delete or modify SMB shares, failed command (&lt;HIDDEN_COMMAND&gt;) status (1) output:</t>
  </si>
  <si>
    <t>[Master=37471, Halo] [Customer Morrisons, City of Mississauga] Unable to add, delete or modify SMB shares, failed command (&lt;HIDDEN_COMMAND&gt;) status (1) output:</t>
  </si>
  <si>
    <t>[Master=37471, 63maint] [Customer Morrisons, City of Mississauga] Unable to add, delete or modify SMB shares, failed command (&lt;HIDDEN_COMMAND&gt;) status (1) output:</t>
  </si>
  <si>
    <t>[Master=33558, Halo] [Customer:  Advanced Info Services, Morrisons] 6.1.4 cannot delete or create share</t>
  </si>
  <si>
    <t>4544</t>
  </si>
  <si>
    <t>[Master] [Customer CanonIT] CIFS access problem with duplicate File descriptor</t>
  </si>
  <si>
    <t>[Master=37742, Astra] [Customer CanonIT] CIFS access problem with duplicate File descriptor</t>
  </si>
  <si>
    <t>[Master=37742, 65maint] [Customer CanonIT] CIFS access problem with duplicate File descriptor</t>
  </si>
  <si>
    <t>[Master=37742, Halo] [Customer CanonIT] CIFS access problem with duplicate File descriptor</t>
  </si>
  <si>
    <t>[Master=37742, 63maint] [Customer CanonIT] CIFS access problem with duplicate File descriptor</t>
  </si>
  <si>
    <t>4489</t>
  </si>
  <si>
    <t>[master=37039, TS1.4 (Xanadu)][Customer RTE] Failover not happening on p700m failure because platform not known</t>
  </si>
  <si>
    <t>Tools-hpsp_srvid</t>
  </si>
  <si>
    <t>4557</t>
  </si>
  <si>
    <t>[Master][Customer : La Trobe Univ]Customer unable to set advanced permissions on home folders in hp-smb shares</t>
  </si>
  <si>
    <t>roushan.kumar.sinha@hpe.com</t>
  </si>
  <si>
    <t>N/A</t>
  </si>
  <si>
    <t>[Master=37900, Astra][Customer : La Trobe Univ]Customer unable to set advanced permissions on home folders in hp-smb shares</t>
  </si>
  <si>
    <t>[Master=37900, 65maint][Customer : La Trobe Univ]Customer unable to set advanced permissions on home folders in hp-smb shares</t>
  </si>
  <si>
    <t>[Master=37900, Halo][Customer : La Trobe Univ]Customer unable to set advanced permissions on home folders in hp-smb shares</t>
  </si>
  <si>
    <t>HaloQualityPRD,HaloTracking</t>
  </si>
  <si>
    <t>[Master=37900, 63maint][Customer : La Trobe Univ]Customer unable to set advanced permissions on home folders in hp-smb shares</t>
  </si>
  <si>
    <t>4568</t>
  </si>
  <si>
    <t>[Master] [Customer FerreroSpa DreamWorks] StoreAll platform encountered a condition of "too many open files" which causes nodes to become unresponsive and file system data not available.</t>
  </si>
  <si>
    <t>OS</t>
  </si>
  <si>
    <t>1.0; this issue has been there since day 1.</t>
  </si>
  <si>
    <t>4584</t>
  </si>
  <si>
    <t>[Master][Customer Qualcomm] HP-SMB stack crashes multiple times a day with  LwIoAssertionFailed (Expression=0x2aaaaf425318 "ntError == ((LW_NTSTATUS)0x00000000)"</t>
  </si>
  <si>
    <t>[Master=38327, Astra] [Customer Qualcomm] HP-SMB stack crashes multiple times a day with  LwIoAssertionFailed (Expression=0x2aaaaf425318 "ntError == ((LW_NTSTATUS)0x00000000)"</t>
  </si>
  <si>
    <t>[Master=38327, Halo] [Customer Qualcomm] HP-SMB stack crashes multiple times a day with  LwIoAssertionFailed (Expression=0x2aaaaf425318 "ntError == ((LW_NTSTATUS)0x00000000)"</t>
  </si>
  <si>
    <t>[Master=38327, 65maint] [Customer Qualcomm] HP-SMB stack crashes multiple times a day with  LwIoAssertionFailed (Expression=0x2aaaaf425318 "ntError == ((LW_NTSTATUS)0x00000000)"</t>
  </si>
  <si>
    <t>[Master=38327, 63maint] [Customer Qualcomm] HP-SMB stack crashes multiple times a day with  LwIoAssertionFailed (Expression=0x2aaaaf425318 "ntError == ((LW_NTSTATUS)0x00000000)"</t>
  </si>
  <si>
    <t>[Master=37351, 65maint] [Customer LaTrobe University] Duplicate permission entries in "Windows Security Settings" screen</t>
  </si>
  <si>
    <t xml:space="preserve">Available in 6.5.3.1 </t>
  </si>
  <si>
    <t>[Master=34312, Target = Documentation] [Customer RELS CBRE] [QXCR1001272725] FMT reports 'Failure: Flashing enclosure HDDs failed with error 0x1011</t>
  </si>
  <si>
    <t>robert.duncan@hpe.com</t>
  </si>
  <si>
    <t>4143</t>
  </si>
  <si>
    <t>[Partners Healthcare - QXCR1001276904] Need to update NIC driver; "Out of MCCQ wrbs"</t>
  </si>
  <si>
    <t>4657</t>
  </si>
  <si>
    <t>[Master] [Morrisons] be2net crash during 6.3.3 QR of a system running NC5xx /LOM  firmware 4.6.247.5</t>
  </si>
  <si>
    <t>Install-ASCII GUI</t>
  </si>
  <si>
    <t>brian.wildman@hpe.com</t>
  </si>
  <si>
    <t>4628</t>
  </si>
  <si>
    <t>[Master=41689, 65maint] [Morrisons] SPT -reconfigureSpare not able to fix mislocated spare</t>
  </si>
  <si>
    <t>SPT</t>
  </si>
  <si>
    <t>Available in 6.5.3.2</t>
  </si>
  <si>
    <t>6647</t>
  </si>
  <si>
    <t>[Master][Customer Gemeente Eindhoven] 9720 Spitfire logs filled root partition</t>
  </si>
  <si>
    <t>mk-p@hpe.com</t>
  </si>
  <si>
    <t>4653</t>
  </si>
  <si>
    <t>[Master] [Customer: SEUR] share redirection using vhostmap file no longer working</t>
  </si>
  <si>
    <t>bob.beckerhof@hpe.com</t>
  </si>
  <si>
    <t>[Master=39091, Astra] [Customer: SEUR] share redirection using vhostmap file no longer working</t>
  </si>
  <si>
    <t>[Master=39091, Halo] [Customer: SEUR] share redirection using vhostmap file no longer working</t>
  </si>
  <si>
    <t>[Master=39091, 65maint] [Customer: SEUR] share redirection using vhostmap file no longer working</t>
  </si>
  <si>
    <t>[Master=39091, 63maint] [Customer: SEUR] share redirection using vhostmap file no longer working</t>
  </si>
  <si>
    <t>[Master=37471, 65maint] [Customer Morrisons, City of Mississauga] Unable to add, delete or modify SMB shares, failed command (&lt;HIDDEN_COMMAND&gt;) status (1) output:</t>
  </si>
  <si>
    <t>[Master=36409, 65maint] [Customer O'Neil Data Systems] HP-SMB (likewise) becomes unresponsive intermittently when attempting to access a file</t>
  </si>
  <si>
    <t>[Master=38470, StoreAll_trunk (Halo)] [Morrisons] be2net crash during 6.3.3 QR of a system running NC5xx /LOM  firmware 4.6.247.5</t>
  </si>
  <si>
    <t>[Master=38470, 63maint] [Morrisons] be2net crash during 6.3.3 QR of a system running NC5xx /LOM  firmware 4.6.247.5</t>
  </si>
  <si>
    <t>Available in 6.3.3.4</t>
  </si>
  <si>
    <t>[Master=38470, 65maint] [Morrisons] be2net crash during 6.3.3 QR of a system running NC5xx /LOM  firmware 4.6.247.5</t>
  </si>
  <si>
    <t>[Master=38971,TS 1.5 (Halo-Ypsilon-Duet)] [Customer Gemeente Eindhoven] 9720 Spitfire logs filled root partition</t>
  </si>
  <si>
    <t>pavithra.moily@hpe.com</t>
  </si>
  <si>
    <t>[master=38971,63maint] [Customer Gemeente Eindhoven]9720 Spitfire logs filled root partition</t>
  </si>
  <si>
    <t>5102</t>
  </si>
  <si>
    <t>[Master] [Customer - GEHC- ASP Chicago] ibrix_cifs and ibrix_cifsperms command is failing to create/modify/delete share with error message "Unable to contact remote Fusion Manager"</t>
  </si>
  <si>
    <t>[Master=41136, 65maint] [Customer - GEHC- ASP Chicago] ibrix_cifs and ibrix_cifsperms command is failing to create/modify/delete share with error message "Unable to contact remote Fusion Manager"</t>
  </si>
  <si>
    <t>[Master=41136, Halo] [Customer - GEHC- ASP Chicago] ibrix_cifs and ibrix_cifsperms command is failing to create/modify/delete share with error message "Unable to contact remote Fusion Manager"</t>
  </si>
  <si>
    <t>4954</t>
  </si>
  <si>
    <t>[Master] [Customer JiangsuMobile] HP-SMB lwio service asserts because of an IO status pending error (LW_NTSTATUS 0x00000103) and breaks client connections until HP-SMB services are restarted.</t>
  </si>
  <si>
    <t>4955</t>
  </si>
  <si>
    <t>[Master] [Customer JiangsuMobile] HP-SMB lsass service crashes because of a segmentation fault, and breaks client connections until HP-SMB services are restarted.</t>
  </si>
  <si>
    <t>[Master=41150, 63maint] [Customer JiangsuMobile] HP-SMB lwio service asserts because of an IO status pending error (LW_NTSTATUS 0x00000103) and breaks client connections until HP-SMB services are restarted.</t>
  </si>
  <si>
    <t>[Master=41150, 65maint] [Customer JiangsuMobile] HP-SMB lwio service asserts because of an IO status pending error (LW_NTSTATUS 0x00000103) and breaks client connections until HP-SMB services are restarted.</t>
  </si>
  <si>
    <t>[Master=41150, Halo] [Customer JiangsuMobile] HP-SMB lwio service asserts because of an IO status pending error (LW_NTSTATUS 0x00000103) and breaks client connections until HP-SMB services are restarted.</t>
  </si>
  <si>
    <t>[Master=41150, Astra] [Customer JiangsuMobile] HP-SMB lwio service asserts because of an IO status pending error (LW_NTSTATUS 0x00000103) and breaks client connections until HP-SMB services are restarted.</t>
  </si>
  <si>
    <t>[Master=41151, 63maint] [Customer JiangsuMobile] HP-SMB lsass service crashes because of a segmentation fault, and breaks client connections until HP-SMB services are restarted.</t>
  </si>
  <si>
    <t>[Master=41151, 65maint] [Customer JiangsuMobile] HP-SMB lsass service crashes because of a segmentation fault, and breaks client connections until HP-SMB services are restarted.</t>
  </si>
  <si>
    <t>[Master=41151, Halo] [Customer JiangsuMobile] HP-SMB lsass service crashes because of a segmentation fault, and breaks client connections until HP-SMB services are restarted.</t>
  </si>
  <si>
    <t>[Master=41151, Astra] [Customer JiangsuMobile] HP-SMB lsass service crashes because of a segmentation fault, and breaks client connections until HP-SMB services are restarted.</t>
  </si>
  <si>
    <t>4956</t>
  </si>
  <si>
    <t>[Master] [Customer Globecast] "Missing client sitename" error when DC is responding with RST, ACK</t>
  </si>
  <si>
    <t>[Master=41180, 65maint] [Customer Globecast] "Missing client sitename" error when DC is responding with RST, ACK</t>
  </si>
  <si>
    <t>[Master=41180, Halo] [Customer Globecast] "Missing client sitename" error when DC is responding with RST, ACK</t>
  </si>
  <si>
    <t>[Master=41180, Astra] [Customer Globecast] "Missing client sitename" error when DC is responding with RST, ACK</t>
  </si>
  <si>
    <t>5021</t>
  </si>
  <si>
    <t>[CUSTOMER:Genesis Medical Center] FW tell customers to downgrade the firmware on a single disk</t>
  </si>
  <si>
    <t>[Master][Morrisons] SPT -reconfigureSpare not able to fix mislocated spare</t>
  </si>
  <si>
    <t>[Master=41689,TS1.5] [Morrisons] SPT -reconfigureSpare not able to fix mislocated spare</t>
  </si>
  <si>
    <t>5091</t>
  </si>
  <si>
    <t>[Master] [Customer: BT (Netherlands)] nodes with conflict discovered</t>
  </si>
  <si>
    <t>dana.mallory@hp.com</t>
  </si>
  <si>
    <t>[Master=41764, 63maint] [Customer: BT (Netherlands)] nodes with conflict discovered</t>
  </si>
  <si>
    <t>[Master=41764, 65maint] [Customer: BT (Netherlands)] nodes with conflict discovered</t>
  </si>
  <si>
    <t>[Master=41764, Halo] [Customer: BT (Netherlands)] nodes with conflict discovered</t>
  </si>
  <si>
    <t>[Master=41764, Astra] [Customer: BT (Netherlands)] nodes with conflict discovered</t>
  </si>
  <si>
    <t>5139</t>
  </si>
  <si>
    <t>[Master] [Customer: BT, LAWA, Commonwealth Bank,Navisite] CIFS connections lost intermittently on certain clients, new connections not allowed until likewise restart</t>
  </si>
  <si>
    <t>Analysis in progress</t>
  </si>
  <si>
    <t>TBD</t>
  </si>
  <si>
    <t>[Master=42454, 63maint] [Customer: BT] CIFS connections lost intermittently on certain clients, new connections not allowed until likewise restart</t>
  </si>
  <si>
    <t>[Master=42454, 65maint] [Customer: BT, LAWA] CIFS connections lost intermittently on certain clients, new connections not allowed until likewise restart</t>
  </si>
  <si>
    <t>[Master=42454, Halo] [Customer: BT, LAWA] CIFS connections lost intermittently on certain clients, new connections not allowed until likewise restart</t>
  </si>
  <si>
    <t>HaloQualityPRD,HaloQualityPRD_P0,StoreAllOnce_Dependencies</t>
  </si>
  <si>
    <t>Waiver</t>
  </si>
  <si>
    <t>[Master=42454, Astra] [Customer: BT, LAWA] CIFS connections lost intermittently on certain clients, new connections not allowed until likewise restart</t>
  </si>
  <si>
    <t>5188</t>
  </si>
  <si>
    <t>[Master] [Customer: Apli Not] Post upgrade, from 6.3.2 to 6.5.1, oplocks disabled; FM believes they're enabled</t>
  </si>
  <si>
    <t>6.5.x (Ghost patch)</t>
  </si>
  <si>
    <t>[Master=42569, 63maint] [Customer: Apli Not] Post upgrade, from 6.3.2 to 6.5.1, oplocks disabled; FM believes they're enabled</t>
  </si>
  <si>
    <t>[Master=42569, 65maint] [Customer: Apli Not] Post upgrade, from 6.3.2 to 6.5.1, oplocks disabled; FM believes they're enabled</t>
  </si>
  <si>
    <t>[Master=42569, Halo] [Customer: Apli Not] Post upgrade, from 6.3.2 to 6.5.1, oplocks disabled; FM believes they're enabled</t>
  </si>
  <si>
    <t>[Master=42569, Astra] [Customer: Apli Not] Post upgrade, from 6.3.2 to 6.5.1, oplocks disabled; FM believes they're enabled</t>
  </si>
  <si>
    <t>6273</t>
  </si>
  <si>
    <t>[master=43304, TS1.5 (Ypsilon)] [Customer: Nordbank, Schufa, Univ Arizona] Smart Array Controller Cache Board is not present</t>
  </si>
  <si>
    <t>david.bebawy@hpe.com</t>
  </si>
  <si>
    <t>DocReady</t>
  </si>
  <si>
    <t>alastair.clark@hpe.com</t>
  </si>
  <si>
    <t>5124</t>
  </si>
  <si>
    <t>[Master][Customer: BT- Engage] Windows 2012 server loses connection to HP-SMB share with SMB signing enabled</t>
  </si>
  <si>
    <t>[Master=43159, 63maint][Customer: BT] Windows 2012 server loses connection to HP-SMB share with SMB signing enabled</t>
  </si>
  <si>
    <t>[Master=43159, 65maint][Customer: BT] Windows 2012 server looses connection to HP-SMB share with SMB signing enabled</t>
  </si>
  <si>
    <t>[Master=43159, Halo][Customer: BT] Windows 2012 server loses connection to HP-SMB share with SMB signing enabled</t>
  </si>
  <si>
    <t>[Master=43159, Astra][Customer: BT] Windows 2012 server loses connection to HP-SMB share with SMB signing enabled</t>
  </si>
  <si>
    <t>5335</t>
  </si>
  <si>
    <t>[Master] [Customer InterXion Seur] ERROR_INVALID_PARAMETER on share management after upgrade to 6.5</t>
  </si>
  <si>
    <t>[Master=43245, 63maint] [Customer InterXion Seur] ERROR_INVALID_PARAMETER on share management after upgrade to 6.5</t>
  </si>
  <si>
    <t>[Master=43245, 65maint] [Customer InterXion Seur] ERROR_INVALID_PARAMETER on share management after upgrade to 6.5</t>
  </si>
  <si>
    <t>[Master=43245, Halo] [Customer InterXion Seur] ERROR_INVALID_PARAMETER on share management after upgrade to 6.5</t>
  </si>
  <si>
    <t>[Master=43245, Astra] [Customer InterXion Seur] ERROR_INVALID_PARAMETER on share management after upgrade to 6.5</t>
  </si>
  <si>
    <t>5364</t>
  </si>
  <si>
    <t>[Master] [Customer Cegeka] Windows2012R2 does not permit multiple connections to a share from users on same Win server</t>
  </si>
  <si>
    <t>[Master=43676, 63maint] [Customer Cegeka] Windows2012R2 does not permit multiple connections to a share from users on same Win server</t>
  </si>
  <si>
    <t>[Master=43676, 65maint] [Customer Cegeka] Windows2012R2 does not permit multiple connections to a share from users on same Win server</t>
  </si>
  <si>
    <t>[Master=43676, Halo] [Customer Cegeka] Windows2012R2 does not permit multiple connections to a share from users on same Win server</t>
  </si>
  <si>
    <t>[Master=43676, Astra] [Customer Cegeka] Windows2012R2 does not permit multiple connections to a share from users on same Win server</t>
  </si>
  <si>
    <t>6109</t>
  </si>
  <si>
    <t>"NIC               ERROR   DISCOVERY ERROR  DISCOVERY ERROR" during 'hardware show firmware nodeX' for both nodes, though only one node has a NIC issue</t>
  </si>
  <si>
    <t>sandeep.mandal@hpe.com</t>
  </si>
  <si>
    <t xml:space="preserve">proposing to close </t>
  </si>
  <si>
    <t>d2d_test_tools_srvc@hp.com</t>
  </si>
  <si>
    <t>5439</t>
  </si>
  <si>
    <t>[Master] [Customer Navisite] Memory leak in lwiod</t>
  </si>
  <si>
    <t>* Required</t>
  </si>
  <si>
    <t>[Master=46376, 63maint] [Customer Navisite] Memory leak in lwiod</t>
  </si>
  <si>
    <t>[Master=46376, 65maint] [Customer Navisite] Memory leak in lwiod</t>
  </si>
  <si>
    <t>[Master=46376, Halo] [Customer Navisite] Memory leak in lwiod</t>
  </si>
  <si>
    <t>ashustosh.kumar@hp.com</t>
  </si>
  <si>
    <t>StoreAllOnce_Dependencies</t>
  </si>
  <si>
    <t>[Master=46376, Astra] [Customer Navisite] Memory leak in lwiod</t>
  </si>
  <si>
    <t>;complexity=medium; risk=med</t>
  </si>
  <si>
    <t>5510</t>
  </si>
  <si>
    <t>[Master][Customer MACY'S SYSTEMS AND TECHNOLOGY ] [STO] NAS service reports fault, srvsvcd segfaulting</t>
  </si>
  <si>
    <t>StoreOnce Xanadu(SMB 5.6.x)</t>
  </si>
  <si>
    <t>5478</t>
  </si>
  <si>
    <t>[Master][Customer Realogy][STO] Lost access to NAS shares, various HP-SMB components are in stopped status</t>
  </si>
  <si>
    <t>P9</t>
  </si>
  <si>
    <t>StoreOnce</t>
  </si>
  <si>
    <t>[master][CU: Navisite]  lwiod grow in size from several to over a hundred gigabytes in memory</t>
  </si>
  <si>
    <t>[master=27361, 65maint][Customer BT, Gemeente Eindhoven] [ALM1045] 9730 chassis health report wrong, BLADE_ENCLOSURE_ILO_COMMUNICATION_ERROR</t>
  </si>
  <si>
    <t>[master=27361, TS1.5 (Halo-Ypsilon-Duet)][Customer BT, Gemeente Eindhoven] [ALM1045] 9730 chassis health report wrong, BLADE_ENCLOSURE_ILO_COMMUNICATION_ERROR</t>
  </si>
  <si>
    <t>VERIFY_IN_PLUS</t>
  </si>
  <si>
    <t>[Master 27361 Target = TS1.6 (Zirkel) ][Customer BT, Gemeente Eindhoven] [ALM1045] 9730 chassis health report wrong, BLADE_ENCLOSURE_ILO_COMMUNICATION_ERROR</t>
  </si>
  <si>
    <t>[Master 27361 Target = TS1.6 (Zirkel)] [Customer BT, Gemeente Eindhoven] [ALM1045] 9730 chassis health report wrong, BLADE_ENCLOSURE_ILO_COMMUNICATION_ERROR</t>
  </si>
  <si>
    <t>[Master=27361, 63maint][Customer Politie Nederland] hponcfg throws the following error: The health monitor could not communicate with the blade's Integrate Lights Out processor via the OS driver</t>
  </si>
  <si>
    <t>rumrikar@hpe.com</t>
  </si>
  <si>
    <t>Tools</t>
  </si>
  <si>
    <t>6.3.x (FlyingSaucer patch)</t>
  </si>
  <si>
    <t>5525</t>
  </si>
  <si>
    <t>[Customer CapGemini] Error in jbodReplacement if sas switch has error condition.</t>
  </si>
  <si>
    <t>minor</t>
  </si>
  <si>
    <t>5542</t>
  </si>
  <si>
    <t>[Customer Brown Bag Films] Intermittently, files and directories are unavailable from a single node</t>
  </si>
  <si>
    <t>5543</t>
  </si>
  <si>
    <t>[Master][Customer Brown Bag Films] lwiod crash, sigabrt generated likely from InotifySetFcbMask</t>
  </si>
  <si>
    <t>[Master=38073, 63maint] [Customer FerreroSpa DreamWorks] StoreAll platform encountered a condition of "too many open files" which causes nodes to become unresponsive and file system data not available.</t>
  </si>
  <si>
    <t>don.milos@hpe.com</t>
  </si>
  <si>
    <t>[Master=38073, 65maint] [Customer FerreroSpa DreamWorks] StoreAll platform encountered a condition of "too many open files" which causes nodes to become unresponsive and file system data not available.</t>
  </si>
  <si>
    <t>- [Master=38073, TS1.5 (Halo-Ypsilon-Duet)] [Customer FerreroSpa DreamWorks] StoreAll platform encountered a condition of "too many open files" which causes nodes to become unresponsive and file system data not available.</t>
  </si>
  <si>
    <t>OS-RHEL 5.x</t>
  </si>
  <si>
    <t>[master=48699, 63maint][Customer Brown Bag Films] lwiod crash, sigabrt generated likely from InotifySetFcbMask</t>
  </si>
  <si>
    <t>douglas.lee.potts@hpe.com</t>
  </si>
  <si>
    <t>[master=48699, 65maint][Customer Brown Bag Films] lwiod crash, sigabrt generated likely from InotifySetFcbMask</t>
  </si>
  <si>
    <t>[master=48699, Halo][Customer Brown Bag Films] lwiod crash, sigabrt generated likely from InotifySetFcbMask</t>
  </si>
  <si>
    <t>[MASTER=48699, Astra][Customer Brown Bag Films] lwiod crash, sigabrt generated likely from InotifySetFcbMask</t>
  </si>
  <si>
    <t>Analysis in Progress; Complexity: [Med] Risk:[Med]</t>
  </si>
  <si>
    <t>[master=48699, StoreOnce Ypsilon(SMB 6.5.x)][Customer Brown Bag Films] lwiod crash, sigabrt generated likely from InotifySetFcbMask</t>
  </si>
  <si>
    <t>9576</t>
  </si>
  <si>
    <t>5811</t>
  </si>
  <si>
    <t>[MASTER][Customer TV midt/vest, BT]   / filling up due to logwatch error]</t>
  </si>
  <si>
    <t>6.3.3 (?)</t>
  </si>
  <si>
    <t>[master=50022, TS1.8 (Asterix)][Customer TV midt/vest]   / filling up due to logwatch error]</t>
  </si>
  <si>
    <t>[master=50022, TS1.5 (Halo-Ypsilon-Duet)][Customer TV midt/vest]   / filling up due to logwatch error]</t>
  </si>
  <si>
    <t>Manage as CRB change</t>
  </si>
  <si>
    <t>[master=50022, 65maint][Customer TV midt/vest]   / filling up due to logwatch error]</t>
  </si>
  <si>
    <t>Available in 6.5.5.3</t>
  </si>
  <si>
    <t>[master=50022, 63maint][Customer TV midt/vest]   / filling up due to logwatch error]</t>
  </si>
  <si>
    <t>7646</t>
  </si>
  <si>
    <t>[master=69734, 3.13.1 Zirkel][Telecom Malaysia, TEI] Degraded status and read integrity alert persists on new replacement controller after P2000 event 550</t>
  </si>
  <si>
    <t>owen.perkins@hpe.com</t>
  </si>
  <si>
    <t>P6</t>
  </si>
  <si>
    <t>StoreOnce-MSA Array Monitor</t>
  </si>
  <si>
    <t>[StoreOnce CFI] 9/25: ON TRACK</t>
  </si>
  <si>
    <t>TS1.5 (Ypsilon)</t>
  </si>
  <si>
    <t>3.12.0 - 1433.1;1436.3,1437.3</t>
  </si>
  <si>
    <t>sirish.ullas@hpe.com</t>
  </si>
  <si>
    <t>[Master=42454, Asterix] [Customer: BT, LAWA] CIFS connections lost intermittently on certain clients, new connections not allowed until likewise restart</t>
  </si>
  <si>
    <t>P4</t>
  </si>
  <si>
    <t>lincoln.thomas@hpe.com</t>
  </si>
  <si>
    <t>[Master=46376, Ypsilon] [Customer Navisite] Memory leak in lwiod</t>
  </si>
  <si>
    <t>5914</t>
  </si>
  <si>
    <t>[Auckland Transport] add_seg sometimes taking 30 seconds, can OS changes be made to reduce this time?</t>
  </si>
  <si>
    <t>pratik.joshi@hpe.com</t>
  </si>
  <si>
    <t>Move2Kill</t>
  </si>
  <si>
    <t>[Master] Memory leak in lwiod (not freeing full stream list and other stream freeing)</t>
  </si>
  <si>
    <t>Analysis in Progress (Awaiting Halo Verification and PRB approvals)</t>
  </si>
  <si>
    <t>[Master=51574, 63maint] Memory leak in lwiod (not freeing full stream list and other stream freeing)</t>
  </si>
  <si>
    <t>[Master=51574, 65maint] Memory leak in lwiod (not freeing full stream list and other stream freeing)</t>
  </si>
  <si>
    <t>[Master=51574, Halo] Memory leak in lwiod (not freeing full stream list and other stream freeing)</t>
  </si>
  <si>
    <t>Pending for Verification</t>
  </si>
  <si>
    <t>[Master=51574, Astra] Memory leak in lwiod (not freeing full stream list and other stream freeing)</t>
  </si>
  <si>
    <t>[Master=51574, StoreOnce Xanadu(SMB 5.6.x)] Memory leak in lwiod (not freeing full stream list and other stream freeing)</t>
  </si>
  <si>
    <t>[Master=51574, StoreOnce Ypsilon(SMB 6.5.x)] Memory leak in lwiod (not freeing full stream list and other stream freeing)</t>
  </si>
  <si>
    <t>5993</t>
  </si>
  <si>
    <t>[Master][Customer Navisite] Domain user authentication fails when allowed users is configured in sshd</t>
  </si>
  <si>
    <t>[Master=51960, 63maint][Customer Navisite] Domain user authentication fails when allowed users is configured in sshd</t>
  </si>
  <si>
    <t>[Master=51960, 65maint][Customer Navisite] Domain user authentication fails when allowed users is configured in sshd</t>
  </si>
  <si>
    <t>[Master=51960, Halo][Customer Navisite] Domain user authentication fails when allowed users is configured in sshd</t>
  </si>
  <si>
    <t>richard.s.hooi@hp.com</t>
  </si>
  <si>
    <t>RelTestWaiver</t>
  </si>
  <si>
    <t>[Master=51960, Astra][Customer Navisite] Domain user authentication fails when allowed users is configured in sshd</t>
  </si>
  <si>
    <t>Information provided</t>
  </si>
  <si>
    <t>[Master=51960, StoreOnce Xanadu(SMB 5.6.x)][Customer Navisite] Domain user authentication fails when allowed users is configured in sshd</t>
  </si>
  <si>
    <t>[Master=51960, StoreOnce Ypsilon(SMB 6.5.x)][Customer Navisite] Domain user authentication fails when allowed users is configured in sshd</t>
  </si>
  <si>
    <t>6099</t>
  </si>
  <si>
    <t>[Master] [Customer Elliott Management] Simultaneous SIGSEGV (11) and SIGABRT(6) in lwsmd on both nodes</t>
  </si>
  <si>
    <t>[Master=52422, Halo] [Customer Elliott Management] Simultaneous SIGSEGV (11) and SIGABRT(6) in lwsmd on both nodes</t>
  </si>
  <si>
    <t>[Complexity=High, Confidence=Low]</t>
  </si>
  <si>
    <t>[Master=52422, Astra] [Customer Elliott Management] Simultaneous SIGSEGV (11) and SIGABRT(6) in lwsmd on both nodes</t>
  </si>
  <si>
    <t>[Not GA]</t>
  </si>
  <si>
    <t>8776</t>
  </si>
  <si>
    <t>8746</t>
  </si>
  <si>
    <t>6103</t>
  </si>
  <si>
    <t>[Master=52696, 63maint][Customer  Beijing Astron culture] cifs delete/add error: HP-SMB: Error in fm null:null</t>
  </si>
  <si>
    <t>[Master=52696, 65maint][Customer  Beijing Astron culture] cifs delete/add error: HP-SMB: Error in fm null:null</t>
  </si>
  <si>
    <t>[Master=52696, Halo][Customer  Beijing Astron culture] cifs delete/add error: HP-SMB: Error in fm null:null</t>
  </si>
  <si>
    <t>[Master=52696, Astra][Customer  Beijing Astron culture] cifs delete/add error: HP-SMB: Error in fm null:null</t>
  </si>
  <si>
    <t>[Master=52696, Atlas][Customer  Beijing Astron culture] cifs delete/add error: HP-SMB: Error in fm null:null</t>
  </si>
  <si>
    <t>[Master=52696, StoreOnce Ypsilon(SMB 6.5.x)][Customer  Beijing Astron culture] cifs delete/add error: HP-SMB: Error in fm null:null</t>
  </si>
  <si>
    <t>6163</t>
  </si>
  <si>
    <t>[Customer BOE Technology] lwsmd segfault repeated /  0000000000000000 rip 00002aaaaf027e65 rsp 000000005f15d910 error 4</t>
  </si>
  <si>
    <t>[Master=49413, Astra] [self-desc-luns][Customer: Kinecta] treeconnect failures after SMB startup because srv starts accepting SMB requests before shares are online</t>
  </si>
  <si>
    <t>[Master=49413, Atlas] [self-desc-luns][Customer: Kinecta] treeconnect failures after SMB startup because srv starts accepting SMB requests before shares are online</t>
  </si>
  <si>
    <t>[Master=49413, Bellatrix] [self-desc-luns][Customer: Kinecta] treeconnect failures after SMB startup because srv starts accepting SMB requests before shares are online</t>
  </si>
  <si>
    <t>[Master=52720, Astra] PML requests hang in PAM authentication, and very slow to ssh into node, when LDAP enabled and node IP fails to activate due to duplicate in network</t>
  </si>
  <si>
    <t>Astra-Post IR13 10-24</t>
  </si>
  <si>
    <t>[Master=52720, Atlas] PML requests hang in PAM authentication, and very slow to ssh into node, when LDAP enabled and node IP fails to activate due to duplicate in network</t>
  </si>
  <si>
    <t>[Master=52720, Bellatrix] PML requests hang in PAM authentication, and very slow to ssh into node, when LDAP enabled and node IP fails to activate due to duplicate in network</t>
  </si>
  <si>
    <t>[Master=52920, Astra-Maint] [Customer: Keppel Fels] If VFS fails to activate IPs due to link down, IPs are not automatically activated when link comes up</t>
  </si>
  <si>
    <t>1.0.2 Candidate</t>
  </si>
  <si>
    <t>[Master=32264, 63maint] lwsmd corefile generated on Nightly Regression Setup 10.35.22.1</t>
  </si>
  <si>
    <t>6826</t>
  </si>
  <si>
    <t>[Master] [UDU123681/UDU129780] [Customer: Easynet] Cannot change just the vlantag with same node IP address</t>
  </si>
  <si>
    <t>russell.arrowsmith@hpe.com</t>
  </si>
  <si>
    <t>philip.wilson@hpe.com</t>
  </si>
  <si>
    <t>10532</t>
  </si>
  <si>
    <t>[Master] UNITY BETA: Size on disk reported incorrectly over SMB 3.0</t>
  </si>
  <si>
    <t>ankur.verma@hpe.com</t>
  </si>
  <si>
    <t>8888</t>
  </si>
  <si>
    <t>[Master=55128, Astra][Customer: Informatica Trentina] stray entries in /etc/exports after CURL delete/update export having more than 31 individual client ips</t>
  </si>
  <si>
    <t>jeff.hsue@hp.com</t>
  </si>
  <si>
    <t>Documentation-NFS</t>
  </si>
  <si>
    <t>[Master=55128, Atlas][Customer: Informatica Trentina] stray entries in /etc/exports after CURL delete/update export having more than 31 individual client ips</t>
  </si>
  <si>
    <t>[Master=54726, Astra] [UDU123681] [Customer: Easynet] Cannot change just the vlantag with same node IP address</t>
  </si>
  <si>
    <t>Astra-1.0.0.24 (20141208)</t>
  </si>
  <si>
    <t>6556</t>
  </si>
  <si>
    <t>[Master] [Customer Elliot Management] 'lwio: [lwio] Failed to accept connection due to too many open files' message is so verbose that it fills root in less than 2 days.</t>
  </si>
  <si>
    <t>[Master=55364, 65maint][Customer Elliot Management] 'lwio: [lwio] Failed to accept connection due to too many open files' message is so verbose that it fills root in less than 2 days.</t>
  </si>
  <si>
    <t>[Master=55364, Halo][Customer Elliot Management] 'lwio: [lwio] Failed to accept connection due to too many open files' message is so verbose that it fills root in less than 2 days.</t>
  </si>
  <si>
    <t>HaloTracking</t>
  </si>
  <si>
    <t>6429</t>
  </si>
  <si>
    <t>[Master] [Customer: BT - Harmondsworth]System error 58 has occurred while accessing SMB shares</t>
  </si>
  <si>
    <t>[Master=55944, Atlas] [Customer: BT - Harmondsworth] System error 58 has occurred while accessing SMB shares</t>
  </si>
  <si>
    <t>[Master=55944, Astra] [Customer: BT - Harmondsworth] System error 58 has occurred while accessing SMB shares</t>
  </si>
  <si>
    <t>[Master=55944, Halo] [Customer: BT - Harmondsworth] System error 58 has occurred while accessing SMB shares</t>
  </si>
  <si>
    <t>MedRisk</t>
  </si>
  <si>
    <t>[Master=55944, 65maint] [Customer: BT - Harmondsworth] System error 58 has occurred while accessing SMB shares</t>
  </si>
  <si>
    <t>6441</t>
  </si>
  <si>
    <t>[Customer KAUST] patch_check.sh (for sas hba patch 23461) not working correctly on 6.5.x</t>
  </si>
  <si>
    <t>TS 1.5.next?</t>
  </si>
  <si>
    <t>6.5</t>
  </si>
  <si>
    <t>6902</t>
  </si>
  <si>
    <t>1.4</t>
  </si>
  <si>
    <t>[Master=56087, Astra-Maint] [Customer: Army National Guard] Cannot change the owner of folder to a group from the Windows client(Error message on Windows client: The security ID structure is invalid )</t>
  </si>
  <si>
    <t>joe.tisa@hpe.com</t>
  </si>
  <si>
    <t>[Master=56087, Atlas] [Customer: Army National Guard] Cannot change the owner of folder to a group from the Windows client(Error message on Windows client: The security ID structure is invalid )</t>
  </si>
  <si>
    <t>6458</t>
  </si>
  <si>
    <t>[Customer Elliot Management] SMB3 additional session setup request during existing session causes connection reset resulting in 'access is denied' error message</t>
  </si>
  <si>
    <t>[Master=54726, Astra-Maint] [UDU123681] [Customer: Easynet] Cannot change just the vlantag with same node IP address</t>
  </si>
  <si>
    <t>Available in FileServices-1.0.1.1-20150209.iso</t>
  </si>
  <si>
    <t>6550</t>
  </si>
  <si>
    <t>[MASTER] [Customer: Wheaton Franciscan Health Care] Customer reports Loss of Access CIFS shares, These shares are getting hung intermittently when client users tries to connect</t>
  </si>
  <si>
    <t>Waiting for more Information</t>
  </si>
  <si>
    <t>[Master=55944, Astra-Maint] [Customer: BT - Harmondsworth]System error 58 has occurred while accessing SMB shares</t>
  </si>
  <si>
    <t>6901</t>
  </si>
  <si>
    <t>[MASTER=56290, 65maint] [Customer: Wheaton Franciscan Health Care] Customer reports Loss of Access CIFS shares, These shares are getting hung intermittently when client users tries to connect</t>
  </si>
  <si>
    <t>[MASTER=56290, Halo] [Customer: Wheaton Franciscan Health Care] Customer reports Loss of Access CIFS shares, These shares are getting hung intermittently when client users tries to connect</t>
  </si>
  <si>
    <t>Waiting for more Information, LoRisk, Waiver</t>
  </si>
  <si>
    <t>[MASTER=56290, Astra-Maint] [Customer: Wheaton Franciscan Health Care] Customer reports Loss of Access CIFS shares, These shares are getting hung intermittently when client users tries to connect</t>
  </si>
  <si>
    <t>6520</t>
  </si>
  <si>
    <t>[Master] [Customer Elliott Management] directory create should be atomic, if it cannot be, it should be made more robust</t>
  </si>
  <si>
    <t>[Master=52920, Atlas] [Customer: Keppel Fels]If VFS fails to activate IPs due to link down, IPs are not automatically activated when link comes up</t>
  </si>
  <si>
    <t>rekha.s-p@hpe.com</t>
  </si>
  <si>
    <t>[Master=42454, Astra-Maint] [Customer: BT, LAWA] CIFS connections lost intermittently on certain clients, new connections not allowed until likewise restart</t>
  </si>
  <si>
    <t>[Master=52720, Astra-Maint] PML requests hang in PAM authentication, and very slow to ssh into node, when LDAP enabled and node IP fails to activate due to duplicate in network</t>
  </si>
  <si>
    <t xml:space="preserve">0324, not for GA, proceed to waiver </t>
  </si>
  <si>
    <t>[Master=56663, 65maint] [Customer Elliott Management] directory create should be atomic, if it cannot be, it should be made more robust</t>
  </si>
  <si>
    <t>[Master=56663, Halo] [Customer Elliott Management] directory create should be atomic, if it cannot be, it should be made more robust</t>
  </si>
  <si>
    <t>[Master=56663, Astra-Maint] [Customer Elliott Management] directory create should be atomic, if it cannot be, it should be made more robust</t>
  </si>
  <si>
    <t>[Master=56663, Atlas] [Customer Elliott Management] directory create should be atomic, if it cannot be, it should be made more robust</t>
  </si>
  <si>
    <t>[Master=56663, Future] [Customer Elliott Management] directory create should be atomic, if it cannot be, it should be made more robust</t>
  </si>
  <si>
    <t>[Master=56663, StoreOnce Ypsilon(SMB 6.5.x)] [Customer Elliott Management] directory create should be atomic, if it cannot be, it should be made more robust</t>
  </si>
  <si>
    <t>[Master=55128, Astra-Maint][Customer: Informatica Trentina] stray entries in /etc/exports after CURL delete/update export having more than 31 individual client ips</t>
  </si>
  <si>
    <t>Scrubbed 0313, class OK</t>
  </si>
  <si>
    <t>6587</t>
  </si>
  <si>
    <t>[Master][Customer: DFA / Dept. of Arkansas] Lost access to CIFS shares</t>
  </si>
  <si>
    <t xml:space="preserve">re-opened to track possible malloc instrumentation </t>
  </si>
  <si>
    <t>StoreOnce Ypslion</t>
  </si>
  <si>
    <t>[Master=57519, 65maint][Customer: DFA / Dept. of Arkansas] Lost access to CIFS shares</t>
  </si>
  <si>
    <t>[Master=57519, Halo][Customer: DFA / Dept. of Arkansas] Lost access to CIFS shares</t>
  </si>
  <si>
    <t>[Master=57519, Astra-Maint][Customer: DFA / Dept. of Arkansas] Lost access to CIFS shares</t>
  </si>
  <si>
    <t>[Master=57519, Atlas][Customer: DFA / Dept. of Arkansas] Lost access to CIFS shares</t>
  </si>
  <si>
    <t>[Master=57519, Future][Customer: DFA / Dept. of Arkansas] Lost access to CIFS shares</t>
  </si>
  <si>
    <t>[Master=57519, StoreOnce Zirkel(SMB 6.5.x)][Customer: DFA / Dept. of Arkansas] Lost access to CIFS shares (related to 61386)</t>
  </si>
  <si>
    <t>Waiver candidate for Z2 - Not able to fix in any Z release. Propose moving to Technical Backlog TM</t>
  </si>
  <si>
    <t>5915</t>
  </si>
  <si>
    <t>[master=51216,(Zirkel3), US34252] Background scrub and PFU left disabled after upgrade to 3.11.x on P2000 enclosures in B6200</t>
  </si>
  <si>
    <t>russell.c.smith@hpe.com</t>
  </si>
  <si>
    <t>[StoreOnce CFI] 10/9: Platform work complete</t>
  </si>
  <si>
    <t>6495</t>
  </si>
  <si>
    <t>[master=56362, StoreOnce 3.13.0 (Zirkel)]FMT process consuming lots of memory and running with multiple instances [Customer = GCC]</t>
  </si>
  <si>
    <t>chavalam.ravindranath@hpe.com</t>
  </si>
  <si>
    <t>Zirkel_CRB</t>
  </si>
  <si>
    <t>[master=56362, TS1.8 (Asterix)]FMT process consuming lots of memory and running with multiple instances [Customer = GCC]</t>
  </si>
  <si>
    <t>This is applicable to all platforms..Can be verified in Asterix</t>
  </si>
  <si>
    <t>7943</t>
  </si>
  <si>
    <t>[Master] [Customer: Hewlett-Packard (Schweiz) GmbH,Colt Technology Services] Upgrade from 3.2.1.200P11 to latest P70 failing in to update file services as Update operation was failed due to the time out of SMB update registration hook</t>
  </si>
  <si>
    <t>Astra-1.0.0.30 (20150119)</t>
  </si>
  <si>
    <t>[Master=57761, Astra-Maint] [Customer: Hewlett-Packard (Schweiz) GmbH,Colt Technology Services] Upgrade from 3.2.1.200P11 to latest P70 failing in to update file services as Update operation was failed due to the time out of SMB update registration hook</t>
  </si>
  <si>
    <t>0324 scrub, unable to reproduce, close defect</t>
  </si>
  <si>
    <t>[Master=57761, Atlas] [Customer: Hewlett-Packard (Schweiz) GmbH,Colt Technology Services] Upgrade from 3.2.1.200P11 to latest P70 failing in to update file services as Update operation was failed due to the time out of SMB update registration hook</t>
  </si>
  <si>
    <t>6508</t>
  </si>
  <si>
    <t>[master=57148, 3.13.0 Zirkel]Enhancement for Bug 41016 to allow customers with existing switch storage issue to complete FMT</t>
  </si>
  <si>
    <t>[Master][Customer: Army National Guard] Taking/changing ownership for Files and Folders on CIFS share denied</t>
  </si>
  <si>
    <t>[Master=58077, Astra-Maint] Taking/changing ownership for Files and Folders on CIFS share denied (Customer: Army National Guard)</t>
  </si>
  <si>
    <t>[Master=58077, Atlas] Taking/changing ownership for Files and Folders on CIFS share denied (Customer: Army National Guard)</t>
  </si>
  <si>
    <t>[Master=58077, Future] Taking/changing ownership for Files and Folders on CIFS share denied (Customer: Army National Guard)</t>
  </si>
  <si>
    <t>6900</t>
  </si>
  <si>
    <t>[Master] [Customer: Army National Guard] Large Domain Controller tree (the customer has over 150 Domain Controllers) would cause authentication fail, "setfs ad" need to be run several times in order for all nodes in the cluster to be authenticated in AD.</t>
  </si>
  <si>
    <t>[Master=58308, Astra-Maint] [Customer: Army National Guard] Large Domain Controller tree (the customer has over 150 Domain Controllers) would cause authentication fail, "setfs ad" run several times for all nodes in the cluster to be authenticated in AD.</t>
  </si>
  <si>
    <t>[Master=58308, Atlas] [Customer: Army National Guard] Large Domain Controller tree (the customer has over 150 Domain Controllers) would cause authentication fail, "setfs ad" run several times for all nodes in the cluster to be authenticated in AD.</t>
  </si>
  <si>
    <t>[Master=56399, Astra-Maint] [Customer: Army National Guard] removefstore fails when the file store path is a substring of another file store path which contains shares still</t>
  </si>
  <si>
    <t>[Master=56399, Atlas] [Customer: Army National Guard] removefstore fails when the file store path is a substring of another file store path which contains shares still</t>
  </si>
  <si>
    <t>6807</t>
  </si>
  <si>
    <t>[Customer: Todo(Contax)] vc_config_check causes misleading errors on current VC configuration</t>
  </si>
  <si>
    <t>ramprasadg@hpe.com</t>
  </si>
  <si>
    <t>Tools-vc_config_check</t>
  </si>
  <si>
    <t>6808</t>
  </si>
  <si>
    <t>[Customer: Todo(Contax)] Registering the chassis and vendor storage using the "ibrix_chassis" command or the "autoregister_chassis_and_vs" script fails on certain VC configuration profile.</t>
  </si>
  <si>
    <t>6903</t>
  </si>
  <si>
    <t>1.0.0</t>
  </si>
  <si>
    <t>6845</t>
  </si>
  <si>
    <t>[Customer = The Dairy Farm]No monitoring host for vendor storage</t>
  </si>
  <si>
    <t>[StoreOnce CFI] - Fixed in 61290 &amp; 61195</t>
  </si>
  <si>
    <t>semple-smith@hpe.com</t>
  </si>
  <si>
    <t>6904</t>
  </si>
  <si>
    <t>6905</t>
  </si>
  <si>
    <t>6906</t>
  </si>
  <si>
    <t>7812</t>
  </si>
  <si>
    <t>1.0.0.32-20150129</t>
  </si>
  <si>
    <t>[Master=59164, Astra-1.1.0] [Customer: Army National Guard] User Quotas: Changing ownership of files from one user to another, does not show/calculate in quota for new file owner</t>
  </si>
  <si>
    <t>rakesh-arun.khachane@hp.com</t>
  </si>
  <si>
    <t>[Master=59164, Astra-Maint] [Customer: Army National Guard] User Quotas: Changing ownership of files from one user to another, does not show/calculate in quota for new file owner</t>
  </si>
  <si>
    <t>Scrubbed 0330, changed severity to major, prob to low</t>
  </si>
  <si>
    <t>[Master=59164, Atlas] [Customer: Army National Guard] User Quotas: Changing ownership of files from one user to another, does not show/calculate in quota for new file owner</t>
  </si>
  <si>
    <t>[Master=59129, Astra-1.1.0] [Customer: Army National Guard] The primary group quota stays in effect even after changing/removing it.</t>
  </si>
  <si>
    <t>kiran.srinivas@hpe.com</t>
  </si>
  <si>
    <t>[Master=59129, Astra-Maint] [Customer: Army National Guard] The primary group quota stays in effect even after changing/removing it.</t>
  </si>
  <si>
    <t>Reviewed 0331, more info needed - working to reproduce</t>
  </si>
  <si>
    <t>[Master=59129, Atlas] [Customer: Army National Guard] The primary group quota stays in effect even after changing/removing it.</t>
  </si>
  <si>
    <t>7044</t>
  </si>
  <si>
    <t>[Master] [Customer Netto] Customer unable to access AD shares, various HP-SMB errors logged</t>
  </si>
  <si>
    <t>garry.brady@hpe.com</t>
  </si>
  <si>
    <t>[Master=59294, 66maint] [Customer Netto] Customer unable to access AD shares, various HP-SMB errors logged</t>
  </si>
  <si>
    <t>[Master=59294, Halo] [Customer Netto] Customer unable to access AD shares, various HP-SMB errors logged</t>
  </si>
  <si>
    <t>[Master=59294, StoreOnce Ypsilon(SMB 6.5.x)] [Customer Netto] Customer unable to access AD shares, various HP-SMB errors logged</t>
  </si>
  <si>
    <t>[Master=59294, 3.13.0 Zirkel] [Customer Netto] Customer unable to access AD shares, various HP-SMB errors logged</t>
  </si>
  <si>
    <t>roman.duka@hpe.com</t>
  </si>
  <si>
    <t>4/27: Check-in Complete awaiting verification</t>
  </si>
  <si>
    <t>[Master=59294, 3.14.0 Asterix] [Customer Netto] Customer unable to access AD shares, various HP-SMB errors logged</t>
  </si>
  <si>
    <t>11212</t>
  </si>
  <si>
    <t>[Master] [UDU131955] [Customer Raya Datacenter] A request to shutdown the VM may result in it rebooting instead (due to the workaround in bug 57150)</t>
  </si>
  <si>
    <t>1/23: Avitus clone outstanding</t>
  </si>
  <si>
    <t>DAY ONE</t>
  </si>
  <si>
    <t>sumit.sarkar@hpe.com</t>
  </si>
  <si>
    <t>7085</t>
  </si>
  <si>
    <t>[Master][Customer: BIBLIOTECA NACIONAL] Customers Windows Server Web app only seeing ~1-1.5MB/Sec while READing a ~10MB file</t>
  </si>
  <si>
    <t>4/27: Investigation still on-going, do not know (as it is Green Zone) that this requires a waiver</t>
  </si>
  <si>
    <t>[Master=52920, Astra-1.1.0] [Customer: Keppel Fels]If VFS fails to activate IPs due to link down, IPs are not automatically activated when link comes up</t>
  </si>
  <si>
    <t>[Master=60384, 66maint] Customers Windows Server Web app only seeing ~1-1.5MB/Sec while READing a ~10MB file</t>
  </si>
  <si>
    <t>[Master=56399, Astra 1.1.0] [Customer: Army National Guard] removefstore fails when the file store path is a substring of another file store path which contains shares still</t>
  </si>
  <si>
    <t>[Master=42454, Astra-1.1.0] [Customer: BT, LAWA] CIFS connections lost intermittently on certain clients, new connections not allowed until likewise restart</t>
  </si>
  <si>
    <t>[Master=55128, Astra-1.1.0] [Customer: Informatica Trentina] stray entries in /etc/exports after CURL delete/update export having more than 31 individual client ips</t>
  </si>
  <si>
    <t>[Master=59048, TS2.0.5 (Astra-1.1.0-Manchester)] [Customer Army National Guard] Request for additional data to be gathered by fcollect</t>
  </si>
  <si>
    <t>[Master=59048, TS2.1 (Atlas-RealMadrid)] [Customer Army National Guard] Request for additional data to be gathered by fcollect</t>
  </si>
  <si>
    <t>[Master=52720, Astra-1.1.0] PML requests hang in PAM authentication, when LDAP enabled and network anomalies prevent communication with LDAP server</t>
  </si>
  <si>
    <t>[Master=59193, Astra-Maint] [BETA-Dogfood] Slow memory leak and eventual OOM panic, if AV has been enabled and then disabled</t>
  </si>
  <si>
    <t>1.0.2 Candidate - Short List</t>
  </si>
  <si>
    <t>[Master=59193, Astra-1.1.0] [BETA-Dogfood] Slow memory leak and eventual OOM panic, if AV has been enabled and then disabled</t>
  </si>
  <si>
    <t>[Master=59193, Atlas] [BETA-Dogfood] Slow memory leak and eventual OOM panic, if AV has been enabled and then disabled</t>
  </si>
  <si>
    <t>[Master=59193, Bellatrix] [BETA-Dogfood] Slow memory leak and eventual OOM panic, if AV has been enabled and then disabled</t>
  </si>
  <si>
    <t>7298</t>
  </si>
  <si>
    <t>[Master] [Northern Ireland Prison Service] Windows 2012R2 native backup didn't work with Ypsilon</t>
  </si>
  <si>
    <t>7224</t>
  </si>
  <si>
    <t>[Master] [Customer: DFA / Dept. of Arkansas] Lost access to CIFS shares</t>
  </si>
  <si>
    <t>[Master=61336, 66maint] [Customer: DFA / Dept. of Arkansas] Lost access to CIFS shares</t>
  </si>
  <si>
    <t>[Master=61336, StoreOnce 3.13.0 Zirkel] [Customer: DFA / Dept. of Arkansas] Lost access to CIFS shares (related to 57541)</t>
  </si>
  <si>
    <t xml:space="preserve">10-13: Unable to fix in Z releases.  </t>
  </si>
  <si>
    <t>[Master=61336, 3.14.0 Asterix] [Customer: DFA / Dept. of Arkansas] Lost access to CIFS shares</t>
  </si>
  <si>
    <t>[Master=61232, 3.13.0 Zirkel] [Northern Ireland Prison Service] Windows 2012R2 native backup didn't work with Ypsilon</t>
  </si>
  <si>
    <t>6/16- Waiver needs work. When cna 2012R2 be supported.</t>
  </si>
  <si>
    <t>7211</t>
  </si>
  <si>
    <t>[Master=61543, Astra-1.1.0][Customer: Keppel Fels] Need to document the supported features when using Microsoft Management Console (MMC) to manage a File Persona share</t>
  </si>
  <si>
    <t>william.a.fickes@hpe.com</t>
  </si>
  <si>
    <t>[Master=61543, Atlas][Customer: Keppel Fels] Need to document the supported features when using Microsoft Management Console (MMC) to manage a File Persona share</t>
  </si>
  <si>
    <t>[Master=61543, Future] Need to document the supported features when using Microsoft Management Console (MMC) to manage a File Persona share</t>
  </si>
  <si>
    <t>3728</t>
  </si>
  <si>
    <t>[Master=27973, Astra-Maint][Customer KDDI, Verizon,PT MNC Sky Vision, Tbk] File system becomes unavailable after 497 days of uptime, all nfsd threads except 1 in D state</t>
  </si>
  <si>
    <t>neducheralathan.shanmugam@hpe.com</t>
  </si>
  <si>
    <t>Reviewed May 7th waiver review mtg</t>
  </si>
  <si>
    <t>[Master=27973, Atlas][Customer KDDI, Verizon,PT MNC Sky Vision, Tbk] File system becomes unavailable after 497 days of uptime, all nfsd threads except 1 in D state</t>
  </si>
  <si>
    <t>[master=27973, Astra-1.1.0][Customer KDDI, Verizon,PT MNC Sky Vision, Tbk] File system becomes unavailable after 497 days of uptime, all nfsd threads except 1 in D state</t>
  </si>
  <si>
    <t>[Master=61848, Astra-1.1.0] [Customer KDDI, Verizon,PT MNC Sky Vision, Tbk] Need to provide warning that file system becomes unavailable after 497 days of uptime, all nfsd threads except 1 in D state</t>
  </si>
  <si>
    <t>6912</t>
  </si>
  <si>
    <t>[Master] [UDU 129073] Document the list of SMB, NFS, LDAP, and AD ports required to support File Persona behind a customer firewall.</t>
  </si>
  <si>
    <t>Documentation-AAUM</t>
  </si>
  <si>
    <t>[Master=61875, Atlas] [UDU 129073] Document the list of SMB, NFS, LDAP, and AD ports required to support File Persona behind a customer firewall.</t>
  </si>
  <si>
    <t>7270</t>
  </si>
  <si>
    <t>7273</t>
  </si>
  <si>
    <t>[Master] [Customer] Special characters in CIFS share description will make the share inaccessible</t>
  </si>
  <si>
    <t>[Master=62222, 66maint] [Customer] Special characters in CIFS share description will make the share inaccessible</t>
  </si>
  <si>
    <t>[Master=62222, Future] [Customer] Special characters in CIFS share description will make the share inaccessible</t>
  </si>
  <si>
    <t>[Master=62222, StoreOnce Ypsilon(SMB 6.5.x)] [Customer] Special characters in CIFS share description will make the share inaccessible</t>
  </si>
  <si>
    <t>[Master=62222, 3.13.0 Zirkel] [Customer] Special characters in CIFS share description will make the share inaccessible</t>
  </si>
  <si>
    <t>5/21:  Working on solution which allows backwards compat, and keeps check</t>
  </si>
  <si>
    <t>[Master=62222, 3.14.0 Asterix] [Customer] Special characters in CIFS share description will make the share inaccessible</t>
  </si>
  <si>
    <t>[Master=62176, Astra-Maint] [Customer: Army National Guard] File Persona - Unintelligible VFS Quota Alerts Logged to STaTS ("Quota Event:Unable to persist quota limits on Virtual Server ")</t>
  </si>
  <si>
    <t>[Master=62176, Atlas] [Customer: Army National Guard] File Persona - Unintelligible VFS Quota Alerts Logged to STaTS ("Quota Event:Unable to persist quota limits on Virtual Server ")</t>
  </si>
  <si>
    <t>[Master=61543, Astra-Maint][Customer: Keppel Fels] Need to document the supported features when using Microsoft Management Console (MMC) to manage a File Persona share</t>
  </si>
  <si>
    <t>7699</t>
  </si>
  <si>
    <t>5301</t>
  </si>
  <si>
    <t>[Master Bug 42852] Emulex NC550/NC552 10GbE NICs require cold reboot after fw update. Please indicate in FMT.</t>
  </si>
  <si>
    <t>TS1.8 (Asterix)</t>
  </si>
  <si>
    <t>12145</t>
  </si>
  <si>
    <t>7697</t>
  </si>
  <si>
    <t>[Master] [Customer: Keppel Fels] HpProtocolsServices.log logs hundreds of these 'errors' per day: /pmlInterface/net/SMBFacade.cpp(38): Sigabort sent</t>
  </si>
  <si>
    <t>varun.hariharan@hpe.com</t>
  </si>
  <si>
    <t>7342</t>
  </si>
  <si>
    <t>Astra 1.0</t>
  </si>
  <si>
    <t>[Master=62808, Astra-1.1.0] [University of Chicago] Unable to rename file beginning with @ symbol with numbers in the file name</t>
  </si>
  <si>
    <t>[Master=62645, TS2.0.5 (Astra-1.1.0-Manchester)] [Customer Keppel Fels] rsyslog rate limiting does not print message that was throttled</t>
  </si>
  <si>
    <t>6910</t>
  </si>
  <si>
    <t>[Master] [UDU136038] [Customer: Army National Guard] Node IP addresses are unexpectedly preserved across cluster contraction+expansion</t>
  </si>
  <si>
    <t>suruchi.gondkar@hpe.com</t>
  </si>
  <si>
    <t>[Master=62982, Astra-Maint] [UDU 136038] Node IP addresses are unexpectedly preserved across cluster contraction+expansion</t>
  </si>
  <si>
    <t>[Master=62982, TS2.0.5 (Astra-1.1.0-Manchester)] [UDU 136038] Node IP addresses are unexpectedly preserved across cluster contraction+expansion</t>
  </si>
  <si>
    <t>[Master=62982, TS2.1 (Atlas-RealMadrid)] [UDU 136038] Node IP addresses are unexpectedly preserved across cluster contraction+expansion</t>
  </si>
  <si>
    <t>9418</t>
  </si>
  <si>
    <t>7657</t>
  </si>
  <si>
    <t>[Master] [Customer: Gilmore Overlick] Robocopy throws "ERROR 31 (0x0000001F) Copying NTFS Security to Destination Directory" when attempt is made to copy attributes</t>
  </si>
  <si>
    <t>[Master=63278, Astra-Maint] [Customer: Gilmore Overlick] Robocopy throws "ERROR 31 (0x0000001F) Copying NTFS Security to Destination Directory" when attempt is made to copy attributes</t>
  </si>
  <si>
    <t>[Master=63278, Astra-1.1.0] [Customer: Gilmore Overlick] Robocopy throws "ERROR 31 (0x0000001F) Copying NTFS Security to Destination Directory" when attempt is made to copy attributes</t>
  </si>
  <si>
    <t>[Master=63278, Atlas] [Customer: Gilmore Overlick] Robocopy throws "ERROR 31 (0x0000001F) Copying NTFS Security to Destination Directory" when attempt is made to copy attributes</t>
  </si>
  <si>
    <t>[Master=58308, Astra-1.1.0] [Customer: Army National Guard] Large Domain Controller tree (the customer has over 150 Domain Controllers) would cause authentication fail, "setfs ad" run several times for all nodes in the cluster to be authenticated in AD.</t>
  </si>
  <si>
    <t>[Convert to Rally User Story]</t>
  </si>
  <si>
    <t>[Master=42454, 3.13.1 Zirkel] [Customer: BT, LAWA, Commonwealth Bank,Navisite] CIFS connections lost intermittently on certain clients, new connections not allowed until likewise restart</t>
  </si>
  <si>
    <t>7/7:  Fix in Astra-Maint, need estimate on time to port to Zirkel (6.5maint based)</t>
  </si>
  <si>
    <t>[Master=62176, Astra-1.1.0] [Customer: Army National Guard] File Persona - Unintelligible VFS Quota Alerts Logged to STaTS ("Quota Event:Unable to persist quota limits on Virtual Server ")</t>
  </si>
  <si>
    <t>7686</t>
  </si>
  <si>
    <t>7700</t>
  </si>
  <si>
    <t>[Master=63480, Astra-Maint] [Customer: Keppel Fels] hp-smb stack crashes with: lwsmd[3235]: segfault at 20 ip 0000003c38009220 sp 00007f7210585cc8 error 4 in libpthread-2.12.so[3c38000000+17000]</t>
  </si>
  <si>
    <t>[Master=63480, Astra-1.1.0] [Customer: Keppel Fels] hp-smb stack crashes with: lwsmd[3235]: segfault at 20 ip 0000003c38009220 sp 00007f7210585cc8 error 4 in libpthread-2.12.so[3c38000000+17000]</t>
  </si>
  <si>
    <t>[Master=63480, Atlas] [Customer: Keppel Fels] hp-smb stack crashes with: lwsmd[3235]: segfault at 20 ip 0000003c38009220 sp 00007f7210585cc8 error 4 in libpthread-2.12.so[3c38000000+17000]</t>
  </si>
  <si>
    <t>964697</t>
  </si>
  <si>
    <t>4752737501[Pohjois-Karjalan Tietotekniikkakeskus]-iLO reporting issue</t>
  </si>
  <si>
    <t>Sig_Logged,Signatured</t>
  </si>
  <si>
    <t>poonam.nalawade@hpe.com</t>
  </si>
  <si>
    <t>[Master=63488, Astra-Maint] [Customer Kinecta] After adding static routes to VLAN tagged bond0 interface File Persona VMs still not routing</t>
  </si>
  <si>
    <t>[Master=63488, TS2.0.5 (Astra-1.1.0-Manchester)] [Customer Kinecta] After adding static routes to VLAN tagged bond0 interface File Persona VMs still not routing</t>
  </si>
  <si>
    <t>[Master=63488, TS2.1 (Atlas-RealMadrid)] [Customer Kinecta] [F850] After adding static routes to VLAN tagged bond0 interface File Persona VMs still not routing</t>
  </si>
  <si>
    <t>7742</t>
  </si>
  <si>
    <t>[Master=63811, Astra-Maint] [UDU138218] [Customer: 3PAR Dogfood] Failed growfpg and repeated khungtask crashes on system with nearly full (possibly fragmented) FPG</t>
  </si>
  <si>
    <t>[Master=63811, Astra-1.1.0] [UDU138218] [Customer: 3PAR Dogfood] Failed growfpg and repeated khungtask crashes on system with nearly full (possibly fragmented) FPG</t>
  </si>
  <si>
    <t>[Master=63811, Atlas] [UDU138218] [Customer: 3PAR Dogfood] Failed growfpg and repeated khungtask crashes on system with nearly full (possibly fragmented) FPG</t>
  </si>
  <si>
    <t>[Master=63811, Bellatrix] [UDU138218] [Customer: 3PAR Dogfood] Failed growfpg and repeated khungtask crashes on system with nearly full (possibly fragmented) FPG</t>
  </si>
  <si>
    <t>[Master] [Customer: Keppel Fels] suspected memory leak in size-32 slab in kernel space  "Kernel panic - not syncing: Out of memory: system-wide panic_on_oom is enabled"</t>
  </si>
  <si>
    <t>[Master=64081, Astra-Maint] [Customer: Keppel Fels] suspected memory leak in size-32 slab in kernel space  "Kernel panic - not syncing: Out of memory: system-wide panic_on_oom is enabled"</t>
  </si>
  <si>
    <t>[Master=64081, Astra-1.1.0] [Customer: Keppel Fels] suspected memory leak in size-32 slab in kernel space  "Kernel panic - not syncing: Out of memory: system-wide panic_on_oom is enabled"</t>
  </si>
  <si>
    <t>[Master=64081, Atlas] [Customer: Keppel Fels] suspected memory leak in size-32 slab in kernel space  "Kernel panic - not syncing: Out of memory: system-wide panic_on_oom is enabled"</t>
  </si>
  <si>
    <t>[Master=57761, Astra-1.1.0] [Customer: Hewlett-Packard (Schweiz) GmbH,Colt Technology Services] Upgrade from 3.2.1.200P11 to latest P70 failing in to update file services as Update operation was failed due to the time out of SMB update registration hook</t>
  </si>
  <si>
    <t>james.beck@hpe.com</t>
  </si>
  <si>
    <t>[Master=27973, Bellatrix][Customer KDDI, Verizon,PT MNC Sky Vision, Tbk, 2046281950 UPFRONT-SC] File system becomes unavailable after 497 days of uptime, all nfsd threads except 1 in D state</t>
  </si>
  <si>
    <t>yevgeniy.teleganov@hp.com</t>
  </si>
  <si>
    <t>dmitry.zogin@hpe.com</t>
  </si>
  <si>
    <t>7896</t>
  </si>
  <si>
    <t>[Master] [UDU109508] [Customer: Keppel Fels, Gilmore] PML network events throw the following errors:  SEVERE: EventReceiver - userEventCommand() failed,</t>
  </si>
  <si>
    <t>PML Core Services</t>
  </si>
  <si>
    <t>[Master=64578, Atlas ][Customer: Keppel Fels, Gilmore] PML network events throw the following errors:  SEVERE: EventReceiver - userEventCommand() failed,</t>
  </si>
  <si>
    <t>[Master=64578, Astra-1.1.0][Customer: Keppel Fels, Gilmore] PML network events throw the following errors:  SEVERE: EventReceiver - userEventCommand() failed,</t>
  </si>
  <si>
    <t>[Master =64578  , Astra-Maint][Customer: Keppel Fels, Gilmore] PML network events throw the following errors:  SEVERE: EventReceiver - userEventCommand() failed,</t>
  </si>
  <si>
    <t>[Master]DataPath : One of the 5100 reports ILO issue after RPM and fw upgrade</t>
  </si>
  <si>
    <t>Failure Signature provided in Duplicate Bug 63656</t>
  </si>
  <si>
    <t>[Master=62808, Atlas] [University of Chicago] Unable to rename file beginning with @ symbol with numbers in the file name</t>
  </si>
  <si>
    <t>[Master=62808, Bellatrix] [University of Chicago] Unable to rename file beginning with @ symbol with numbers in the file name</t>
  </si>
  <si>
    <t>naresh.ch@hpe.com</t>
  </si>
  <si>
    <t>cloned-tkt</t>
  </si>
  <si>
    <t>[Master=62808, Astra-Maint] [University of Chicago] Unable to rename file beginning with @ symbol with numbers in the file name</t>
  </si>
  <si>
    <t>venkatasr@hpe.com</t>
  </si>
  <si>
    <t>965110</t>
  </si>
  <si>
    <t>4753468839[Home Affairs Department]-Segments Unavailable with RO flag</t>
  </si>
  <si>
    <t>pete-rand.king@hpe.com</t>
  </si>
  <si>
    <t>Ticket provided : Log information insufficient</t>
  </si>
  <si>
    <t>7965</t>
  </si>
  <si>
    <t>[Customer HP-3Par Dogfood] [US38229] StorServ File Persona - AdvFS or ADE require contiguous free space to function optimally when the file system is at high utilization.</t>
  </si>
  <si>
    <t>IPFS3</t>
  </si>
  <si>
    <t>[Master=42454, Atlas] [Customer: BT, LAWA, Commonwealth Bank,Navisite] CIFS connections lost intermittently on certain clients, new connections not allowed until likewise restart</t>
  </si>
  <si>
    <t>7980</t>
  </si>
  <si>
    <t>[Master] [Customer BT] HP-SMB shares intermittently inaccessible - FSN's user authentication request failing</t>
  </si>
  <si>
    <t>Engineering Advisory</t>
  </si>
  <si>
    <t>Halo</t>
  </si>
  <si>
    <t>[Master] [Customer: Keppel Fels] hp-smb stack crashes because of NULL Pointer deref in PvfsClose</t>
  </si>
  <si>
    <t>[Master=65259, 66maint] [Customer: Keppel Fels] hp-smb stack crashes because of NULL Pointer deref in PvfsClose</t>
  </si>
  <si>
    <t>[Master=65259, Astra-Maint] [Customer: Keppel Fels] hp-smb stack crashes because of NULL Pointer deref in PvfsClose</t>
  </si>
  <si>
    <t>[Master=65259, Astra-1.1.0] [Customer: Keppel Fels] hp-smb stack crashes because of NULL Pointer deref in PvfsClose</t>
  </si>
  <si>
    <t>[Master=65259, Atlas] [Customer: Keppel Fels] hp-smb stack crashes because of NULL Pointer deref in PvfsClose</t>
  </si>
  <si>
    <t>[Master=65259, StoreOnce Ypsilon(SMB 6.5.x)] [Customer: Keppel Fels] hp-smb stack crashes because of NULL Pointer deref in PvfsClose</t>
  </si>
  <si>
    <t>Awaiting PRB approval</t>
  </si>
  <si>
    <t>[Master=65259, 3.13.0 Zirkel] [Customer: Keppel Fels] hp-smb stack crashes because of NULL Pointer deref in PvfsClose</t>
  </si>
  <si>
    <t>[Master=65259, 3.14.0 Asterix] [Customer: Keppel Fels] hp-smb stack crashes because of NULL Pointer deref in PvfsClose</t>
  </si>
  <si>
    <t>8018</t>
  </si>
  <si>
    <t>[Master=65346, 66maint] [Customer: US Army National Guard] directory structure of FP share not displayed in windows explorer on Win7 64 client after upgrade to SP1</t>
  </si>
  <si>
    <t>[Master=65346, Astra-Maint] [Customer: US Army National Guard] directory structure of FP share not displayed in windows explorer on Win7 64 client after upgrade to SP1</t>
  </si>
  <si>
    <t>[Master=65346, Astra-1.1.0] [Customer: US Army National Guard] directory structure of FP share not displayed in windows explorer on Win7 64 client after upgrade to SP1</t>
  </si>
  <si>
    <t>[Master=65346, Atlas] [Customer: US Army National Guard] directory structure of FP share not displayed in windows explorer on Win7 64 client after upgrade to SP1</t>
  </si>
  <si>
    <t>[Master=65346, StoreOnce Ypsilon(SMB 6.5.x)] [Customer: US Army National Guard] directory structure of FP share not displayed in windows explorer on Win7 64 client after upgrade to SP1</t>
  </si>
  <si>
    <t>[Master=65346, 3.13.0 Zirkel] [Customer: US Army National Guard] directory structure of FP share not displayed in windows explorer on Win7 64 client after upgrade to SP1</t>
  </si>
  <si>
    <t>martin.mathias@hpe.com</t>
  </si>
  <si>
    <t>7/29:  YZ, day 1 issue, won't fix for 3.13.1, candid. for .2</t>
  </si>
  <si>
    <t>[Master=65346, 3.14.0 Asterix] [Customer: US Army National Guard] directory structure of FP share not displayed in windows explorer on Win7 64 client after upgrade to SP1</t>
  </si>
  <si>
    <t>Unless Win7 is in the support list for Asterix, this is a Won't Fix</t>
  </si>
  <si>
    <t>8049</t>
  </si>
  <si>
    <t>[Master] [Customer Naviste] SMB Memory Leak observed in lwio</t>
  </si>
  <si>
    <t>[Master=65377, 66maint] [Customer Naviste] SMB Memory Leak observed in lwio</t>
  </si>
  <si>
    <t>[Master=65377, StoreOnce Ypsilon(SMB 6.5.x)] [Customer Naviste] SMB Memory Leak observed in lwio</t>
  </si>
  <si>
    <t>[Master=65377, 3.13.0 Zirkel] [Customer Naviste] SMB Memory Leak observed in lwio</t>
  </si>
  <si>
    <t>[Master=65377, 3.14.0 Asterix] [Customer Naviste] SMB Memory Leak observed in lwio</t>
  </si>
  <si>
    <t>965849</t>
  </si>
  <si>
    <t>Per Bugs #60132 &amp; #60133, CCU could now include transport error counters and reset counters for drives and mps in "verbose" output</t>
  </si>
  <si>
    <t>15-08-13: Fixed check into trunk (covers botanix)</t>
  </si>
  <si>
    <t>[Master=65259, 63maint] [Customer: Keppel Fels] hp-smb stack crashes because of NULL Pointer deref in PvfsClose</t>
  </si>
  <si>
    <t>[Master=65346, 63maint] [Customer: US Army National Guard] directory structure of FP share not displayed in windows explorer on Win7 64 client after upgrade to SP1</t>
  </si>
  <si>
    <t>[Master= 63140,Astra-1.1.0] [Customer: Informatica Trentina]sprint15: on NFS, moving files from snapshots to mount point hangs and gives a khung panic at the corresponding snaptree in vm</t>
  </si>
  <si>
    <t>amarish-s.v@hpe.com</t>
  </si>
  <si>
    <t>11243</t>
  </si>
  <si>
    <t>[Master] [Customer INFOSYS LIMITED] FPG Failed to RMFS when trying to umount when it was in use on the VM.</t>
  </si>
  <si>
    <t>*Unknown (Triage)-NFS</t>
  </si>
  <si>
    <t>balachandrudu.vavilapalli@hpe.com</t>
  </si>
  <si>
    <t>[Master=63140, Astra-Maint][Customer: Informatica Trentina] sprint15: on NFS, moving files from snapshots to mount point hangs and gives a khung panic at the corresponding snaptree in vm</t>
  </si>
  <si>
    <t>[Master=63140, Atlas][Customer: Informatica Trentina] sprint15: on NFS, moving files from snapshots to mount point hangs and gives a khung panic at the corresponding snaptree in vm</t>
  </si>
  <si>
    <t>[Master=65209, 63maint] [Customer BT] HP-SMB shares intermittently inaccessible - FSN's user authentication request failing</t>
  </si>
  <si>
    <t>[Master=65209, 66maint] [Customer BT] HP-SMB shares intermittently inaccessible - FSN's user authentication request failing</t>
  </si>
  <si>
    <t>[Master=65209, Astra-Maint] [Customer BT] HP-SMB shares intermittently inaccessible - FSN's user authentication request failing</t>
  </si>
  <si>
    <t>[Master=65209, Astra-1.1.0] [Customer BT] HP-SMB shares intermittently inaccessible - FSN's user authentication request failing</t>
  </si>
  <si>
    <t>[Master=65209, Atlas] [Customer BT] HP-SMB shares intermittently inaccessible - FSN's user authentication request failing</t>
  </si>
  <si>
    <t>[Master=65209, StoreOnce Ypsilon(SMB 6.5.x)] [Customer BT] HP-SMB shares intermittently inaccessible - FSN's user authentication request failing</t>
  </si>
  <si>
    <t>[Master=65209, 3.13.0 Zirkel] [Customer BT] HP-SMB shares intermittently inaccessible - FSN's user authentication request failing</t>
  </si>
  <si>
    <t>[Master=65209, 3.14.0 Asterix] [Customer BT] HP-SMB shares intermittently inaccessible - FSN's user authentication request failing</t>
  </si>
  <si>
    <t>[Master=66235, Astra-Maint][Customer INFOSYS LIMITED] FPG Failed to RMFS when trying to umount when it was in use on the VM.</t>
  </si>
  <si>
    <t>7807</t>
  </si>
  <si>
    <t>[master=64568, Bellatrix][RI-Solution GmbH] Node core dumping due to deadlocked ibrix worker thread leading to NMI watchdog activation.</t>
  </si>
  <si>
    <t>nivedita.manjunath@hpe.com</t>
  </si>
  <si>
    <t>[Master=63140, Astra-1.1.0][Customer: Informatica Trentina] sprint15: on NFS, moving files from snapshots to mount point hangs and gives a khung panic at the corresponding snaptree in vm</t>
  </si>
  <si>
    <t>8744</t>
  </si>
  <si>
    <t>[Master] [Customer: Keppel Fels] HP-SMB crash, lwio SIGABRT:   lwio: [lwio] ASSERTION FAILED: Expression = ((((pOplock-&gt;pCcb)-&gt;CreateOptions &amp; 0x00000001) == 0x00000001)) File Name = '../lwio/server/ibfs/lease.c' Line Num = '2114'</t>
  </si>
  <si>
    <t>Review Completed - Ready To Checkin</t>
  </si>
  <si>
    <t>8737</t>
  </si>
  <si>
    <t>[Master] [Customer: Coast Community College] With roaming profiles and folder redirection, up to 30 second delay in response to setinfo for SMB2_FILE_DISPOSITION_INFO</t>
  </si>
  <si>
    <t>[Master=66713, 63maint] [Customer: Coast Community College] With roaming profiles and folder redirection, up to 30 second delay in response to setinfo for SMB2_FILE_DISPOSITION_INFO</t>
  </si>
  <si>
    <t>[Master=66713, 66maint] [Customer: Coast Community College] With roaming profiles and folder redirection, up to 30 second delay in response to setinfo for SMB2_FILE_DISPOSITION_INFO</t>
  </si>
  <si>
    <t>[Master=66713, Astra-Maint] [Customer: Coast Community College] With roaming profiles and folder redirection, up to 30 second delay in response to setinfo for SMB2_FILE_DISPOSITION_INFO</t>
  </si>
  <si>
    <t>[Master=66713, Astra-1.1.0] [Customer: Coast Community College] With roaming profiles and folder redirection, up to 30 second delay in response to setinfo for SMB2_FILE_DISPOSITION_INFO</t>
  </si>
  <si>
    <t>[Master=66713, Atlas] [Customer: Coast Community College] With roaming profiles and folder redirection, up to 30 second delay in response to setinfo for SMB2_FILE_DISPOSITION_INFO</t>
  </si>
  <si>
    <t>[Master=66713, StoreOnce Ypsilon(SMB 6.5.x)] [Customer: Coast Community College] With roaming profiles and folder redirection, up to 30 second delay in response to setinfo for SMB2_FILE_DISPOSITION_INFO</t>
  </si>
  <si>
    <t>[Master=66713, 3.13.0 Zirkel] [Customer: Coast Community College] With roaming profiles and folder redirection, up to 30 second delay in response to setinfo for SMB2_FILE_DISPOSITION_INFO</t>
  </si>
  <si>
    <t>[Master=66713, 3.14.0 Asterix] [Customer: Coast Community College] With roaming profiles and folder redirection, up to 30 second delay in response to setinfo for SMB2_FILE_DISPOSITION_INFO</t>
  </si>
  <si>
    <t>964950 8789</t>
  </si>
  <si>
    <t>4756938270[Dell]-integrity flag due to conflict between HK-BO window/aging calendar of CommVault</t>
  </si>
  <si>
    <t>Duplicate, Failure Signature in Bug #64950</t>
  </si>
  <si>
    <t>[Master] [Customer: US Army National Guard, Coast Community College] domain controller 'problem' leads to share unavailability and FP node unresponsiveness</t>
  </si>
  <si>
    <t>[Master=66891, Astra-1.1.0] [Customer: US Army National Guard] domain controller 'problem' leads to share unavailability and FP node unresponsiveness</t>
  </si>
  <si>
    <t>[Master=66891, Atlas] [Customer: US Army National Guard] domain controller 'problem' leads to share unavailability and FP node unresponsiveness</t>
  </si>
  <si>
    <t>8824</t>
  </si>
  <si>
    <t>[Master=67205, 63maint] [Customer: Wolfson Hospital,SafeTech,Baxter] HP-SMB stack crash on shutdown, SIGABRT with: lwio: [lwio] Failed to lock mutex: 22. Aborting program</t>
  </si>
  <si>
    <t>8824 10408</t>
  </si>
  <si>
    <t>[Master=67205, 66maint] [Customer: Wolfson Hospital,SafeTech,Baxter] HP-SMB stack crash on shutdown, SIGABRT with: lwio: [lwio] Failed to lock mutex: 22. Aborting program</t>
  </si>
  <si>
    <t>[Master=67205, Astra-Maint] [Customer: Wolfson Hospital,SafeTech,Baxter] HP-SMB stack crash on shutdown, SIGABRT with: lwio: [lwio] Failed to lock mutex: 22. Aborting program</t>
  </si>
  <si>
    <t>[Master=67205, Astra-1.1.0] [Customer: Wolfson Hospital,SafeTech,Baxter] HP-SMB stack crash on shutdown, SIGABRT with: lwio: [lwio] Failed to lock mutex: 22. Aborting program</t>
  </si>
  <si>
    <t>[Master=67205, Atlas] [Customer: Wolfson Hospital,SafeTech,Baxter] HP-SMB stack crash on shutdown, SIGABRT with: lwio: [lwio] Failed to lock mutex: 22. Aborting program</t>
  </si>
  <si>
    <t>[Master=67205, StoreOnce Ypsilon(SMB 6.5.x)] [Customer: Wolfson Hospital,SafeTech,Baxter] HP-SMB stack crash on shutdown, SIGABRT with: lwio: [lwio] Failed to lock mutex: 22. Aborting program</t>
  </si>
  <si>
    <t>[Master=67205, 3.13.0 Zirkel] [Customer: Wolfson Hospital,SafeTech,Baxter] HP-SMB stack crash on shutdown, SIGABRT with: lwio: [lwio] Failed to lock mutex: 22. Aborting program</t>
  </si>
  <si>
    <t>[Master=67205, 3.14.0 Asterix] [Customer: Wolfson Hospital,SafeTech,Baxter] HP-SMB stack crash on shutdown, SIGABRT with: lwio: [lwio] Failed to lock mutex: 22. Aborting program</t>
  </si>
  <si>
    <t>8827</t>
  </si>
  <si>
    <t>[Master] [Customer: Lumina] lwsmd generating multiple cores during data migration</t>
  </si>
  <si>
    <t>[Master=67242, 63maint] [Customer: Lumina] lwsmd generating multiple cores during data migration</t>
  </si>
  <si>
    <t>[Master=67242, 66maint] [Customer: Lumina] lwsmd generating multiple cores during data migration</t>
  </si>
  <si>
    <t>[Master=67242, Astra-Maint] [Customer: Lumina] lwsmd generating multiple cores during data migration</t>
  </si>
  <si>
    <t>[Master=67242, Astra-1.1.0] [Customer: Lumina] lwsmd generating multiple cores during data migration</t>
  </si>
  <si>
    <t>[Master=67242, Atlas] [Customer: Lumina] lwsmd generating multiple cores during data migration</t>
  </si>
  <si>
    <t>[Master=67242, StoreOnce Ypsilon(SMB 6.5.x)] [Customer: Lumina] lwsmd generating multiple cores during data migration</t>
  </si>
  <si>
    <t>[Master=67242, 3.13.0 Zirkel] [Customer: Lumina] lwsmd generating multiple cores during data migration</t>
  </si>
  <si>
    <t>[Master=67242, 3.14.0 Asterix] [Customer: Lumina] lwsmd generating multiple cores during data migration</t>
  </si>
  <si>
    <t>8/27:[potts] In analysis, no fix available for Asterix 3.14.0</t>
  </si>
  <si>
    <t>[Master=63488, Aurora] [Customer Kinecta, Texas A&amp;M, Viasat, Sporting Index] After adding static routes to VLAN tagged bond0 interface File Persona VMs still not routing</t>
  </si>
  <si>
    <t>[Master=63811, Aurora] [UDU138218] [Customer: 3PAR Dogfood] Failed growfpg and repeated khungtask crashes on system with nearly full (possibly fragmented) FPG</t>
  </si>
  <si>
    <t>[Master=63140, Aurora][Customer: Informatica Trentina] sprint15: on NFS, moving files from snapshots to mount point hangs and gives a khung panic at the corresponding snaptree in vm</t>
  </si>
  <si>
    <t>[Master=59656, Aurora] [UDU131955] [Customer Raya Datacenter] A request to shutdown the VM may result in it rebooting instead (due to the workaround in bug 57150)</t>
  </si>
  <si>
    <t>7230</t>
  </si>
  <si>
    <t>[Customer: Novosibirsk State University ] SLES 11 2.6.27.19-5 client crash RT_srv_tcp_Recv_sock(): *** ASSERT[c != 1] failed</t>
  </si>
  <si>
    <t>8869</t>
  </si>
  <si>
    <t>[Master=67608, 63maint] [Customer: Coast Community College]  smb2 find on directory with &gt;5k entries fails, find request response exceeds 60 second timeout</t>
  </si>
  <si>
    <t>[Master=67608, 66maint] [Customer: Coast Community College]  smb2 find on directory with &gt;5k entries fails, find request response exceeds 60 second timeout</t>
  </si>
  <si>
    <t>[Master=67608, Astra-Maint] [Customer: Coast Community College]  smb2 find on directory with &gt;5k entries fails, find request response exceeds 60 second timeout</t>
  </si>
  <si>
    <t>[Master=67608, Astra-1.1.0] [Customer: Coast Community College]  smb2 find on directory with &gt;5k entries fails, find request response exceeds 60 second timeout</t>
  </si>
  <si>
    <t>[Master=67608, Atlas] [Customer: Coast Community College]  smb2 find on directory with &gt;5k entries fails, find request response exceeds 60 second timeout</t>
  </si>
  <si>
    <t>[Escape]</t>
  </si>
  <si>
    <t>[Master=67608, StoreOnce Ypsilon(SMB 6.5.x)] [Customer: Coast Community College]  smb2 find on directory with &gt;5k entries fails, find request response exceeds 60 second timeout</t>
  </si>
  <si>
    <t>[Master=67608, 3.13.0 Zirkel] [Customer: Coast Community College]  smb2 find on directory with &gt;5k entries fails, find request response exceeds 60 second timeout</t>
  </si>
  <si>
    <t>[Master=67608, 3.14.0 Asterix] [Customer: Coast Community College]  smb2 find on directory with &gt;5k entries fails, find request response exceeds 60 second timeout</t>
  </si>
  <si>
    <t>9005</t>
  </si>
  <si>
    <t>[Master] [Customer:  Bharat Forge] Kerberos ticket request for SMB share fails with KRB Error: KRB5KDC_ERR_S_PRINCIPAL_UNKNOWN</t>
  </si>
  <si>
    <t>[Master=67747, Astra-1.1.0] [Customer:  Bharat Forge] Kerberos ticket request for SMB share fails with KRB Error: KRB5KDC_ERR_S_PRINCIPAL_UNKNOWN</t>
  </si>
  <si>
    <t>[Master=67747, Atlas] [Customer:  Bharat Forge] Kerberos ticket request for SMB share fails with KRB Error: KRB5KDC_ERR_S_PRINCIPAL_UNKNOWN</t>
  </si>
  <si>
    <t>[Master] [Customer: Informatica Trentina] can not add/remove export entry to file share due to /etc/exports corruption.</t>
  </si>
  <si>
    <t>[Master=67816, Astra-1.1.0] [Customer: Informatica Trentina] can not add/remove export entry to file share due to /etc/exports corruption.</t>
  </si>
  <si>
    <t>[Master=67816, Atlas] [Customer: Informatica Trentina] can not add/remove export entry to file share due to /etc/exports corruption.</t>
  </si>
  <si>
    <t>[Master=67816, Astra-Maint] [Customer: Informatica Trentina] can not add/remove export entry to file share due to /etc/exports corruption.</t>
  </si>
  <si>
    <t>8031</t>
  </si>
  <si>
    <t>[Master=65457, Bellatrix][Customer: La Trobe University] crash file serving node. list_add corruption. prev-&gt;next should be xxxxxx, but was xxxxxx.</t>
  </si>
  <si>
    <t>10248</t>
  </si>
  <si>
    <t>[Master][Customer: RTP_Lisboa] spurious alerts: Failed to deactivate networking for FPG node0_nfs_fpg_1 in virtual server node0-nfs-vfs-1 on node 127.127.0.12 with message</t>
  </si>
  <si>
    <t>sudarshan.patil@hpe.com</t>
  </si>
  <si>
    <t>[Master=68132, Atlas][Customer: RTP_Lisboa] spurious alerts: Failed to deactivate networking for FPG node0_nfs_fpg_1 in virtual server node0-nfs-vfs-1 on node 127.127.0.12 with message</t>
  </si>
  <si>
    <t>sumedha.aranke@hpe.com</t>
  </si>
  <si>
    <t>10846</t>
  </si>
  <si>
    <t>[Master][Goteborgs Stad Intraservice] Repeated "Operation has timed out for ILO4 ;but thread has not died" during install, but works when install completed</t>
  </si>
  <si>
    <t>richa.joshi@hpe.com</t>
  </si>
  <si>
    <t>6.6 (Halo)</t>
  </si>
  <si>
    <t>[Master=59164, Astra-1.1.0-Maint] [Customer: Army National Guard] User Quotas: Changing ownership of files from one user to another, does not show/calculate in quota for new file owner</t>
  </si>
  <si>
    <t>[Master=42454, Astra-1.1.0-Maint] [Customer: BT, LAWA, Commonwealth Bank,Navisite] CIFS connections lost intermittently on certain clients, new connections not allowed until likewise restart</t>
  </si>
  <si>
    <t>[Master=55128, Astra-1.1.0-Maint] [Customer: Informatica Trentina] stray entries in /etc/exports after CURL delete/update export having more than 31 individual client ips</t>
  </si>
  <si>
    <t>[Master=63278, Astra-1.1.0-Maint] [Customer: Gilmore Overlick] Robocopy throws "ERROR 31 (0x0000001F) Copying NTFS Security to Destination Directory" when attempt is made to copy attributes</t>
  </si>
  <si>
    <t>[Master=65346, Astra-1.1.0-Maint] [Customer: US Army National Guard] directory structure of FP share not displayed in windows explorer on Win7 64 client after upgrade to SP1</t>
  </si>
  <si>
    <t>[Master=66713, Astra-1.1.0-Maint] [Customer: Coast Community College] With roaming profiles and folder redirection, up to 30 second delay in response to setinfo for SMB2_FILE_DISPOSITION_INFO</t>
  </si>
  <si>
    <t>[Master=67608, Astra-1.1.0-Maint] [Customer: Coast Community College]  smb2 find on directory with &gt;5k entries fails, find request response exceeds 60 second timeout</t>
  </si>
  <si>
    <t>[Master=54726, TS2.1 (Atlas)] [UDU123681/UDU129780] [Customer: Easynet] Cannot change just the vlantag with same node IP address</t>
  </si>
  <si>
    <t>[Master=54726, Aurora] [UDU123681/UDU129780] [Customer: Easynet] Cannot change just the vlantag with same node IP address</t>
  </si>
  <si>
    <t>9539</t>
  </si>
  <si>
    <t>[Master] VM system time drifts relative to VM hardware clock (and in turn the 3PAR host)</t>
  </si>
  <si>
    <t>PML-Platform-Unity</t>
  </si>
  <si>
    <t>[Master=66418, Astra-1.1.0-Maint] [Customer: Keppel Fels] HP-SMB crash, lwio SIGABRT:   lwio: [lwio] ASSERTION FAILED: Expression = ((((pOplock-&gt;pCcb)-&gt;CreateOptions &amp; 0x00000001) == 0x00000001)) File Name = '../lwio/server/ibfs/lease.c' Line Num = '2114'</t>
  </si>
  <si>
    <t>[Master=67747, Astra-1.1.0-Maint] [Customer:  Bharat Forge] Kerberos ticket request for SMB share fails with KRB Error: KRB5KDC_ERR_S_PRINCIPAL_UNKNOWN</t>
  </si>
  <si>
    <t>[Master=54726, TS2.0.5 (Astra-1.1.0-Maint)] [UDU123681/UDU129780] [Customer: Easynet] Cannot change just the vlantag with same node IP address</t>
  </si>
  <si>
    <t>8994</t>
  </si>
  <si>
    <t>[Customer SharedServiceCanada] Unable to install file services, failure is "File Persona must be running to allow additional nodes to be configured".</t>
  </si>
  <si>
    <t>962674</t>
  </si>
  <si>
    <t>[master=62674, Bellatrix] Link failure resulted in error-9/-17 in dedupe store in fault state / backup failure</t>
  </si>
  <si>
    <t>[Master=63278, Aurora] [Customer: Gilmore Overlick] Robocopy throws "ERROR 31 (0x0000001F) Copying NTFS Security to Destination Directory" when attempt is made to copy attributes</t>
  </si>
  <si>
    <t>[Master=65346, Aurora] [Customer: US Army National Guard] directory structure of FP share not displayed in windows explorer on Win7 64 client after upgrade to SP1</t>
  </si>
  <si>
    <t>[Master=66713, Aurora] [Customer: Coast Community College] With roaming profiles and folder redirection, up to 30 second delay in response to setinfo for SMB2_FILE_DISPOSITION_INFO</t>
  </si>
  <si>
    <t>[Master=68487, TS2.0.5 (Astra-1.1.0-Maint)] VM system time drifts relative to 3PAR host</t>
  </si>
  <si>
    <t>[Master=68487, TS2.1 (Atlas)] VM system time drifts relative to VM hardware clock (and in turn the 3PAR host)</t>
  </si>
  <si>
    <t>[Master=68487, Aurora] VM system time drifts relative to VM hardware clock (and in turn the 3PAR host)</t>
  </si>
  <si>
    <t>[Master=68219, 66maint][Goteborgs Stad Intraservice] Repeated "Operation has timed out for ILO4 ;but thread has not died" during install, but works when install completed</t>
  </si>
  <si>
    <t>andrea.cardoz@hpe.com</t>
  </si>
  <si>
    <t>[Telecom Malaysia, TEI] Degraded status and read integrity alert persists on new replacement controller after P2000 event 550</t>
  </si>
  <si>
    <t>3.13.0 Zirkel</t>
  </si>
  <si>
    <t>8789</t>
  </si>
  <si>
    <t>[Master 64950, 66maint] [Reynolds, EDF, HPES] Heavy proxy I/O load overloaded ICL, leading to I/O hang on uncompleted abort, failover, and Segments NotAvailable</t>
  </si>
  <si>
    <t>10907</t>
  </si>
  <si>
    <t>[Master=69932, 63maint]  [Customer: Baxter Pharmaceuticals] Multiple "Failed to read registry key" errors in /var/log/pml/smb_rpc.log after node failover</t>
  </si>
  <si>
    <t>[Master=69932, 66maint]  [Customer: Baxter Pharmaceuticals] Multiple "Failed to read registry key" errors in /var/log/pml/smb_rpc.log after node failover</t>
  </si>
  <si>
    <t>[Master=69932, Astra-1.1.0-Maint]  [Customer: Baxter Pharmaceuticals] Multiple "Failed to read registry key" errors in /var/log/pml/smb_rpc.log after node failover</t>
  </si>
  <si>
    <t>[Master=69932, Atlas] [Customer: Baxter Pharmaceuticals] Multiple "Failed to read registry key" errors in /var/log/pml/smb_rpc.log after node failover</t>
  </si>
  <si>
    <t>[Master=69932, Aurora] [Customer: Baxter Pharmaceuticals] Multiple "Failed to read registry key" errors in /var/log/pml/smb_rpc.log after node failover</t>
  </si>
  <si>
    <t>[Master=69932, StoreOnce Ypsilon(SMB 6.5.x)]  [Customer: Baxter Pharmaceuticals] Multiple "Failed to read registry key" errors in /var/log/pml/smb_rpc.log after node failover</t>
  </si>
  <si>
    <t>[Master=69932, 3.13.1 Zirkel]  [Customer: Baxter Pharmaceuticals] Multiple "Failed to read registry key" errors in /var/log/pml/smb_rpc.log after node failover</t>
  </si>
  <si>
    <t>[Master=69932, 3.14.0 Asterix]  [Customer: Baxter Pharmaceuticals] Multiple "Failed to read registry key" errors in /var/log/pml/smb_rpc.log after node failover</t>
  </si>
  <si>
    <t>9144</t>
  </si>
  <si>
    <t>[Master] [Media Saturn] smb access lost and smb restart not working</t>
  </si>
  <si>
    <t>6.5.6</t>
  </si>
  <si>
    <t>[Master=70081, 66maint] [Media Saturn] smb access lost and smb restart not working</t>
  </si>
  <si>
    <t>[Master=70081, StoreOnce Ypsilon(SMB 6.5.x)] [Media Saturn] smb access lost and smb restart not working</t>
  </si>
  <si>
    <t>[Master=70081, 3.13.1 Zirkel] [Media Saturn] smb access lost and smb restart not working</t>
  </si>
  <si>
    <t>[Master=70081, 3.14.1 Asterix] [Media Saturn] smb access lost and smb restart not working</t>
  </si>
  <si>
    <t>11142</t>
  </si>
  <si>
    <t>[Master] [Customer mobile.de] sn_sprint21-3 : Hazard c8 with multiple domains : khungtaskd panic</t>
  </si>
  <si>
    <t>rajib.dutta@hpe.com</t>
  </si>
  <si>
    <t>Centaurus</t>
  </si>
  <si>
    <t>Atlas 1.2</t>
  </si>
  <si>
    <t>kps@hpe.com</t>
  </si>
  <si>
    <t>970716</t>
  </si>
  <si>
    <t>[Master] 4652467833[Regionalmedien Austria AG]-3.12.1/4500-SS offline/restart fixed it</t>
  </si>
  <si>
    <t>StoreOnce Ypsilon(SMB 6.5x)</t>
  </si>
  <si>
    <t>6629</t>
  </si>
  <si>
    <t>[Master][Customer: Indian Institute Of Technology Kanpur] Triggering a manual crash with (echo c &gt; /proc/sysrq-trigger) with HA (ON) in 6.5.x, does not produce a core.  Required platform changes.</t>
  </si>
  <si>
    <t>[Master=71190, 66maint] [Customer: Indian Institute Of Technology Kanpur] Triggering a manual crash with (echo c &gt; /proc/sysrq-trigger) with HA (ON) in 6.5.x, does not produce a core.  Required platform changes.</t>
  </si>
  <si>
    <t>[Master=64697, 3.13.2 Zirkel] DataPath : ILO reporting issue after RPM and fw upgrade</t>
  </si>
  <si>
    <t>ashah@hpe.com</t>
  </si>
  <si>
    <t>11/6: proceed with checkin.  Failure Signature provided in Bug 63656, duplicate of Bug 64967</t>
  </si>
  <si>
    <t>edward.scrase@hpe.com</t>
  </si>
  <si>
    <t>9558</t>
  </si>
  <si>
    <t>[Master=71325, Atlas] [Customer: Kinecta FCU] Unable to migrate data from NetApp filer to File Persona SMB share</t>
  </si>
  <si>
    <t>[Master=71325, Aurora] [Customer: Kinecta FCU] Unable to migrate data from NetApp filer to File Persona SMB share</t>
  </si>
  <si>
    <t>[Master=70081, 3.15.0 Botanix] [Media Saturn] smb access lost and smb restart not working</t>
  </si>
  <si>
    <t>[Master=61336, 3.15.0 Botanix] [Customer: DFA / Dept. of Arkansas] Lost access to CIFS shares</t>
  </si>
  <si>
    <t>URGENT RESPONSE REQUIRED. Ram /20 Jul</t>
  </si>
  <si>
    <t>StoreOnce Ypsilon (SMB 6.5.x)</t>
  </si>
  <si>
    <t>17111</t>
  </si>
  <si>
    <t>[Master] [Customer: Tetra Pak AB] PML outofmemory problem when PML mode transition bounces due to VIF taken</t>
  </si>
  <si>
    <t>[Master=71692, Atlas ] [Customer: Tetra Pak AB] PML outofmemory problem when PML mode transition bounces due to VIF taken</t>
  </si>
  <si>
    <t>[Master=71692, Aurora] [Customer: Tetra Pak AB] PML outofmemory problem when PML mode transition bounces due to VIF taken</t>
  </si>
  <si>
    <t>[Master] [Customer: Informatica Trentina] crash persona node because khungtaskd detected nfsd was blocked more than 600sec</t>
  </si>
  <si>
    <t>[Master=71898, Astra-1.1.0-Maint] [Customer: Informatica Trentina] crash persona node because khungtaskd detected nfsd was blocked more than 600sec</t>
  </si>
  <si>
    <t>[Master=71898, Atlas] [Customer: Informatica Trentina] crash persona node because khungtaskd detected nfsd was blocked more than 600sec</t>
  </si>
  <si>
    <t>[Master=71898, Aurora] [Customer: Informatica Trentina] crash persona node because khungtaskd detected nfsd was blocked more than 600sec</t>
  </si>
  <si>
    <t>[Master=71692, Avitus] [Customer: Tetra Pak AB] PML outofmemory problem when PML mode transition bounces due to VIF taken</t>
  </si>
  <si>
    <t>[Master=42454, 66maint] [Customer: BT, LAWA, Commonwealth Bank,Navisite] CIFS connections lost intermittently on certain clients, new connections not allowed until likewise restart</t>
  </si>
  <si>
    <t>9501</t>
  </si>
  <si>
    <t>[Master=72280, 63maint] [Customer: Kinecta] HP-SMB crash in SrvBuildInterimResponse_SMB_V2 : kernel: lwsmd[8679]: segfault at 1 ip 00007fd22e6c06ec sp 00007fd226e4a8b0 error 4 in liblwmsg_nothr.so.0.0.0[7fd22e6af000+2b000]</t>
  </si>
  <si>
    <t>[Master=72280, 66maint] [Customer: Kinecta] HP-SMB crash in SrvBuildInterimResponse_SMB_V2 : kernel: lwsmd[8679]: segfault at 1 ip 00007fd22e6c06ec sp 00007fd226e4a8b0 error 4 in liblwmsg_nothr.so.0.0.0[7fd22e6af000+2b000]</t>
  </si>
  <si>
    <t>[Master=72280, Atlas] [Customer: Kinecta] HP-SMB crash in SrvBuildInterimResponse_SMB_V2 : kernel: lwsmd[8679]: segfault at 1 ip 00007fd22e6c06ec sp 00007fd226e4a8b0 error 4 in liblwmsg_nothr.so.0.0.0[7fd22e6af000+2b000]</t>
  </si>
  <si>
    <t>[Master=72280, Aurora] [Customer: Kinecta] HP-SMB crash in SrvBuildInterimResponse_SMB_V2 : kernel: lwsmd[8679]: segfault at 1 ip 00007fd22e6c06ec sp 00007fd226e4a8b0 error 4 in liblwmsg_nothr.so.0.0.0[7fd22e6af000+2b000]</t>
  </si>
  <si>
    <t>[Master=72280, StoreOnce Ypsilon(SMB 6.5.x)] [Customer: Kinecta] HP-SMB crash in SrvBuildInterimResponse_SMB_V2 : kernel: lwsmd[8679]: segfault at 1 ip 00007fd22e6c06ec sp 00007fd226e4a8b0 error 4 in liblwmsg_nothr.so.0.0.0[7fd22e6af000+2b000]</t>
  </si>
  <si>
    <t>[Master=72280, 3.13.2 Zirkel] [Customer: Kinecta] HP-SMB crash in SrvBuildInterimResponse_SMB_V2 : kernel: lwsmd[8679]: segfault at 1 ip 00007fd22e6c06ec sp 00007fd226e4a8b0 error 4 in liblwmsg_nothr.so.0.0.0[7fd22e6af000+2b000]</t>
  </si>
  <si>
    <t>[Master=72280, 3.14.1 Asterix] [Customer: Kinecta] HP-SMB crash in SrvBuildInterimResponse_SMB_V2 : kernel: lwsmd[8679]: segfault at 1 ip 00007fd22e6c06ec sp 00007fd226e4a8b0 error 4 in liblwmsg_nothr.so.0.0.0[7fd22e6af000+2b000]</t>
  </si>
  <si>
    <t>[Master=59656, PPI-16C] [UDU131955] [Customer Raya Datacenter] A request to shutdown the VM may result in it rebooting instead (due to the workaround in bug 57150)</t>
  </si>
  <si>
    <t>1.1</t>
  </si>
  <si>
    <t>9500</t>
  </si>
  <si>
    <t>[Master] [Customer: Kinecta] HP-SMB stack crashes in lwmsg_object_is_zero () with lwsmd[13925]: segfault at c81134cd ip 00007f12280326ec sp 00007f12220688b0 error 4 in liblwmsg_nothr.so.0.0.0[7f1228021000+2b000]</t>
  </si>
  <si>
    <t>9499</t>
  </si>
  <si>
    <t>[Master] [Customer Kinecta]: lsass crash in malloc_consolidate() with lwsmd[21874] general protection ip:31da675f85 sp:7f9a9b5fd270 error:0 in libc-2.12.so[31da600000+18a000]</t>
  </si>
  <si>
    <t>[Master=72378, 63maint] [Customer Kinecta]: lsass crash in malloc_consolidate() with lwsmd[21874] general protection ip:31da675f85 sp:7f9a9b5fd270 error:0 in libc-2.12.so[31da600000+18a000]</t>
  </si>
  <si>
    <t>[Master=72378, 66maint] [Customer Kinecta]: lsass crash in malloc_consolidate() with lwsmd[21874] general protection ip:31da675f85 sp:7f9a9b5fd270 error:0 in libc-2.12.so[31da600000+18a000]</t>
  </si>
  <si>
    <t>[Master=72378, Atlas] [Customer Kinecta]: lsass crash in malloc_consolidate() with lwsmd[21874] general protection ip:31da675f85 sp:7f9a9b5fd270 error:0 in libc-2.12.so[31da600000+18a000]</t>
  </si>
  <si>
    <t>[Master=72378, Aurora] [Customer Kinecta]: lsass crash in malloc_consolidate() with lwsmd[21874] general protection ip:31da675f85 sp:7f9a9b5fd270 error:0 in libc-2.12.so[31da600000+18a000]</t>
  </si>
  <si>
    <t>[Master=72378, StoreOnce Ypsilon(SMB 6.5.x)] [Customer Kinecta]: lsass crash in malloc_consolidate() with lwsmd[21874] general protection ip:31da675f85 sp:7f9a9b5fd270 error:0 in libc-2.12.so[31da600000+18a000]</t>
  </si>
  <si>
    <t>[Master=72378, 3.13.2 Zirkel] [Customer Kinecta]: lsass crash in malloc_consolidate() with lwsmd[21874] general protection ip:31da675f85 sp:7f9a9b5fd270 error:0 in libc-2.12.so[31da600000+18a000]</t>
  </si>
  <si>
    <t>[Master=72378, 3.14.1 Asterix] [Customer Kinecta]: lsass crash in malloc_consolidate() with lwsmd[21874] general protection ip:31da675f85 sp:7f9a9b5fd270 error:0 in libc-2.12.so[31da600000+18a000]</t>
  </si>
  <si>
    <t>[Master=72371, 63maint] [Customer: Kinecta] HP-SMB stack crashes in lwmsg_object_is_zero () with lwsmd[13925]: segfault at c81134cd ip 00007f12280326ec sp 00007f12220688b0 error 4 in liblwmsg_nothr.so.0.0.0[7f1228021000+2b000]</t>
  </si>
  <si>
    <t>[Master=72371, 66maint] [Customer: Kinecta] HP-SMB stack crashes in lwmsg_object_is_zero () with lwsmd[13925]: segfault at c81134cd ip 00007f12280326ec sp 00007f12220688b0 error 4 in liblwmsg_nothr.so.0.0.0[7f1228021000+2b000]</t>
  </si>
  <si>
    <t>[Master=72371, Atlas] [Customer: Kinecta] HP-SMB stack crashes in lwmsg_object_is_zero () with lwsmd[13925]: segfault at c81134cd ip 00007f12280326ec sp 00007f12220688b0 error 4 in liblwmsg_nothr.so.0.0.0[7f1228021000+2b000]</t>
  </si>
  <si>
    <t>[Master=72371, Aurora] [Customer: Kinecta] HP-SMB stack crashes in lwmsg_object_is_zero () with lwsmd[13925]: segfault at c81134cd ip 00007f12280326ec sp 00007f12220688b0 error 4 in liblwmsg_nothr.so.0.0.0[7f1228021000+2b000]</t>
  </si>
  <si>
    <t>[Master=72371, StoreOnce Ypsilon(SMB 6.5.x)] [Customer: Kinecta] HP-SMB stack crashes in lwmsg_object_is_zero () with lwsmd[13925]: segfault at c81134cd ip 00007f12280326ec sp 00007f12220688b0 error 4 in liblwmsg_nothr.so.0.0.0[7f1228021000+2b000]</t>
  </si>
  <si>
    <t>[Master=72371, 3.13.2 Zirkel] [Customer: Kinecta] HP-SMB stack crashes in lwmsg_object_is_zero () with lwsmd[13925]: segfault at c81134cd ip 00007f12280326ec sp 00007f12220688b0 error 4 in liblwmsg_nothr.so.0.0.0[7f1228021000+2b000]</t>
  </si>
  <si>
    <t>[Master=72371, 3.14.1 Asterix] [Customer: Kinecta] HP-SMB stack crashes in lwmsg_object_is_zero () with lwsmd[13925]: segfault at c81134cd ip 00007f12280326ec sp 00007f12220688b0 error 4 in liblwmsg_nothr.so.0.0.0[7f1228021000+2b000]</t>
  </si>
  <si>
    <t>9520</t>
  </si>
  <si>
    <t>[Master] [Customer: Kinecta, Baxter] HP-SMB stack crash in swap_memcpy() with lwsmd[8734]: segfault at 1600000000 ip 00007f2aa9e12357 sp 00007f2aa2fa6a10 error 4 in liblwmsg_nothr.so.0.0.0[7f2aa9e0a000+2b000]</t>
  </si>
  <si>
    <t>govind.gupta@hpe.com</t>
  </si>
  <si>
    <t>[Master=72432, 63maint] [Customer: Kinecta] HP-SMB stack crash in swap_memcpy() with lwsmd[8734]: segfault at 1600000000 ip 00007f2aa9e12357 sp 00007f2aa2fa6a10 error 4 in liblwmsg_nothr.so.0.0.0[7f2aa9e0a000+2b000]</t>
  </si>
  <si>
    <t>[Master=72432, 66maint] [Customer: Kinecta] HP-SMB stack crash in swap_memcpy() with lwsmd[8734]: segfault at 1600000000 ip 00007f2aa9e12357 sp 00007f2aa2fa6a10 error 4 in liblwmsg_nothr.so.0.0.0[7f2aa9e0a000+2b000]</t>
  </si>
  <si>
    <t>[Master=72432, Atlas] [Customer: Kinecta] HP-SMB stack crash in swap_memcpy() with lwsmd[8734]: segfault at 1600000000 ip 00007f2aa9e12357 sp 00007f2aa2fa6a10 error 4 in liblwmsg_nothr.so.0.0.0[7f2aa9e0a000+2b000]</t>
  </si>
  <si>
    <t>[Master=72432, Aurora] [Customer: Kinecta, Baxter] HP-SMB stack crash in swap_memcpy() with lwsmd[8734]: segfault at 1600000000 ip 00007f2aa9e12357 sp 00007f2aa2fa6a10 error 4 in liblwmsg_nothr.so.0.0.0[7f2aa9e0a000+2b000]</t>
  </si>
  <si>
    <t>[Master=72432, StoreOnce Ypsilon(SMB 6.5.x)] [Customer: Kinecta] HP-SMB stack crash in swap_memcpy() with lwsmd[8734]: segfault at 1600000000 ip 00007f2aa9e12357 sp 00007f2aa2fa6a10 error 4 in liblwmsg_nothr.so.0.0.0[7f2aa9e0a000+2b000]</t>
  </si>
  <si>
    <t>[Master=72432, 3.13.2 Zirkel] [Customer: Kinecta] HP-SMB stack crash in swap_memcpy() with lwsmd[8734]: segfault at 1600000000 ip 00007f2aa9e12357 sp 00007f2aa2fa6a10 error 4 in liblwmsg_nothr.so.0.0.0[7f2aa9e0a000+2b000]</t>
  </si>
  <si>
    <t>[Master=72432, 3.14.1 Asterix] [Customer: Kinecta] HP-SMB stack crash in swap_memcpy() with lwsmd[8734]: segfault at 1600000000 ip 00007f2aa9e12357 sp 00007f2aa2fa6a10 error 4 in liblwmsg_nothr.so.0.0.0[7f2aa9e0a000+2b000]</t>
  </si>
  <si>
    <t>[Master=71325, Astra-1.1.0-Maint] [Customer: Kinecta FCU] Unable to migrate data from NetApp filer to File Persona SMB share</t>
  </si>
  <si>
    <t>[Master=72280, Astra-1.1.0-Maint] [Customer: Kinecta] HP-SMB crash in SrvBuildInterimResponse_SMB_V2 : kernel: lwsmd[8679]: segfault at 1 ip 00007fd22e6c06ec sp 00007fd226e4a8b0 error 4 in liblwmsg_nothr.so.0.0.0[7fd22e6af000+2b000]</t>
  </si>
  <si>
    <t>V1.1</t>
  </si>
  <si>
    <t>[Master=72371, Astra-1.1.0-Maint] [Customer: Kinecta] HP-SMB stack crashes in lwmsg_object_is_zero () with lwsmd[13925]: segfault at c81134cd ip 00007f12280326ec sp 00007f12220688b0 error 4 in liblwmsg_nothr.so.0.0.0[7f1228021000+2b000]</t>
  </si>
  <si>
    <t>[Master=72378, Astra-1.1.0-Maint] [Customer Kinecta]: lsass crash in malloc_consolidate() with lwsmd[21874] general protection ip:31da675f85 sp:7f9a9b5fd270 error:0 in libc-2.12.so[31da600000+18a000]</t>
  </si>
  <si>
    <t>[Master=72432, Astra-1.1.0-Maint] [Customer: Kinecta] HP-SMB stack crash in swap_memcpy() with lwsmd[8734]: segfault at 1600000000 ip 00007f2aa9e12357 sp 00007f2aa2fa6a10 error 4 in liblwmsg_nothr.so.0.0.0[7f2aa9e0a000+2b000]</t>
  </si>
  <si>
    <t>9499,9500,9520</t>
  </si>
  <si>
    <t>3.2.2.324-20151029.224512 (MU2)</t>
  </si>
  <si>
    <t>[Master=72544, Atlas] [Customer Kinecta]:lwsmd segfault during Roaming Profile Synch from 45 client sessions</t>
  </si>
  <si>
    <t>[Master=72544, Aurora] [Customer Kinecta]:lwsmd segfault during Roaming Profile Synch from 45 client sessions</t>
  </si>
  <si>
    <t>[Master] [Customer: Kinecta] Secondary HP-SMB stack crash in __strlen_sse2 with lwsmd[23911]: segfault at 0 ip 00000031da681171 sp 00007fb58f5fba68 error 4 in libc-2.12.so[31da600000+18a000]</t>
  </si>
  <si>
    <t>[Master=72606, 63maint] [Customer: Kinecta] Secondary HP-SMB stack crash in __strlen_sse2 with lwsmd[23911]: segfault at 0 ip 00000031da681171 sp 00007fb58f5fba68 error 4 in libc-2.12.so[31da600000+18a000]</t>
  </si>
  <si>
    <t>[Master=72606, 66maint] [Customer: Kinecta] Secondary HP-SMB stack crash in __strlen_sse2 with lwsmd[23911]: segfault at 0 ip 00000031da681171 sp 00007fb58f5fba68 error 4 in libc-2.12.so[31da600000+18a000]</t>
  </si>
  <si>
    <t>[Master=72606, Atlas] [Customer: Kinecta] Secondary HP-SMB stack crash in __strlen_sse2 with lwsmd[23911]: segfault at 0 ip 00000031da681171 sp 00007fb58f5fba68 error 4 in libc-2.12.so[31da600000+18a000]</t>
  </si>
  <si>
    <t>[Master=72606, Aurora] [Customer: Kinecta] Secondary HP-SMB stack crash in __strlen_sse2 with lwsmd[23911]: segfault at 0 ip 00000031da681171 sp 00007fb58f5fba68 error 4 in libc-2.12.so[31da600000+18a000]</t>
  </si>
  <si>
    <t>[Master=72606, StoreOnce Ypsilon(SMB 6.5.x)] [Customer: Kinecta] Secondary HP-SMB stack crash in __strlen_sse2 with lwsmd[23911]: segfault at 0 ip 00000031da681171 sp 00007fb58f5fba68 error 4 in libc-2.12.so[31da600000+18a000]</t>
  </si>
  <si>
    <t>[Master=72606, 3.14.1 Asterix] [Customer: Kinecta] Secondary HP-SMB stack crash in __strlen_sse2 with lwsmd[23911]: segfault at 0 ip 00000031da681171 sp 00007fb58f5fba68 error 4 in libc-2.12.so[31da600000+18a000]</t>
  </si>
  <si>
    <t>9559</t>
  </si>
  <si>
    <t>[Master] [Customer: United Center] segfault in decrypt_authenticator() with lwsmd[27625]: segfault at 0000000000000008 rip 00002abfdee622f4 rsp 000000006422fd50 error 4</t>
  </si>
  <si>
    <t>[Master=72673, 63maint] [Customer: United Center] segfault in decrypt_authenticator() with lwsmd[27625]: segfault at 0000000000000008 rip 00002abfdee622f4 rsp 000000006422fd50 error 4</t>
  </si>
  <si>
    <t>[Master=72673, 66maint] [Customer: United Center] segfault in decrypt_authenticator() with lwsmd[27625]: segfault at 0000000000000008 rip 00002abfdee622f4 rsp 000000006422fd50 error 4</t>
  </si>
  <si>
    <t>[Master=72673, Atlas] [Customer: United Center] segfault in decrypt_authenticator() with lwsmd[27625]: segfault at 0000000000000008 rip 00002abfdee622f4 rsp 000000006422fd50 error 4</t>
  </si>
  <si>
    <t>[Master=72673, Aurora] [Customer: United Center] segfault in decrypt_authenticator() with lwsmd[27625]: segfault at 0000000000000008 rip 00002abfdee622f4 rsp 000000006422fd50 error 4</t>
  </si>
  <si>
    <t>[Master=72673, StoreOnce Ypsilon(SMB 6.5.x)] [Customer: United Center] segfault in decrypt_authenticator() with lwsmd[27625]: segfault at 0000000000000008 rip 00002abfdee622f4 rsp 000000006422fd50 error 4</t>
  </si>
  <si>
    <t>[Master=72673, 3.13.2 Zirkel] [Customer: United Center] segfault in decrypt_authenticator() with lwsmd[27625]: segfault at 0000000000000008 rip 00002abfdee622f4 rsp 000000006422fd50 error 4</t>
  </si>
  <si>
    <t>ETA?</t>
  </si>
  <si>
    <t>[Master=72673, 3.14.1 Asterix] [Customer: United Center] segfault in decrypt_authenticator() with lwsmd[27625]: segfault at 0000000000000008 rip 00002abfdee622f4 rsp 000000006422fd50 error 4</t>
  </si>
  <si>
    <t>[Master=70570, Atlas] [Customer mobile.de] sn_sprint21-3 : Hazard c8 with multiple domains : khungtaskd panic</t>
  </si>
  <si>
    <t>girigoswami.sanjay@hpe.com</t>
  </si>
  <si>
    <t>[Master=70570, Bellatrix] [Customer: mobile.de] sn_sprint21-3 : Hazard c8 with multiple domains : khungtaskd panic</t>
  </si>
  <si>
    <t>shyamalendu.sarkar@hpe.com</t>
  </si>
  <si>
    <t>9675</t>
  </si>
  <si>
    <t>[Master=73572, Atlas] [Customer: Kinecta] Memory leak in lwio during data migration</t>
  </si>
  <si>
    <t>[Master=73572, Aurora] [Customer: Kinecta] Memory leak in lwio during data migration</t>
  </si>
  <si>
    <t>[Master=72544, Astra-1.1.0-Maint] [Customer Kinecta]:lwsmd segfault during Roaming Profile Synch from 45 client sessions</t>
  </si>
  <si>
    <t>9701</t>
  </si>
  <si>
    <t>9700</t>
  </si>
  <si>
    <t>[Customer UofNM] FireFox fails to start, cannot load XPCOM.</t>
  </si>
  <si>
    <t>CRB approved</t>
  </si>
  <si>
    <t>9707</t>
  </si>
  <si>
    <t>[Master] [Customer: Informatica Trentina] potential non-terminating loop in the rundown code: rpc.mountd[32718]: Caught signal 15, un-registering and exiting.</t>
  </si>
  <si>
    <t>[Master=73720, Atlas] [Customer: Informatica Trentina] potential non-terminating loop in the rundown code: rpc.mountd[32718]: Caught signal 15, un-registering and exiting.</t>
  </si>
  <si>
    <t>[Master=73720, Aurora] [Customer: Informatica Trentina] potential non-terminating loop in the rundown code: rpc.mountd[32718]: Caught signal 15, un-registering and exiting.</t>
  </si>
  <si>
    <t>99999</t>
  </si>
  <si>
    <t>4763826124[HPE SRL]-3.12.0/4500-Services Error resolved by SW upgrade to 3.13.0</t>
  </si>
  <si>
    <t>974108</t>
  </si>
  <si>
    <t>4763697912[GEICO]-3.13.0/4400-SS Failed to Start after upgrade to 3.13.0/SS restart fixed</t>
  </si>
  <si>
    <t>16597</t>
  </si>
  <si>
    <t>[Master=67806, Aurora] Httpd service monitoring is running on both the nodes (on a 4 node cluster) after performing FPG failover, even though http shares are not available on both the nodes of the cluster</t>
  </si>
  <si>
    <t>9663</t>
  </si>
  <si>
    <t>9871</t>
  </si>
  <si>
    <t>[Master] [Customer Rothschild] lwio crash during race condition to acquire the write lock</t>
  </si>
  <si>
    <t>thirumavalavan.srinivasan@hpe.com</t>
  </si>
  <si>
    <t>[Master=74611, Atlas] [Customer Rothschild] lwio crash during race condition to acquire the write lock</t>
  </si>
  <si>
    <t>[Master=74611, Aurora] [Customer Rothschild] lwio crash during race condition to acquire the write lock</t>
  </si>
  <si>
    <t>[Master=74611, 63maint] [Customer Rothschild] lwio crash during race condition to acquire the write lock</t>
  </si>
  <si>
    <t>day one</t>
  </si>
  <si>
    <t>[Master=74611, 66maint] [Customer Rothschild] lwio crash during race condition to acquire the write lock</t>
  </si>
  <si>
    <t>974685</t>
  </si>
  <si>
    <t>[Master=75889, Aurora] 4764351672[CEL Management Services Ltd]-3.11.7/4500-Likewise not running errors and segfault error</t>
  </si>
  <si>
    <t>9886</t>
  </si>
  <si>
    <t>[Master=73715, Atlas] [Customer: Informatica Trentina] nfs deadlock in nfsd3_proc_rename</t>
  </si>
  <si>
    <t>[Master=73715, Aurora] [Customer: Informatica Trentina] nfs deadlock in nfsd3_proc_rename</t>
  </si>
  <si>
    <t>[Master=74511, TS2.1 (Atlas)] [Customer: Keppel Fels, Kinecta, Army National Guard, Informatica Trentina, Colt Technologies, University of Chicago, Gilmore Printing] numerous page allocation failures reported in syslog</t>
  </si>
  <si>
    <t>[Master=74511, Aurora] [Customer: Keppel Fels, Kinecta] numerous page allocation failures reported in syslog</t>
  </si>
  <si>
    <t>[Master=74511, Avitus] [Customer: Keppel Fels, Kinecta] numerous page allocation failures reported in syslog</t>
  </si>
  <si>
    <t>[Master=74747, Atlas] [Customer: Kinecta] Error 1721:Not enough resources are available to complete this operation</t>
  </si>
  <si>
    <t>[Master=74747, Aurora] [Customer: Kinecta] Error 1721:Not enough resources are available to complete this operation</t>
  </si>
  <si>
    <t>10471</t>
  </si>
  <si>
    <t>[Master][Customer: SafeTech] Regression - Roaming Profile data not available. HP-SMB not allowing any new SMB connections - appears HP-SMB stack is hung</t>
  </si>
  <si>
    <t>1.2.0.51-20151217   3.2.2.356 (MU2)</t>
  </si>
  <si>
    <t>[Master=74808, Atlas] [Customer: SafeTech] Regression - Roaming Profile data not available. HP-SMB not allowing any new SMB connections - appears HP-SMB stack is hung</t>
  </si>
  <si>
    <t>[Master=74808, Aurora] [Customer: SafeTech] Possible Regression - Roaming Profile data not available. HP-SMB not allowing any new SMB connections - appears HP-SMB stack is hung</t>
  </si>
  <si>
    <t>[Master=74747, Astra-1.1.0-Maint] [Customer: Kinecta] Error 1721:Not enough resources are available to complete this operation</t>
  </si>
  <si>
    <t>[Master=65346, Atlas-1.2-Maint] [Customer: US Army National Guard] directory structure of FP share not displayed in windows explorer on Win7 64 client after upgrade to SP1</t>
  </si>
  <si>
    <t>[Master=71325, Atlas-1.2-Maint] [Customer: Kinecta FCU] Unable to migrate data from NetApp filer to File Persona SMB share</t>
  </si>
  <si>
    <t>[Master=74808, Atlas-1.2-Maint] [Customer: SafeTech] Possible Regression - Roaming Profile data not available. HP-SMB not allowing any new SMB connections - appears HP-SMB stack is hung</t>
  </si>
  <si>
    <t>[Master=73572, Atlas-1.2-Maint] [Customer: Kinecta] Memory leak in lwio during data migration</t>
  </si>
  <si>
    <t>Memory_Leak,Previous_Waiver</t>
  </si>
  <si>
    <t>[Master=73715, Atlas-1.2-Maint] [Customer: Informatica Trentina] nfs deadlock in nfsd3_proc_rename</t>
  </si>
  <si>
    <t>4765066848[KPMG]-3.12.1/4700-FS unavailable, repaired the same</t>
  </si>
  <si>
    <t>Unknown</t>
  </si>
  <si>
    <t>10004</t>
  </si>
  <si>
    <t>[Master] [Customer: Tata] Multiple UIDs present for the same user</t>
  </si>
  <si>
    <t>[Master=75304, Atlas-1.2-Maint] [Customer: Tata] Multiple UIDs present for the same user</t>
  </si>
  <si>
    <t>[Master=75304, Atlas] [Customer: Tata] Multiple UIDs present for the same user</t>
  </si>
  <si>
    <t>[Master=75304, Aurora] [Customer: Tata] Multiple UIDs present for the same user</t>
  </si>
  <si>
    <t>Escape,Previous_Waiver</t>
  </si>
  <si>
    <t>10008</t>
  </si>
  <si>
    <t>[UDU145764] [Customer: GIE FILHET ALLARD CHEZ SFR] after upgrade to 1.1, customer receives the following message once per minute: File Services Node:0:node3fs Failed</t>
  </si>
  <si>
    <t>PML-Hardware Monitor</t>
  </si>
  <si>
    <t>[Master=74511, Atlas-1.2-Maint] [Customer: Keppel Fels, Kinecta] numerous page allocation failures reported in syslog</t>
  </si>
  <si>
    <t>VDUOS 1.1.x</t>
  </si>
  <si>
    <t>[Master=67205, Aurora] [Customer: Wolfson Hospital,SafeTech,Baxter,Panasonic] HP-SMB stack crash on shutdown, SIGABRT with: lwio: [lwio] Failed to lock mutex: 22. Aborting program</t>
  </si>
  <si>
    <t>10049</t>
  </si>
  <si>
    <t>[Master] [Customer: SafeTech] Call to LWIO_ASSERT fails to result in daemon core file creation</t>
  </si>
  <si>
    <t>[Master=75113, 3.13.7 Zirkel] [Customer: Toshiba] Lost access to CIFS shares  lwsmd core files</t>
  </si>
  <si>
    <t>To Be Verified by Protocols Team.</t>
  </si>
  <si>
    <t>10061</t>
  </si>
  <si>
    <t>[Master=75877, Aurora] [Customer: SafeTech] ASSERTION FAILED: Expression = (!(((pSmbRequest-&gt;Flags) &amp; (0x00001)) != 0)) File Name = '../lwio/server/srv/protocols/smb2/libmain.c' Line Num = '888'</t>
  </si>
  <si>
    <t>[Master=75877, Atlas-1.2-Maint][Customer: SafeTech] ASSERTION FAILED: Expression = (!(((pSmbRequest-&gt;Flags) &amp; (0x00001)) != 0)) File Name = '../lwio/server/srv/protocols/smb2/libmain.c' Line Num = '888'</t>
  </si>
  <si>
    <t>[Master] [Customer: SafeTech] ASSERTION FAILED: Expression = (!(((pSmbRequest-&gt;Flags) &amp; (0x00001)) != 0)) File Name = '../lwio/server/srv/protocols/smb2/libmain.c' Line Num = '888'</t>
  </si>
  <si>
    <t>[Master=75885, Atlas-1.2-Maint][Customer: SafeTech] Call to LWIO_ASSERT fails to result in daemon core file creation</t>
  </si>
  <si>
    <t>[Master=75889, Atlas-1.2-Maint]4764351672[CEL Management Services Ltd]-3.11.7/4500-Likewise not running errors and segfault error</t>
  </si>
  <si>
    <t>[Master] 4764351672[CEL Management Services Ltd]-3.11.7/4500-Likewise not running errors and segfault error</t>
  </si>
  <si>
    <t>StoreOnce Xanadu(SMB 5.6x)</t>
  </si>
  <si>
    <t>[Master=75758, Atlas-1.2-Maint] [Customer: SafeTech] Call to LWIO_ASSERT fails to result in daemon core file creation</t>
  </si>
  <si>
    <t>[Master=75758, Aurora] [Customer: SafeTech] Call to LWIO_ASSERT fails to result in daemon core file creation</t>
  </si>
  <si>
    <t>[Master=75877, Atlas] [Customer: SafeTech] ASSERTION FAILED: Expression = (!(((pSmbRequest-&gt;Flags) &amp; (0x00001)) != 0)) File Name = '../lwio/server/srv/protocols/smb2/libmain.c' Line Num = '888'</t>
  </si>
  <si>
    <t>[Master=75848, Aurora] [Master=75877, Master] [Customer: SafeTech] ASSERTION FAILED: Expression = (!(((pSmbRequest-&gt;Flags) &amp; (0x00001)) != 0)) File Name = '../lwio/server/srv/protocols/smb2/libmain.c' Line Num = '888'</t>
  </si>
  <si>
    <t>[Master=74685, Atlas] [Master=75889, Atlas] 4764351672[CEL Management Services Ltd]-3.11.7/4500-Likewise not running errors and segfault error</t>
  </si>
  <si>
    <t>[Master=74685, Aurora] [Master=75889, Master] 4764351672[CEL Management Services Ltd]-3.11.7/4500-Likewise not running errors and segfault error</t>
  </si>
  <si>
    <t>10083</t>
  </si>
  <si>
    <t>[Master=76211, Atlas-1.2-Maint] [Customer: University of Chicago] AV enabled generates multiple semaphore calls per file impacting performance</t>
  </si>
  <si>
    <t>[Master=75889, 3.15.0 Botanix] 4764351672[CEL Management Services Ltd]-3.11.7/4500-Likewise not running errors and segfault error</t>
  </si>
  <si>
    <t>StoreOnce Xanadu</t>
  </si>
  <si>
    <t>[Master=75889, 3.13.X Zirkel Next] 4764351672[CEL Management Services Ltd]-3.11.7/4500-Likewise not running errors and segfault error</t>
  </si>
  <si>
    <t>[Master=75758, Atlas] [Customer: SafeTech] Call to LWIO_ASSERT fails to result in daemon core file creation</t>
  </si>
  <si>
    <t>OS-VDU OS 1.2</t>
  </si>
  <si>
    <t>[Master=66235, Aurora][Customer INFOSYS LIMITED] FPG Failed to RMFS when trying to umount when it was in use on the VM.</t>
  </si>
  <si>
    <t>[Master=76211, Atlas] [Customer: University of Chicago] AV enabled generates multiple semaphore calls per file impacting performance</t>
  </si>
  <si>
    <t>[Master=76211, Aurora] [Customer: University of Chicago] AV enabled generates multiple semaphore calls per file impacting performance</t>
  </si>
  <si>
    <t>1.1.0</t>
  </si>
  <si>
    <t>[Master=76211, Bellatrix] [Customer: University of Chicago] AV enabled generates multiple semaphore calls per file impacting performance</t>
  </si>
  <si>
    <t>NA</t>
  </si>
  <si>
    <t>[Master=67205, Atlas-1.2-Maint] [Customer: Wolfson Hospital,SafeTech,Baxter,Panasonic] HP-SMB stack crash on shutdown, SIGABRT with: lwio: [lwio] Failed to lock mutex: 22. Aborting program</t>
  </si>
  <si>
    <t>[Master=74611, Atlas-1.2-Maint] [Customer Rothschild] lwio crash during race condition to acquire the write lock</t>
  </si>
  <si>
    <t>[Master=74808, Atlas-1.2-Maint] [Customer: SafeTech] Regression - Roaming Profile data not available. HP-SMB not allowing any new SMB connections - appears HP-SMB stack is hung</t>
  </si>
  <si>
    <t>[Master=70716, 3.13.X Zirkel Next] 4652467833[Regionalmedien Austria AG]-3.12.1/4500-SS offline/restart fixed it</t>
  </si>
  <si>
    <t>StoreOnce Ypsilon</t>
  </si>
  <si>
    <t>10139</t>
  </si>
  <si>
    <t>[Master=76380, Atlas-1.2.2] [Customer: Sporting Index] Local Users created with "password never expires = no" as default</t>
  </si>
  <si>
    <t>[Master=76380, Aurora] [Customer: Sporting Index] Local Users created with "password never expires = no" as default</t>
  </si>
  <si>
    <t>10260</t>
  </si>
  <si>
    <t>[Master] [Customer: Centric Belgium] SMB not responding.  Crash-dump manually generated</t>
  </si>
  <si>
    <t>[Master=76402, Aurora] [Customer: Centric Belgium] SMB not responding.  Crash-dump manually generated</t>
  </si>
  <si>
    <t>Not Known</t>
  </si>
  <si>
    <t>10281</t>
  </si>
  <si>
    <t>Unity1.2</t>
  </si>
  <si>
    <t>[Master=76402, Atlas-1.2-Maint] [Customer: Centric Belgium] SMB not responding.  Crash-dump manually generated</t>
  </si>
  <si>
    <t>[Master=76497, Aurora][Customer: SafeTech]OOM Panic during Roaming Profile testing of 1.2 Maintenance kit</t>
  </si>
  <si>
    <t>[Master=74611, 3.15.0 Botanix] [Customer Rothschild] lwio crash during race condition to acquire the write lock</t>
  </si>
  <si>
    <t>[Master=74611, 3.13.7 Zirkel] [Customer Rothschild] lwio crash during race condition to acquire the write lock</t>
  </si>
  <si>
    <t>[Master=75758, Avitus] [Customer: SafeTech] Call to LWIO_ASSERT fails to result in daemon core file creation</t>
  </si>
  <si>
    <t>[Master=76841, Aurora] [Customer: NTTDataWare, Wolverine, Panasonic, TIS Inc.] lwio crashed with SIGSEGV because pFcB is zero.</t>
  </si>
  <si>
    <t>WIPRO, CRB requested</t>
  </si>
  <si>
    <t>Day 1 issue</t>
  </si>
  <si>
    <t>[Master=76841, Atlas-1.2-Maint] [Customer: NTTDataWare, Wolverine, Panasonic, TIS Inc.] lwio crashed with SIGSEGV because pFcB is zero.</t>
  </si>
  <si>
    <t>Atlas-1.1.0</t>
  </si>
  <si>
    <t>10225</t>
  </si>
  <si>
    <t>[Master] [Customer: Anuntatech] lwio hang followed by assert ASSERTION FAILED: Expression = (0) File Name = '../lwio/server/srv/protocols/api/replicate.c' Line Num = '401'</t>
  </si>
  <si>
    <t>[Master=76907, Aurora] [Customer: Anuntatech] lwio hang followed by assert ASSERTION FAILED: Expression = (0) File Name = '../lwio/server/srv/protocols/api/replicate.c' Line Num = '401'</t>
  </si>
  <si>
    <t>[Master=76907, Atlas-1.2-Maint] [Customer: Anuntatech] lwio hang followed by assert ASSERTION FAILED: Expression = (0) File Name = '../lwio/server/srv/protocols/api/replicate.c' Line Num = '401'</t>
  </si>
  <si>
    <t>first day issue</t>
  </si>
  <si>
    <t>[Master=77248, Atlas-1.2-Maint] [Customer RTP_Lisboa] VFS and shares inaccessible because of a failure to deactivate networking</t>
  </si>
  <si>
    <t>[Master=77248, Aurora] [Customer RTP_Lisboa] VFS and shares inaccessible because of a failure to deactivate networking</t>
  </si>
  <si>
    <t>[Master=77248, Avitus] [Customer RTP_Lisboa] VFS and shares inaccessible because of a failure to deactivate networking</t>
  </si>
  <si>
    <t>11065</t>
  </si>
  <si>
    <t>10354</t>
  </si>
  <si>
    <t>[Master=74611, Avitus] [Customer Rothschild] lwio crash during race condition to acquire the write lock</t>
  </si>
  <si>
    <t>10375</t>
  </si>
  <si>
    <t>[Master=77761, Aurora] [customer Wuerth] when user "helpdesk1" and group "helpdesk" exist in same domain, bad UPN generated causes confusion between the two in ACLs</t>
  </si>
  <si>
    <t>nandesh.palanisamy@hpe.com</t>
  </si>
  <si>
    <t>IDs On Disk</t>
  </si>
  <si>
    <t>10354,</t>
  </si>
  <si>
    <t>[Master=77745, Aurora] [Customer: SafeTech]  startfsnapclean fails with error: cannot enqueue after timer shutdown</t>
  </si>
  <si>
    <t>[Master=77745, Atlas-1.2-Maint] [Customer: SafeTech] startfsnapclean fails with error: cannot enqueue after timer shutdown</t>
  </si>
  <si>
    <t>[Master=77493, Aurora][Customer: Wuerth] fsct max user test failed on SMB share with ERROR lwsmd segfault, ade_idmapd failure and lwio auxiliary response.</t>
  </si>
  <si>
    <t>[Master=77493, Avitus][Customer: Wuerth] fsct max user test failed on SMB share with ERROR lwsmd segfault, ade_idmapd failure and lwio auxiliary response.</t>
  </si>
  <si>
    <t>[Master=71325, Avitus] [Customer: Kinecta FCU] Unable to migrate data from NetApp filer to File Persona SMB share</t>
  </si>
  <si>
    <t>10404</t>
  </si>
  <si>
    <t>10408</t>
  </si>
  <si>
    <t>[Master] [Customer: SafeTech] Unbound crond thread growth after PML restart</t>
  </si>
  <si>
    <t>[Master=77990, Aurora] [Customer: SafeTech] PML task queue repeatedly fills and PML repeatedly restarts</t>
  </si>
  <si>
    <t>tomer.meshorer@hpe.com</t>
  </si>
  <si>
    <t>1.3</t>
  </si>
  <si>
    <t>[Master=77990, Avitus] [Customer: SafeTech] PML task queue repeatedly fills and PML repeatedly restarts</t>
  </si>
  <si>
    <t>[Master][Customer: Precision Planning Inc,UNICC -International Computing Centre]Deletion of SMB share leaves the root directory in FStore, so subsequent deletion FStore fails</t>
  </si>
  <si>
    <t>Policy Store</t>
  </si>
  <si>
    <t>[Master=65346, Avitus] [Customer: US Army National Guard] directory structure of FP share not displayed in windows explorer on Win7 64 client after upgrade to SP1</t>
  </si>
  <si>
    <t>[Master=78012, Atlas-1.2-Maint] [Customer: SafeTech] Unbound crond thread growth after PML restart</t>
  </si>
  <si>
    <t>[Master=78012, Aurora] [Customer: SafeTech] Unbound crond thread growth after PML restart</t>
  </si>
  <si>
    <t>[Master=78012, Avitus] [Customer: SafeTech] Unbound crond thread growth after PML restart</t>
  </si>
  <si>
    <t>1.3_CantRep</t>
  </si>
  <si>
    <t>[Master=78193, Aurora][Customer: Precision Planning Inc,UNICC -International Computing Centre]Deletion of SMB share leaves the root directory in FStore, so subsequent deletion FStore fails</t>
  </si>
  <si>
    <t>[Master=78193, Avitus][Customer: Precision Planning Inc,UNICC -International Computing Centre]Deletion of SMB share leaves the root directory in FStore, so subsequent deletion FStore fails</t>
  </si>
  <si>
    <t>[Master=78423, Aurora] [Customer: SafeTech] localauth threads non responsive, throwing the following: WARNING: Pending request: 127.127.0.2  GET  /hp/rest/provisioning/c4c68832-7505-4ca9-a00f-b78b35e047e2/system/localauth/user  3350sec</t>
  </si>
  <si>
    <t>[Master=78423, Avitus] [Customer: SafeTech] localauth threads non responsive, throwing the following: WARNING: Pending request: 127.127.0.2  GET  /hp/rest/provisioning/c4c68832-7505-4ca9-a00f-b78b35e047e2/system/localauth/user  3350sec</t>
  </si>
  <si>
    <t>10483</t>
  </si>
  <si>
    <t>[Master] [Customer: SafeTech] PML throws multiple errors per day: SEVERE: Error executing command com.hp.storage.pml.file.ldap.impl.model.commands.LdapConfigurationCommand@5cb050cb    ldapConfiguration= LdapConfiguration</t>
  </si>
  <si>
    <t>ritika.sao@hpe.com</t>
  </si>
  <si>
    <t>10484</t>
  </si>
  <si>
    <t>[UDU143922] [Customer: SafeTech] numerous PML plugins throwing a warning that they "did not authenticate"</t>
  </si>
  <si>
    <t>[Master=78501, Aurora] [Customer: SafeTech] PML throws multiple of the following errors per day: SEVERE: Error executing command com.hp.storage.pml.file.ldap.impl.model.commands.LdapConfigurationCommand@5cb050cb    ldapConfiguration= LdapConfiguration</t>
  </si>
  <si>
    <t>[Master=78501, Avitus] [Customer: SafeTech] PML throws multiple of the following errors per day: SEVERE: Error executing command com.hp.storage.pml.file.ldap.impl.model.commands.LdapConfigurationCommand@5cb050cb    ldapConfiguration= LdapConfiguration</t>
  </si>
  <si>
    <t>10489</t>
  </si>
  <si>
    <t>10491</t>
  </si>
  <si>
    <t>[Master] [Customer: SafeTech] PML monitor fails to start with: SEVERE: starting pml monitor - Execution of command .... failed command (bash -c /usr/local/pml//bin//pml_monitor status) status (180) output:</t>
  </si>
  <si>
    <t>ramani@hpe.com</t>
  </si>
  <si>
    <t>atlas</t>
  </si>
  <si>
    <t>10490</t>
  </si>
  <si>
    <t>[Master] [Customer BT] Domain is offline but authentication requests are processed and domain online occurs without checking well known SIDs</t>
  </si>
  <si>
    <t>6.6.1</t>
  </si>
  <si>
    <t>[Master=78519, Aurora] [Customer BT] Domain is offline but authentication requests are processed and domain online occurs without checking well known SIDs</t>
  </si>
  <si>
    <t>[Master=78519, Avitus] [Customer BT] Domain is offline but authentication requests are processed and domain online occurs without checking well known SIDs</t>
  </si>
  <si>
    <t>[Master=78519, 66maint] [Customer BT] Domain is offline but authentication requests are processed and domain online occurs without checking well known SIDs</t>
  </si>
  <si>
    <t>[Master=78519, 63maint] [Customer BT] Domain is offline but authentication requests are processed and domain online occurs without checking well known SIDs</t>
  </si>
  <si>
    <t>[Master=78515, Avitus] [Customer: SafeTech] Multiple PML plugins failed to stop on PML shutdown with:  SEVERE: Can't stop component Snapshot service Component: java.lang.NullPointerException</t>
  </si>
  <si>
    <t>[Master=78515, Aurora] [Customer: SafeTech] Multiple PML plugins failed to stop on PML shutdown with:  SEVERE: Can't stop component Snapshot service Component: java.lang.NullPointerException</t>
  </si>
  <si>
    <t>[Master=78515, Atlas-1.2-Maint] [Customer: SafeTech] Multiple PML plugins failed to stop on PML shutdown with:  SEVERE: Can't stop component Snapshot service Component: java.lang.NullPointerException</t>
  </si>
  <si>
    <t>[Master] [Customer: SafeTech] Protocol PML plugins failed to stop on PML shutdown with: SEVERE: Can't stop component Snapshot service Component: java.lang.NullPointerException-LocalAuth</t>
  </si>
  <si>
    <t>[Master][Customer: SafeTech] Need better messaging (alert) when data is unavailable due to time sources being out of sync</t>
  </si>
  <si>
    <t>4/6: Looking to improve NTP related documentation. Should component change to DOCUMENTATION?  3/6: Matt to look at. 2/6: Matt to provide Tom some details. 2/2: Matt is creating Trunk clone for fix. 1/30: Avitus clone still open.</t>
  </si>
  <si>
    <t>10216</t>
  </si>
  <si>
    <t>[Master=75345, Bellatrix] core dump occurring due to NMI Watchdog activation due to deadlocked ibrix worker process on 3.13.1</t>
  </si>
  <si>
    <t>Multi Node</t>
  </si>
  <si>
    <t>3.13.1?</t>
  </si>
  <si>
    <t>[Master=78517, Aurora] [Customer: SafeTech] PML monitor fails to start with: SEVERE: starting pml monitor - Execution of command .... failed command (bash -c /usr/local/pml//bin//pml_monitor status) status (180) output:</t>
  </si>
  <si>
    <t>[Master=78517, Avitus] [Customer: SafeTech] PML monitor fails to start with: SEVERE: starting pml monitor - Execution of command .... failed command (bash -c /usr/local/pml//bin//pml_monitor status) status (180) output:</t>
  </si>
  <si>
    <t>Not for 1.4-Maint backport</t>
  </si>
  <si>
    <t>[Master=78517, Atlas-1.2-Maint] [Customer: SafeTech] PML monitor fails to start with: SEVERE: starting pml monitor - Execution of command .... failed command (bash -c /usr/local/pml//bin//pml_monitor status) status (180) output:</t>
  </si>
  <si>
    <t>[Master=77990, Atlas-1.2-Maint] [Customer: SafeTech] PML task queue repeatedly fills and PML repeatedly restarts</t>
  </si>
  <si>
    <t>[Master=78423, Atlas-1.2-Maint] [Customer: SafeTech] localauth threads non responsive, throwing the following: WARNING: Pending request: 127.127.0.2  GET  /hp/rest/provisioning/c4c68832-7505-4ca9-a00f-b78b35e047e2/system/localauth/user  3350sec</t>
  </si>
  <si>
    <t>[Master=78519, Atlas-1.2-Maint] [Customer BT] Domain is offline but authentication requests are processed and domain online occurs without checking well known SIDs</t>
  </si>
  <si>
    <t>[Master=61336, Atlas-1.2-Maint] [Customer: DFA / Dept. of Arkansas] Lost access to CIFS shares</t>
  </si>
  <si>
    <t>6.5 Ghost</t>
  </si>
  <si>
    <t>[Master=77761, Atlas-1.2-Maint] [customer Wuerth] when user "helpdesk1" and group "helpdesk" exist in same domain, bad UPN generated causes confusion between the two in ACLs</t>
  </si>
  <si>
    <t>[Master=78501, Atlas-1.2-Maint] [Customer: SafeTech] PML throws multiple errors per day: SEVERE: Error executing command com.hp.storage.pml.file.ldap.impl.model.commands.LdapConfigurationCommand@5cb050cb    ldapConfiguration= LdapConfiguration</t>
  </si>
  <si>
    <t>Astra 1.1</t>
  </si>
  <si>
    <t>[Master] [Customer: HPE] Size on disk reported incorrectly over SMB 3.0</t>
  </si>
  <si>
    <t>66maint</t>
  </si>
  <si>
    <t>[Master=78858, Aurora] [Customer: HPE] Size on disk reported incorrectly over SMB 3.0</t>
  </si>
  <si>
    <t>[Master=78858, Avitus] [Customer: HPE] Size on disk reported incorrectly over SMB 3.0</t>
  </si>
  <si>
    <t>10537</t>
  </si>
  <si>
    <t>[Master] [Customer: SafeTech] Thousands of service protocolinterfaced restart failed messages generated per day: SEVERE: service protocolinterfaced start 3493 generated 127 error code.</t>
  </si>
  <si>
    <t>justin.venegas@hpe.com</t>
  </si>
  <si>
    <t>1.3.0 April 2016</t>
  </si>
  <si>
    <t>[Master=78858, 66maint] [Customer: HPE] Size on disk reported incorrectly over SMB 3.0</t>
  </si>
  <si>
    <t>[Master=78858, 63maint] [Customer: HPE] Size on disk reported incorrectly over SMB 3.0</t>
  </si>
  <si>
    <t>6.5.x (Ghost Patch)</t>
  </si>
  <si>
    <t>[Master=78858, 3.15.0 Botanix] [Customer: HPE] Size on disk reported incorrectly over SMB 3.0</t>
  </si>
  <si>
    <t>63maint</t>
  </si>
  <si>
    <t>[Master=78858, 3.13.7 Zirkel] [Customer: HPE] Size on disk reported incorrectly over SMB 3.0</t>
  </si>
  <si>
    <t>6.3maint</t>
  </si>
  <si>
    <t>[Master=78873, Aurora] [Customer: SafeTech] Thousands of service protocolinterfaced restart failed messages generated per day: SEVERE: service protocolinterfaced start 3493 generated 127 error code.</t>
  </si>
  <si>
    <t>[Master=78873, Avitus] [Customer: SafeTech] Thousands of service protocolinterfaced restart failed messages generated per day: SEVERE: service protocolinterfaced start 3493 generated 127 error code.</t>
  </si>
  <si>
    <t>[Master=78730, Aurora] [Customer: SafeTech] Protocol PML plugins failed to stop on PML shutdown with: SEVERE: Can't stop component Snapshot service Component: java.lang.NullPointerException-LocalAuth</t>
  </si>
  <si>
    <t>[Master=78730, Avitus] [Customer: SafeTech] Protocol PML plugins failed to stop on PML shutdown with: SEVERE: Can't stop component Snapshot service Component: java.lang.NullPointerException-LocalAuth</t>
  </si>
  <si>
    <t>11379</t>
  </si>
  <si>
    <t>[Master] [Customer JSC Kor Standard Bank] Group Managed Service account (gMSA) didnt work when SMB2/3 disabled</t>
  </si>
  <si>
    <t>Review completed, ready to checkin</t>
  </si>
  <si>
    <t>[Master=79031, Aurora] [Customer: Sjofartsverket] lwio throws an assert in InotifySetFcbMask()</t>
  </si>
  <si>
    <t>[Master=79031, Avitus] [Customer: Sjofartsverket] lwio throws an assert in InotifySetFcbMask()</t>
  </si>
  <si>
    <t>[Master=79021, 3.16.0 Cacophonix] [Customer JSC Kor Standard Bank] Group Managed Service account (gMSA) didnt work when SMB2/3 disabled</t>
  </si>
  <si>
    <t>[Master=78742, PPI-16C] Need better messaging (alert) when data is unavailable due to time sources being out of sync</t>
  </si>
  <si>
    <t>[Master=78742, Aurora] [Customer: SafeTech] Need better messaging (alert) when data is unavailable due to time sources being out of sync</t>
  </si>
  <si>
    <t>1/9: Scott to check if should remove WAIVER status on this.</t>
  </si>
  <si>
    <t>[Master=78742, Atlas-1.2-Maint] [Customer: SafeTech] Need better messaging (alert) when data is unavailable due to time sources being out of sync</t>
  </si>
  <si>
    <t>[Master=78873, Atlas-1.2-Maint] [Customer: SafeTech] Thousands of service protocolinterfaced restart failed messages generated per day: SEVERE: service protocolinterfaced start 3493 generated 127 error code.</t>
  </si>
  <si>
    <t>[Master=79031, Atlas-1.2-Maint] [Customer: Sjofartsverket] lwio throws an assert in InotifySetFcbMask()</t>
  </si>
  <si>
    <t>10631</t>
  </si>
  <si>
    <t>[Master] [Customer: SafeTech] HPE-SMB hang in kernel space in __isolate_lru_page() and isolate_lru_pages()</t>
  </si>
  <si>
    <t>6/27: Still waiting on a repro</t>
  </si>
  <si>
    <t>[Master=79538, Aurora] [Customer: SafeTech] HPE-SMB hang in kernel space in __isolate_lru_page() and isolate_lru_pages()</t>
  </si>
  <si>
    <t>[Master=79538, Avitus] [Customer: SafeTech] HPE-SMB hang in kernel space in __isolate_lru_page() and isolate_lru_pages()</t>
  </si>
  <si>
    <t>10688</t>
  </si>
  <si>
    <t>[Master=67205, Avitus] [Customer: Wolfson Hospital,SafeTech,Baxter,Panasonic] HP-SMB stack crash on shutdown, SIGABRT with: lwio: [lwio] Failed to lock mutex: 22. Aborting program</t>
  </si>
  <si>
    <t>10652</t>
  </si>
  <si>
    <t>[Master] [Customer: Nuevo Pudahuel] [UDU 163025] After upgrade to 1.2.1 a new share named [international data] appears and cannot be deleted</t>
  </si>
  <si>
    <t>Atlas 1.2.1</t>
  </si>
  <si>
    <t>[Master] [Customer: SafeTech] service monitor should be enhanced to attempt to communicate with the daemon prior to reporting its status</t>
  </si>
  <si>
    <t>[Master=79838, Aurora] [Customer: SafeTech] service monitor should be enhanced to attempt to communicate with the daemon prior to reporting its status</t>
  </si>
  <si>
    <t>[Master=79838, Avitus] [Customer: SafeTech] service monitor should be enhanced to attempt to communicate with the daemon prior to reporting its status</t>
  </si>
  <si>
    <t>[Master=79837, Aurora] [Customer: Nuevo Pudahuel] [UDU 163025] After upgrade to 1.2.1 a new share named [international data] appears and cannot be deleted</t>
  </si>
  <si>
    <t>[Master=79837, Avitus] [Customer: Nuevo Pudahuel][UDU 163025] After upgrade to 1.2.1 a new share named [international data] appears and cannot be deleted</t>
  </si>
  <si>
    <t>[Master=79760, Avitus] [Wuerth]Intermittent failure in scheduled snapshots/ snapshot reclamation</t>
  </si>
  <si>
    <t>[Master=79760, Aurora] [Wuerth]Intermittent failure in scheduled snapshots/ snapshot reclamation</t>
  </si>
  <si>
    <t>[Master=79760, Atlas-1.2-Maint] [Wuerth]Intermittent failure in scheduled snapshots/ snapshot reclamation</t>
  </si>
  <si>
    <t>10707</t>
  </si>
  <si>
    <t>[Master=80257, Aurora] [Customer: Centric Belgium] lwio segfault in LwInterlockedDecrement()</t>
  </si>
  <si>
    <t>[Master=80257, Avitus] [Customer: Centric Belgium] lwio segfault in LwInterlockedDecrement()</t>
  </si>
  <si>
    <t>vishal.goel@hpe.com</t>
  </si>
  <si>
    <t>10750</t>
  </si>
  <si>
    <t>[Master] [Customer: MEDIAHUIS] HP-SMB core files, lost access to NAS shares</t>
  </si>
  <si>
    <t>[Master=78193, Atlas-1.2-Maint] [Customer: Precision Planning Inc,UNICC -International Computing Centre]Deletion of SMB share leaves the root directory in FStore, so subsequent deletion FStore fails</t>
  </si>
  <si>
    <t>10815</t>
  </si>
  <si>
    <t>[Master] [Customer: Baxter Pharmaceuticals]  [lwio] LwMapSecurityGetSidFromUpnName() Warning:  low.zoon.keong@BAXALTA.COM, ntError = 0xc0000001 warnings thrown many times after upgrade to 1.2.1</t>
  </si>
  <si>
    <t>[Master=81155, Aurora] [Customer: Baxter Pharmaceuticals]  [lwio] LwMapSecurityGetSidFromUpnName() Warning:  low.zoon.keong@BAXALTA.COM, ntError = 0xc0000001 warnings thrown many times after upgrade to 1.2.1</t>
  </si>
  <si>
    <t>[Master=81155, Avitus] [Customer: Baxter Pharmaceuticals]  [lwio] LwMapSecurityGetSidFromUpnName() Warning:  low.zoon.keong@BAXALTA.COM, ntError = 0xc0000001 warnings thrown many times after upgrade to 1.2.1</t>
  </si>
  <si>
    <t>[Master=79538, Atlas-1.2-Maint] [Customer: SafeTech] HPE-SMB hang in kernel space in __isolate_lru_page() and isolate_lru_pages()</t>
  </si>
  <si>
    <t>10/3: Should we close as WONT FIX by 10/15 if no comments to the contrary?</t>
  </si>
  <si>
    <t>[Master=81155, Atlas-1.2-Maint] [Customer: Baxter Pharmaceuticals]  [lwio] LwMapSecurityGetSidFromUpnName() Warning:  low.zoon.keong@BAXALTA.COM, ntError = 0xc0000001 warnings thrown many times after upgrade to 1.2.1</t>
  </si>
  <si>
    <t>[Master=80257, Atlas-1.2-Maint] [Customer: Centric Belgium] lwio segfault in LwInterlockedDecrement()</t>
  </si>
  <si>
    <t>[Master=61336, 3.16.0 Cacophonix] [Customer: DFA / Dept. of Arkansas] Lost access to CIFS shares</t>
  </si>
  <si>
    <t>75113</t>
  </si>
  <si>
    <t>[Master=75113, 3.16.0 Cacophonix] [Customer: Toshiba] Lost access to CIFS shares  lwsmd core files</t>
  </si>
  <si>
    <t>[Master=78858, 3.16.0 Cacophonix] [Customer: HPE] Size on disk reported incorrectly over SMB 3.0</t>
  </si>
  <si>
    <t>[Master=78730, Atlas-1.2-Maint] [Customer: SafeTech] Protocol PML plugins failed to stop on PML shutdown with: SEVERE: Can't stop component Snapshot service Component: java.lang.NullPointerException-LocalAuth</t>
  </si>
  <si>
    <t>Atlas 1.1.0</t>
  </si>
  <si>
    <t>10905</t>
  </si>
  <si>
    <t>[Master] [Customer: Baxter Pharmaceuticals] lwio responding to Create requests from clients with STATUS_PENDING resulting in a serious performance impact for customer</t>
  </si>
  <si>
    <t>[Master] [Customer: Baxter Pharmaceuticals] Error SEVERE: Error reading key\value Services\lwio\Parameters\Drivers\ibfs\AllowSymlinks ERROR: 40700 thrown on HPE-SMB restart</t>
  </si>
  <si>
    <t>[Master=81922, Aurora] [Customer: Baxter Pharmaceuticals] Error SEVERE: Error reading key\value Services\lwio\Parameters\Drivers\ibfs\AllowSymlinks ERROR: 40700 thrown on HPE-SMB restart</t>
  </si>
  <si>
    <t>Astra-1.2.1</t>
  </si>
  <si>
    <t>[Master=81922, Avitus] [Customer: Baxter Pharmaceuticals] Error SEVERE: Error reading key\value Services\lwio\Parameters\Drivers\ibfs\AllowSymlinks ERROR: 40700 thrown on HPE-SMB restart</t>
  </si>
  <si>
    <t>[Master=81920, Aurora] [Customer: Baxter Pharmaceuticals] lwio responding to Create requests from clients with STATUS_PENDING resulting in a serious performance impact for customer</t>
  </si>
  <si>
    <t>IDs On Disk will address</t>
  </si>
  <si>
    <t>[Master=81920, Avitus] [Customer: Baxter Pharmaceuticals] lwio responding to Create requests from clients with STATUS_PENDING resulting in a serious performance impact for customer</t>
  </si>
  <si>
    <t>10938</t>
  </si>
  <si>
    <t>[Master] [Customer: Baxter, Colt] lwio consumes all available CPU cores, work mostly consists of reads and writes in kernel space</t>
  </si>
  <si>
    <t xml:space="preserve">IDs on Disk </t>
  </si>
  <si>
    <t>[Master=82156, Aurora] [Customer: Baxter, Colt] lwio consumes all available CPU cores, work mostly consists of reads and writes in kernel space</t>
  </si>
  <si>
    <t>[Master=82156, Avitus] [Customer: Baxter, Colt] lwio consumes all available CPU cores, work mostly consists of reads and writes in kernel space</t>
  </si>
  <si>
    <t>IDs on Disk</t>
  </si>
  <si>
    <t>Unity 1.1</t>
  </si>
  <si>
    <t>[Master=72432, Avitus] [Customer: Kinecta, Baxter] HP-SMB stack crash in swap_memcpy() with lwsmd[8734]: segfault at 1600000000 ip 00007f2aa9e12357 sp 00007f2aa2fa6a10 error 4 in liblwmsg_nothr.so.0.0.0[7f2aa9e0a000+2b000]</t>
  </si>
  <si>
    <t>[Master=72432, Atlas-1.2-Maint] [Customer: Kinecta, Baxter] HP-SMB stack crash in swap_memcpy() with lwsmd[8734]: segfault at 1600000000 ip 00007f2aa9e12357 sp 00007f2aa2fa6a10 error 4 in liblwmsg_nothr.so.0.0.0[7f2aa9e0a000+2b000]</t>
  </si>
  <si>
    <t>[Master=82252, Aurora] [Customer: Baxter] netlogon crashes resulting in loss of AD access</t>
  </si>
  <si>
    <t>[Master=82252, Avitus] [Customer: Baxter] netlogon crashes resulting in loss of AD access</t>
  </si>
  <si>
    <t>11139</t>
  </si>
  <si>
    <t>11198</t>
  </si>
  <si>
    <t>[Master] [Customer: SAIC, County of Orange, Elliott Mangement] Write errors on CIFS shares after upgrade to Zirkel 3</t>
  </si>
  <si>
    <t>3.13.2 Zirkel</t>
  </si>
  <si>
    <t>[Master=82495, Aurora] [Customer: Wuerth] SMB(lwsmd) services getting restarted after 20 hours of continuous of IO run</t>
  </si>
  <si>
    <t>[Master=82495, Avitus] [Customer: Wuerth] SMB(lwsmd) services getting restarted after 20 hours of continuous of IO run</t>
  </si>
  <si>
    <t>[Master=82495, Atlas-1.2-Maint][Customer: Wuerth]SMB(lwsmd) services getting restarted after 20 hours of continuous of IO run</t>
  </si>
  <si>
    <t>[Master=81920, Atlas-1.2-Maint] [Customer: Baxter Pharmaceuticals] lwio responding to Create requests from clients with STATUS_PENDING resulting in a serious performance impact for customer</t>
  </si>
  <si>
    <t>kari.kechter@hpe.com</t>
  </si>
  <si>
    <t>[Master=82156, Atlas-1.2-Maint] [Customer: Baxter, Colt] lwio consumes all available CPU cores, work mostly consists of reads and writes in kernel space</t>
  </si>
  <si>
    <t>[Master=69932, Atlas-1.2-Maint] [Customer: Baxter Pharmaceuticals] Multiple "Failed to read registry key" errors in /var/log/pml/smb_rpc.log after node failover</t>
  </si>
  <si>
    <t>[Master=82252, Atlas-1.2-Maint] [Customer: Baxter] netlogon crashes resulting in loss of AD access</t>
  </si>
  <si>
    <t>[Master=77493, Atlas-1.2-Maint][Customer: Wuerth] fsct max user test failed on SMB share with ERROR lwsmd segfault, ade_idmapd failure and lwio auxiliary response.</t>
  </si>
  <si>
    <t>Atlas-1.2</t>
  </si>
  <si>
    <t>[Master=83333, Aurora] [Customer: Wuerth] memory leak in slabs results in kernel panic: out of memory</t>
  </si>
  <si>
    <t>[Master=83333, Atlas-1.2-Maint] [Customer: Wuerth] 446 java threads in hung state caused kernel panic: out of memory</t>
  </si>
  <si>
    <t>Snaps-Utilities</t>
  </si>
  <si>
    <t>[Master] [Customer: Wuerth]Multiple lwsmd core files on node0fs after installing hp-smb-7.0.UNITY.Unity1.2_20160519-0.x86_64.rpm</t>
  </si>
  <si>
    <t>[Master=83643, Aurora] [Customer: Wuerth]Multiple lwsmd core files on node0fs after installing hp-smb-7.0.UNITY.Unity1.2_20160519-0.x86_64.rpm</t>
  </si>
  <si>
    <t>[Master=83643, Avitus] [Customer: Wuerth]Multiple lwsmd core files on node0fs after installing hp-smb-7.0.UNITY.Unity1.2_20160519-0.x86_64.rpm</t>
  </si>
  <si>
    <t>[Master=83643, Atlas-1.2-Maint] [Customer: Wuerth]Multiple lwsmd core files on node0fs after installing hp-smb-7.0.UNITY.Unity1.2_20160519-0.x86_64.rpm</t>
  </si>
  <si>
    <t>Atlas-1.2.1 special rpm</t>
  </si>
  <si>
    <t>.</t>
  </si>
  <si>
    <t>[Master=82531, 66maint] [Customer: SAIC, County of Orange, Elliott Mangement] Write errors on CIFS shares after upgrade to Zirkel 3</t>
  </si>
  <si>
    <t>11160</t>
  </si>
  <si>
    <t>[Master=83864, Avitus] [Customer: Wuerth] Snapshot plugin will not set MAXSPEED strategy.</t>
  </si>
  <si>
    <t>[Master=83864, Aurora] [Customer: Wuerth] Snapshot plugin will not set MAXSPEED strategy.</t>
  </si>
  <si>
    <t>calvin.chuang@hpe.com</t>
  </si>
  <si>
    <t>[Master=83864, Atlas-1.2-Maint] [Customer: Wuerth] Snapshot plugin will not set MAXSPEED strategy.</t>
  </si>
  <si>
    <t>[Master=83715, Aurora] [Customer mobile.de] nfsd-deadlock khungtask, vmcore manually generated</t>
  </si>
  <si>
    <t>sushant.singh@hpe.com</t>
  </si>
  <si>
    <t>Unity_Atlas_1.2.1</t>
  </si>
  <si>
    <t>[Master=83715, Atlas-1.2-Maint] [Customer mobile.de] nfsd-deadlock khungtask, vmcore manually generated</t>
  </si>
  <si>
    <t>[Master=83715, Bellatrix] [Customer mobile.de] nfsd-deadlock khungtask, vmcore manually generated</t>
  </si>
  <si>
    <t>[Master][Customer INFOSYS LIMITED] Fpg deletion failed with error "failed to deactivate completely (RMFS failed)"node7fs, likely because FPG is busy" during setfpg -deactivate.</t>
  </si>
  <si>
    <t>[Master=75113, Avitus] [Customer: Toshiba] Lost access to CIFS shares  lwsmd core files</t>
  </si>
  <si>
    <t>[Master] [Customer INFOSYS LIMITED] failed to umount file system by error on RMFS during setfpg -deactivate</t>
  </si>
  <si>
    <t>[Master=82531, 3.13.7 Zirkel] [Customer: SAIC, County of Orange, Elliott Mangement] Write errors on CIFS shares after upgrade to Zirkel 3</t>
  </si>
  <si>
    <t>[Master=70570, Atlas-1.2-Maint] [Customer: mobile.de]  sn_sprint21-3 : Hazard c8 with multiple domains : khungtaskd panic</t>
  </si>
  <si>
    <t>[Master=77469, Atlas-1.2-Maint] [Cutomer: BELL CANADA, TGT.128218-ALCALA DE HENARES,,MADRID] When writing and deleting large amounts of data, CPG free space is consumed faster than expected, requiring purchase of additional storage earlier</t>
  </si>
  <si>
    <t>[Master=77469, Aurora] [Cutomer: Edelweiss Web Svcs Ltd, BELL CANADA, TGT.128218-ALCALA DE HENARES,,MADRID] When writing and deleting large amounts of data, CPG free space is consumed faster than expected, requiring purchase of additional storage earlier</t>
  </si>
  <si>
    <t>[Master=77469, Avitus] [Cutomer: BELL CANADA, TGT.128218-ALCALA DE HENARES,,MADRID] When writing and deleting large amounts of data, CPG free space is consumed faster than expected, requiring purchase of additional storage earlier</t>
  </si>
  <si>
    <t>Day 1 behavior</t>
  </si>
  <si>
    <t>11307</t>
  </si>
  <si>
    <t>[Master] [Customer: Wolverine] lwio segfault in LwInterlockedIncrement()</t>
  </si>
  <si>
    <t>[Master=79538, Trunk] [Customer: SafeTech] HPE-SMB hang in kernel space in __isolate_lru_page() and isolate_lru_pages()</t>
  </si>
  <si>
    <t>7/11: Waiting for a repro. 6/27: Asking for repro in Master.  Orig issue seen on Atlas (TS2.1)</t>
  </si>
  <si>
    <t>[Master=59656, Trunk] [UDU131955] [Customer Raya Datacenter] A request to shutdown the VM may result in it rebooting instead (due to the workaround in bug 57150)</t>
  </si>
  <si>
    <t>OS-VDU OS 1.3</t>
  </si>
  <si>
    <t>[Master=84465, Aurora] [Customer INFOSYS LIMITED] failed to umount file system by error on RMFS during setfpg -deactivate</t>
  </si>
  <si>
    <t>[Master=84465, Avitus] [Customer INFOSYS LIMITED] failed to umount file system by error on RMFS during setfpg -deactivate</t>
  </si>
  <si>
    <t>[Master=84465, Atlas-1.2-Maint] [Customer INFOSYS LIMITED] failed to umount file system by error on RMFS during setfpg -deactivate</t>
  </si>
  <si>
    <t>[Master=84814, Aurora] [Customer: Wolverine] lwio segfault in LwInterlockedIncrement()</t>
  </si>
  <si>
    <t>[Master=84814, Avitus] [Customer: Wolverine] lwio segfault in LwInterlockedIncrement()</t>
  </si>
  <si>
    <t>[Master=84814, Atlas-1.2-Maint] [Customer: Wolverine] lwio segfault in LwInterlockedIncrement()</t>
  </si>
  <si>
    <t>18279</t>
  </si>
  <si>
    <t>[Master=76841, Avitus] [Customer: NTTDataWare, Wolverine, Panasonic, TIS Inc.] lwio crashed with SIGSEGV because pFcB is zero.</t>
  </si>
  <si>
    <t>[Master=84189, Aurora][Customer INFOSYS LIMITED] Fpg deletion failed with error "failed to deactivate completely (RMFS failed)"node7fs, likely because FPG is busy" during setfpg -deactivate</t>
  </si>
  <si>
    <t>[Master=84189, Avitus][Customer INFOSYS LIMITED] Fpg deletion failed with error "failed to deactivate completely (RMFS failed)"node7fs, likely because FPG is busy" during setfpg -deactivate</t>
  </si>
  <si>
    <t>11301</t>
  </si>
  <si>
    <t>[Customer: Poole NHS Trust] `hardware show firmware` gives NIC and Discovery Errors if no 1Gb network configured</t>
  </si>
  <si>
    <t>arun.chandel@hpe.com</t>
  </si>
  <si>
    <t>10/24: Approved. 9/22: CFI for Z.next.</t>
  </si>
  <si>
    <t>3.13.0. Zirkel</t>
  </si>
  <si>
    <t>josh.whelan@hpe.com</t>
  </si>
  <si>
    <t>985431</t>
  </si>
  <si>
    <t>[Master=94154, 3.16.0 Cacophonix] 4773777815[Smith &amp; Nephew Inc.]-3.12.1/B6200-Node2 unavailable as bond in stale status, resolved by manually rebooting the node and upgrading SW to 3.12.2</t>
  </si>
  <si>
    <t>zubeir.suhootoorah@hpe.com</t>
  </si>
  <si>
    <t>StoreOnce-Network Services</t>
  </si>
  <si>
    <t>Waiver Candidate for C. Bulk Waiver.</t>
  </si>
  <si>
    <t>3.12.1 Ypsilon</t>
  </si>
  <si>
    <t>3.12.1</t>
  </si>
  <si>
    <t>mingku.roy@hpe.com</t>
  </si>
  <si>
    <t>11573</t>
  </si>
  <si>
    <t>[Master] [Customer: WellSpan, Disney] HP-SMB crashes every time the customer tries to join the AD</t>
  </si>
  <si>
    <t>[Master=84189, Atlas-1.2-Maint][Customer INFOSYS LIMITED] Fpg deletion failed with error "failed to deactivate completely (RMFS failed)"node7fs, likely because FPG is busy" during setfpg -deactivate</t>
  </si>
  <si>
    <t>[Master=84801, Atlas-1.2.3] [Customer Sporting Index Ltd.] slow reclamation with heavily fragmented large files affects system performance.</t>
  </si>
  <si>
    <t>[Master=84801, Aurora] [Customer Sporting Index Ltd.] Snapshot reclamation with heavily fragmented large files affects system performance</t>
  </si>
  <si>
    <t>[Master=84801, Avitus] [Customer Sporting Index Ltd.] slow reclamation with heavily fragmented files</t>
  </si>
  <si>
    <t>[Master=66235, Avitus][Customer INFOSYS LIMITED] FPG Failed to RMFS when trying to umount when it was in use on the VM.</t>
  </si>
  <si>
    <t>11594</t>
  </si>
  <si>
    <t>-</t>
  </si>
  <si>
    <t>[Master=85449, Cacophonix] [Customer: WellSpan, Disney] HP-SMB crashes every time the customer tries to join the AD</t>
  </si>
  <si>
    <t>11702</t>
  </si>
  <si>
    <t>[HPES] Reseating 2E cable shortly after reseating 1E cable led to most drives being marked FAILED</t>
  </si>
  <si>
    <t>kate.buxton@hpe.com</t>
  </si>
  <si>
    <t>2.52 Raptor</t>
  </si>
  <si>
    <t>3.10.0 Westminster</t>
  </si>
  <si>
    <t>[Master=59656, Atlas-1.2-Maint] [UDU131955] [Customer Raya Datacenter] A request to shutdown the VM may result in it rebooting instead (due to the workaround in bug 57150)</t>
  </si>
  <si>
    <t>[Master=85449, Aurora] [Customer: WellSpan, Disney] HP-SMB crashes every time the customer tries to join the AD</t>
  </si>
  <si>
    <t>Pending for review.</t>
  </si>
  <si>
    <t>[Master=85449, Avitus] [Customer: WellSpan, Disney] HP-SMB crashes every time the customer tries to join the AD</t>
  </si>
  <si>
    <t>[Master=87008, Aurora] [Customer: Star Financial] lwio segfaults in lwmsg_peer_assoc_session_dispatch_calls()</t>
  </si>
  <si>
    <t>Astra 1.1.0</t>
  </si>
  <si>
    <t>[Master=87008, Avitus] [Customer: Star Financial] lwio segfaults in lwmsg_peer_assoc_session_dispatch_calls()</t>
  </si>
  <si>
    <t>[Master=87008, Atlas-1.2-Maint] [Customer: Star Financial] lwio segfaults in lwmsg_peer_assoc_session_dispatch_calls()</t>
  </si>
  <si>
    <t>11924</t>
  </si>
  <si>
    <t>[Master] [Customer: Star Financial] lwio becomes unresponsive and has to be manually restarted before access is restored</t>
  </si>
  <si>
    <t>[Master=87238, Aurora] [Customer: Star Financial] lwio becomes unresponsive and has to be manually restarted before access is restored</t>
  </si>
  <si>
    <t>Workaround, upgrade to 1.2.2, IDs On Disk</t>
  </si>
  <si>
    <t>[Master=86304, Atlas-1.2-Maint] [Customer: Wuerth]: createfshare smb fails with error ERROR_INVALID_PARAMETER in a specific directory</t>
  </si>
  <si>
    <t>[Master=86304, Aurora] [Customer: Wuerth]: createfshare smb fails with error ERROR_INVALID_PARAMETER in a specific directory</t>
  </si>
  <si>
    <t>[Master=86304, Avitus] [Customer: Wuerth]: createfshare smb fails with error ERROR_INVALID_PARAMETER in a specific directory</t>
  </si>
  <si>
    <t>[Master=86304, Bellatrix] [Customer: Wuerth]: createfshare smb fails with error ERROR_INVALID_PARAMETER in a specific directory</t>
  </si>
  <si>
    <t>11906</t>
  </si>
  <si>
    <t>[Master=87060, 3.16.0 Cacophonix] [Customer: Unipol]: lwiod crashed, NAS shares inaccessible</t>
  </si>
  <si>
    <t xml:space="preserve">CFI. Fix in C? ETA? </t>
  </si>
  <si>
    <t>[Master=59656, PPI-16D] [UDU131955] [Customer Raya Datacenter] A request to shutdown the VM may result in it rebooting instead (due to the workaround in bug 57150)</t>
  </si>
  <si>
    <t>For what release? There are multiple PPI-16D releases. See the comments for details.</t>
  </si>
  <si>
    <t>[Master=87238, Avitus] [Customer: Star Financial] lwio becomes unresponsive and has to be manually restarted before access is restored</t>
  </si>
  <si>
    <t>11774</t>
  </si>
  <si>
    <t>[UDU178896] [Customer: Etimad Holding] upgrade failure because network appeared to be down</t>
  </si>
  <si>
    <t>Day One?</t>
  </si>
  <si>
    <t>[Master=79021, 3.17.0 Dogmatic] [Customer JSC Kor Standard Bank] Group Managed Service account (gMSA) didnt work when SMB2/3 disabled</t>
  </si>
  <si>
    <t>12294</t>
  </si>
  <si>
    <t>[Master] [Customer: US Army] SMB1 signing not working during multiple sessions in a single connection</t>
  </si>
  <si>
    <t>3.15.0 Botanix</t>
  </si>
  <si>
    <t>11943</t>
  </si>
  <si>
    <t>11820</t>
  </si>
  <si>
    <t>[Master][Customer Invaluable] File Services Online Upgrade Fails Because FPG or VM Directive Does not Complete Correctly or In Time</t>
  </si>
  <si>
    <t>11853</t>
  </si>
  <si>
    <t>[Master] [Customer Invaluable] Intermittent and Frequent Connectivity Interruption with NFS Server</t>
  </si>
  <si>
    <t>12367</t>
  </si>
  <si>
    <t>[Master=88000, Aurora] [Customer: US Army] SMB1 signing not working during multiple sessions in a single connection</t>
  </si>
  <si>
    <t>[Master=88200, Aurora] [Customer: Taiwan Mobile] PML unresponsive, Java dump triggered</t>
  </si>
  <si>
    <t>[Master=88200, Avitus] [Customer: Taiwan Mobile] PML unresponsive, Java dump triggered</t>
  </si>
  <si>
    <t>[Master=88200, Atlas-1.2-Maint] [Customer: Taiwan Mobile] PML unresponsive, Java dump triggered</t>
  </si>
  <si>
    <t>[Master=88284, Aurora] [Customer Invaluable] Intermittent and Frequent Connectivity Interruption with NFS Server</t>
  </si>
  <si>
    <t>[Master=88284, Avitus] [Customer Invaluable] Intermittent and Frequent Connectivity Interruption with NFS Server</t>
  </si>
  <si>
    <t>[Master=88284, Atlas-1.2-Maint] [Customer Invaluable] Intermittent and Frequent Connectivity Interruption with NFS Server</t>
  </si>
  <si>
    <t>[Master=87236, Aurora] [Customer: Lego, SFMC, SOMINCOR, Kenshoo, Kforce] Multiple Java crashes from out of memory conditions</t>
  </si>
  <si>
    <t>From the beginning</t>
  </si>
  <si>
    <t>[Master=87236, Avitus] [Customer: Lego, SFMC, SOMINCOR, Kenshoo, Kforce] Multiple Java crashes from out of memory conditions</t>
  </si>
  <si>
    <t>Previous_Waiver,Reopened-Fix-Failed</t>
  </si>
  <si>
    <t>[Master=79021, 3.15.X Botanix Next] [Customer JSC Kor Standard Bank] Group Managed Service account (gMSA) didnt work when SMB2/3 disabled</t>
  </si>
  <si>
    <t>3.13.0</t>
  </si>
  <si>
    <t>[Master=79021, 3.14.X Apportunistic] [Customer JSC Kor Standard Bank] Group Managed Service account (gMSA) didnt work when SMB2/3 disabled</t>
  </si>
  <si>
    <t>11902</t>
  </si>
  <si>
    <t>[Master] [Customer : Panasonic Corporation] smb client was not able to open smb share due to STATUS_MORE_PROCESSING_REQUIRED in persona, CPUs utilization were very high in vm node by lwio.</t>
  </si>
  <si>
    <t>[Master] [Customer: HPE Japan / Intec] HP-SMB regularly abort when joined to an AD</t>
  </si>
  <si>
    <t>[Master=88552, Aurora] [Customer : Panasonic Corporation] smb client was not able to open smb share due to STATUS_MORE_PROCESSING_REQUIRED in persona, CPUs utilization were very high in vm node by lwio.</t>
  </si>
  <si>
    <t>[Master=88552, Avitus] [Customer : Panasonic Corporation] smb client was not able to open smb share due to STATUS_MORE_PROCESSING_REQUIRED in persona, CPUs utilization were very high in vm node by lwio.</t>
  </si>
  <si>
    <t>[Master=88552, Atlas-1.2-Maint] [Customer : Panasonic Corporation] smb client was not able to open smb share due to STATUS_MORE_PROCESSING_REQUIRED in persona, CPUs utilization were very high in vm node by lwio.</t>
  </si>
  <si>
    <t>Day one</t>
  </si>
  <si>
    <t>[Master=88599, 3.16.0 Cacophonix] [Customer: HPE Japan / Intec] HP-SMB regularly abort when joined to an AD</t>
  </si>
  <si>
    <t>[Master=87735, 3.15.X Botanix Next] [Customer: Sony Mobile] Customer cant join AD, shows error 40700 (unknown error code)</t>
  </si>
  <si>
    <t>[Master=87735, 3.16.0 Cacophonix] [Customer: Sony Mobile] Customer cant join AD, shows error 40700 (unknown error code)</t>
  </si>
  <si>
    <t>11934</t>
  </si>
  <si>
    <t>[Master=88277, Aurora] [Customer Invaluable] File Services Online Upgrade Fails Because FPG or VM Directive Does not Complete Correctly or In Time</t>
  </si>
  <si>
    <t>[Master=88277, Avitus] [Customer Invaluable] File Services Online Upgrade Fails Because FPG or VM Directive Does not Complete Correctly or In Time</t>
  </si>
  <si>
    <t>[Master=87238, Atlas-1.2-Maint] [Customer: Star Financial] lwio becomes unresponsive and has to be manually restarted before access is restored</t>
  </si>
  <si>
    <t>[Master=88795, Aurora] [Customer : Panasonic Corporation, Star Financial Bank] disappear security credential intermittent from directory/file in smb share</t>
  </si>
  <si>
    <t>[Master=88795, Avitus] [Customer : Panasonic Corporation, Star Financial Bank] disappear security credential intermittent from directory/file in smb share</t>
  </si>
  <si>
    <t>[Master=66235, Atlas-1.2-Maint] [Customer INFOSYS LIMITED] FPG Failed to RMFS when trying to umount when it was in use on the VM.</t>
  </si>
  <si>
    <t>11999</t>
  </si>
  <si>
    <t>[Master=89343, Aurora] [Customer: Kraft] Group/User with uninherited permission unable to access share</t>
  </si>
  <si>
    <t>[Master=89343, Avitus] [Customer: Kraft] Group/User with uninherited permission unable to access share</t>
  </si>
  <si>
    <t>[Master=89343, Atlas-1.2-Maint] [Customer: Kraft] Group/User with uninherited permission unable to access share</t>
  </si>
  <si>
    <t>12004</t>
  </si>
  <si>
    <t>[Master] [Customer: HPE(3par)] Daily OOM using NFSv3 and NIS on Virtual Machines with lwsmd as majority memory holder since upgrading to 1.2.2</t>
  </si>
  <si>
    <t>12007</t>
  </si>
  <si>
    <t>[Master=89408, Aurora] [Customer: HPE(3par)] Daily OOM using NFSv3 and NIS on Virtual Machines with lwsmd as majority memory holder since upgrading to 1.2.2</t>
  </si>
  <si>
    <t>root cause identified</t>
  </si>
  <si>
    <t>[Master=89408, Avitus] [Customer: HPE(3par)] Daily OOM using NFSv3 and NIS on Virtual Machines with lwsmd as majority memory holder since upgrading to 1.2.2</t>
  </si>
  <si>
    <t>12021</t>
  </si>
  <si>
    <t>[Master] [Customer UnivOfChicago] InForm OS and File Persona upgrade fails and data is unavailable.</t>
  </si>
  <si>
    <t>[Customer Skig-Data AS] nfsd subsystem hang, khungtask, vmcore manually generated, request dump-analysis assistence</t>
  </si>
  <si>
    <t>das.suvadip@hpe.com</t>
  </si>
  <si>
    <t>[Master=88795, Atlas-1.2-Maint] [Customer : Panasonic Corporation, Star Financial Bank] disappear security credential intermittent from directory/file in smb share</t>
  </si>
  <si>
    <t>[Master=88689, Aurora] [Customer: Invaluable] Alert and degraded messages need to be thrown when customer approaches 100 Million files on an FPG</t>
  </si>
  <si>
    <t>Day one issue</t>
  </si>
  <si>
    <t>[Master=88689, Axion] [Customer: Invaluable] Alert and degraded messages need to be thrown when customer approaches 250 Million files on an FPG</t>
  </si>
  <si>
    <t>[Master=89490, Aurora] [Customer UnivOfChicago] InForm OS and File Persona upgrade fails and data is unavailable.</t>
  </si>
  <si>
    <t>[Master=89490, Avitus] [Customer UnivOfChicago] InForm OS and File Persona upgrade fails and data is unavailable.</t>
  </si>
  <si>
    <t>[see Aurora/89787 clone for updates]</t>
  </si>
  <si>
    <t>[Master=89490, Atlas-1.2-Maint] [Customer UnivOfChicago] InForm OS and File Persona upgrade fails and data is unavailable.</t>
  </si>
  <si>
    <t>*Unknown (Triage)-FS Management</t>
  </si>
  <si>
    <t>[Master=89490, Axion] [Customer UnivOfChicago] InForm OS and File Persona upgrade fails and data is unavailable.</t>
  </si>
  <si>
    <t>[see master for updates]</t>
  </si>
  <si>
    <t>[Master=89421, Aurora] [Customer Wolverine] createfsnap and startfsnapclean fail frequently - cannot enqueue after timer shutdown</t>
  </si>
  <si>
    <t>[Master=89421, Atlas-1.2-Maint] [Customer Wolverine] createfsnap and startfsnapclean fail frequently - cannot enqueue after timer shutdown</t>
  </si>
  <si>
    <t>1.2.1</t>
  </si>
  <si>
    <t>[Master=62726, Aurora][Customer: Keppel Fels] collectl should be installed and configured by default on the OS image</t>
  </si>
  <si>
    <t>10/13: CRB coming</t>
  </si>
  <si>
    <t>[Master=62726, Avitus][Customer: Keppel Fels] collectl should be installed and configured by default on the OS image</t>
  </si>
  <si>
    <t>[Master=62726, Atlas-1.2-Maint][Customer: Keppel Fels] collectl should be installed and configured by default on the OS image</t>
  </si>
  <si>
    <t>[Master=62726, Trunk][Customer: Keppel Fels] collectl should be installed and configured by default on the OS image</t>
  </si>
  <si>
    <t>OS-VDU OS 1.4</t>
  </si>
  <si>
    <t>12104</t>
  </si>
  <si>
    <t>[Customer : Aruba Networks India] inaccessible VFS every hour because bond is down/up after reset PML, nullpointer exception in servicemonitor-protocolinterfaced.</t>
  </si>
  <si>
    <t>*Unknown (Triage)-FS Management Platform</t>
  </si>
  <si>
    <t>None</t>
  </si>
  <si>
    <t>[Master=59656, PPI-16E] [UDU131955] [Customer Raya Datacenter] A request to shutdown the VM may result in it rebooting instead (due to the workaround in bug 57150)</t>
  </si>
  <si>
    <t>[Master] [Customer: SOMINCOR] java.lang.OutOfMemoryError: GC overhead limit exceeded</t>
  </si>
  <si>
    <t>12685</t>
  </si>
  <si>
    <t>[Master] [Customer:  NWS Holdings Limited] lwsmd crashed, CIFS shares not accessible</t>
  </si>
  <si>
    <t>michael.haeuptle@hpe.com</t>
  </si>
  <si>
    <t>[Master=90816, Aurora] [Customer: SOMINCOR] java.lang.OutOfMemoryError: GC overhead limit exceeded</t>
  </si>
  <si>
    <t>11730</t>
  </si>
  <si>
    <t>[Master=87060, 3.18.0 Eccentric] [Customer: Unipol]: lwiod crashed, NAS shares inaccessible</t>
  </si>
  <si>
    <t>Fixed_on_Eccentric_and_earlier_Release</t>
  </si>
  <si>
    <t>[Master=91086, 3.18.0 Eccentric] [Customer:  NWS Holdings Limited] lwsmd crashed, CIFS shares not accessible</t>
  </si>
  <si>
    <t>Escape,Fixed_on_Eccentric_and_earlier_Release,Zone_Increased</t>
  </si>
  <si>
    <t>[Master=88689, Atlas-1.2-Maint] [Customer: Invaluable] Alert and degraded messages need to be thrown when customer approaches 100 Million files on an FPG</t>
  </si>
  <si>
    <t>12267</t>
  </si>
  <si>
    <t>[Master] [Customer ArubaNetworks] lwio assert in SrvProcessLockRequest_SMB_V2 of smb2/lock.c</t>
  </si>
  <si>
    <t>WIPRO; Analysis In Progress</t>
  </si>
  <si>
    <t>12270</t>
  </si>
  <si>
    <t>[Master] [Customer : Ga Dept Of Banking &amp; Finance] likewise assertion failure in InfoGeneric_SMB_V2</t>
  </si>
  <si>
    <t>[Master=91552, Aurora] [Customer ArubaNetworks] lwio assert in SrvProcessLockRequest_SMB_V2 of smb2/lock.c</t>
  </si>
  <si>
    <t>WIPRO, Analysis in Progress; Can't Repro in the lab, and code inspection has not shown the issue</t>
  </si>
  <si>
    <t>[Master=91552, Avitus] [Customer ArubaNetworks] lwio assert in SrvProcessLockRequest_SMB_V2 of smb2/lock.c</t>
  </si>
  <si>
    <t>[Master=91561, Aurora] [Customer : Ga Dept Of Banking &amp; Finance] likewise assertion failure in InfoGeneric_SMB_V2</t>
  </si>
  <si>
    <t>[Master=91561, Avitus] [Customer : Ga Dept Of Banking &amp; Finance] likewise assertion failure in InfoGeneric_SMB_V2</t>
  </si>
  <si>
    <t>[Master=91561, Atlas-1.2-Maint] [Customer : Ga Dept Of Banking &amp; Finance] likewise assertion failure in InfoGeneric_SMB_V2</t>
  </si>
  <si>
    <t>[Master=91565, Aurora] [Customer : Picscout (Israel) Ltd] lwio memory leak after upgrade to 1.2.2, OOM occurred</t>
  </si>
  <si>
    <t>Waiver approved to move to director review</t>
  </si>
  <si>
    <t>[Master=91565, Avitus] [Customer : Picscout (Israel) Ltd] lwio memory leak after upgrade to 1.2.2, OOM ocurred</t>
  </si>
  <si>
    <t>12371</t>
  </si>
  <si>
    <t>[Master] [Customer: CENTRO TECNICO ALIMENTARIO] Spurious monitor.startprocess.ok event reported on PML</t>
  </si>
  <si>
    <t>carlton.bickford@hpe.com</t>
  </si>
  <si>
    <t xml:space="preserve">2/9: New DE expected to address the issue, but priority is TBD. </t>
  </si>
  <si>
    <t>[Master=91552, Atlas-1.2-Maint] [Customer ArubaNetworks] lwio assert in SrvProcessLockRequest_SMB_V2 of smb2/lock.c</t>
  </si>
  <si>
    <t>[Master=91149, Avitus] remove_dir_ent -&gt;rbf_pinpg&gt; system panic on aurora build</t>
  </si>
  <si>
    <t>Preexisting,SystemPanic</t>
  </si>
  <si>
    <t>unity_aurora</t>
  </si>
  <si>
    <t>[Master] [Customer: Jajah Ltd., Tetra Pak AB] All snapshots fail with Snapshot component is not functional. Cannot get actor reference. Actor system is terminated</t>
  </si>
  <si>
    <t>12464</t>
  </si>
  <si>
    <t>[Master] [Customer : Picscout (Israel) Ltd] srvsvc 100% CPU utilization occurred</t>
  </si>
  <si>
    <t>Atlas-1.2.0</t>
  </si>
  <si>
    <t>[Master=92816, Aurora] [Customer : Picscout (Israel) Ltd] srvsvc 100% CPU utilization occurred</t>
  </si>
  <si>
    <t>[Master=92816, Avitus] [Customer : Picscout (Israel) Ltd] srvsvc 100% CPU utilization occurred</t>
  </si>
  <si>
    <t>Avatar</t>
  </si>
  <si>
    <t>12514</t>
  </si>
  <si>
    <t>1.2_20160211 or earlier</t>
  </si>
  <si>
    <t>[Master=92816, Atlas-1.2-Maint] [Customer : Picscout (Israel) Ltd] srvsvc 100% CPU utilization occurred</t>
  </si>
  <si>
    <t>Awaiting for CRB approval</t>
  </si>
  <si>
    <t>[Master=92975, Avitus] [Customer: Sky Italia] Unable to use the same name for local user and local group</t>
  </si>
  <si>
    <t>[Master=93032, Aurora] [Customer:IND] Filename Wild Carding from CMD "DOS" does not work correctly on Server 2012R2</t>
  </si>
  <si>
    <t>1.2_20160211</t>
  </si>
  <si>
    <t>[Master=93032, Avitus] [Customer:IND] Filename Wild Carding from CMD "DOS" does not work correctly on Server 2012R2</t>
  </si>
  <si>
    <t>[Master=93032, Atlas-1.2.4] [Customer:IND] Filename Wild Carding from CMD "DOS" does not work correctly on Server 2012R2</t>
  </si>
  <si>
    <t>[Master=85449, 3.13.7 Zirkel] [Customer: WellSpan, Disney] HP-SMB crashes every time the customer tries to join the AD</t>
  </si>
  <si>
    <t>[Master=92069, Aurora ] [Customer: CENTRO TECNICO ALIMENTARIO] Spurious monitor.startprocess.ok event reported on PML</t>
  </si>
  <si>
    <t>12/5: Logging is misleading. May not fix, but clones will be created.12/1:Trunk/Avitus, Atlas, Aurora.  11/14: Carlton believes this is for Trunk with all HMP targets</t>
  </si>
  <si>
    <t>[Master=92069, PPI-16C] [Customer: CENTRO TECNICO ALIMENTARIO] Spurious monitor.startprocess.ok event reported on PML</t>
  </si>
  <si>
    <t>[Master=92069, Atlas-1.2-Maint] [Customer: CENTRO TECNICO ALIMENTARIO] Spurious monitor.startprocess.ok event reported on PML</t>
  </si>
  <si>
    <t>[Master=92069, Trunk] [Customer: CENTRO TECNICO ALIMENTARIO] Spurious monitor.startprocess.ok event reported on PML</t>
  </si>
  <si>
    <t>dale.edw.johnson@hpe.com</t>
  </si>
  <si>
    <t>[Master] 5314891302[LKW WALTER Internationale Transportorganisation AG]-3.13.5/4500-no access to CIFS share, resolved by mounting the FS and rebooting the unit.</t>
  </si>
  <si>
    <t>darshana.gawas@hpe.com</t>
  </si>
  <si>
    <t>3.13.2</t>
  </si>
  <si>
    <t>[Master=92975, Aurora] [Customer: Sky Italia] Unable to use the same name for local user and local group</t>
  </si>
  <si>
    <t>[Master=92975, Atlas-1.2-Maint] [Customer: Sky Italia] Unable to use the same name for local user and local group</t>
  </si>
  <si>
    <t>[Master=93566, Aurora] [Customer: Arcadia University] startfs fails with 'Error: Failed to bring up internal networking on virtual machine on node 0 after VM re-define" moved from UDU bug 192117</t>
  </si>
  <si>
    <t>1.2.2.5</t>
  </si>
  <si>
    <t>[Master=93566, PPI-16C] [Customer: Arcadia University] startfs fails with 'Error: Failed to bring up internal networking on virtual machine on node 0 after VM re-define" moved from UDU bug 192117</t>
  </si>
  <si>
    <t>[Master=93566, Trunk] [Customer: Arcadia University] startfs fails with 'Error: Failed to bring up internal networking on virtual machine on node 0 after VM re-define" moved from UDU bug 192117</t>
  </si>
  <si>
    <t>12846</t>
  </si>
  <si>
    <t>[Master] [Customer: Panasonic Corporation] intermittent HPSP Unity Platform Component Failure due to ChannelConnect exception sleep interrupted</t>
  </si>
  <si>
    <t>7/24: Reopened Avitus clone on Trunk. 1/30: Fixed on Trunk, WONTFIX for Aurora.  Avitus still open.</t>
  </si>
  <si>
    <t>[Master=93901, Atlas-1.2-Maint] [Customer: Panasonic Corporation] intermittent HPSP Unity Platform Component Failure due to ChannelConnect exception sleep interrupted</t>
  </si>
  <si>
    <t>Atlas 1.1</t>
  </si>
  <si>
    <t>[Master=93901, Aurora] [Customer: Panasonic Corporation] intermittent HPSP Unity Platform Component Failure due to ChannelConnect exception sleep interrupted</t>
  </si>
  <si>
    <t>[Master=93901, PPI-16C] [Customer: Panasonic Corporation] intermittent HPSP Unity Platform Component Failure due to ChannelConnect exception sleep interrupted</t>
  </si>
  <si>
    <t>[Master=93901, Trunk] [Customer: Panasonic Corporation] intermittent HPSP Unity Platform Component Failure due to ChannelConnect exception sleep interrupted</t>
  </si>
  <si>
    <t>shari.shashidharan@hpe.com</t>
  </si>
  <si>
    <t>[see master] Reopened on 7/19.</t>
  </si>
  <si>
    <t>12887</t>
  </si>
  <si>
    <t>[Master=94168, Aurora] [Customer: Tetra Pak AB] can HA be enhanced to attempt to capture a live dump if the crash dump is unsuccessful for some reason</t>
  </si>
  <si>
    <t>HA Coordinator</t>
  </si>
  <si>
    <t>1/9: WONT FIX for Aurora</t>
  </si>
  <si>
    <t>Atlas 1.2.3</t>
  </si>
  <si>
    <t>[Master] 4773777815[Smith &amp; Nephew Inc.]-3.12.1/B6200-Node2 unavailable as bond in stale status, resolved by manually rebooting the node and upgrading SW to 3.12.2</t>
  </si>
  <si>
    <t>[Master=94154, 3.18.0 Eccentric] 4773777815[Smith &amp; Nephew Inc.]-3.12.1/B6200-Node2 unavailable as bond in stale status, resolved by manually rebooting the node and upgrading SW to 3.12.2</t>
  </si>
  <si>
    <t>jeff.finz@hpe.com</t>
  </si>
  <si>
    <t>2/28: Plan to close as CANTREPRO by March 15 if no comments to the contrary</t>
  </si>
  <si>
    <t>[Master] [Customer: Tetra Pak AB] can HA be enhanced to attempt to capture a live dump if the crash dump is unsuccessful for some reason</t>
  </si>
  <si>
    <t>[Master=94168, Avitus] [Customer: Tetra Pak AB] can HA be enhanced to attempt to capture a live dump if the crash dump is unsuccessful for some reason</t>
  </si>
  <si>
    <t>[Master=94074, Aurora] [Customer: Tetra Pak AB] Loss of the schannel connection to AD is not detected by service monitoring, resulting in DU and requiring manual intervention</t>
  </si>
  <si>
    <t>tarun.sant@hpe.com</t>
  </si>
  <si>
    <t>[Master=94074, Avitus] [Customer: Tetra Pak AB] Loss of the schannel connection to AD is not detected by service monitoring, resulting in DU and requiring manual intervention</t>
  </si>
  <si>
    <t>[Master=92740, Atlas-1.2-Maint] [Customer: Jajah Ltd., Tetra Pak AB] All snapshots fail with Snapshot component is not functional. Cannot get actor reference. Actor system is terminated</t>
  </si>
  <si>
    <t>[Master=92740, Aurora] [Customer: Jajah Ltd., Tetra Pak AB] All snapshots fail with Snapshot component is not functional. Cannot get actor reference. Actor system is terminated</t>
  </si>
  <si>
    <t>[Master=92740, Avitus] [Customer: Jajah Ltd., Tetra Pak AB] All snapshots fail with Snapshot component is not functional. Cannot get actor reference. Actor system is terminated</t>
  </si>
  <si>
    <t>[Master=94687, Aurora] [Customer: Jajah Ltd., Tetra Pak AB] Snapshot plugin some times fails with cannot get actor reference. Actor system is terminated</t>
  </si>
  <si>
    <t>[Master=94687, Avitus] [Customer: Jajah Ltd., Tetra Pak AB] Snapshot plugin some times fails with cannot get actor reference. Actor system is terminated</t>
  </si>
  <si>
    <t>[Master=94830, Aurora] [Customer: Tetra Pak AB] probable lwio deadlock</t>
  </si>
  <si>
    <t>13183 17510</t>
  </si>
  <si>
    <t>[Master=94830, Avitus] [Customer: Tetra Pak AB, Ternium] probable lwio deadlock</t>
  </si>
  <si>
    <t>Current analysis does not implicate persistent handles as the cause.</t>
  </si>
  <si>
    <t>13192</t>
  </si>
  <si>
    <t>[Master] [Customer:B+S Card Service GmbH / HCON GmbH] Cannot enroll with external key manager if certificate chain has three or more certificates</t>
  </si>
  <si>
    <t>youngp@hpe.com</t>
  </si>
  <si>
    <t>KMS-LKMD</t>
  </si>
  <si>
    <t>2/10: In CRB</t>
  </si>
  <si>
    <t>Asterix</t>
  </si>
  <si>
    <t>13204</t>
  </si>
  <si>
    <t>[Master=94968, Aurora] [Customer: Tetra Pak AB] ASSERTION FAILED: Expression = (ntStatus == ((LW_NTSTATUS)0x00000000)) File Name = '../lwio/server/srv/protocols/smb2/lock.c' Line Num = '992'</t>
  </si>
  <si>
    <t>Close won't fix for 1.3</t>
  </si>
  <si>
    <t>[Master=94968, Avitus] [Customer: Tetra Pak AB,Kforce] ASSERTION FAILED: Expression = (ntStatus == ((LW_NTSTATUS)0x00000000)) File Name = '../lwio/server/srv/protocols/smb2/lock.c' Line Num = '992'</t>
  </si>
  <si>
    <t>[Master=78742, Trunk][Customer: SafeTech] Need better messaging (alert) when data is unavailable due to time sources being out of sync</t>
  </si>
  <si>
    <t>[see master] 7/6: Matt to follow up</t>
  </si>
  <si>
    <t>17241, 17341</t>
  </si>
  <si>
    <t>[Master] [Customer: Department of Insurance Idaho, Nikon, The cloud, Accor, BigLots, Victorinox, Omnicom] HP-SMB crashes</t>
  </si>
  <si>
    <t>[Master=94841, 3.17.0 Dastardly] [Customer:B+S Card Service GmbH / HCON GmbH] Cannot enroll with external key manager if certificate chain has three or more certificates</t>
  </si>
  <si>
    <t>noel.rodrigues@hpe.com</t>
  </si>
  <si>
    <t>[see master] IN CRB</t>
  </si>
  <si>
    <t>17241</t>
  </si>
  <si>
    <t>[Master=95394, 3.16.3 Cacophonix] [Customer: Department of Insurance Idaho, Customer: Nikon] HP-SMB crashes</t>
  </si>
  <si>
    <t>To Be Verified by MRT</t>
  </si>
  <si>
    <t>3.16.0 Cacophonix</t>
  </si>
  <si>
    <t>[Master=95771, Trunk] [UDU 196066] [The Dairy Farm Company Limited] Fix the upgrade record status in case of post update node crash</t>
  </si>
  <si>
    <t>[Master=93553, 3.13.X Zirkel Next] 5314891302[LKW WALTER Internationale Transportorganisation AG]-3.13.5/4500-no access to CIFS share, resolved by mounting the FS and rebooting the unit.</t>
  </si>
  <si>
    <t>[Master=95771, Aurora] [UDU 196066] [The Dairy Farm Company Limited] Fix the upgrade record status in case of post update node crash</t>
  </si>
  <si>
    <t>TS 2.1</t>
  </si>
  <si>
    <t>[Master=95771, PPI-17A] [UDU 196066] [The Dairy Farm Company Limited] Fix the upgrade record status in case of post update node crash</t>
  </si>
  <si>
    <t>[see master] - Approved</t>
  </si>
  <si>
    <t>[Master=78742, PPI-17A][Customer: SafeTech] Need better messaging (alert) when data is unavailable due to time sources being out of sync</t>
  </si>
  <si>
    <t>[Master=95967, Aurora] [Customer: Tetra Pak AB] When using the Open Files functionality in MMC, "Error 6: The handle is invalid" is often returned</t>
  </si>
  <si>
    <t>[Master=95967, Avitus] [Customer: Tetra Pak AB] When using the Open Files functionality in MMC, "Error 6: The handle is invalid" is often returned</t>
  </si>
  <si>
    <t>16612</t>
  </si>
  <si>
    <t>[Master] [Customer Rightmove] NFS File Service shares do not have an /etc/export entry.</t>
  </si>
  <si>
    <t>anthony.ruffa@hpe.com</t>
  </si>
  <si>
    <t>[Master=96335, Avitus] [Customer: Tetra Pak AB] segfault in LwRtlWakeTask task pointer is null</t>
  </si>
  <si>
    <t>[Master=96060, Axion][Customer: TURKUAZ TEKSTIL]  lwio: ASSERTION FAILED: Expression = ((((LW_NTSTATUS)0x00000103) == status) || (pIrp-&gt;IoStatusBlock.Status == status))</t>
  </si>
  <si>
    <t>17067</t>
  </si>
  <si>
    <t>[Master=97671, Atlas-1.2.4] [Customer: Raytheon] Binary files with a significant number of null bytes are asymmetrically truncated at the 16KB (or a multiple of the 16KB) boundary</t>
  </si>
  <si>
    <t>Corruption</t>
  </si>
  <si>
    <t>[Master=97007, Aurora][Customer MarketAmerica] FPG failover fails in SrvProtocolDeleteSessionsByServerAddress because srvconnection.c:1942 encounters an internal error, 0xc00000e5</t>
  </si>
  <si>
    <t>[Master=97007, Avitus][Customer MarketAmerica] FPG failover fails in SrvProtocolDeleteSessionsByServerAddress because srvconnection.c:1942 encounters an internal error, 0xc00000e5</t>
  </si>
  <si>
    <t>[Customer: Tetra Pak AB] Likely JVM memory leak results in java.lang.OutOfMemoryError: Java heap space</t>
  </si>
  <si>
    <t>3/20: May be a dup, may need an additional clone (Matt)</t>
  </si>
  <si>
    <t>[Master=97008, Atlas-1.2-Maint] [Customer: Tetra Pak AB] Apparent deadlock in FPG umount operation</t>
  </si>
  <si>
    <t>[Master=97008, Aurora] [Customer: Tetra Pak AB] Apparent deadlock in FPG umount operation</t>
  </si>
  <si>
    <t>[Master=97008, Avitus] [Customer: Tetra Pak AB] Apparent deadlock in FPG umount operation</t>
  </si>
  <si>
    <t>Forwardport_Needed,Previous_Waiver</t>
  </si>
  <si>
    <t>[Master=97077, Aurora] [Customer: Tetra Pak AB] After PML is restarted (due to memory leak for instance), it may not automatically return to a healthy state due to Exception starting module Infrastructure Manager Module:...Address already in use</t>
  </si>
  <si>
    <t>[Master=97077, PPI-17A] [Customer: Tetra Pak AB] After PML is restarted (due to memory leak for instance), it may not automatically return to a healthy state due to Exception starting module Infrastructure Manager Module:...Address already in use</t>
  </si>
  <si>
    <t>[Master=97077, Trunk] [Customer: Tetra Pak AB] After PML is restarted (due to memory leak for instance), it may not automatically return to a healthy state due to Exception starting module Infrastructure Manager Module:...Address already in use</t>
  </si>
  <si>
    <t>17148</t>
  </si>
  <si>
    <t>[Master][Customer: CGT] Customer can't join the AD until the HP-SMB registry cleaned up</t>
  </si>
  <si>
    <t>3.13.X</t>
  </si>
  <si>
    <t>[Master=96996, Aurora] [Customer: Tetra Pak AB] When active PML node becomes unresponsive, the passive nodes are unable to transition to the active state</t>
  </si>
  <si>
    <t>[Master=96996, PPI-17A] [Customer: Tetra Pak AB] When active PML node becomes unresponsive, the passive nodes are unable to transition to the active state</t>
  </si>
  <si>
    <t>[Master=96996, Trunk] [Customer: Tetra Pak AB] When active PML node becomes unresponsive, the passive nodes are unable to transition to the active state</t>
  </si>
  <si>
    <t>[Master=97520, Avitus] [Customer TetraPak] seq_search() misguides insert_seq() resulting in directory pages truncation</t>
  </si>
  <si>
    <t>17249</t>
  </si>
  <si>
    <t>[Master=97676, Atlas-1.2.4] [Customer: Tetra Pak AB]  Offline fsck hangs in Phase 1</t>
  </si>
  <si>
    <t>[Master] 5316480441[Shell Pipeline Company LP]-3.15.1/2900-ERROR : NASManLwRunning - NAS shares offline, resolved by system reboot.</t>
  </si>
  <si>
    <t>jai.mendke@hpe.com</t>
  </si>
  <si>
    <t>3.15.0</t>
  </si>
  <si>
    <t>[Master=97520, Atlas-1.2-Maint] seq_search() misguides insert_seq() resulting in directory pages truncation</t>
  </si>
  <si>
    <t>[Master=97056, Avitus][Customer: Tetra Pak AB] Stuck in starting state - PML threads exhausted, due to hang in SMB share enumeration</t>
  </si>
  <si>
    <t>[Master=97550, Avitus] [Customer: Tetra Pak AB] Offline fsck reconnected lost+found directory names could not be renamed with snapshot is in picture</t>
  </si>
  <si>
    <t>[Master=96172, Aurora] [Customer Rightmove] NFS File Service shares do not have an /etc/export entry.</t>
  </si>
  <si>
    <t>[Master=96172, Avitus] [Customer Rightmove] NFS File Service shares do not have an /etc/export entry.</t>
  </si>
  <si>
    <t>[Master=78517, Axion][Customer: SafeTech] PML monitor fails to start with: SEVERE: starting pml monitor - Execution of command .... failed command (bash -c /usr/local/pml//bin//pml_monitor status) status (180) output:</t>
  </si>
  <si>
    <t>[Master=94968, Axion][Customer: Tetra Pak AB,Kforce] ASSERTION FAILED: Expression = (ntStatus == ((LW_NTSTATUS)0x00000000)) File Name = '../lwio/server/srv/protocols/smb2/lock.c' Line Num = '992'</t>
  </si>
  <si>
    <t>[Master=97480, Axion] [Customer: SafeTech] No alert raised or health reported as degraded when clock out of sync vs. AD, and can't be adjusted because VM time is ahead of AD</t>
  </si>
  <si>
    <t>[Master=97056, Axion] [Customer: Tetra Pak AB] Stuck in starting state - PML threads exhausted, due to hang in SMB share enumeration</t>
  </si>
  <si>
    <t>[Master] [Customer: Raytheon] Binary files with a significant number of null bytes are asymmetrically truncated at the 16KB (or a multiple of the 16KB) boundary</t>
  </si>
  <si>
    <t>syamala@hpe.com</t>
  </si>
  <si>
    <t>[Master=97671, Aurora] [Customer: Raytheon] Binary files with a significant number of null bytes are asymmetrically truncated at the 16KB (or a multiple of the 16KB) boundary</t>
  </si>
  <si>
    <t>[Master=97671, Avitus] [Customer: Raytheon] Binary files with a significant number of null bytes are asymmetrically truncated at the 16KB (or a multiple of the 16KB) boundary</t>
  </si>
  <si>
    <t>[Master=97671, Bellatrix] [Customer: Raytheon] Binary files with a significant number of null bytes are asymmetrically truncated at the 16KB (or a multiple of the 16KB) boundary</t>
  </si>
  <si>
    <t>17259</t>
  </si>
  <si>
    <t>[Master][Customer: Raytheon] Windows backup fails with "The sector size of the physical disk on which the virtual disk resides is not supported"</t>
  </si>
  <si>
    <t>[Master=97266, 3.18.0 Eccentric] [Customer: CGT] Customer can't join the AD until the HP-SMB registry cleaned up</t>
  </si>
  <si>
    <t>[Master=97710, Avitus][Customer: Raytheon] Windows backup fails with "The sector size of the physical disk on which the virtual disk resides is not supported"</t>
  </si>
  <si>
    <t>[Master=96172, Axion] [Customer Rightmove] NFS File Service shares do not have an /etc/export entry.</t>
  </si>
  <si>
    <t>[Master=91086, D2D future] [Customer:  NWS Holdings Limited] lwsmd crashed, CIFS shares not accessible</t>
  </si>
  <si>
    <t>[Master=97266, D2D future] [Customer: CGT] Customer can't join the AD until the HP-SMB registry cleaned up</t>
  </si>
  <si>
    <t>[Master=95394, D2D future] [Customer: Department of Insurance Idaho, Nikon, The cloud, Accor, BigLots] HP-SMB crashes</t>
  </si>
  <si>
    <t>[Master=79021, D2D future] [Customer JSC Kor Standard Bank] Group Managed Service account (gMSA) didnt work when SMB2/3 disabled</t>
  </si>
  <si>
    <t>[Master=93553, D2D future] 5314891302[LKW WALTER Internationale Transportorganisation AG]-3.13.5/4500-no access to CIFS share, resolved by mounting the FS and rebooting the unit.</t>
  </si>
  <si>
    <t>[Master=97007, Axion] [Customer MarketAmerica] FPG failover fails in SrvProtocolDeleteSessionsByServerAddress because srvconnection.c:1942 encounters an internal error, 0xc00000e5</t>
  </si>
  <si>
    <t>[Master=87060, D2D future] [Customer: Unipol]: lwiod crashed, NAS shares inaccessible</t>
  </si>
  <si>
    <t>17341</t>
  </si>
  <si>
    <t>[Customer: The cloud limited, Victorinox] Customer can't join the AD if one or more DC didn't respond ping</t>
  </si>
  <si>
    <t>On Programme Scope</t>
  </si>
  <si>
    <t>3.16.2 Cacophonix</t>
  </si>
  <si>
    <t>17336</t>
  </si>
  <si>
    <t>[Customer Kraft] SMB shares unresponsive - many lwio threads in lwmsg_peer_assoc_call_dispatch_outgoing</t>
  </si>
  <si>
    <t>17351</t>
  </si>
  <si>
    <t>[UDU165323] [Customer: Mitsubishi Electric Corporation] Intermittently failed to delete oldest snapshot by scheduled tasks, looks snapshot deletion was not kicked properly.</t>
  </si>
  <si>
    <t>3.2.2</t>
  </si>
  <si>
    <t>17355</t>
  </si>
  <si>
    <t>[UDU165323] [Customer: Mitsubishi Electric Corporation] snapshot task failed status although snapshot was generated properly</t>
  </si>
  <si>
    <t>17367</t>
  </si>
  <si>
    <t>[Customer: Woking Borough Council] SMBv1 should be disabled by the customer operation, because of security vulnerability</t>
  </si>
  <si>
    <t>[Master=101884, Avitus] [Customer: Wuerth] offline fsck taking a long time, likely while checking BMT chains</t>
  </si>
  <si>
    <t>Day 1</t>
  </si>
  <si>
    <t>[Master=97519, D2D future] 5316480441[Shell Pipeline Company LP]-3.15.1/2900-ERROR : NASManLwRunning - NAS shares offline, resolved by system reboot.</t>
  </si>
  <si>
    <t>[Master=98149, D2D future] [Customer: The cloud limited, Victorinox] Customer can't join the AD if one or more DC didn't respond ping</t>
  </si>
  <si>
    <t>[Master=91565, Axion][Customer : Picscout (Israel) Ltd] lwio memory leak after upgrade to 1.2.2, OOM ocurred</t>
  </si>
  <si>
    <t>Forwardport_Needed,TBVbyDevelopment</t>
  </si>
  <si>
    <t>[Master=95967, Aurora-1.3-Maint] [Customer: Tetra Pak AB] When using the Open Files functionality in MMC, "Error 6: The handle is invalid" is often returned</t>
  </si>
  <si>
    <t>17441</t>
  </si>
  <si>
    <t>[Master][Customer: Tetra Pak AB] delete operation fails and no error is returned when the directory in question contains an ADS</t>
  </si>
  <si>
    <t>[Master][Customer: Tetra Pak AB] When using the Open Files functionality in MMC, Error 6: The handle is invalid is often returned, GDB captured STATUS_INVALID_HANDLE</t>
  </si>
  <si>
    <t>Escape,One-off_Patch,Zone_Increased</t>
  </si>
  <si>
    <t>17461</t>
  </si>
  <si>
    <t>[Master=98755, Avitus] [Customer: Tetra Pak AB] share access lost, 40 lsass threads waiting on AD_NetlogonAuthenticationUserEx Schannel lock calls</t>
  </si>
  <si>
    <t>Atlas V1.2.3</t>
  </si>
  <si>
    <t>[Master=98973, Trunk] [Customer - Sporting Index] After upgrade to 1.2.3, Cisco-switch reports "STM_LOOP_DETECT: Loops detected in the network" 2 VLANs configured</t>
  </si>
  <si>
    <t>FP 1.1</t>
  </si>
  <si>
    <t>17461,18196,17336</t>
  </si>
  <si>
    <t>[Master] [Customer: Tetra Pak AB, CHS, Mitsubishi,Genentech Inc] share access lost, 40 lsass threads waiting on AD_NetlogonAuthenticationUserEx Schannel lock calls</t>
  </si>
  <si>
    <t>[Master=98755, Axion] [Customer: Tetra Pak AB] share access lost, 40 lsass threads waiting on AD_NetlogonAuthenticationUserEx Schannel lock calls</t>
  </si>
  <si>
    <t>[Master=98671, Avitus] [Customer: Tetra Pak AB] delete operation fails and no error is returned when the directory in question contains an ADS</t>
  </si>
  <si>
    <t>[Master=98671, Axion] [Customer: Tetra Pak AB] delete operation fails and no error is returned when the directory in question contains an ADS</t>
  </si>
  <si>
    <t>[Master=99785, Avitus] [Customer: Tetra Pak AB] dentry list corruption leads to crash with: kernel BUG at fs/dcache.c:471!</t>
  </si>
  <si>
    <t>Astra_1.0</t>
  </si>
  <si>
    <t>17669</t>
  </si>
  <si>
    <t>[Master] When discovering the 4th &amp; 5th expansion pools are created with the wrong values.</t>
  </si>
  <si>
    <t>5/18: CRB approved, will be resolved soon. 4/28: Needs to be fixed for C.3 and Dastardly</t>
  </si>
  <si>
    <t>Cacophonix 3.16.0</t>
  </si>
  <si>
    <t>[Master=98814, 3.16.3 Cacophonix] When discovering the 4th &amp; 5th expansion pools are created with the wrong values.</t>
  </si>
  <si>
    <t>P0 MRT Priority On Programme Scope [see master] - Approved</t>
  </si>
  <si>
    <t>[Master=59294, 4.1.0 Avengers] [Customer Netto] Customer unable to access AD shares, various HP-SMB errors logged</t>
  </si>
  <si>
    <t>StoreOnce(Ypsilon)</t>
  </si>
  <si>
    <t>[Master=62222, 4.1.0 Avengers] [Customer] Special characters in CIFS share description will make the share inaccessible</t>
  </si>
  <si>
    <t>[Master=55364, 4.1.0 Avengers] [Customer Elliot Management] 'lwio: [lwio] Failed to accept connection due to too many open files' message is so verbose that it fills root in less than 2 days.</t>
  </si>
  <si>
    <t>6.5.x(ghost patch)</t>
  </si>
  <si>
    <t>17509</t>
  </si>
  <si>
    <t>[Master][Customer: Ternium] JVM consumes all CPU cores and eventually exhausts thread pool with: The thread pool's task queue is full, limit: 75</t>
  </si>
  <si>
    <t>[Master=98888, Avitus][Customer: Ternium] JVM consumes all CPU cores and eventually exhausts thread pool with: The thread pool's task queue is full, limit: 75</t>
  </si>
  <si>
    <t>arnav.karforma@hpe.com</t>
  </si>
  <si>
    <t>[Master=98891, Avitus][Customer: Ternium] Potential deadlock between SrvPersistentReconnct_CompleteStage and SrvCancelCreateStateHandle_SMB_V2</t>
  </si>
  <si>
    <t>[Master=98973, Avitus] [Customer - Sporting Index] After upgrade to 1.2.3, Cisco-switch reports "STM_LOOP_DETECT: Loops detected in the network" 2 VLANs configured</t>
  </si>
  <si>
    <t>[Master=91086, Axion] [Customer:  NWS Holdings Limited] lwsmd crashed, CIFS shares not accessible</t>
  </si>
  <si>
    <t>Escape,TBVbyDevelopment,Zone_Increased</t>
  </si>
  <si>
    <t>All</t>
  </si>
  <si>
    <t>17614</t>
  </si>
  <si>
    <t>Eccentric: FCHBA update failure: "Internal error - details: Qlx module load failed"</t>
  </si>
  <si>
    <t>jyoshna.mekala@hpe.com</t>
  </si>
  <si>
    <t>5/18: Only seen on upgrade path. 5/11: Looks to be specific to 4500, maybe particular HW. 5/5: Needs triage, urgent for Eccentric build.</t>
  </si>
  <si>
    <t>3.18.0 Eccentric</t>
  </si>
  <si>
    <t>3.16.2 Cacofonix</t>
  </si>
  <si>
    <t>[Master=99168, PPI-17A] [Customer Sabic] PML HA not working.</t>
  </si>
  <si>
    <t>[Master=99168, Trunk] [Customer Sabic] PML HA not working.</t>
  </si>
  <si>
    <t>[Master=94074, Axion] [Customer: Tetra Pak AB,Kraft, NewSouthWales] Loss of the schannel connection to AD is not detected by service monitoring, resulting in DU and requiring manual intervention</t>
  </si>
  <si>
    <t>Previous_Waiver,TBVbyDevelopment</t>
  </si>
  <si>
    <t>[Master=98708, Avitus][Customer: Tetra Pak AB] When using the Open Files functionality in MMC, "Error 6: The handle is invalid" is often returned, GDB captured STATUS_INVALID_HANDLE</t>
  </si>
  <si>
    <t>[Master=98708, Axion][Customer: Tetra Pak AB] When using the Open Files functionality in MMC, "Error 6: The handle is invalid" is often returned, GDB captured STATUS_INVALID_HANDLE</t>
  </si>
  <si>
    <t>[Master=98708, Atlas-1.2-Maint][Customer: Tetra Pak AB] When using the Open Files functionality in MMC, "Error 6: The handle is invalid" is often returned, GDB captured STATUS_INVALID_HANDLE</t>
  </si>
  <si>
    <t>[Master=98708, Aurora-1.3-Maint][Customer: Tetra Pak AB] When using the Open Files functionality in MMC, "Error 6: The handle is invalid" is often returned, GDB captured STATUS_INVALID_HANDLE</t>
  </si>
  <si>
    <t>17665</t>
  </si>
  <si>
    <t>[Customer: Xo Communications, LLC] intermittent NFS server not responding from the client side due to nfsd threads uninterruptable</t>
  </si>
  <si>
    <t>subhendu.banerjee@hpe.com</t>
  </si>
  <si>
    <t>[Master=95394, Axion] [Customer: Department of Insurance Idaho, Nikon, The cloud, Accor, BigLots, Victorinox, Omnicom] HP-SMB crashes</t>
  </si>
  <si>
    <t>[Master=87060, Axion] [Customer: Unipol]: lwiod crashed, NAS shares inaccessible</t>
  </si>
  <si>
    <t>[Master=99785, Axion] [Customer: Tetra Pak AB] dentry list corruption leads to crash with: kernel BUG at fs/dcache.c:471!</t>
  </si>
  <si>
    <t>[Master=99785, Bellatrix] [Customer: Tetra Pak AB] dentry list corruption leads to crash with: kernel BUG at fs/dcache.c:471!</t>
  </si>
  <si>
    <t>unity1.0</t>
  </si>
  <si>
    <t>18157</t>
  </si>
  <si>
    <t>[Master][Customer: Big Lots Stores] HPE-SMB crash, lwio aborts</t>
  </si>
  <si>
    <t>3.14.1</t>
  </si>
  <si>
    <t>[Master=97710, Axion] [Customer: Raytheon] Windows backup fails with "The sector size of the physical disk on which the virtual disk resides is not supported"</t>
  </si>
  <si>
    <t>[Master=91086, 3.16.3 Cacophonix] [Customer:  NWS Holdings Limited] lwsmd crashed, CIFS shares not accessible</t>
  </si>
  <si>
    <t>To Be Verified by Protocols Team.On Programme Scope</t>
  </si>
  <si>
    <t>paul.vicary@hpe.com</t>
  </si>
  <si>
    <t>[Master=87060, 3.16.3 Cacophonix] [Customer: Unipol]: lwiod crashed, NAS shares inaccessible</t>
  </si>
  <si>
    <t>To Be Verified by Protocols Team. On Programme Scope</t>
  </si>
  <si>
    <t>[Master=96060, 3.16.3 Cacophonix] [Customer: TURKUAZ TEKSTIL, Microfinance]  lwio: ASSERTION FAILED: Expression = ((((LW_NTSTATUS)0x00000103) == status) || (pIrp-&gt;IoStatusBlock.Status == status))</t>
  </si>
  <si>
    <t>[Master=99933, Avitus][Customer: WBC] Archive-bit on FilePersona SMB-share not set when MS-Word modifies a file</t>
  </si>
  <si>
    <t>[Master=99933, Axion][Customer: WBC] Archive-bit on FilePersona SMB-share not set when MS-Word modifies a file</t>
  </si>
  <si>
    <t>[Master=100067, Atlas-1.2-Maint] [Customer Kforce] Data not available to network clients because of an incorrect route table entry from a createVFS subnet mask mistake.</t>
  </si>
  <si>
    <t>[Master=94830, Axion] [Customer: Tetra Pak AB] probable lwio deadlock</t>
  </si>
  <si>
    <t>[Master=98888, Axion] [Customer: Ternium] JVM consumes all CPU cores and eventually exhausts thread pool with: The thread pool's task queue is full, limit: 75</t>
  </si>
  <si>
    <t>[Master=100065, Avitus] [Customer Kforce] removeVFS does not delete related route table entries as needed on all of the File Persona nodes</t>
  </si>
  <si>
    <t>[Master=100067, Avitus] [Customer Kforce] Data not available to network clients because of an incorrect route table entry from a createVFS subnet mask mistake.</t>
  </si>
  <si>
    <t>Atlas - 1.2.3</t>
  </si>
  <si>
    <t>[Master=100067, Trunk] [Customer Kforce] Data not available to network clients because of an incorrect route table entry from a createVFS subnet mask mistake.</t>
  </si>
  <si>
    <t>[Master=100065, Trunk] [Customer Kforce] removeVFS does not delete related route table entries as needed on all of the File Persona nodes</t>
  </si>
  <si>
    <t>FP 1.2</t>
  </si>
  <si>
    <t>[Master=99942, Avitus][Customer: Tetra Pak AB] Domain goes offline, then lsass reports "Domain is now online" but lwio thread pool is consumed with calls to lsass while lsass thread pool is empty</t>
  </si>
  <si>
    <t>[Master=91086, Avitus] [Customer:  NWS Holdings Limited] lwsmd crashed, CIFS shares not accessible</t>
  </si>
  <si>
    <t>[Master=99949, Avitus][Customer: Samsung] smb share inaccessible after node crash</t>
  </si>
  <si>
    <t>17860</t>
  </si>
  <si>
    <t>[Customer: Mitsubishi Electric] failed to create snapshot, due to error "Null request object"</t>
  </si>
  <si>
    <t xml:space="preserve">7/24: Scott to sort out next steps here.  7/17: Move to Trunk/Axion, without repro nothing actionable for Platform. 7/13: Question from Daisuke to answer. 7/10: Daisuke unable to repro as yet, will continue testing this week.   Asking for additional logging in the code (FP1.5) </t>
  </si>
  <si>
    <t>[Master=100707, Avitus][Customer Centric] SMB hangs almost twice a day. core-files generated</t>
  </si>
  <si>
    <t>[Master=100707, Axion][Customer Centric] SMB hangs almost twice a day. core-files generated</t>
  </si>
  <si>
    <t>[Master=101033, Avitus] [Customer: Tetra Pak AB] ASSERTION FAILED: Expression = (RtlWC16StringIsEqual(pwszNewVShareName, pShareInfoDst-&gt;pwszName, 0)) File Name = ../lwio/server/srv/shares/api/shareapi.c' Line Num = '4414</t>
  </si>
  <si>
    <t>[Master=91086, 3.17.1 Dastardly] [Customer:  NWS Holdings Limited] lwsmd crashed, CIFS shares not accessible</t>
  </si>
  <si>
    <t>CRB-Awaiting Approval</t>
  </si>
  <si>
    <t>3.15.0 from the Bug comments.</t>
  </si>
  <si>
    <t>[Master=98917, Avitus][Customer: Mitsubishi Electric Information Network Corporation, Orange] fail to remove fstore when fshare is generated with -shardir option</t>
  </si>
  <si>
    <t>[Master=98917, Azha] [Customer: Mitsubishi Electric Information Network Corporation, Orange] fail to remove fstore when fshare is generated with -shardir option</t>
  </si>
  <si>
    <t>sivakumar.jayabalan@hpe.com</t>
  </si>
  <si>
    <t>[Master=95394, 3.17.1 Dastardly] [Customer: Department of Insurance Idaho, Nikon, The cloud, Accor, BigLots, Victorinox, Omnicom] HP-SMB crashes</t>
  </si>
  <si>
    <t>3.16.2 (from the bug comments)</t>
  </si>
  <si>
    <t>[Master=95394, 3.18.0 Eccentric] [Customer: Department of Insurance Idaho, Nikon, The cloud, Accor, BigLots, Victorinox, Omnicom] HP-SMB crashes</t>
  </si>
  <si>
    <t>To be regression tested by MRT and Datapath</t>
  </si>
  <si>
    <t>[Master=95394, 3.13.7 Zirkel] [Customer: Department of Insurance Idaho, Nikon, The cloud, Accor, BigLots, Victorinox, Omnicom] HP-SMB crashes</t>
  </si>
  <si>
    <t>praseeda.dharmarajan1@hpe.com</t>
  </si>
  <si>
    <t>To be verified by MRT</t>
  </si>
  <si>
    <t>18025</t>
  </si>
  <si>
    <t>[Master=101658, Avitus] [Customer: Blizzard Entertainment Inc] lsass is always high CPU load on active PML node although no smb share is configured.</t>
  </si>
  <si>
    <t>[Master] [Customer: Blizzard Entertainment Inc, B &amp; H Photo Video] lsass is always high CPU load on active PML node although no smb share is configured.</t>
  </si>
  <si>
    <t>[Master=101658, Axion] [Customer: Blizzard Entertainment Inc] lsass is always high CPU load on active PML node although no smb share is configured.</t>
  </si>
  <si>
    <t>18061</t>
  </si>
  <si>
    <t>[Customer: Panasonic] Unable to open MS Access DB from the client if the another is already opened it as shared mode</t>
  </si>
  <si>
    <t>adityag@hpe.com</t>
  </si>
  <si>
    <t>[Master=101884, Axion] [Customer: Wuerth] offline fsck taking a long time, likely while checking BMT chains</t>
  </si>
  <si>
    <t>[Master=101884, File PI 1703] [Customer: Wuerth] offline fsck taking a long time, likely while checking BMT chains</t>
  </si>
  <si>
    <t>WIPRO, Dev needed for verification</t>
  </si>
  <si>
    <t>[Master=95394, Avitus] [Customer: Department of Insurance Idaho, Nikon, The cloud, Accor, BigLots, Victorinox, Omnicom] HP-SMB crashes</t>
  </si>
  <si>
    <t>[Master=102064, Atlas-1.2-Maint] [Customer: City of Albemarle] JVM became unresponsive causing pmlvifmonitor to detect it and restart it</t>
  </si>
  <si>
    <t>18110</t>
  </si>
  <si>
    <t>[Master][SANCHO BBDO, KPMG] NTFS security mode: Everyone should have explore permissions to all share folder levels by Default ACL, for better Windows Server-like customer experience</t>
  </si>
  <si>
    <t>18121</t>
  </si>
  <si>
    <t>[Customer: Kakao Corp] Java crash by out of memory error</t>
  </si>
  <si>
    <t>8/3: Bumped up to YZ, may be a dup. 7/17: Found on Atlas 1.2.1, will investigate but don't expect any new info to be gleaned here.</t>
  </si>
  <si>
    <t>[Master=102209, Avitus-1.4.4][SANCHO BBDO, KPMG] When creating an SMB share with NTFS fstore mode from SSMC the Principal Everyone@ with rxtncy Permissions is not correctly set</t>
  </si>
  <si>
    <t>re-included in 1.4.2 as CFI that has a fix</t>
  </si>
  <si>
    <t>[Master=102209, Axion] [SANCHO BBDO, KPMG] NTFS security mode: Everyone should have explore permissions to all share folder levels by Default ACL, for better Windows Server-like customer experience</t>
  </si>
  <si>
    <t>Working as designed, but design may need adjusting</t>
  </si>
  <si>
    <t>[3.17.0 1726.2] StoreOnce doesn't connect to AD when AD ping is disabled</t>
  </si>
  <si>
    <t>michelle.andrade@hpe.com</t>
  </si>
  <si>
    <t>[Master=96060, 3.17.1 Dastardly] [Customer: TURKUAZ TEKSTIL, Microfinance, LaTrobe]  lwio: ASSERTION FAILED: Expression = ((((LW_NTSTATUS)0x00000103) == status) || (pIrp-&gt;IoStatusBlock.Status == status))</t>
  </si>
  <si>
    <t>Not Known.</t>
  </si>
  <si>
    <t>[Master=96060, 3.18.0 Eccentric] [Customer: TURKUAZ TEKSTIL, Microfinance, LaTrobe]  lwio: ASSERTION FAILED: Expression = ((((LW_NTSTATUS)0x00000103) == status) || (pIrp-&gt;IoStatusBlock.Status == status))</t>
  </si>
  <si>
    <t>Escape,Fixed_on_Eccentric_and_earlier_Release</t>
  </si>
  <si>
    <t>[Master=87060, 3.17.1 Dastardly] [Customer: Unipol]: lwiod crashed, NAS shares inaccessible</t>
  </si>
  <si>
    <t>18196</t>
  </si>
  <si>
    <t>[Master][Customer: Mitsubishi Electric Corporation] smb share inaccessible with huge connection count in lwio-cli, but it is not matched with actual number by lsof/lwnet session.</t>
  </si>
  <si>
    <t>18638</t>
  </si>
  <si>
    <t>[Master] [Customer: Kforce] hpeidmapd crashes do not leave corefiles</t>
  </si>
  <si>
    <t>Cross-Protocols-SMB</t>
  </si>
  <si>
    <t>[Master=102822, Axion][Customer: Mitsubishi Electric Corporation] smb share inaccessible with huge connection count in lwio-cli, but it is not matched with actual number by lsof/lwnet session.</t>
  </si>
  <si>
    <t>[Master=102638, Avitus][Customer:Kasturi &amp; Sons Limited] lwio crashed in InotifySetFcbMask</t>
  </si>
  <si>
    <t>[Master=102822, Avitus][Customer: Mitsubishi Electric Corporation] smb share inaccessible with huge connection count in lwio-cli, but it is not matched with actual number by lsof/lwnet session.</t>
  </si>
  <si>
    <t>[Master=102847, Avitus-1.4.4]hpeidmapd crashes do not leave corefiles</t>
  </si>
  <si>
    <t>Seen by customer in the field running 1.4 P07</t>
  </si>
  <si>
    <t>18260</t>
  </si>
  <si>
    <t>[Master][Customer: Samsung Electro-Mechanics] failing FPG failover during high load smb access, and orphaned mount point generates with lwio access</t>
  </si>
  <si>
    <t>WIPRO, Triaging in progress</t>
  </si>
  <si>
    <t>[Master=96060, 3.13.7 Zirkel] [Customer: TURKUAZ TEKSTIL, Microfinance, LaTrobe]  lwio: ASSERTION FAILED: Expression = ((((LW_NTSTATUS)0x00000103) == status) || (pIrp-&gt;IoStatusBlock.Status == status))</t>
  </si>
  <si>
    <t>sweta.pandey@hpe.com</t>
  </si>
  <si>
    <t>[Master=87060, 3.13.7 Zirkel] [Customer: Unipol]: lwiod crashed, NAS shares inaccessible</t>
  </si>
  <si>
    <t>[Master=91086, 3.13.7 Zirkel] [Customer:  NWS Holdings Limited] lwsmd crashed, CIFS shares not accessible</t>
  </si>
  <si>
    <t>3.13.7 Zirkel</t>
  </si>
  <si>
    <t>[Master=103143, Axion][Customer: Samsung Electro-Mechanics] failing FPG failover during high load smb access, and orphaned mount point generates with lwio access</t>
  </si>
  <si>
    <t>[Master=98917, Bellatrix] [Customer: Mitsubishi Electric Information Network Corporation, Orange] fail to remove fstore when fshare is generated with -shardir option</t>
  </si>
  <si>
    <t>[Customer: Mobile.de] multiple threads hung when trying to access dentry recently 'corrected' by offline fsck</t>
  </si>
  <si>
    <t>[Master=95394, Avengers] [Customer: Department of Insurance Idaho, Nikon, The cloud, Accor, BigLots, Victorinox, Omnicom] HP-SMB crashes</t>
  </si>
  <si>
    <t>[Master=100065, PPI-17A] [Customer Kforce] removeVFS does not delete related route table entries as needed on all of the File Persona nodes</t>
  </si>
  <si>
    <t>[Master=100067, PPI-17A] [Customer Kforce] Data not available to network clients because of an incorrect route table entry from a createVFS subnet mask mistake.</t>
  </si>
  <si>
    <t>10/23: Can move to WONTFIX</t>
  </si>
  <si>
    <t>18352</t>
  </si>
  <si>
    <t>[Customer New South Wales Lands and Property Information Department] lsass segfault in libdcerpc</t>
  </si>
  <si>
    <t>gabriel.vicoveanu@hpe.com</t>
  </si>
  <si>
    <t>[Master=99809, Axion][Customer: Big Lots Stores] HPE-SMB crash, lwio aborts</t>
  </si>
  <si>
    <t>[Master=99809, Avitus-1.4-Maint][Customer: Big Lots Stores] HPE-SMB crash, lwio aborts</t>
  </si>
  <si>
    <t>18386</t>
  </si>
  <si>
    <t>[Customer: Tata Japan] SQL server database backup causes node to become unresponsive, backup subsequently fails</t>
  </si>
  <si>
    <t>n/a</t>
  </si>
  <si>
    <t>[Master=103727, Axion] [Customer: Samsung Electro-Mechanics] multiple vm node crash during smb share load test</t>
  </si>
  <si>
    <t>18448</t>
  </si>
  <si>
    <t>[Customer: Internet Initiative Japan Inc. (IIJ)] nfs-resource-health-check failed due to "java.util.concurrent.TimeoutException"</t>
  </si>
  <si>
    <t>[Master=98755, Avitus-1.4.4][Customer: Tetra Pak AB, CHS, Mitsubishi] share access lost, 40 lsass threads waiting on AD_NetlogonAuthenticationUserEx Schannel lock calls</t>
  </si>
  <si>
    <t>[Master=87060, Botanix] [Customer: Unipol]: lwiod crashed, NAS shares inaccessible</t>
  </si>
  <si>
    <t>Waiting for CRB approval</t>
  </si>
  <si>
    <t>18502</t>
  </si>
  <si>
    <t>[Customer Sabic] PML Master is not responsive after sever error, PML Unity Search STree Exception RpcError, File Persona node restarted by HA.</t>
  </si>
  <si>
    <t>18520</t>
  </si>
  <si>
    <t>[Customer: Kforce] immediately after STONITH of its partner node, lwio hits: ASSERTION FAILED: Expression = (ntStatus == ((LW_NTSTATUS)0x00000000)) File Name = '../lwio/server/srv/protocols/smb2/lock.c' Line Num = '931'</t>
  </si>
  <si>
    <t>vivek.patra@hpe.com</t>
  </si>
  <si>
    <t>[Master=104097, Axion][Customer: Kforce] thousands of the following messages logged per minute followed by what appears to be an HPEIdmapd restart: ade_idmapd: Name not found: Authenticated^Users@NT^AUTHORITY</t>
  </si>
  <si>
    <t>5322410956[Arkansas Department of information systems]-3.15.1/6500-Backups failing, node 1 not reachable, error -651, resolved by restarting system and remounting FS</t>
  </si>
  <si>
    <t xml:space="preserve">Not in Justin's list for 3.16.5. </t>
  </si>
  <si>
    <t>3.16.1 Cacophonix</t>
  </si>
  <si>
    <t>N//A</t>
  </si>
  <si>
    <t>shrey.shrey@hpe.com</t>
  </si>
  <si>
    <t>[Master=104225, Avitus-1.4.4][KPMG] SMB directory folder creation fails intermittently in a trusted domain environment</t>
  </si>
  <si>
    <t>Unity 1.3</t>
  </si>
  <si>
    <t>[Master=104225, Axion][KPMG] SMB directory folder creation fails intermittently in a trusted domain environment</t>
  </si>
  <si>
    <t>[Master=94968, Avitus-1.4.4] [Customer: Tetra Pak AB,Kforce] ASSERTION FAILED: Expression = (ntStatus == ((LW_NTSTATUS)0x00000000)) File Name = '../lwio/server/srv/protocols/smb2/lock.c' Line Num = '992'</t>
  </si>
  <si>
    <t>Avitus-1.4.2</t>
  </si>
  <si>
    <t>[Master=87060, Azha] [Customer: Unipol]: lwiod crashed, NAS shares inaccessible</t>
  </si>
  <si>
    <t>[Master=94968, Azha] [Customer: Tetra Pak AB,Kforce] ASSERTION FAILED: Expression = (ntStatus == ((LW_NTSTATUS)0x00000000)) File Name = '../lwio/server/srv/protocols/smb2/lock.c' Line Num = '992'</t>
  </si>
  <si>
    <t>18603</t>
  </si>
  <si>
    <t>[Master=105117, VDU OS 1.4] [Customer KPMG]Daily log messages with "BaseOS logrotate: ALERT exited abnormally with [1]"</t>
  </si>
  <si>
    <t>richard.ale.briglio@hpe.com</t>
  </si>
  <si>
    <t>OS-VDU OS</t>
  </si>
  <si>
    <t>Support High Want if fix found</t>
  </si>
  <si>
    <t>bind-9.8.2</t>
  </si>
  <si>
    <t>[INVALID CLONE] [Customer KPMG]Daily log messages with "BaseOS logrotate: ALERT exited abnormally with [1]"</t>
  </si>
  <si>
    <t>???</t>
  </si>
  <si>
    <t>[Master=104803, Axion][Customer: Tetra Pak AB] lwio: [lwio] ASSERTION FAILED: Expression = (ntStatus == ((LW_NTSTATUS)0x00000000)) File Name = '../lwio/server/srv/protocols/smb2/close.c' Line Num = '301'</t>
  </si>
  <si>
    <t>[Master=104803, Azha][Customer: Tetra Pak AB] lwio: [lwio] ASSERTION FAILED: Expression = (ntStatus == ((LW_NTSTATUS)0x00000000)) File Name = '../lwio/server/srv/protocols/smb2/close.c' Line Num = '301'</t>
  </si>
  <si>
    <t>Preexisting,TBVbyDevelopment</t>
  </si>
  <si>
    <t>[Master=97056, Azha] [Customer: Tetra Pak AB, Sabic] Stuck in starting state - PML threads exhausted, due to hang in SMB share enumeration</t>
  </si>
  <si>
    <t>[Master] [Customer KPMG]Daily log messages with "BaseOS logrotate: ALERT exited abnormally with [1]"</t>
  </si>
  <si>
    <t xml:space="preserve">10/12: Leslie to check status, has been behind other work. 10/2: May be desired for 1.4.3 if a fix was available </t>
  </si>
  <si>
    <t>[Master=105117, VDU OS 2.3] [Customer KPMG]Daily log messages with "BaseOS logrotate: ALERT exited abnormally with [1]"</t>
  </si>
  <si>
    <t>[Master=94074, Azha] [Customer: Tetra Pak AB,Kraft, NewSouthWales] Loss of the schannel connection to AD is not detected by service monitoring, resulting in DU and requiring manual intervention</t>
  </si>
  <si>
    <t>[Master=94074, Avitus-1.4.4] [Customer: Tetra Pak AB,Kraft, NewSouthWales] Loss of the schannel connection to AD is not detected by service monitoring, resulting in DU and requiring manual intervention</t>
  </si>
  <si>
    <t>[Master=104046, Axion][Customer: Nissho Electronics Corporation] crash lwio due to invalid in memory data structure (PHS.</t>
  </si>
  <si>
    <t>[Master=104046, Azha][Customer: Nissho Electronics Corporation] crash lwio due to invalid in memory data structure (PHS.</t>
  </si>
  <si>
    <t>18720</t>
  </si>
  <si>
    <t>[Customer : MTU India] Health has degraded, Nfs export no longer accessible by clients.</t>
  </si>
  <si>
    <t>1.3.X</t>
  </si>
  <si>
    <t>[Master=105471, Azha] [Customer: Omnicom, Woking] Snapshots not reclaimed with: &lt;ERROR&gt; | 2386073344 | Corrupt dentry - needs ibfsck (B=1505250001, D=1505250001, STARTUP) inode_id 1000006749e/15.1000006749e0000000300000015, dir 32c9</t>
  </si>
  <si>
    <t>Escape,Forwardport_Needed</t>
  </si>
  <si>
    <t>[Master=105276, Avitus-1.4.2][Customer: Omnicom, Woking] Same file listed in dentry more than once, dentry truncated after this listing, files not accessable</t>
  </si>
  <si>
    <t>[Master=105276, Axion][Customer: Omnicom, Woking] Same file listed in dentry more than once, dentry truncated after this listing, files not accessable</t>
  </si>
  <si>
    <t>[Master=105276, Azha][Customer: Omnicom, Woking] Same file listed in dentry more than once, dentry truncated after this listing, files not accessable</t>
  </si>
  <si>
    <t>[Master=105471, Avitus-1.4.2] [Customer: Omnicom, Woking] Snapshots not reclaimed with: &lt;ERROR&gt; | 2386073344 | Corrupt dentry - needs ibfsck (B=1505250001, D=1505250001, STARTUP) inode_id 1000006749e/15.1000006749e0000000300000015, dir 32c9</t>
  </si>
  <si>
    <t>[Master=105471, Axion] [Customer: Omnicom, Woking] Snapshots not reclaimed with: &lt;ERROR&gt; | 2386073344 | Corrupt dentry - needs ibfsck (B=1505250001, D=1505250001, STARTUP) inode_id 1000006749e/15.1000006749e0000000300000015, dir 32c9</t>
  </si>
  <si>
    <t>[Master=105276, Avitus-1.4.4] [Customer: Omnicom, Woking] Same file listed in dentry more than once, dentry truncated after this listing, files not accessable</t>
  </si>
  <si>
    <t>[Master=105471, Avitus-1.4.4] [Customer: Omnicom, Woking] Snapshots not reclaimed with: &lt;ERROR&gt; | 2386073344 | Corrupt dentry - needs ibfsck (B=1505250001, D=1505250001, STARTUP) inode_id 1000006749e/15.1000006749e0000000300000015, dir 32c9</t>
  </si>
  <si>
    <t>[Master=105794, Avitus-1.4.2] [Customer: Omincom] OFSCK causes an OOM panic on the FP VM with: Kernel panic - not syncing: Out of memory: system-wide panic_on_oom is enabled</t>
  </si>
  <si>
    <t>[Master=105794, Avitus-1.4.4] [Customer: Omincom] OFSCK causes an OOM panic on the FP VM with: Kernel panic - not syncing: Out of memory: system-wide panic_on_oom is enabled</t>
  </si>
  <si>
    <t>aurora</t>
  </si>
  <si>
    <t>[Master=105794, Axion] [Customer: Omincom] OFSCK causes an OOM panic on the FP VM with: Kernel panic - not syncing: Out of memory: system-wide panic_on_oom is enabled</t>
  </si>
  <si>
    <t>[Master=105692, Axion][Customer USProbation] SMB Server Initiated oplock / lease break causes Win7 Network Client Delayed Response</t>
  </si>
  <si>
    <t>[Master=103171, Azha] [Customer CityOfAlbermarle] Unplanned HPE-SMB service stack restart due to unexpected thread termination causing lsass to be detected as non-operational by Service Monitor</t>
  </si>
  <si>
    <t>19047</t>
  </si>
  <si>
    <t>[Customer: PriceWaterhouseCoopers] PML Java crash due to OutOfMemoryError</t>
  </si>
  <si>
    <t>11/9: Looking like classic 1.2 memory leaks via SMB. Similar to 87236, may dup to that.</t>
  </si>
  <si>
    <t>[Master=106596, Axion] [Customer: Georgia Dept of Banking] Failover fails with "Error handling umount notification before for host" yet VIF is still deactivated</t>
  </si>
  <si>
    <t>18911</t>
  </si>
  <si>
    <t>[Customer: Georgia Dept of Banking] umount fails with SEVERE: Completion notification: filesystem VFS_2 umount failed. Error: Error handling umount notification before for host node1fs: [Activity timed out]</t>
  </si>
  <si>
    <t>[Master=73287, Atlas-1.2-Maint] [Customer GE Health Care] 3PAR File Persona local user account requires local domain prefix</t>
  </si>
  <si>
    <t>[Master=106868, Avitus-1.4-Maint][Customer: St Joseph's][UDU221824] Upgrade to 3.2.2 MU4 P85 fails with "0x102F1002 : The CONFIG_CHANGE_TRANSFORM command /alt//opt/likewise/bin/reg_upgrade.sh for component hp-smb timed out after the specified limit of 100</t>
  </si>
  <si>
    <t>1.4 maint</t>
  </si>
  <si>
    <t>[Master=106868, Axion] [Customer: St Joseph's][UDU221824] Upgrade to 3.2.2 MU4 P85 fails with 0x102F1002 : The CONFIG_CHANGE_TRANSFORM command /alt//opt/likewise/bin/reg_upgrade.sh for component hp-smb timed out after the specified limit of 100 seconds</t>
  </si>
  <si>
    <t>1.5</t>
  </si>
  <si>
    <t>[Master=106868, Azha] [Customer: St Joseph's][UDU221824] Upgrade to 3.2.2 MU4 P85 fails with 0x102F1002 : The CONFIG_CHANGE_TRANSFORM command /alt//opt/likewise/bin/reg_upgrade.sh for component hp-smb timed out after the specified limit of 100 seconds</t>
  </si>
  <si>
    <t>1.6</t>
  </si>
  <si>
    <t>19188</t>
  </si>
  <si>
    <t>[UDU213490] [Customer Transport Canada] Unable to failover FPG due to error "FPG has compliance enabled object(s)" which has not been implemented.</t>
  </si>
  <si>
    <t>Compliance WORM</t>
  </si>
  <si>
    <t>3.3.1 MU1</t>
  </si>
  <si>
    <t>http://vasa0097.cxo.storage.hpecorp.net/Cfi/CFIIssues</t>
  </si>
  <si>
    <t>C:\Program Files\Internet Explorer\iexplore.exe</t>
  </si>
  <si>
    <t>C:\Users\mwroberts\Downloads</t>
  </si>
  <si>
    <t>&lt;&lt;=== this is used to know which browser to open</t>
  </si>
  <si>
    <t>&lt;&lt;=== this is used to export CSV after a filter is called</t>
  </si>
  <si>
    <t>[Master=98755, 4.1.0 Avengers] [Customer: Tetra Pak AB, CHS, Mitsubishi,Genentech Inc] share access lost, 40 lsass threads waiting on AD_NetlogonAuthenticationUserEx Schannel lock calls</t>
  </si>
  <si>
    <t>One-off_Patch,Previous_Waiver</t>
  </si>
  <si>
    <t>Day 1 Issue</t>
  </si>
  <si>
    <t>19164</t>
  </si>
  <si>
    <t>[Master][Customer: Wellspan Health] - StoreOnce 6600 - Replication process crash with lwmsg</t>
  </si>
  <si>
    <t>3.16.4 Cacophonix</t>
  </si>
  <si>
    <t>[Master=107325, Eccentric] [Customer: Wellspan Health] - StoreOnce 6600 - Replication process crash with lwmsg</t>
  </si>
  <si>
    <t>requirements</t>
  </si>
  <si>
    <t>CFI languishing</t>
  </si>
  <si>
    <t>CFI aging</t>
  </si>
  <si>
    <t>Masters outstanding for CFIs</t>
  </si>
  <si>
    <t>How many elevations for a CFI/Master pairing</t>
  </si>
  <si>
    <t>Drill into the "Open with development" column from Andrea</t>
  </si>
  <si>
    <t>Are items fixed that aren't marked "Awaiting release"?</t>
  </si>
  <si>
    <t>19240</t>
  </si>
  <si>
    <t>WIPRO, Triage in Progress</t>
  </si>
  <si>
    <t>19256</t>
  </si>
  <si>
    <t>Escape,Memory_Leak</t>
  </si>
  <si>
    <t>4264</t>
  </si>
  <si>
    <t>[Customer HP, 9730 EMEA Pilot] Gratuitous NIC down alerts on VIFs around failover</t>
  </si>
  <si>
    <t>hpspmon</t>
  </si>
  <si>
    <t>[Master] [Customer Danbury Hospital, University of Oregon] ibrix_vs output shows 9320 degraded status when 9320 is not degraded</t>
  </si>
  <si>
    <t>3867</t>
  </si>
  <si>
    <t>[Customer Morrisons] iLO reported failed during log collection - ssh to OA from many blades breaking iLO monitoring?</t>
  </si>
  <si>
    <t>[Customer Morrisons] Communication failures to iLO reported as iLO being failed</t>
  </si>
  <si>
    <t>4198</t>
  </si>
  <si>
    <t>[Shanghai Changhai Hospital][Master, G8 Couplet] SAS HBA reported missing or failed</t>
  </si>
  <si>
    <t>jdjones@hpe.com</t>
  </si>
  <si>
    <t>4181</t>
  </si>
  <si>
    <t>[Customer: Morrisons] Unable to update the p1210m controller datetime gracefully</t>
  </si>
  <si>
    <t>AdvDraft</t>
  </si>
  <si>
    <t>4227</t>
  </si>
  <si>
    <t>[Customer Mercury] Missing/wrong information on temperature sensors</t>
  </si>
  <si>
    <t>4655</t>
  </si>
  <si>
    <t>[Morrisons] add hpspmon check for RAID level of server array</t>
  </si>
  <si>
    <t>sean.shallbetter@hp.com</t>
  </si>
  <si>
    <t>DocQuestions</t>
  </si>
  <si>
    <t>[master=27837, Ghost][Customer Danbury Hospital, University of Oregon] ibrix_vs output shows 9320 degraded status when 9320 is not degraded</t>
  </si>
  <si>
    <t>[master=27837, 63maint][Customer Danbury Hospital, University of Oregon] ibrix_vs output shows 9320 degraded status when 9320 is not degraded</t>
  </si>
  <si>
    <t>[Customer HP] hpspmon throws the following alert after failback in regards to the now "missing" VIF: The NIC is missing or has failed</t>
  </si>
  <si>
    <t>[master=33513, Ghost][Customer Mercury] Missing/wrong information on temperature sensors</t>
  </si>
  <si>
    <t>ishan.aditya@hpe.com</t>
  </si>
  <si>
    <t>[master=33513, 63maint][Customer Mercury] Missing/wrong information on temperature sensors</t>
  </si>
  <si>
    <t>4458</t>
  </si>
  <si>
    <t>[Master] [Customer University of Oregon, Cleveland Clinic] ibrix_vs output from 9320 suggest replacing hardware when MSA MC communication is problematic</t>
  </si>
  <si>
    <t>[master=36661, 63maint][Customer University of Oregon, Cleveland Clinic] ibrix_vs output from 9320 suggest replacing hardware when MSA MC communication is problematic</t>
  </si>
  <si>
    <t>[master=36661, TS1.3.2 (Ghost)][Customer University of Oregon, Cleveland Clinic] ibrix_vs output from 9320 suggest replacing hardware when MSA MC communication is problematic</t>
  </si>
  <si>
    <t>[Master] [Customer RTE] Failover not happening on p700m failure because platform not known</t>
  </si>
  <si>
    <t>2/11/16: this "Red Zone" bug has been waiting on direction since 8/15/15 - should it be closed as WONT FIX?</t>
  </si>
  <si>
    <t>6.3</t>
  </si>
  <si>
    <t>[master=37039, 66maint][Customer RTE] Failover not happening on p700m failure because platform not known</t>
  </si>
  <si>
    <t>narendra.samant@hpe.com</t>
  </si>
  <si>
    <t>4640</t>
  </si>
  <si>
    <t>[Morrisons] Surface scan errors on local (p410i) volume not reported by platform services</t>
  </si>
  <si>
    <t>4650</t>
  </si>
  <si>
    <t>[Master] [Customer Brown Bag, Teliasonera, Alcatel Lucent] Erroneous Missing HBA warning</t>
  </si>
  <si>
    <t>5970</t>
  </si>
  <si>
    <t>[MASTER][ALM CR17188] - temp sensor missing alert messages being seen in customer facing event log</t>
  </si>
  <si>
    <t>daniel.coney@hpe.com</t>
  </si>
  <si>
    <t>[Master=39027, TS1.4] [Customer Brown Bag, Teliasonera] Erroneous Missing HBA warning</t>
  </si>
  <si>
    <t>[Master=39027, 63maint] [Customer Brown Bag, Teliasonera] Erroneous Missing HBA warning</t>
  </si>
  <si>
    <t>[Master=39027, 65maint] [Customer Brown Bag, Teliasonera] Erroneous Missing HBA warning</t>
  </si>
  <si>
    <t>[master=36661, future][Customer University of Oregon, Cleveland Clinic] ibrix_vs output from 9320 suggest replacing hardware when MSA MC communication is problematic</t>
  </si>
  <si>
    <t>[master=36661, 65maint][Customer University of Oregon, Cleveland Clinic] ibrix_vs output from 9320 suggest replacing hardware when MSA MC communication is problematic</t>
  </si>
  <si>
    <t>[Master=37039, 65maint] [Customer RTE] Failover not happening on p700m failure because platform not known</t>
  </si>
  <si>
    <t xml:space="preserve">Failed Verification - Available in 6.5.3.1 </t>
  </si>
  <si>
    <t>TBC</t>
  </si>
  <si>
    <t>HPSPMON unable to query VLAN interfaces for driver information</t>
  </si>
  <si>
    <t>3.10</t>
  </si>
  <si>
    <t>[MASTER] HPSPMON unable to query VLAN interfaces for driver information</t>
  </si>
  <si>
    <t>[MASTER: 43448, Target=TS1.4/Xanadu] HPSPMON unable to query VLAN interfaces for driver information</t>
  </si>
  <si>
    <t>5393</t>
  </si>
  <si>
    <t>[MASTER] [Customer TV2Nord, BT, CGS1] hponcfg periodically throws "ERROR: A general system error occurred while detecting Management Processor" which generates an alert on the iLO</t>
  </si>
  <si>
    <t>[Master=36661, TS1.4 (Xanadu)] [Customer University of Oregon, Cleveland Clinic] ibrix_vs output from 9320 suggest replacing hardware when MSA MC communication is problematic</t>
  </si>
  <si>
    <t>[Master=37039, TS1.5 (Halo-Ypsilon-Duet)] [Customer RTE] Failover not happening on p700m failure because platform not known</t>
  </si>
  <si>
    <t xml:space="preserve">Not Required for RTS image - Waiver </t>
  </si>
  <si>
    <t>[Master=37039, TS1.6 (Zirkel) ] [Customer RTE] Failover not happening on p700m failure because platform not known</t>
  </si>
  <si>
    <t>Kill discussion</t>
  </si>
  <si>
    <t>[master=43568, 65maint][Customer TV2Nord, Media Saturn] hponcfg periodically throws "ERROR: A general system error occurred while detecting Management Processor" which generates an alert on the iLO</t>
  </si>
  <si>
    <t>[master=43568, TS1.5 (Halo-Ypsilon-Duet)][Customer TV2Nord] hponcfg periodically throws "ERROR: A general system error occurred while detecting Management Processor" which generates an alert on the iLO</t>
  </si>
  <si>
    <t>[master=43568, TS1.6 (Zirkel)][Customer TV2Nord] hponcfg periodically throws "ERROR: A general system error occurred while detecting Management Processor" which generates an alert on the iLO</t>
  </si>
  <si>
    <t>16643</t>
  </si>
  <si>
    <t>Hardware tree Server status unknown when hp-health hpasmlited fails to start due to unresponsive iLO</t>
  </si>
  <si>
    <t>todd.dieken@hpe.com</t>
  </si>
  <si>
    <t>To be verified by MRT 5/30: Proposed text change to event message. 5/22: Slot to  Trunk/Eccentric, check with Russell on other clones.  Update severity to Major.  10/6: Should this be in Botanix?</t>
  </si>
  <si>
    <t>matthew.j.farnsworth@hpe.com</t>
  </si>
  <si>
    <t>5797</t>
  </si>
  <si>
    <t>[Master] Implement validation of correct input on hpsphal</t>
  </si>
  <si>
    <t xml:space="preserve">[StoreOnce CFI] </t>
  </si>
  <si>
    <t>[master=39084, 65maint][ALM CR17188][Customer: Bloomberg Broadcast, CEGEKA NV] - temp sensor missing alert messages being seen in customer facing event log</t>
  </si>
  <si>
    <t>[Customer Airbus, KAUST]: SAS HBA patch 2341 fails @ Ibrix v6.5.5</t>
  </si>
  <si>
    <t>dan.pyper@hpe.com</t>
  </si>
  <si>
    <t>dave.ardron@hpe.com</t>
  </si>
  <si>
    <t>6784</t>
  </si>
  <si>
    <t>[master=47138, 66maint] Don't start monitoring if no categories specified with the -m option</t>
  </si>
  <si>
    <t>Under Development</t>
  </si>
  <si>
    <t>7231</t>
  </si>
  <si>
    <t>[Master=46891, 66maint][Customer: Rajab and Silsilah Co. (KKIA),Dreamworks] DoS attack from infinite spamming of hpssacli processes</t>
  </si>
  <si>
    <t>8/27: Platform packages delivered into StoreAll_trunk</t>
  </si>
  <si>
    <t>day one issue</t>
  </si>
  <si>
    <t>[Master=46891, Asterix][Customer: Rajab and Silsilah Co. (KKIA)] DoS attack from infinite spamming of hpssacli processes</t>
  </si>
  <si>
    <t>7938</t>
  </si>
  <si>
    <t>[Customer:Capita Clinical Solutions]Degraded enclosure messages intermittently being reported in ibrix_event when HW has no issues</t>
  </si>
  <si>
    <t>bimalendu.mandal@hpe.com</t>
  </si>
  <si>
    <t>8360</t>
  </si>
  <si>
    <t>[Customer: Navisite] memory leak in hpspmon results in node restart</t>
  </si>
  <si>
    <t>sharon.j.chadwell@hpe.com</t>
  </si>
  <si>
    <t>6.3.5</t>
  </si>
  <si>
    <t>[Master=37039, 63maint] [Customer RTE] Failover not happening on p700m failure because platform not known</t>
  </si>
  <si>
    <t>9/2: On hold, waiting for guidance based on retest from Sonia's team.</t>
  </si>
  <si>
    <t>[Master=50370, 3.13.2 Zirkel] Implement validation of correct input on hpsphal</t>
  </si>
  <si>
    <t>[StoreOnce CFI] 9/3: Platform recommends WONT FIX</t>
  </si>
  <si>
    <t>tom.buckethal@hpe.com</t>
  </si>
  <si>
    <t>968663</t>
  </si>
  <si>
    <t>4756851331[BELLA VISTA HOSPITAL]-3.12.1/4500-HBA card replaced but not clear why the part was replaced.</t>
  </si>
  <si>
    <t>11/29: This bug will be fixed as a consequence of fixing 85387. 6/29: Defer to Dogmatix</t>
  </si>
  <si>
    <t>969696 5002</t>
  </si>
  <si>
    <t>4759697922[PRORAIL]-3.13.0/4700-FS unmounted and RO flags on 3.13.0/RO flag cleared resolved the issue</t>
  </si>
  <si>
    <t>Duplicate, Failure Signature in Bug #30910</t>
  </si>
  <si>
    <t>4759394921[FONDO NACIONAL DE INFRAESTRUCTURA]-3.11.4/4700-Segments NA/RO flag cleared</t>
  </si>
  <si>
    <t>3.11.4 Xanadu</t>
  </si>
  <si>
    <t>[Master=50370, TS1.8 (Asterix)] Implement validation of correct input on hpsphal</t>
  </si>
  <si>
    <t>9783</t>
  </si>
  <si>
    <t>[Master=74055, TS2.1 (Atlas)] [Customer: Kinecta,Informatica Trentina,Cold Tech Svcs] Spurious report of file services failed with "Symbolic link by ID is missing for this volume"</t>
  </si>
  <si>
    <t>[Master=74055, Aurora] [Customer: Kinecta,Informatica Trentina,Cold Tech Svcs] Spurious report of file services failed with "Symbolic link by ID is missing for this volume"</t>
  </si>
  <si>
    <t>[Master=74055, Avitus] [Customer: Kinecta,Informatica Trentina,Cold Tech Svcs] Spurious report of file services failed with "Symbolic link by ID is missing for this volume"</t>
  </si>
  <si>
    <t>17119</t>
  </si>
  <si>
    <t>TS1.8 (Asterix2)</t>
  </si>
  <si>
    <t>[Master=50370, 3.13.X Zirkel Next] Implement validation of correct input on hpsphal</t>
  </si>
  <si>
    <t>9436</t>
  </si>
  <si>
    <t>[Master=64625, 3.13.X Zirkel Next] Raptor log is showing "CIM_Engine: freeing expired session id 0x1"</t>
  </si>
  <si>
    <t>10136</t>
  </si>
  <si>
    <t>TS 2.0</t>
  </si>
  <si>
    <t>[Master=76375, Atlas-1.2-Maint] [Customer: Sporting Index] hpspmon consuming a large amount of system memory</t>
  </si>
  <si>
    <t>deepak.kumaran@hpe.com</t>
  </si>
  <si>
    <t>[Master=76375, Aurora] [Customer: Sporting Index] hpspmon consuming a large amount of system memory</t>
  </si>
  <si>
    <t>[Master=76375, Avitus] [Customer: Sporting Index] hpspmon consuming a large amount of system memory</t>
  </si>
  <si>
    <t>10414</t>
  </si>
  <si>
    <t>[Customer: CEGEKA] hpspmon reported iLO module offline sometimes, but it was solved automatically on next polling</t>
  </si>
  <si>
    <t>dipti.nikhare@hpe.com</t>
  </si>
  <si>
    <t>[Master=76375, 3.15.0 Botanix] [Customer: Sporting Index] hpspmon consuming a large amount of system memory</t>
  </si>
  <si>
    <t>3/28: Tom testing on trunk, getting ready to CRB.  3/21: Harlan still investigating resolution for Botanix</t>
  </si>
  <si>
    <t>[Master=76375, TS1.7 (Balvenie)] [Customer: Sporting Index] hpspmon consuming a large amount of system memory</t>
  </si>
  <si>
    <t>3/28: Tom testing on trunk, getting ready to CRB.  3/24: StV has approved fixing this.</t>
  </si>
  <si>
    <t>11767</t>
  </si>
  <si>
    <t>HPSPMON Unable to determine state of storage pool [Customer = BMW]</t>
  </si>
  <si>
    <t>12078</t>
  </si>
  <si>
    <t>StoreOnce reports one node missing most components but ILo shows everything ok (SmartArray cache issue)</t>
  </si>
  <si>
    <t>10/12: Assigned to Zub, pushing to Z.next</t>
  </si>
  <si>
    <t>Ypsilon</t>
  </si>
  <si>
    <t>17057</t>
  </si>
  <si>
    <t>3.15.1 Botanix</t>
  </si>
  <si>
    <t>9102356</t>
  </si>
  <si>
    <t>[Master=103743, PPI-17C] SO AOER Investigation - JBOD Thermal events do not generate any system level events resulting in DU events</t>
  </si>
  <si>
    <t>harini.pandari@hpe.com</t>
  </si>
  <si>
    <t>PPI-17C</t>
  </si>
  <si>
    <t>45775</t>
  </si>
  <si>
    <t>simon.riches@hpe.com</t>
  </si>
  <si>
    <t>9102480</t>
  </si>
  <si>
    <t>[Master] SO AOER Investigation - JBOD Thermal Warning needs to change for Warning to Alert</t>
  </si>
  <si>
    <t>7/18: Target Eccentric and C-3.16.4, TBD for Zirkel.</t>
  </si>
  <si>
    <t>[Master] SO AOER Investigation - JBOD Thermal events do not generate any system level events resulting in DU events</t>
  </si>
  <si>
    <t>[Master=103743, 3.13.8 Zirkel] SO AOER Investigation - JBOD Thermal events do not generate any system level events resulting in DU events</t>
  </si>
  <si>
    <t>[Master=103743, 3.16.5 Cacophonix] SO AOER Investigation - JBOD Thermal events do not generate any system level events resulting in DU events</t>
  </si>
  <si>
    <t>To be verified by Platform. 9/20: In CRB, seeking StOnce approval.</t>
  </si>
  <si>
    <t>18760</t>
  </si>
  <si>
    <t>[Master=106301, Trunk] [Customer ABB Enterprise] Spurious alert of a presented volume inquiry failure.</t>
  </si>
  <si>
    <t>Not sure. Code I added just works around incorrect reporting.</t>
  </si>
  <si>
    <t>[Master] [Customer ABB Enterprise] Spurious alert of a presented volume inquiry failure.</t>
  </si>
  <si>
    <t>11/16: Plan to fix for Azha. 11/6: Does not apply to Avengers. 10/9: Will require HAL or MON change, only on PML systems.</t>
  </si>
  <si>
    <t>zachary.speck@hpe.com</t>
  </si>
  <si>
    <t>[Master=106301, PPI-17A] [Customer ABB Enterprise] Spurious alert of a presented volume inquiry failure.</t>
  </si>
  <si>
    <t>[Master=106301, PPI-17E] [Customer ABB Enterprise] Spurious alert of a presented volume inquiry failure.</t>
  </si>
  <si>
    <t>CfTargetBuild</t>
  </si>
  <si>
    <t>Atlas_1.2.0.36-20150903</t>
  </si>
  <si>
    <t>Astra_1.0.1.1-20150209</t>
  </si>
  <si>
    <t>Astra_1.0.1.6-20150316</t>
  </si>
  <si>
    <t>Astra_1.1.0.17-20150416</t>
  </si>
  <si>
    <t>Astra_1.1.0.19-20150505</t>
  </si>
  <si>
    <t>Astra_1.1.0.37-20150824</t>
  </si>
  <si>
    <t>Astra_1.0.2.2-20150807</t>
  </si>
  <si>
    <t>Astra_1.1.0.29-20150709</t>
  </si>
  <si>
    <t>Astra_1.1.0.33-20150806</t>
  </si>
  <si>
    <t>Astra_1.1.0.26-20150618</t>
  </si>
  <si>
    <t>Astra_1.1.0.25-20150611</t>
  </si>
  <si>
    <t>Astra_1.1.0.24-20150604</t>
  </si>
  <si>
    <t>Astra_1.1.0.36-20150821</t>
  </si>
  <si>
    <t>Astra_1.1.0.30-20150720</t>
  </si>
  <si>
    <t>Astra_1.1.0.31-20150723</t>
  </si>
  <si>
    <t>Atlas_1.2.0.37-20150910</t>
  </si>
  <si>
    <t>Astra_1.0.2.1-20150731</t>
  </si>
  <si>
    <t>Astra_1.1.0.28-20150702</t>
  </si>
  <si>
    <t>Atlas_1.2.0.38-20150918</t>
  </si>
  <si>
    <t>Atlas_1.2.0.35-20150827</t>
  </si>
  <si>
    <t>Aurora_1.3.0.57-20161116</t>
  </si>
  <si>
    <t>Atlas_1.2.0.38-20150917</t>
  </si>
  <si>
    <t>Atlas_1.2.0.39-20150924</t>
  </si>
  <si>
    <t>Atlas_1.2.0.40-20151001</t>
  </si>
  <si>
    <t>Aurora_1.3.0.20-20160302</t>
  </si>
  <si>
    <t>Atlas_1.2.0.53-20160106</t>
  </si>
  <si>
    <t>Atlas_1.2.0.51-20151216</t>
  </si>
  <si>
    <t>Atlas_1.2.0.54-20160113</t>
  </si>
  <si>
    <t>Aurora_1.3.0.13-20160113</t>
  </si>
  <si>
    <t>Aurora_1.3.0.33-20160601</t>
  </si>
  <si>
    <t>Aurora_1.3.0.18-20160217</t>
  </si>
  <si>
    <t>Atlas_1.2.2.2-20160421</t>
  </si>
  <si>
    <t>Atlas_1.2.1.1-20160123</t>
  </si>
  <si>
    <t>Atlas_1.2.2.1-20160414</t>
  </si>
  <si>
    <t>Aurora_1.3.0.44-20160817</t>
  </si>
  <si>
    <t>Aurora_1.3.0.23-20160323</t>
  </si>
  <si>
    <t>Aurora_1.3.0.25-20160406</t>
  </si>
  <si>
    <t>Aurora_1.3.0.59-20161130</t>
  </si>
  <si>
    <t>Aurora_1.3.0.22-20160316</t>
  </si>
  <si>
    <t>Aurora_1.3.0.31-20160518</t>
  </si>
  <si>
    <t>Avitus_1.4.0.21-20160615</t>
  </si>
  <si>
    <t>Aurora_1.3.0.29-20160504</t>
  </si>
  <si>
    <t>Avitus_1.4.0.57-20170302</t>
  </si>
  <si>
    <t>Atlas_1.2.3.1-20161102</t>
  </si>
  <si>
    <t>Avitus_1.4.0.58-20170306</t>
  </si>
  <si>
    <t>Aurora_1.3.0.34-20160608</t>
  </si>
  <si>
    <t>Atlas_1.2.2.5-20160603</t>
  </si>
  <si>
    <t>Atlas_1.2.2.4-20160520</t>
  </si>
  <si>
    <t>Avitus_1.4.0.55-20170208</t>
  </si>
  <si>
    <t>Avitus_1.4.0.45-20161130</t>
  </si>
  <si>
    <t>Avitus_1.4.0.31-20160824</t>
  </si>
  <si>
    <t>Aurora_1.3.0.41-20160727</t>
  </si>
  <si>
    <t>Aurora_1.3.0.56-20161109</t>
  </si>
  <si>
    <t>Aurora_1.3.0.51-20161005</t>
  </si>
  <si>
    <t>Avitus_1.4.0.39-20161019</t>
  </si>
  <si>
    <t>Aurora_1.3.0.50-20160928</t>
  </si>
  <si>
    <t>Avitus_1.4.0.36-20160928</t>
  </si>
  <si>
    <t>Aurora_1.3.0.55-20161102</t>
  </si>
  <si>
    <t>Avitus_1.4.0.41-20161102</t>
  </si>
  <si>
    <t>Axion_1.5.0.28-20170920</t>
  </si>
  <si>
    <t>Aurora_1.3.0.53-20161019</t>
  </si>
  <si>
    <t>Aurora_1.3.0.52-20161012</t>
  </si>
  <si>
    <t>Avitus_1.4.0.66-20170426</t>
  </si>
  <si>
    <t>Avitus_1.4.0.47-20161214</t>
  </si>
  <si>
    <t>Aurora_1.3.0.64-20170104</t>
  </si>
  <si>
    <t>Avitus_1.4.0.49-20161228</t>
  </si>
  <si>
    <t>Aurora_1.3.0.67-20170125</t>
  </si>
  <si>
    <t>Avitus_1.4.0.68-20170510</t>
  </si>
  <si>
    <t>Avitus_1.4.0.60-20170315</t>
  </si>
  <si>
    <t>Azha_1.6.0-20170920</t>
  </si>
  <si>
    <t>Axion_1.5.0.8-20170503</t>
  </si>
  <si>
    <t>Aurora_1.3.0.71-20170215</t>
  </si>
  <si>
    <t>Avitus_1.4.0.63-20170405</t>
  </si>
  <si>
    <t>Avitus_1.4.0.73-20170607</t>
  </si>
  <si>
    <t>Axion_1.5.0.27-20170913</t>
  </si>
  <si>
    <t>Axion_1.5.0.25-20170830</t>
  </si>
  <si>
    <t>Avitus_1.4.0.70-20170524</t>
  </si>
  <si>
    <t>Axion_1.5.0.14-20170614</t>
  </si>
  <si>
    <t>Axion_1.5.0.5-20170412</t>
  </si>
  <si>
    <t>Axion_1.5.0.7-20170426</t>
  </si>
  <si>
    <t>Axion_1.5.0.24-20170823</t>
  </si>
  <si>
    <t>Axion_1.5.0.13-20170607</t>
  </si>
  <si>
    <t>Axion_1.5.0.11-20170524</t>
  </si>
  <si>
    <t>Axion_1.5.0.29-20170927</t>
  </si>
  <si>
    <t>Axion_1.5.0.15-20170621</t>
  </si>
  <si>
    <t>Axion_1.5.0.18-20170712</t>
  </si>
  <si>
    <t>Axion_1.5.0.19-20170719</t>
  </si>
  <si>
    <t>Axion_1.5.0.16-20170628</t>
  </si>
  <si>
    <t>Azha_1.6.0-20171115</t>
  </si>
  <si>
    <t>Avitus_1.4.3-20171004</t>
  </si>
  <si>
    <t>Avitus_1.4.3-20170913</t>
  </si>
  <si>
    <t>Avitus_1.4.3-20170920</t>
  </si>
  <si>
    <t>Avitus_1.4.3-20171011</t>
  </si>
  <si>
    <t>Avitus_1.4.3-20170927</t>
  </si>
  <si>
    <t>Axion_1.5.0-20171018</t>
  </si>
  <si>
    <t>Azha_1.6.0-20171011</t>
  </si>
  <si>
    <t>Axion_1.5.0-20171004</t>
  </si>
  <si>
    <t>Azha_1.6.0-20171004</t>
  </si>
  <si>
    <t>Avitus_1.4.2-20171004</t>
  </si>
  <si>
    <t>Axion_1.5.0-20171108</t>
  </si>
  <si>
    <t>Axion_1.5.0-20171206</t>
  </si>
  <si>
    <t>Azha_1.6.0-20171213</t>
  </si>
  <si>
    <t>[Master][Customer: St Joseph's, Korea MOJ][UDU221824] Upgrade to 3.2.2 MU4 P85 fails with 0x102F1002 : The CONFIG_CHANGE_TRANSFORM command /alt//opt/likewise/bin/reg_upgrade.sh for component hp-smb timed out after the specified limit of 100 seconds</t>
  </si>
  <si>
    <t>Axion_1.5.0-20171220</t>
  </si>
  <si>
    <t>[Master][Customer: Mitsubishi] smb share inaccessible with ERROR_GEN_FAILURE until reboot fpg owning vm node, which was happened since ERROR_NETNAME_DELETED error.</t>
  </si>
  <si>
    <t>19262</t>
  </si>
  <si>
    <t>[Master=108741, Azha] [Customer: Mitsubishi] lwio core file observed while replicating PHS</t>
  </si>
  <si>
    <t>19261</t>
  </si>
  <si>
    <t>[Master] [Customer: Mitsubishi] lwio core file observed while replicating PHS</t>
  </si>
  <si>
    <t>[Master=108741, Axion] [Customer: Mitsubishi] lwio core file observed while replicating PHS</t>
  </si>
  <si>
    <t>[Master=108535, Avitus-1.4-Maint][Customer: Mitsubishi] smb share inaccessible with ERROR_GEN_FAILURE until reboot fpg owning vm node, which was happened since ERROR_NETNAME_DELETED error.</t>
  </si>
  <si>
    <t>[Master=108535, Azha][Customer: Mitsubishi] smb share inaccessible with ERROR_GEN_FAILURE until reboot fpg owning vm node, which was happened since ERROR_NETNAME_DELETED error.</t>
  </si>
  <si>
    <t xml:space="preserve"> OST 4.0 versions has issues reading OST 2.0 jobs during Restore and Copy operati</t>
  </si>
  <si>
    <t>12/14: can we get CRB soon? [evaluate when fix available]</t>
  </si>
  <si>
    <t>[Master][Customer: Mitsubishi] srv crash during hpsmb start</t>
  </si>
  <si>
    <t>[Master=108640, Avitus-1.4-Maint][Customer: Mitsubishi] srv crash during hpsmb start</t>
  </si>
  <si>
    <t>[Master=108640, Axion][Customer: Mitsubishi] srv crash during hpsmb start</t>
  </si>
  <si>
    <t>[Master=108640, Azha][Customer: Mitsubishi] srv crash during hpsmb start</t>
  </si>
  <si>
    <t>Target build</t>
  </si>
  <si>
    <t>DU</t>
  </si>
  <si>
    <t>DI</t>
  </si>
  <si>
    <t xml:space="preserve"> Division</t>
  </si>
  <si>
    <t>cfdudl</t>
  </si>
  <si>
    <t>Data Loss</t>
  </si>
  <si>
    <t>Azha_1.6.0-20180110</t>
  </si>
  <si>
    <t>19291</t>
  </si>
  <si>
    <t>[Master][Customer: Mitsubishi] SrvInitialize() failure causing health monitor to restart hp-smb continuously</t>
  </si>
  <si>
    <t>[Master=108810, Axion][Customer: Mitsubishi] SrvInitialize() failure causing health monitor to restart hp-smb continuously</t>
  </si>
  <si>
    <t>[Master=108810, Azha][Customer: Mitsubishi] SrvInitialize() failure causing health monitor to restart hp-smb continuously</t>
  </si>
  <si>
    <t>[Master=108810, Avitus-1.4-Maint][Customer: Mitsubishi] SrvInitialize() failure causing health monitor to restart hp-smb continuously</t>
  </si>
  <si>
    <t>bz Du/Dl/Di</t>
  </si>
  <si>
    <t>[Master=108741, Avitus-1.4-Maint] [Customer: Mitsubishi] lwio core file observed while replicating PHS</t>
  </si>
  <si>
    <t>[Master][Customer: Mitsubishi, Valgrind] Medium memory leak in srvsvc enumerating shares and getting share info</t>
  </si>
  <si>
    <t>[Master=98774, Avitus] [Customer: Mitsubishi, Valgrind] Medium memory leak in srvsvc enumerating shares and getting share info</t>
  </si>
  <si>
    <t>Avitius</t>
  </si>
  <si>
    <t>[Master][Customer: Mitsubishi] lw eating large memory space and vm node had out of memory, possible related with [lwio] PVFS: (FCB) Failed to execute delete-on-close.</t>
  </si>
  <si>
    <t>Azha_1.6.0-20180103</t>
  </si>
  <si>
    <t>Axion_1.5.0-20180103</t>
  </si>
  <si>
    <t>Azha_1.6.0-20171227</t>
  </si>
  <si>
    <t>[Master=108603, Avitus-1.4-Maint][Customer: Mitsubishi] lw eating large memory space and vm node had out of memory, possible related with "[lwio] PVFS: (FCB) Failed to execute delete-on-close".</t>
  </si>
  <si>
    <t>[Master=108603, Axion][Customer: Mitsubishi] lw eating large memory space and vm node had out of memory, possible related with "[lwio] PVFS: (FCB) Failed to execute delete-on-close".</t>
  </si>
  <si>
    <t>[Master=108603, Azha][Customer: Mitsubishi] lw eating large memory space and vm node had out of memory, possible related with "[lwio] PVFS: (FCB) Failed to execute delete-on-close".</t>
  </si>
  <si>
    <t>19341</t>
  </si>
  <si>
    <t xml:space="preserve"> SQL; SAP HANA; and RMAN plugins configured for High Bandwidth (HBW) lead to back</t>
  </si>
  <si>
    <t xml:space="preserve"> Modifying VTL tape device count by removing and then re-adding VTL tape devices </t>
  </si>
  <si>
    <t xml:space="preserve">1/4: Matt to determine next steps. 11/28: Fixed on Trunk, plan to WAIVER for Axion. 11/6: Still waiting on FS side, which is progressing. </t>
  </si>
  <si>
    <t>padmagandha.panigrahy@hpe.com</t>
  </si>
  <si>
    <t>19300</t>
  </si>
  <si>
    <t>[Master=109147, Avitus-1.4-Maint] [Customer Rolls-Royce Power Systems] After upgrade to 1.4.2(P19), Attempt to add NFS-client to nfsshare fails with "Modifying export path is not allowed" on pre-upgrade nfsshares.</t>
  </si>
  <si>
    <t>[Master] [Customer Rolls-Royce Power Systems] After upgrade to 1.4.2(P19), Attempt to add NFS-client to nfsshare fails with "Modifying export path is not allowed" on pre-upgrade nfsshares.</t>
  </si>
  <si>
    <t>[Master=109147, Axion] [Customer Rolls-Royce Power Systems] After upgrade to 1.4.2(P19), Attempt to add NFS-client to nfsshare fails with "Modifying export path is not allowed" on pre-upgrade nfsshares.</t>
  </si>
  <si>
    <t>Previous_Waiver,Reopened-Other,TBVbyDevelopment</t>
  </si>
  <si>
    <t>5325361998[Comercial City Fresko]-3.13.3/4700-NAS offline, resolved by restarting the SSID</t>
  </si>
  <si>
    <t>UNCONFIRMED</t>
  </si>
  <si>
    <t>Axion_1.5.0-20180110</t>
  </si>
  <si>
    <t>19381</t>
  </si>
  <si>
    <t>[Customer: Dealertrack] snapshot throws the following error in a non terminating loop, issue only resolved through filesystem fsck:  copy_mcell_chains_opx: ENO_MORE_MCELLS, looping</t>
  </si>
  <si>
    <t>FP 1.5</t>
  </si>
  <si>
    <t>*Unknown (Triage)-Avatar</t>
  </si>
  <si>
    <t>[Master=109147, Azha] [Customer Rolls-Royce Power Systems] After upgrade to 1.4.2(P19), Attempt to add NFS-client to nfsshare fails with "Modifying export path is not allowed" on pre-upgrade nfsshares.</t>
  </si>
  <si>
    <t>Target Milestone</t>
  </si>
  <si>
    <t>BZ Bedrock</t>
  </si>
  <si>
    <t>TargetMilestone</t>
  </si>
  <si>
    <t>TestFramework</t>
  </si>
  <si>
    <t>Master</t>
  </si>
  <si>
    <t>6.0.2</t>
  </si>
  <si>
    <t>6.0.1</t>
  </si>
  <si>
    <t>5.6.3</t>
  </si>
  <si>
    <t>56maint</t>
  </si>
  <si>
    <t>60maint</t>
  </si>
  <si>
    <t>61maint</t>
  </si>
  <si>
    <t>55maint</t>
  </si>
  <si>
    <t>6.1.1</t>
  </si>
  <si>
    <t>6.1.2</t>
  </si>
  <si>
    <t>6.1.4</t>
  </si>
  <si>
    <t>6.2.2</t>
  </si>
  <si>
    <t>6.1.3</t>
  </si>
  <si>
    <t>future</t>
  </si>
  <si>
    <t>TS1.5 (Halo-Ypsilon-Duet)</t>
  </si>
  <si>
    <t>62maint</t>
  </si>
  <si>
    <t>6.3.1</t>
  </si>
  <si>
    <t>6.2.3</t>
  </si>
  <si>
    <t>6.1.5</t>
  </si>
  <si>
    <t>5.6.4</t>
  </si>
  <si>
    <t>TS1.1 (Vesuvius)</t>
  </si>
  <si>
    <t>6.3.2</t>
  </si>
  <si>
    <t>64maint</t>
  </si>
  <si>
    <t>6.4.1</t>
  </si>
  <si>
    <t>TS1.3.2 (Ghost)</t>
  </si>
  <si>
    <t>Astra-IR8</t>
  </si>
  <si>
    <t>6.3.3</t>
  </si>
  <si>
    <t>TS2.0 (Astra-IR6)</t>
  </si>
  <si>
    <t>For Review</t>
  </si>
  <si>
    <t>6.3.4</t>
  </si>
  <si>
    <t>Astra-IR5</t>
  </si>
  <si>
    <t>Astra-IR6</t>
  </si>
  <si>
    <t>Astra-IR7</t>
  </si>
  <si>
    <t>6.5.5</t>
  </si>
  <si>
    <t>65maint</t>
  </si>
  <si>
    <t>6.6.3</t>
  </si>
  <si>
    <t>TS1.4 (Xanadu)</t>
  </si>
  <si>
    <t>6.5.1</t>
  </si>
  <si>
    <t>Astra-IR11</t>
  </si>
  <si>
    <t>Astra-Waiver</t>
  </si>
  <si>
    <t>Astra-Post IR13 08-01</t>
  </si>
  <si>
    <t>Astra-Post IR13 08-08-RTI</t>
  </si>
  <si>
    <t>TS1.5.1 (Halo)</t>
  </si>
  <si>
    <t>6.3.6</t>
  </si>
  <si>
    <t>Astra-Post IR13 08-29</t>
  </si>
  <si>
    <t>Trunk</t>
  </si>
  <si>
    <t>3.13.1 Zirkel</t>
  </si>
  <si>
    <t>3.14.0 Asterix</t>
  </si>
  <si>
    <t>Astra-Post IR13 10-03</t>
  </si>
  <si>
    <t>Astra-Maint</t>
  </si>
  <si>
    <t>6.6.2</t>
  </si>
  <si>
    <t>Astra-1.0.2</t>
  </si>
  <si>
    <t>TS2.0 (Astra-1.0.2-ChelseaMU3P20)</t>
  </si>
  <si>
    <t>File PI 1703</t>
  </si>
  <si>
    <t>TS1.7 (Balvenie)</t>
  </si>
  <si>
    <t>Astra-1.1.0-Maint</t>
  </si>
  <si>
    <t>TS2.0.5 (Astra-1.1.0-Maint)</t>
  </si>
  <si>
    <t>PPI-16C</t>
  </si>
  <si>
    <t>Atlas-1.2-Maint</t>
  </si>
  <si>
    <t>File PI 1704</t>
  </si>
  <si>
    <t>Avitus-1.4-Maint</t>
  </si>
  <si>
    <t>PPI-16D</t>
  </si>
  <si>
    <t>3.15.2 Botanix</t>
  </si>
  <si>
    <t>3.14.X Apportunistic</t>
  </si>
  <si>
    <t>3.15.X Botanix Next</t>
  </si>
  <si>
    <t>Aurora-1.3-Maint</t>
  </si>
  <si>
    <t>PPI-16E</t>
  </si>
  <si>
    <t>3.17.0 Dastardly</t>
  </si>
  <si>
    <t>FP - Technical Backlog</t>
  </si>
  <si>
    <t>PPI-17A</t>
  </si>
  <si>
    <t>D2D future</t>
  </si>
  <si>
    <t>4.1.0 Avengers</t>
  </si>
  <si>
    <t>3.17.1 Dastardly</t>
  </si>
  <si>
    <t>Azha</t>
  </si>
  <si>
    <t>Avitus-1.4.4</t>
  </si>
  <si>
    <t>3.13.8 Zirkel</t>
  </si>
  <si>
    <t>3.30 Raptor</t>
  </si>
  <si>
    <t>VDU OS 1.4</t>
  </si>
  <si>
    <t>PPI-17E</t>
  </si>
  <si>
    <t>VDU OS 2.3</t>
  </si>
  <si>
    <t>Atlas-1.2.5</t>
  </si>
  <si>
    <t>3.18.0 Esoteric</t>
  </si>
  <si>
    <t>3.18.1 Esoteric</t>
  </si>
  <si>
    <t>3.11.1</t>
  </si>
  <si>
    <t>[Master=110856, PPI-16C] False network switch missing or failed report during CHO - similar issue seen at customers</t>
  </si>
  <si>
    <t>12561, 19399</t>
  </si>
  <si>
    <t>[Master=93566, Atlas-1.2-Maint] [Customer: Arcadia University, European Dynamics] startfs fails with 'Error: Failed to bring up internal networking on virtual machine on node 0 after VM re-define" moved from UDU bug 192117</t>
  </si>
  <si>
    <t>Still need Release Note attachment</t>
  </si>
  <si>
    <t>17198</t>
  </si>
  <si>
    <t>[Master=110260, PPI-17C] Customer Name Otsuka Corporation] Discrepancy in Link speed of the NIC when observed from CLI and GUI from that of the actual configuration.</t>
  </si>
  <si>
    <t>Cacafonix</t>
  </si>
  <si>
    <t>1/24: Verification plan - review Jems test process to see if sufficient</t>
  </si>
  <si>
    <t>17510, 13183</t>
  </si>
  <si>
    <t>[Master][Customer: Ternium, Tetra Pak AB] Potential deadlock between SrvPersistentReconnct_CompleteStage and SrvCancelCreateStateHandle_SMB_V2</t>
  </si>
  <si>
    <t>Preexisting,TBVbyDevelopment,Zone_Increased</t>
  </si>
  <si>
    <t>[Master=112280, PPI-17C] [SIE125536] [Banca March] HBA flapping as MISSING; exception from ComputeNode from 'ipmitool lan print` failing twice in a row</t>
  </si>
  <si>
    <t>[Master=99850, Axion] [Customer: Dealertrack] Hit domain panic while trying Snap file NFS access in fs near full state (FS is 92% full).</t>
  </si>
  <si>
    <t>Previous_Deferral</t>
  </si>
  <si>
    <t>17859, 19411</t>
  </si>
  <si>
    <t>[Master=102064, Trunk] [Customer: City of Albemarle, Kforce Inc.] JVM became unresponsive causing pmlvifmonitor to detect it and restart it</t>
  </si>
  <si>
    <t>[Master=98891, Axion] [Customer: Ternium, Tetra Pak AB] Potential deadlock between SrvPersistentReconnct_CompleteStage and SrvCancelCreateStateHandle_SMB_V2</t>
  </si>
  <si>
    <t>Previous_Waiver,Zone_Increased</t>
  </si>
  <si>
    <t>[Master] [Customer: City of Albemarle, Kforce Inc.] JVM became unresponsive causing pmlvifmonitor to detect it and restart it</t>
  </si>
  <si>
    <t>19537</t>
  </si>
  <si>
    <t>[Master=102700, Axion] [Customer: Tetra Pak] Hpeidmapd can crash trying to handle a "clearCache" request, and causes failure of mkdir operation</t>
  </si>
  <si>
    <t>[Master=102847, Axion][Customer:KForce]hpeidmapd crashes do not leave corefiles</t>
  </si>
  <si>
    <t>roselle.fernandez@hpe.com</t>
  </si>
  <si>
    <t>IDsOnDisk</t>
  </si>
  <si>
    <t>20203</t>
  </si>
  <si>
    <t>[Master][Customer: SOUTH CENTRAL AMBULANCE SERVICE] CIFS server crash / RBTree entry corruption</t>
  </si>
  <si>
    <t>shubham.rav.phadnis@hpe.com</t>
  </si>
  <si>
    <t>Axion_1.5.0-20180131</t>
  </si>
  <si>
    <t>3.19.0 Fulliautomatic</t>
  </si>
  <si>
    <t>[Master=100067, Axion] [Customer Kforce] Data not available to network clients because of an incorrect route table entry from a createVFS subnet mask mistake.</t>
  </si>
  <si>
    <t>[Master=87236, Axion] [Customer: Lego, SFMC, SOMINCOR, Kenshoo, Kforce, NewSouthWales] Multiple Java crashes from out of memory conditions</t>
  </si>
  <si>
    <t>[Master=102064, PPI-17E] [Customer: City of Albemarle, Kforce Inc.] JVM became unresponsive causing pmlvifmonitor to detect it and restart it</t>
  </si>
  <si>
    <t>ravi-kumar.chilaka@hpe.com</t>
  </si>
  <si>
    <t>Day 1?</t>
  </si>
  <si>
    <t>Previous_Deferral,Reopened-Other</t>
  </si>
  <si>
    <t>Azha_1.6.0-20180704</t>
  </si>
  <si>
    <t>Axion_1.5.0-20180221</t>
  </si>
  <si>
    <t>Azha_1.6.0-20180221</t>
  </si>
  <si>
    <t>ACL</t>
  </si>
  <si>
    <t>Azha_1.6.0-20180131</t>
  </si>
  <si>
    <t>[Master=98891, Azha] [Customer: Ternium, Tetra Pak AB] Potential deadlock between SrvPersistentReconnct_CompleteStage and SrvCancelCreateStateHandle_SMB_V2</t>
  </si>
  <si>
    <t>[Master=98891, Avitus-1.4-Maint] [Customer: Ternium, Tetra Pak AB] Potential deadlock between SrvPersistentReconnct_CompleteStage and SrvCancelCreateStateHandle_SMB_V2</t>
  </si>
  <si>
    <t>19460</t>
  </si>
  <si>
    <t>[Master=113164, PPI-16C] Esoteric -  spurious Server Fan and Server Power Supply Missing/OK events generated</t>
  </si>
  <si>
    <t>3/7: Fully approved, please proceed. 11/29: Workaround implemented and made improvements, but not 100% addressed.  StOnce not taking for 3.18.0 and 3.16.5</t>
  </si>
  <si>
    <t>PPI-17F</t>
  </si>
  <si>
    <t>scott.tallman@hpe.com</t>
  </si>
  <si>
    <t>[Master][Customer - Pride Industries, BAE Systems Australia Limited, Hugo Vogelsang Maschinenbaug] CIFS shares becomes inaccessible to clients</t>
  </si>
  <si>
    <t>[Master=106778, 3.16.7 Cacophonix][Customer - Pride Industries, BAE Systems Australia Limited, Hugo Vogelsang Maschinenbaug] CIFS shares becomes inaccessible to clients + couple of files/folder on specific shares appear to be disappearing</t>
  </si>
  <si>
    <t>3.16.7 Cacophonix</t>
  </si>
  <si>
    <t>[Master=106778, 3.18.3 Esoteric] [Customer - Pride Industries, BAE Systems Australia Limited, Hugo Vogelsang Maschinenbaug] CIFS shares becomes inaccessible to clients   couple of files/folder on specific shares appear to be disappearing</t>
  </si>
  <si>
    <t>WIPRO- Porting in progress</t>
  </si>
  <si>
    <t>[Master=107554, Axion] [Customer: Woking]  domain panic with "Failed to add missing entries for tag" since online fsck failure</t>
  </si>
  <si>
    <t>[Master=98755, 3.18.5 Esoteric] [Customer: Tetra Pak AB, CHS, Mitsubishi,Genentech Inc] share access lost, 40 lsass threads waiting on AD_NetlogonAuthenticationUserEx Schannel lock calls</t>
  </si>
  <si>
    <t>3.18.5 Esoteric</t>
  </si>
  <si>
    <t>Believe bug 108810 is only remaining unresolved aspect of this bug.</t>
  </si>
  <si>
    <t>[Master=108535, Axion][Customer: Mitsubishi] smb share inaccessible with ERROR_GEN_FAILURE until reboot fpg owning vm node, which was happened since ERROR_NETNAME_DELETED error. Failure to umount</t>
  </si>
  <si>
    <t>Azha_1.6.0-20180228</t>
  </si>
  <si>
    <t>5325128792[Builders Firstsource, Inc.]-3.16.2/5500-NAS shares inaccessible, resolved by SW upgrade to 3.16.3.</t>
  </si>
  <si>
    <t>apurva.patil@hpe.com</t>
  </si>
  <si>
    <t>[Master=109768, Avitus-1.4-Maint] [Customer: Arcadia University, Regione Emilia Romagna] Poor write performance after a short period of time with a large sequential write load</t>
  </si>
  <si>
    <t>[Master=109766, Atlas-1.2-Maint] [Customer: Dealertrack] File system returning -1055 for the following calls from snapshot: alloc_mcell, bmt_alloc_link_mcell, advfs_snap_mcell; fsck required to resolve issue</t>
  </si>
  <si>
    <t>19390</t>
  </si>
  <si>
    <t>[Master][Customer: Tetra Pak AB] hp-smb stack crashing frequently with: srvsvc: Timeout exceeded in lwmsg_peer_assoc_call_dispatch_outgoing, crash and restart to heal</t>
  </si>
  <si>
    <t>5324488861</t>
  </si>
  <si>
    <t>[Master][OMNICOM MEDIA GROUP] Excessive amount of FIND_OBJ calls in idle system</t>
  </si>
  <si>
    <t>[Master=109869, PPI-17E] [Customer: City of Albemarle, Kforce Inc.] Need additional logging and recovery logic for when PML unexpectedly becomes unresponsive for a period of time</t>
  </si>
  <si>
    <t>Axion_1.5.0-20180214</t>
  </si>
  <si>
    <t>19399</t>
  </si>
  <si>
    <t>[Customer: European Dynamics] 3.2.2 MU6, starting File Persona fails with: Error: Failed to bring up internal networking on virtual machine on node 0 after VM re-define</t>
  </si>
  <si>
    <t>1.2.2</t>
  </si>
  <si>
    <t>19402</t>
  </si>
  <si>
    <t>[Master][Customer: Tetra Pak] Since upgrade to 1.4.2 some folders are failing Create Requests</t>
  </si>
  <si>
    <t>WIPRO, Triage in Progress,  working on repro steps</t>
  </si>
  <si>
    <t>[Master=107941, Avitus] [Customer: Tetra Pak AB] startfsnapclean fails with: Unexpected exception while resolving coordinator akka.tcp://SnapShotServices@127.127.0.13:9015/user/SnapShotCoordinator-R Futures timed out after [20 seconds]</t>
  </si>
  <si>
    <t>19418</t>
  </si>
  <si>
    <t>[Master=109623, Axion] [Customer Rightmove Group Limited] Multiple java-crashes in policystore</t>
  </si>
  <si>
    <t>[Master=109333, Axion][Customer: Tetra Pak AB] hp-smb stack crashing frequently with: srvsvc: Timeout exceeded in lwmsg_peer_assoc_call_dispatch_outgoing, crash and restart to heal</t>
  </si>
  <si>
    <t>May be a new path to trigger bug 67205</t>
  </si>
  <si>
    <t>[Master=109333, Azha][Customer: Tetra Pak AB] hp-smb stack crashing frequently with: srvsvc: Timeout exceeded in lwmsg_peer_assoc_call_dispatch_outgoing, crash and restart to heal</t>
  </si>
  <si>
    <t>Avitas-1.4-Maint</t>
  </si>
  <si>
    <t>[Master=109341, Axion][OMNICOM MEDIA GROUP] Excessive amount of FIND_OBJ calls in idle system</t>
  </si>
  <si>
    <t>[Master=109341, Azha][OMNICOM MEDIA GROUP] Excessive amount of FIND_OBJ calls in idle system</t>
  </si>
  <si>
    <t>[Master=109405, Axion][Customer: Tetra Pak] Since upgrade to 1.4.2 some folders are failing Create Requests</t>
  </si>
  <si>
    <t>[Master=109405, Azha][Customer: Tetra Pak] Since upgrade to 1.4.2 some folders are failing Create Requests</t>
  </si>
  <si>
    <t>19435</t>
  </si>
  <si>
    <t>[Master=109727, Axion] [Customer :NTT Data Wave] smb share inaccessible with lsass overloaded.</t>
  </si>
  <si>
    <t>19419</t>
  </si>
  <si>
    <t>[Master] [Customer Regione Emilia Romagne] After exceeding 80% Java memory usage, PML Monitor is continuously trying to generate memory dumps</t>
  </si>
  <si>
    <t xml:space="preserve">2/8: Fixed on Trunk, CRB out for Axion. 2/5: Expect to be done with this today. </t>
  </si>
  <si>
    <t>[Master=109589, PPI-17E] [Customer Regione Emilia Romagne] After exceeding 80% Java memory usage, PML Monitor is continuously trying to generate memory dumps</t>
  </si>
  <si>
    <t>[Master] [Customer Rightmove Group Limited] Multiple java-crashes in policystore</t>
  </si>
  <si>
    <t>[Master=109623, Azha] [Customer Rightmove Group Limited] Multiple java-crashes in policystore</t>
  </si>
  <si>
    <t>19511</t>
  </si>
  <si>
    <t>[Master=109792, PPI-17E] [Customer: Hongkong Jocky Club] FP clock skew ahead of NTP doesn't get automatically fixed</t>
  </si>
  <si>
    <t>Axion_1.5.0-20180207</t>
  </si>
  <si>
    <t>19456</t>
  </si>
  <si>
    <t>[Master][Customer: Mitsubishi] netlogon crashed in LWnetDnsGetAddressForServer</t>
  </si>
  <si>
    <t>19457</t>
  </si>
  <si>
    <t>[Master][Customer: Mitsubishi] lwio had segfault during robocopy, possible corruption in lwbase.</t>
  </si>
  <si>
    <t>[Master]5326055381[Arcelormittal Burns Harbor LLC]-3.16.2/3500-System offline, resolved by restarting the likewise services and system reboot</t>
  </si>
  <si>
    <t>[Master=106778, Azha] [Customer - Pride Industries, BAE Systems Australia Limited, Hugo Vogelsang Maschinenbaug] CIFS shares becomes inaccessible to clients   couple of files/folder on specific shares appear to be disappearing</t>
  </si>
  <si>
    <t>Azha_1.6.0-20180214</t>
  </si>
  <si>
    <t>[Master] [Customer :NTT Data Wave] smb share inaccessible with lsass overloaded.</t>
  </si>
  <si>
    <t>[Master=109727, Avitus-1.4.4] [Customer :NTT Data Wave] smb share inaccessible with lsass overloaded.</t>
  </si>
  <si>
    <t>19482</t>
  </si>
  <si>
    <t>[Master=110114, Axion] [Customer Rightmove Group Limited] NFSv3 mount from a Solaris client fails, error: RPC: Program not registered</t>
  </si>
  <si>
    <t>sreenivasulu.ganji@hpe.com</t>
  </si>
  <si>
    <t>QuotaMonitor</t>
  </si>
  <si>
    <t>[Master=104097, Axion] [Customer: Kforce] thousands of the following messages logged per minute followed by what appears to be an HPEIdmapd restart: ade_idmapd: Name not found: Authenticated^Users@NT^AUTHORITY</t>
  </si>
  <si>
    <t>[Master] [Customer: Dealertrack] File system returning -1055 for the following calls from snapshot: alloc_mcell, bmt_alloc_link_mcell, advfs_snap_mcell; fsck required to resolve issue</t>
  </si>
  <si>
    <t>[Master=109766, Avitus] [Customer: Dealertrack] File system returning -1055 for the following calls from snapshot: alloc_mcell, bmt_alloc_link_mcell, advfs_snap_mcell; fsck required to resolve issue</t>
  </si>
  <si>
    <t>[Master] [Customer: Arcadia University, Regione Emilia Romagna] Poor write performance after a short period of time with a large sequential write load</t>
  </si>
  <si>
    <t>[Master=109768, Axion] [Customer: Arcadia University, Regione Emilia Romagna] Poor write performance after a short period of time with a large sequential write load</t>
  </si>
  <si>
    <t>[Master=109768, Azha] [Customer: Arcadia University, Regione Emilia Romagna] Poor write performance after a short period of time with a large sequential write load</t>
  </si>
  <si>
    <t>[Master] [Customer: Hongkong Jocky Club] FP clock skew ahead of NTP doesn't get automatically fixed</t>
  </si>
  <si>
    <t>2/5: Fix is on Trunk, Matt doing some testing.</t>
  </si>
  <si>
    <t>FP 1.0</t>
  </si>
  <si>
    <t>[Master=106778, Axion] [Customer - Pride Industries, BAE Systems Australia Limited, Hugo Vogelsang Maschinenbaug] CIFS shares becomes inaccessible to clients   couple of files/folder on specific shares appear to be disappearing</t>
  </si>
  <si>
    <t>[Master=109645, Axion][Customer: Mitsubishi] netlogon crashed in LWnetDnsGetAddressForServer</t>
  </si>
  <si>
    <t>[Master=109645, Azha][Customer: Mitsubishi] netlogon crashed in LWnetDnsGetAddressForServer</t>
  </si>
  <si>
    <t>ben.simpson@hpe.com</t>
  </si>
  <si>
    <t>[Master=109646, Axion][Customer: Mitsubishi] lwio had segfault during robocopy, possible corruption in lwbase.</t>
  </si>
  <si>
    <t>[Master=109646, Azha][Customer: Mitsubishi] lwio had segfault during robocopy, possible corruption in lwbase.</t>
  </si>
  <si>
    <t>5325883095[Cermaq C/O Cologix]-3.16.2/4500-NAS Share Offline with CIFS-10 not mounted, error(22), Virtual file not found, resolved by unmounting and remounting SSID</t>
  </si>
  <si>
    <t>[Master] [Customer: City of Albemarle, Kforce Inc.] Need additional logging and recovery logic for when PML unexpectedly becomes unresponsive for a period of time</t>
  </si>
  <si>
    <t>2/8: Part of a bigger CRB - in process. 2/5: Related to bug 109589.</t>
  </si>
  <si>
    <t>[Master=109869, Trunk] [Customer: City of Albemarle, Kforce Inc.] Need additional logging and recovery logic for when PML unexpectedly becomes unresponsive for a period of time</t>
  </si>
  <si>
    <t>3/8: With Bertram to Verify</t>
  </si>
  <si>
    <t>19510</t>
  </si>
  <si>
    <t>Ibrix 6.6.3 intermittent no access to CIFS shares</t>
  </si>
  <si>
    <t>erdal.yesilyurt@hpe.com</t>
  </si>
  <si>
    <t>[Customer Hongkong Jocky Club] Customer wants to be able to check FilePersona-VM date and time</t>
  </si>
  <si>
    <t>19530</t>
  </si>
  <si>
    <t>[Customer: Tech Mahindra] HPE-SMB related core files</t>
  </si>
  <si>
    <t>19515</t>
  </si>
  <si>
    <t>[Customer: Tetra Pak AB] HP-SMB segfault in LwRtlRBTreeFindNode</t>
  </si>
  <si>
    <t>5326312375[OSIRIS TRADING (PTY) LTD]-3.16.2/5100-CIFS shares inaccessible, resolved by rebooting the system</t>
  </si>
  <si>
    <t>moin-afzal.patan@hpe.com</t>
  </si>
  <si>
    <t>19536</t>
  </si>
  <si>
    <t>[Customer: ABB]FP node crash the same second as a successful growfpg results in corruption of the vdMntId on the FPG</t>
  </si>
  <si>
    <t>1.4.2</t>
  </si>
  <si>
    <t>[Master][Customer: Tetra Pak AB] HPEIdmapd crashes daily from a variety of functions calling malloc()</t>
  </si>
  <si>
    <t>[Master=110034, Axion][Customer: Tetra Pak AB] HPEIdmapd crashes daily from a variety of functions calling malloc()</t>
  </si>
  <si>
    <t>[Master=110034, Azha][Customer: Tetra Pak AB] HPEIdmapd crashes daily from a variety of functions calling malloc()</t>
  </si>
  <si>
    <t>5326576746[OSIRIS TRADING (PTY) LTD]-3.16.2/5100-System unavailable, unable to access NAS shares with lwio: [lwio] GSS-API error</t>
  </si>
  <si>
    <t>[Master] [Customer Rightmove Group Limited] NFSv3 mount from a Solaris client fails, error: RPC: Program not registered</t>
  </si>
  <si>
    <t>[Master=110114, Azha] [Customer Rightmove Group Limited] NFSv3 mount from a Solaris client fails, error: RPC: Program not registered</t>
  </si>
  <si>
    <t>[Master=98755, 3.16.6 Cacophonix] [Customer: Tetra Pak AB, CHS, Mitsubishi,Genentech Inc] share access lost, 40 lsass threads waiting on AD_NetlogonAuthenticationUserEx Schannel lock calls</t>
  </si>
  <si>
    <t>3.16.6 Cacophonix</t>
  </si>
  <si>
    <t>Escape,Forwardport_Needed,One-off_Patch</t>
  </si>
  <si>
    <t>[Master=110034, Avitus-1.4.4] [Customer: Tetra Pak AB] HPEIdmapd crashes daily from a variety of functions calling malloc()</t>
  </si>
  <si>
    <t>11503</t>
  </si>
  <si>
    <t>[Master=104770, 3.18.3 Esoteric] Request to have a different Alarm Code for the drawer being opened in addition to C6 - Fans at full speed</t>
  </si>
  <si>
    <t>justin.saunders@hpe.com</t>
  </si>
  <si>
    <t>3/5: Mark as a dup of picking up new Tormore FW. 2/22: Taking new Tormore FW will provide this F6 capability in Esoteric.3</t>
  </si>
  <si>
    <t>[Master=109405, Avitus] [Customer: Tetra Pak] Since upgrade to 1.4.2 some folders are failing Create Requests</t>
  </si>
  <si>
    <t>[Master=106778, 3.18.5 Esoteric] [Customer - Pride Industries, BAE Systems Australia Limited, Hugo Vogelsang Maschinenbaug] CIFS shares becomes inaccessible to clients   couple of files/folder on specific shares appear to be disappearing</t>
  </si>
  <si>
    <t>ramajoga.eranki@hpe.com</t>
  </si>
  <si>
    <t>19653</t>
  </si>
  <si>
    <t>[Master][Customer: Nike Retail, Arkansas DFA] After software upgrade to 3.16 customer credit limit registry incorrect, causing NAS unavailable files using Win2k12 clients</t>
  </si>
  <si>
    <t>5326897801[Waypoint Centre for Mental Health Care]-3.15.1/5100-CIFS shares failed to start, resolved by restarting ssid</t>
  </si>
  <si>
    <t>nanasaheb.yadav@hpe.com</t>
  </si>
  <si>
    <t>[Master=110510, 3.16.7 Cacophonix][Customer: Nike Retail, Arkansas DFA] After software upgrade to 3.16 customer can't any more read NAS files using Win2k12 clients</t>
  </si>
  <si>
    <t>[Master=98774, Avitus-1.4.4] [Customer: Mitsubishi, Valgrind] Medium memory leak in srvsvc enumerating shares and getting share info</t>
  </si>
  <si>
    <t>19658</t>
  </si>
  <si>
    <t>[Customer: Velux, Lifenet] After software upgrade kdump image rebuild never finishes</t>
  </si>
  <si>
    <t>VDU OS 1.3</t>
  </si>
  <si>
    <t>in 1.3.25 (Horvath to update "Version Introduced In")</t>
  </si>
  <si>
    <t>3.16.0</t>
  </si>
  <si>
    <t>19693</t>
  </si>
  <si>
    <t>[Customer New South Wales Lands and Property Information Department] lwio segfault in FillFileBothDirInfoBuffer</t>
  </si>
  <si>
    <t>[Master] False network switch missing or failed report during CHO - similar issue seen at customers</t>
  </si>
  <si>
    <t>[Master=110856, PPI-17C] False network switch missing or failed report during CHO - similar issue seen at customers</t>
  </si>
  <si>
    <t>[3.19 requirement]</t>
  </si>
  <si>
    <t>19732</t>
  </si>
  <si>
    <t>[Master=110950, Axion] [Customer: Kforce, Mitsubishi] srvsvc dead after upgrading to HF3 Super RPM</t>
  </si>
  <si>
    <t>Regression,TBVbyDevelopment</t>
  </si>
  <si>
    <t>1.4.2 HF03</t>
  </si>
  <si>
    <t>Axion_1.5.0-20180314</t>
  </si>
  <si>
    <t>[Master] [Customer: Kforce, Mitsubishi] srvsvc dead after upgrading to HF3 Super RPM</t>
  </si>
  <si>
    <t>[Master=110950, Azha] [Customer: Kforce, Mitsubishi] srvsvc dead after upgrading to HF3 Super RPM</t>
  </si>
  <si>
    <t>[Master=110950, Avitus-1.4-Maint] [Customer: Kforce, Mitsubishi] srvsvc dead after upgrading to HF3 Super RPM</t>
  </si>
  <si>
    <t>19803</t>
  </si>
  <si>
    <t>[Master=111632, Azha] [Customer: Kforce] Clusterwide Shutdown "notification timed out" can lead to cluster being left in an inconsistent state and an outage</t>
  </si>
  <si>
    <t>DAY 1</t>
  </si>
  <si>
    <t>5327775475[County of Morris]-3.11.4/4500-Backups failing, shares inaccessible- Failed to authenticate user, resolved by restarting likewise services and joining AD</t>
  </si>
  <si>
    <t>19849</t>
  </si>
  <si>
    <t>[Master=111692, Avitus-1.4-Maint] [Customer: Tetra Pak AB] lwio sigabrt after call to LWNetFreeMemory after redirector socket errors</t>
  </si>
  <si>
    <t>[Master=110510, 3.18.5 Esoteric] [Customer: Nike Retail, Arkansas DFA] After software upgrade to 3.16 customer credit limit registry incorrect, causing NAS unavailable files using Win2k12 clients</t>
  </si>
  <si>
    <t>[Master] [Customer: Kforce] Clusterwide Shutdown "notification timed out" can lead to cluster being left in an inconsistent state and an outage</t>
  </si>
  <si>
    <t>3/26: Likely already fixed on Trunk, FP needs to consume the notifications [Trunk], waiver for Axion.</t>
  </si>
  <si>
    <t>[Master=111632, Axion] [Customer: Kforce] Clusterwide Shutdown "notification timed out" can lead to cluster being left in an inconsistent state and an outage</t>
  </si>
  <si>
    <t>[plan to waiver]</t>
  </si>
  <si>
    <t>20227</t>
  </si>
  <si>
    <t>[Master=111642, Axion] [Customer: Regione Emilia Romagna] With unstable Java environment, node is unable to become the active FM and restore stability to the cluster</t>
  </si>
  <si>
    <t>19892</t>
  </si>
  <si>
    <t>[Master=111644, Axion] [Customer: Regione Emilia Romagna] samdb lock prevents local user authentication: Sqlite3 Error (code: 5): database is locked</t>
  </si>
  <si>
    <t>[Master] [Customer: Regione Emilia Romagna] With unstable Java environment, node is unable to become the active FM and restore stability to the cluster</t>
  </si>
  <si>
    <t xml:space="preserve">4/9: Not sure what to do on this one.  Axion has garbage collection monitoring. </t>
  </si>
  <si>
    <t>[Master] [Customer: Tetra Pak AB] lwio sigabrt after call to LWNetFreeMemory after redirector socket errors</t>
  </si>
  <si>
    <t>[Master=111692, Axion] [Customer: Tetra Pak AB] lwio sigabrt after call to LWNetFreeMemory after redirector socket errors</t>
  </si>
  <si>
    <t>[Master=111692, Azha] [Customer: Tetra Pak AB] lwio sigabrt after call to LWNetFreeMemory after redirector socket errors</t>
  </si>
  <si>
    <t>5327551980[Ajubeo LLC]-3.15.1/6500- CIFS shares were inaccessible, resolved by re-joining the AD domain, re-setting the permissions and restarting the likewise services.</t>
  </si>
  <si>
    <t>shingare@hpe.com</t>
  </si>
  <si>
    <t>19920</t>
  </si>
  <si>
    <t>[Master=111858, Axion] [Customer: Universitt Wrzburg] attempting to add nocrossmnt option to NFS share returns "unknown export option"</t>
  </si>
  <si>
    <t>[Master] [Customer: Universitt Wrzburg] attempting to add nocrossmnt option to NFS share returns "unknown export option"</t>
  </si>
  <si>
    <t>[Master=111858, Azha] [Customer: Universitt Wrzburg] attempting to add nocrossmnt option to NFS share returns "unknown export option"</t>
  </si>
  <si>
    <t>Azha_1.6.0-20180418</t>
  </si>
  <si>
    <t>19931</t>
  </si>
  <si>
    <t>[Master=111874, Axion] [Customer: GE Healthcare] Dozens of customers reporting "DNS lookup failed" alerts every few hours</t>
  </si>
  <si>
    <t>[P1 WAIVER]</t>
  </si>
  <si>
    <t>1.4?</t>
  </si>
  <si>
    <t>[Master] [Customer: GE Healthcare] Dozens of customers reporting "DNS lookup failed" alerts every few hours</t>
  </si>
  <si>
    <t xml:space="preserve">6/25:  Will work on when CRB process is started. 6/18: Backport looks to be trivial. 5/7: MattB to follow up with MattL on next steps. </t>
  </si>
  <si>
    <t>[Master=111874, Trunk] [Customer: GE Healthcare] Dozens of customers reporting "DNS lookup failed" alerts every few hours</t>
  </si>
  <si>
    <t>Avengers_hardening,Previous_Deferral</t>
  </si>
  <si>
    <t>Unknown, maybe FP 1.2</t>
  </si>
  <si>
    <t>[Master=94074, 3.18.3 Esoteric] Loss of the schannel connection to AD is not detected by service monitoring, resulting in DU and requiring manual intervention</t>
  </si>
  <si>
    <t>19941</t>
  </si>
  <si>
    <t>[Master=112155, Axion] [Customer: Adecco] GPF crash in process_readdir_data</t>
  </si>
  <si>
    <t>[Master] [Customer: Adecco] GPF crash in process_readdir_data</t>
  </si>
  <si>
    <t>[Master=112155, Azha] [Customer: Adecco] GPF crash in process_readdir_data</t>
  </si>
  <si>
    <t>1.0.4</t>
  </si>
  <si>
    <t>19984</t>
  </si>
  <si>
    <t>[Customer: Miller's Capital Insurance] lwio segfault in RdrSmb2EncodeHeader</t>
  </si>
  <si>
    <t>19991</t>
  </si>
  <si>
    <t>Axion-1.5-Maint</t>
  </si>
  <si>
    <t>[Master] [Customer: DealerTrack] upgrade failure during the CONFIG_CHANGE_TRANSFORM step of the reg_upgrade.sh script can result in DU for NFS or SMB clients</t>
  </si>
  <si>
    <t>[Master=112239, Azha] [Customer: DealerTrack] upgrade failure during the CONFIG_CHANGE_TRANSFORM step of the reg_upgrade.sh script can result in DU for NFS or SMB clients</t>
  </si>
  <si>
    <t>[Master] [SIE125536] [Banca March] HBA flapping as MISSING; exception from ComputeNode from 'ipmitool lan print` failing twice in a row</t>
  </si>
  <si>
    <t>[Master=112280, PPI-16C] [SIE125536] [Banca March] HBA flapping as MISSING; exception from ComputeNode from 'ipmitool lan print` failing twice in a row</t>
  </si>
  <si>
    <t>20008</t>
  </si>
  <si>
    <t>[Customer: Victoria State Revenue Office] unable to browse FP file share with "\\FQDN" or "\\hostname" in DFS Management Tool at Windows Server</t>
  </si>
  <si>
    <t>[Master=107325, 3.16.7 Cacophonix] [Customer: Wellspan Health] - StoreOnce 6600 - Replication process crash with lwmsg7</t>
  </si>
  <si>
    <t>20048</t>
  </si>
  <si>
    <t>[Master=112845, PPI-17E] [Customer: IMTAC] false alert for createvfs/fsip although fpg owning vm node is network healthy.</t>
  </si>
  <si>
    <t>4/26: Fix coming on trunk, but clones needed (MATT). 4/23: Being looked at, likely more of Network Services.</t>
  </si>
  <si>
    <t>[Master] [Customer: IMTAC] false alert for createvfs/fsip although fpg owning vm node is network healthy.</t>
  </si>
  <si>
    <t>[Master=112845, Trunk] [Customer: IMTAC] false alert for createvfs/fsip although fpg owning vm node is network healthy.</t>
  </si>
  <si>
    <t>Azha_1.6.0-20180502</t>
  </si>
  <si>
    <t>[Master=98755, 3.16.7 Cacophonix] [Customer: Tetra Pak AB, CHS, Mitsubishi,Genentech Inc] share access lost, 40 lsass threads waiting on AD_NetlogonAuthenticationUserEx Schannel lock calls</t>
  </si>
  <si>
    <t>[Master] Esoteric -  spurious Server Fan and Server Power Supply Missing/OK events generated</t>
  </si>
  <si>
    <t>[Master=113164, PPI-17C] Esoteric -  spurious Server Fan and Server Power Supply Missing/OK events generated</t>
  </si>
  <si>
    <t>[Master=111874, PPI-17E] [Customer: GE Healthcare] Dozens of customers reporting "DNS lookup failed" alerts every few hours</t>
  </si>
  <si>
    <t>20180</t>
  </si>
  <si>
    <t>[Master=113494, Axion] [Customer:  Regione Emilia Romagna] hp-smb rpm upgrade with samdb locked results in DU and the inability to failover</t>
  </si>
  <si>
    <t>[Master=67205, Azha] [Customer: Wolfson Hospital,SafeTech,Baxter,Panasonic] HP-SMB stack crash on shutdown, SIGABRT with: lwio: [lwio] Failed to lock mutex: 22. Aborting program</t>
  </si>
  <si>
    <t>[Master] [Customer:  Regione Emilia Romagna] hp-smb rpm upgrade with samdb locked results in DU and the inability to failover</t>
  </si>
  <si>
    <t>[Master=113494, Axion-1.5-Maint] [Customer:  Regione Emilia Romagna] hp-smb rpm upgrade with samdb locked results in DU and the inability to failover</t>
  </si>
  <si>
    <t>[Master=113494, Azha] [Customer:  Regione Emilia Romagna] hp-smb rpm upgrade with samdb locked results in DU and the inability to failover</t>
  </si>
  <si>
    <t>20188</t>
  </si>
  <si>
    <t>[Master=113599, Axion-1.5.1] [Customer: BlueCrest] touchfile enabled Kerberos not creating VFS machine accounts for 1 node on one cluster</t>
  </si>
  <si>
    <t>Axion-1.5.1</t>
  </si>
  <si>
    <t>[Master] [Customer: BlueCrest] touchfile enabled Kerberos not creating VFS machine accounts for 1 node on one cluster</t>
  </si>
  <si>
    <t>[Master=113599, Azha] [Customer: BlueCrest] touchfile enabled Kerberos not creating VFS machine accounts for 1 node on one cluster</t>
  </si>
  <si>
    <t>Axion-1.5.2</t>
  </si>
  <si>
    <t>[Customer: Tech Mahindra Limited] - StoreOnce 5500 - Likewise process crashes and core generated</t>
  </si>
  <si>
    <t>[Master=104132, 3.16.7 Cacophonix] [Customer: SOUTH CENTRAL AMBULANCE SERVICE] CIFS server crash / RBTree entry corruption</t>
  </si>
  <si>
    <t>17920</t>
  </si>
  <si>
    <t>3.11.0</t>
  </si>
  <si>
    <t>john.mackelden@hpe.com</t>
  </si>
  <si>
    <t>20253</t>
  </si>
  <si>
    <t>[Master=114358, Axion-1.5-Maint] [Customer: Exeed Limited] lwio assertion failed in IopIrpDereference</t>
  </si>
  <si>
    <t>20257</t>
  </si>
  <si>
    <t>[Customer: GAZPROM NEFT] Multiple nodes experiences hpe-smb crashes at the same time.</t>
  </si>
  <si>
    <t>WIPRO- Analysis in progress</t>
  </si>
  <si>
    <t>[Master] [Customer: Exeed Limited] lwio assertion failed in IopIrpDereference</t>
  </si>
  <si>
    <t>[Master=114358, Azha] [Customer: Exeed Limited] lwio assertion failed in IopIrpDereference</t>
  </si>
  <si>
    <t>20301</t>
  </si>
  <si>
    <t>[Master=114999, PPI-17E] [Customer: Cigiti] HA failover not initiated despite the fact that all CPU cycles were consumed the on Active PML node</t>
  </si>
  <si>
    <t>20303</t>
  </si>
  <si>
    <t>20320</t>
  </si>
  <si>
    <t>[Customer: Cigiti] PML JVM consuming 6-7 CPU cores continuously</t>
  </si>
  <si>
    <t xml:space="preserve">6/18: Nothing more proactive we can do here - wait for a reoccurence. 6/14: Issue mysteriously went away at customer site.  New defect to add more bread crumbs in the logging for Azha - consider for  4.1.1. </t>
  </si>
  <si>
    <t>5329800435[Medical Care Reimbursement Incorporated]-3.16.5/3500- NAS shares inaccessible with Likewise not running.</t>
  </si>
  <si>
    <t>3.16.5 Cacophonix</t>
  </si>
  <si>
    <t>joylee.patkotwar@hpe.com</t>
  </si>
  <si>
    <t>[Master] [Customer: Cigiti] HA failover not initiated despite the fact that all CPU cycles were consumed the on Active PML node</t>
  </si>
  <si>
    <t>[Master=114999, Trunk] [Customer: Cigiti] HA failover not initiated despite the fact that all CPU cycles were consumed the on Active PML node</t>
  </si>
  <si>
    <t>[Master=109645, Axion-1.5-Maint] [Customer: Mitsubishi] netlogon crashed in LWnetDnsGetAddressForServer</t>
  </si>
  <si>
    <t>[Master=108810, Axion-1.5-Maint] [Customer: Mitsubishi] SrvInitialize() failure causing health monitor to restart hp-smb continuously</t>
  </si>
  <si>
    <t>5329699707[SEQUEL DATA SYSTEMS INC]-3.16.3/4700-CIFS not working, resolved by system boot.</t>
  </si>
  <si>
    <t>20446</t>
  </si>
  <si>
    <t>[Customer: GEHC] removefpg failed with Activity timed out.</t>
  </si>
  <si>
    <t>6/25: Needs triage, Don to look at logs</t>
  </si>
  <si>
    <t>5330150175[Rentalcars.com]-3.16.5/5500 - NAS share faulty and backups failing with likewise not running, resolved by restarting likewise services</t>
  </si>
  <si>
    <t>[Master=112155, Atlas-1.2.4] [Customer: Adecco] GPF crash in process_readdir_data</t>
  </si>
  <si>
    <t>k-v.raman@hpe.com</t>
  </si>
  <si>
    <t>20501</t>
  </si>
  <si>
    <t>C:\Program Files\Mozilla Firefox\firefox.exe</t>
  </si>
  <si>
    <t xml:space="preserve"> StoreOnce VSA fails to boot due to a request to run fsck manually.</t>
  </si>
  <si>
    <t xml:space="preserve"> Dedupe store failed and an integrity flag is set: "VFSFile::change failed: can't</t>
  </si>
  <si>
    <t xml:space="preserve"> Customer is requiring Web Security header to be configurable to be compliant.</t>
  </si>
  <si>
    <t xml:space="preserve"> Customer unable to logon to the StoreOnce GUI whilst using an account that is me</t>
  </si>
  <si>
    <t xml:space="preserve"> HDD/SSD</t>
  </si>
  <si>
    <t xml:space="preserve"> After upgrading the hard disk firmware by means of the SPP; the hard disks are r</t>
  </si>
  <si>
    <t xml:space="preserve"> StoreOnce 5100 after controller replacement sees storage as unconfigured and pre</t>
  </si>
  <si>
    <t xml:space="preserve"> Veeam virtual synthetic fulls are running slow </t>
  </si>
  <si>
    <t xml:space="preserve"> OpenSSL Security vulnerability CVE-2018-0739 </t>
  </si>
  <si>
    <t xml:space="preserve"> Factory StoreOnce 3100 appliances are shipped without software installed.   </t>
  </si>
  <si>
    <t xml:space="preserve"> Adding storage capacity to SO VSA fails after using CLI command ; "hardware add </t>
  </si>
  <si>
    <t xml:space="preserve"> Node Crash due to Replication-trans having a bad pointer that caused a VMcore on</t>
  </si>
  <si>
    <t xml:space="preserve"> System crashes with RIP  tg3_get_nstats+0x267/0x340</t>
  </si>
  <si>
    <t xml:space="preserve"> Storage p1228 Controller reporting error 1783-Slot X during post resulted in ina</t>
  </si>
  <si>
    <t xml:space="preserve"> VTL access is lost on 3.16.5 when VTLenginee has a page fault order:7</t>
  </si>
  <si>
    <t xml:space="preserve"> Dedupe Store fails to Start with "Item already exists" error and Tarballs create</t>
  </si>
  <si>
    <t xml:space="preserve"> NAS shares become inaccessible due to multiple nodes experiencing HPE-SMB crashe</t>
  </si>
  <si>
    <t xml:space="preserve"> Kernel Panic after upgrade; had grub.conf issues and initrd package files missin</t>
  </si>
  <si>
    <t xml:space="preserve"> Multi-node systems: performing hardware firmware update command will take all se</t>
  </si>
  <si>
    <t xml:space="preserve"> VDU - lwio assertion failed in IopIrpDereference</t>
  </si>
  <si>
    <t xml:space="preserve"> Gene Bradley</t>
  </si>
  <si>
    <t xml:space="preserve"> gene.bradley@hpe.com</t>
  </si>
  <si>
    <t xml:space="preserve"> UDU - libvirtd leaking memory during normal opearations </t>
  </si>
  <si>
    <t xml:space="preserve"> Cannot import SSL certificates using the p7b format on SO running 3.16.5.</t>
  </si>
  <si>
    <t xml:space="preserve"> Federated stores with 'secure erase' configured will fail to expand correctly</t>
  </si>
  <si>
    <t xml:space="preserve"> NAS shares are inaccessible because the likewise container LWIO cores.</t>
  </si>
  <si>
    <t xml:space="preserve"> root@localhost password is requested when hpsupport pwd is used and shell access</t>
  </si>
  <si>
    <t xml:space="preserve"> Node 1 or 2 crashes resulting in core dump and finally failover. </t>
  </si>
  <si>
    <t xml:space="preserve"> SQL Restore Causing Live DB be taken offline for 5 seconds when redirecting to a</t>
  </si>
  <si>
    <t xml:space="preserve"> UDU - checkvv -dedup_dryrun fails on a VV with an activated FPG with:Cannot run </t>
  </si>
  <si>
    <t xml:space="preserve"> NAS Replication job repeatedly fails with ESYS_REP_ERROR_DELETING_SHADOW_FILE.</t>
  </si>
  <si>
    <t xml:space="preserve"> Enormous backlog of House Keeping (HK) jobs are not processing.  </t>
  </si>
  <si>
    <t xml:space="preserve"> UDU - During CPG despration grow; disk i/o errors reported (Sense Key : No Sense</t>
  </si>
  <si>
    <t xml:space="preserve"> Events generated for 6600 nodes in mixed cluster: "The memory DIMM in this locat</t>
  </si>
  <si>
    <t xml:space="preserve"> Network configuration lost after update from 3.16.3 to 3.18.2</t>
  </si>
  <si>
    <t xml:space="preserve"> Unable to add a new 6600 couplet to an existing 6500 cluster </t>
  </si>
  <si>
    <t xml:space="preserve"> VDU - unable to browse FP file share with "\\FQDN" or "\\hostname" in DFS Manage</t>
  </si>
  <si>
    <t xml:space="preserve"> Dedupe may delete the wrong dedupe store when customer deletes a virtual device </t>
  </si>
  <si>
    <t xml:space="preserve"> OST 4.0.2 doesn't import catalog after Air (SLP) replication job runs successful</t>
  </si>
  <si>
    <t xml:space="preserve"> Veeam backup falls with OSCLT_ERR_DEDUPE_OPEN_ERROR. Err: -3401 after upgrading </t>
  </si>
  <si>
    <t xml:space="preserve"> ERT/PIR has requested a newer 10G 557sfp+ firmware version 11.1.x.x to overcome </t>
  </si>
  <si>
    <t xml:space="preserve"> Unable to create a full support ticket on SO2620 after updating from 3.11.7 to 3</t>
  </si>
  <si>
    <t xml:space="preserve"> UDU - After inServ node crash File Persona VM not restarted with error: Failed t</t>
  </si>
  <si>
    <t xml:space="preserve"> Catalyst object copy jobs may intermittently fail because of copy job not resumi</t>
  </si>
  <si>
    <t xml:space="preserve"> 3.16.5 Replication process failed and caused crash with core file.</t>
  </si>
  <si>
    <t xml:space="preserve"> Catalyst Copy Stuck In Pending Status </t>
  </si>
  <si>
    <t xml:space="preserve"> SQL Plugin Jobs are Failing when using SQL Server Management Studio </t>
  </si>
  <si>
    <t xml:space="preserve"> StoreOnce GUI "sort by" does not work correctly on Catalyst stores page </t>
  </si>
  <si>
    <t xml:space="preserve"> SO6600 couplets may leave manufacturing without having filled-out storage warran</t>
  </si>
  <si>
    <t xml:space="preserve"> Node crashes when trying to execute try_to_release_page or isolate_lru_pages.con</t>
  </si>
  <si>
    <t xml:space="preserve"> 3.16.5 Replication issues when under heavy workload that cause communications is</t>
  </si>
  <si>
    <t xml:space="preserve"> CoFC Backups failing with  -1404 (OSCLT_ERR_SERVER_OFFLINE) due to more than 64 </t>
  </si>
  <si>
    <t xml:space="preserve"> D3650 enclosure reporting degraded after upgrading Software to 3.16.x</t>
  </si>
  <si>
    <t xml:space="preserve"> NTP server alternating between up and down status ( An internal core service is </t>
  </si>
  <si>
    <t xml:space="preserve"> UDU - createfpg -recover fails with "error: Failed to attach device" if the VV n</t>
  </si>
  <si>
    <t xml:space="preserve"> Nagios plugin may return error when retrieving hardware information from StoreOn</t>
  </si>
  <si>
    <t xml:space="preserve"> Two 6600's have duplicate WWID's after being updated to 3.16.5</t>
  </si>
  <si>
    <t xml:space="preserve"> Service set on B6200 down with corrupt segment(s) after a failed P2000 controlle</t>
  </si>
  <si>
    <t xml:space="preserve"> Multi-Node ilo4 is using the wrong Gateway for internal network</t>
  </si>
  <si>
    <t xml:space="preserve"> RMAN copies are failing; target object is created but is 0 bytes in size.  </t>
  </si>
  <si>
    <t xml:space="preserve"> System stuck in boot at 'Rebuilding /boot/initrd-.....kdump.img'</t>
  </si>
  <si>
    <t xml:space="preserve"> Dedupe receives a 798 error when accessing file during housekeeping </t>
  </si>
  <si>
    <t xml:space="preserve"> After update to 3.16.5 or 3.13.8 customer is unable to copy files from a NAS sha</t>
  </si>
  <si>
    <t xml:space="preserve"> VSA running 100% full; housekeeping stops and goes down hard; even after extra c</t>
  </si>
  <si>
    <t xml:space="preserve"> SAP HANA Plugin 2.0.0.1249: restore of the transaction logs is not working</t>
  </si>
  <si>
    <t xml:space="preserve"> Dedupe core dumps after upgrade to 3.18.0</t>
  </si>
  <si>
    <t xml:space="preserve"> NAS shares inaccessible - no indications of issues on StoreOnce - messages file </t>
  </si>
  <si>
    <t xml:space="preserve"> An NMI occurred -FC HBA status cannot be determined</t>
  </si>
  <si>
    <t xml:space="preserve"> UDU - growfpg command fails with: Failed to refresh VM info for VV 272 on node2f</t>
  </si>
  <si>
    <t xml:space="preserve"> VDU - FPG fails to mount with the following message in syslog:  ADVFS : vdMntId </t>
  </si>
  <si>
    <t xml:space="preserve"> Stores inaccessible (NAS / Catalyst ) due to dedupe process (replication ) corin</t>
  </si>
  <si>
    <t xml:space="preserve"> NAS share not accessible due to the HPE-SMB related process crashing</t>
  </si>
  <si>
    <t xml:space="preserve"> Nas share not accessible due to the DFS process crashing</t>
  </si>
  <si>
    <t xml:space="preserve"> Smart Array Controller (SA) lockup detected: "Controller lockup detected: 0xffff</t>
  </si>
  <si>
    <t xml:space="preserve"> UDU - In 3.3.1 GA and higher; File Persona configuration files no longer capture</t>
  </si>
  <si>
    <t xml:space="preserve"> Segments reported as corrupt or unavailable could be a result of a file entity C</t>
  </si>
  <si>
    <t xml:space="preserve"> "Too many open files / out of locks. System memory threshold reached" events due</t>
  </si>
  <si>
    <t xml:space="preserve"> Update from 3.13.8 to 3.15.4 will fail with error message "ERROR The software up</t>
  </si>
  <si>
    <t xml:space="preserve"> VDU - NFSv3 mount from a Solaris client fails to mount FilePersona NFS-share; er</t>
  </si>
  <si>
    <t xml:space="preserve"> Multinode systems: postgres database re-index is not triggered after unclean shu</t>
  </si>
  <si>
    <t xml:space="preserve"> Intermittent false server fan and server power supply "Missing" events reported</t>
  </si>
  <si>
    <t xml:space="preserve"> Corrections to be made for creating udev rules in the HPE SO Catalyst Plug-in 2.</t>
  </si>
  <si>
    <t xml:space="preserve"> UDU - startfs fails with "Failed to attach bridge fsbr1 to VM on node 0"</t>
  </si>
  <si>
    <t xml:space="preserve"> GUI and system unresponsive</t>
  </si>
  <si>
    <t xml:space="preserve"> StoreOnce v 3.16. Windows version of the Catalyst API library will only scan up </t>
  </si>
  <si>
    <t xml:space="preserve"> After cold boot fusion manager is not transitioning from passive to active mode </t>
  </si>
  <si>
    <t xml:space="preserve"> UDU - Alert 231000 is not documented in the "HPE 3PAR OS 3.3.1 Alerts Reference"</t>
  </si>
  <si>
    <t xml:space="preserve"> UDU - File Persona upgrade to patch 85 (3.2.2 MU4) fails with: File Services Pre</t>
  </si>
  <si>
    <t xml:space="preserve"> UDU - RX Dropped Frames on FilePersona should not generate ALERT failures</t>
  </si>
  <si>
    <t xml:space="preserve"> StoreOnce 6500/6600 Incorrect Cfg file on Internal switches</t>
  </si>
  <si>
    <t xml:space="preserve"> Ibdircheck reporting "Bad ibr mode for lost+found in segment X"</t>
  </si>
  <si>
    <t xml:space="preserve"> Node8 not accessable as the AFM with high CPU usage</t>
  </si>
  <si>
    <t xml:space="preserve"> host unable to discover VTL drives and reporting aborts in messages or syslog; u</t>
  </si>
  <si>
    <t xml:space="preserve"> Drives were installed in wrong drawer of a 5500 before storage was discovered or</t>
  </si>
  <si>
    <t xml:space="preserve"> Service set status FailedToInitialise after file system repair due to metrics fi</t>
  </si>
  <si>
    <t xml:space="preserve"> Node crash with [exception RIP: put_page+14]</t>
  </si>
  <si>
    <t xml:space="preserve"> node 2 crash with [exception RIP: RT_srv_accept_tcp+2821]</t>
  </si>
  <si>
    <t xml:space="preserve"> VDU - JVM segfault and crash in Grizzly thread </t>
  </si>
  <si>
    <t xml:space="preserve"> UDU - Upgrade from 3.3.1GA to 3.3.1MU1 + P19 fails but one FP VM left with no ve</t>
  </si>
  <si>
    <t xml:space="preserve"> VDU - domain join fails for single node with: Error: AD operation failed. Reason</t>
  </si>
  <si>
    <t xml:space="preserve"> D2D Manager status level changes to Critical because the replication process is </t>
  </si>
  <si>
    <t xml:space="preserve"> VDU - "access denied" is returned when attempting to access files and subdirecto</t>
  </si>
  <si>
    <t xml:space="preserve"> Oracle RMAN restores from Catalyst stores may fail with error ORA-01513</t>
  </si>
  <si>
    <t xml:space="preserve"> VDU - MMC/"Client Connections" for hp-smb shares are all zero despite of client </t>
  </si>
  <si>
    <t xml:space="preserve"> Replacement of a D6020 drawer resulted in the GUI reporting degraded due to it h</t>
  </si>
  <si>
    <t xml:space="preserve"> VDU - SMB share inaccessible after failover with: "Windows cannot access &lt;sharen</t>
  </si>
  <si>
    <t xml:space="preserve"> VDU - removefpg failed with Activity timed out</t>
  </si>
  <si>
    <t xml:space="preserve"> VDU - PML JVM consuming 6-7 CPU cores continuously </t>
  </si>
  <si>
    <t xml:space="preserve"> VDU - servicemonitor should not attempt to restart the NFS stack when PML has no</t>
  </si>
  <si>
    <t xml:space="preserve"> VDU - HA failover not initiated despite the fact that all CPU cycles were consum</t>
  </si>
  <si>
    <t xml:space="preserve"> VDU - CFI With unstable Java environment; node is unable to become the active PM</t>
  </si>
  <si>
    <t xml:space="preserve"> VDU - touchfile enabled Kerberos not creating VFS machine accounts on one node o</t>
  </si>
  <si>
    <t xml:space="preserve"> VDU - hp-smb rpm upgrade with samdb locked results in DU and the inability to fa</t>
  </si>
  <si>
    <t xml:space="preserve"> Backups failing with media write error after upgrading to 3.18.2.</t>
  </si>
  <si>
    <t xml:space="preserve"> VDU - false alert for createvfs/fsip although fpg owning vm node is network heal</t>
  </si>
  <si>
    <t xml:space="preserve"> VDU - File Persona upgrade failure during the CONFIG_CHANGE_TRANSFORM step of th</t>
  </si>
  <si>
    <t xml:space="preserve"> VDU - HPE-SMB stack crash with lwio segfault in RdrSmb2EncodeHeader()</t>
  </si>
  <si>
    <t xml:space="preserve"> VDU - File Persona node crashes with General Protection Fault in process_readdir</t>
  </si>
  <si>
    <t xml:space="preserve"> VDU - Customers receive spurious "DNS lookup failed" alerts every few hours </t>
  </si>
  <si>
    <t xml:space="preserve"> VDU - Attempting to add nocrossmnt option to NFS share returns "unknown export o</t>
  </si>
  <si>
    <t xml:space="preserve"> VDU - samdb lock prevents local user authentication: Sqlite3 Error (code: 5): da</t>
  </si>
  <si>
    <t xml:space="preserve"> VDU - LWIO sigabrt after RDR : RdrSocketTaskConnect: ../lwio/server/rdr/socket.c</t>
  </si>
  <si>
    <t xml:space="preserve"> VDU - Clusterwide Shutdown timeout can lead to the FP cluster being left in an i</t>
  </si>
  <si>
    <t xml:space="preserve"> Degraded backup performance after upgrading OST Plugin to version 4.1.1 for Veri</t>
  </si>
  <si>
    <t xml:space="preserve"> VDU - srvsvc dead after upgrading to HF3 Super RPM</t>
  </si>
  <si>
    <t xml:space="preserve"> VDU - lwio crashed with segmentation fault</t>
  </si>
  <si>
    <t xml:space="preserve"> VDU - HPEIdmapd crashes regularly</t>
  </si>
  <si>
    <t xml:space="preserve"> VDU - HP-SMB stack crashes with a segfault in LwRtlRBTreeFindNode</t>
  </si>
  <si>
    <t xml:space="preserve"> VDU - Customer requests a cli-command to get the FilePersona internal time</t>
  </si>
  <si>
    <t xml:space="preserve"> VDU - "cli collectfs show" returns; "key "sizeBytesLong" not known in dictionary</t>
  </si>
  <si>
    <t xml:space="preserve"> VDU - lwio had segfault during robocopy; possible corruption in lwbase.</t>
  </si>
  <si>
    <t xml:space="preserve"> VDU - netlogon crashed in LWnetDnsGetAddressForServer</t>
  </si>
  <si>
    <t xml:space="preserve"> VDU - smb share inaccessible with lsass overloaded</t>
  </si>
  <si>
    <t xml:space="preserve"> VDU - Network interface failover takes at least 30 seconds if one of the interfa</t>
  </si>
  <si>
    <t xml:space="preserve"> VDU - Recursive java crashes</t>
  </si>
  <si>
    <t xml:space="preserve"> VDU - Mulitiple java-crashes. Stack points to policy store</t>
  </si>
  <si>
    <t xml:space="preserve"> VDU - PML restarted by monitor after unexpectedly becoming unresponsive for 3-4 </t>
  </si>
  <si>
    <t xml:space="preserve"> VDU - Since upgrade to 1.4.2 some folders are failing Create Requests</t>
  </si>
  <si>
    <t xml:space="preserve"> VDU - Starting File Persona fails with: Error: Failed to bring up internal netwo</t>
  </si>
  <si>
    <t xml:space="preserve"> VDU - hp-smb stack crashing frequently with: srvsvc: Timeout exceeded in lwmsg_p</t>
  </si>
  <si>
    <t xml:space="preserve"> VDU - Aftersanpshot creation; shares may not be accessable; syslog shows thousan</t>
  </si>
  <si>
    <t xml:space="preserve"> VDU - File Persona 1.4.x  Poor write performance after a short period of time wi</t>
  </si>
  <si>
    <t xml:space="preserve"> VDU - After upgrade to 3.3.1 MU1 P19; modifying NFS-exports fails on preexisting</t>
  </si>
  <si>
    <t xml:space="preserve">  VDU - SrvInitialize() failure causing health monitor to restart hp-smb continuo</t>
  </si>
  <si>
    <t xml:space="preserve"> VDU - lwio core file observed while replicating PHS</t>
  </si>
  <si>
    <t xml:space="preserve"> VDU - Continuous restart of hp-smb due to srv init crash </t>
  </si>
  <si>
    <t xml:space="preserve"> VDU - lw eating large memory space and vm node had out of memory; possible relat</t>
  </si>
  <si>
    <t xml:space="preserve"> VDU - smb share inaccessible with ERROR_GEN_FAILURE until reboot fpg owning vm n</t>
  </si>
  <si>
    <t xml:space="preserve"> UDU - Unable to failover FPG due to error "FPG has compliance enabled object(s)"</t>
  </si>
  <si>
    <t xml:space="preserve"> Federated store on NBU OST returns free space capacity of single couplet rather </t>
  </si>
  <si>
    <t xml:space="preserve"> VDU - startfsnapclean fails with: Unexpected exception while resolving coordinat</t>
  </si>
  <si>
    <t xml:space="preserve"> VDU - PML crash due to Out of Memory error</t>
  </si>
  <si>
    <t xml:space="preserve"> VDU - file system has domain panic with "Failed to add missing entries for tag" </t>
  </si>
  <si>
    <t xml:space="preserve"> VDU - 3PAR File Persona local user account requires local domain prefix</t>
  </si>
  <si>
    <t xml:space="preserve"> VDU - When attempting to failover an FPG umount fails with SEVERE: Completion no</t>
  </si>
  <si>
    <t xml:space="preserve"> VDU - FPG Failover fails with "Error handling umount notification before for hos</t>
  </si>
  <si>
    <t xml:space="preserve"> VDU - When using Microsoft Project on an SMB share;  Microsoft Project periodica</t>
  </si>
  <si>
    <t xml:space="preserve"> VDU - Need to document how to configure NDMP in a multiple network environment</t>
  </si>
  <si>
    <t xml:space="preserve"> VDU - SMB Share unresponsive; attempt to connect results in tree connect error S</t>
  </si>
  <si>
    <t xml:space="preserve"> VDU - On-line fsck causes an OOM panic on the FP VM with: Kernel panic - not syn</t>
  </si>
  <si>
    <t xml:space="preserve"> VDU - SMB Server Initiated oplock / lease break causes Win7 Network Client Delay</t>
  </si>
  <si>
    <t xml:space="preserve"> VDU - Spurious alert of a presented volume inquiry failure.</t>
  </si>
  <si>
    <t xml:space="preserve"> VDU - File Based Snapshots not reclaimed with: &lt;ERROR&gt; | 2386073344 | Corrupt de</t>
  </si>
  <si>
    <t xml:space="preserve"> VDU - Health has degraded; Nfs export no longer accessible by clients.</t>
  </si>
  <si>
    <t xml:space="preserve"> VDU - Same file listed in dentry more than once; dentry truncated after this lis</t>
  </si>
  <si>
    <t xml:space="preserve"> Unable to configure LOOP-mode for gen9 hardware running 3.16.3</t>
  </si>
  <si>
    <t xml:space="preserve"> VDU - File Persona - HP-SMB protocols hpeidmapd crashes do not leave corefiles</t>
  </si>
  <si>
    <t xml:space="preserve"> VDU - File Persona - HP-SMB protocol stack crashes with lwio: [lwio] ASSERTION F</t>
  </si>
  <si>
    <t xml:space="preserve"> VDU - After upgrading to 3.3.1; storage consumed by previously deleted data is n</t>
  </si>
  <si>
    <t xml:space="preserve"> VDU - Daily log messages with "BaseOS logrotate: ALERT exited abnormally with [1</t>
  </si>
  <si>
    <t xml:space="preserve"> VDU - ade_mtst.log size is excessive and leads to excessively large fcollects </t>
  </si>
  <si>
    <t xml:space="preserve"> VDU - SMB directory folder creation fails intermittently in a trusted domain env</t>
  </si>
  <si>
    <t xml:space="preserve"> VDU - PML Master is not responsive after sever error; PML Unity Search STree Exc</t>
  </si>
  <si>
    <t xml:space="preserve"> VDU - thousands of the following messages logged per minute followed by what app</t>
  </si>
  <si>
    <t xml:space="preserve"> VDU - crash lwio due to invalid in memory data structure (PHS</t>
  </si>
  <si>
    <t xml:space="preserve"> VDU - nfs-resource-health-check failed due to "java.util.concurrent.TimeoutExcep</t>
  </si>
  <si>
    <t xml:space="preserve"> VDU - FIle Persona - SQL server database backup to SMB share causes node to beco</t>
  </si>
  <si>
    <t xml:space="preserve"> VDU - lsass crashed with segfault </t>
  </si>
  <si>
    <t xml:space="preserve"> VDU - lwio crashed in InotifySetFcbMask</t>
  </si>
  <si>
    <t xml:space="preserve"> VDU - HP-SMB asserts (with no assert message in syslog) in SrvConnection2Session</t>
  </si>
  <si>
    <t xml:space="preserve"> VDU - AD Domain goes offline; then lsass reports "Domain is now online" but lwio</t>
  </si>
  <si>
    <t xml:space="preserve"> VDU - Data not available to network clients because of an incorrect route table </t>
  </si>
  <si>
    <t xml:space="preserve"> GUI Event Log reports the network switch is missing or has failed.</t>
  </si>
  <si>
    <t xml:space="preserve"> VDU - segfault in HP-SMB; LwRtlWakeTask task pointer is null</t>
  </si>
  <si>
    <t xml:space="preserve"> VDU - ASSERTION FAILED: Expression = (RtlWC16StringIsEqual(pwszNewVShareName; pS</t>
  </si>
  <si>
    <t>7/13: Plan to add polling cycle suppression pattern here that we've used for other components</t>
  </si>
  <si>
    <t>philip.sam.smith@hpe.com</t>
  </si>
  <si>
    <t>7/25: In CRB. 7/10: Fix exists in 16C, needed in 17C</t>
  </si>
  <si>
    <t>7/10: Plan to get in 17C. 8/17: Effort would be 1 sprint 8/7: Sizing work in 17-16. 7/20: Raptor 3.x dependencies. 7/17: Move to Rally, feature request.</t>
  </si>
  <si>
    <t>5326224011[Nike Retail BUITENL.VEN]-3.16.5/4500- after upgrading to 3.16.5 NAS shares was inaccessible and unable to take backups with lwsmd: Stopping service, resolved by rebooting the system.</t>
  </si>
  <si>
    <t>7/10: Fixed on 16C, fix needed in 17C. 2/28: Plan is for MON to see missing switch for multiple polling cycles before reporting</t>
  </si>
  <si>
    <t>7/10: Requested to be fixed on 17C. 3/7: Fully approved, please proceed. 11/29: Workaround implemented and made improvements, but not 100% addressed.  StOnce not taking for 3.18.0 and 3.16.5</t>
  </si>
  <si>
    <t>7/10: this can be worked on for 17C</t>
  </si>
  <si>
    <t>[Master=114352, Azha] [Customer: Tetra Pak AB] lwsm core files generated and services got ABORTED while executing AD related test cases</t>
  </si>
  <si>
    <t>prathima.manyam@hpe.com</t>
  </si>
  <si>
    <t>Azha_1.6.0-20180606</t>
  </si>
  <si>
    <t>Axion-1.5.3</t>
  </si>
  <si>
    <t>[Master=101814, 4.1.1 Avengers] [Customer: Skipton] net ping fails if domain name has '_' (underscore) in FQN</t>
  </si>
  <si>
    <t>4.1.1 Avengers</t>
  </si>
  <si>
    <t>[Master] [Customer: Tetra Pak AB] lwsm core files generated and services got ABORTED while executing AD related test cases</t>
  </si>
  <si>
    <t>[Master=114352, Axion-1.5-Maint] [Customer: Tetra Pak AB] lwsm core files generated and services got ABORTED while executing AD related test cases</t>
  </si>
  <si>
    <t>[Master=114902, Azha] [Customer: Cigiti] Failover should be triggered if NFS service monitoring is unable to get the services to a healthy state</t>
  </si>
  <si>
    <t>[Master] [Customer: Cigiti] Failover should be triggered if NFS service monitoring is unable to get the services to a healthy state</t>
  </si>
  <si>
    <t>[Master=116732, Azha] [Customer: United Launch Alliance, KPMG] SMB share inaccessible after failover with: "Windows cannot access &lt;sharename&gt;"</t>
  </si>
  <si>
    <t>Axiom</t>
  </si>
  <si>
    <t>Azha_1.6.0-20180718</t>
  </si>
  <si>
    <t>20553</t>
  </si>
  <si>
    <t>[Customer: Victoria State Revenue Office] MMC/"Client Connections" for hp-smb shares are all zero despite of client access.</t>
  </si>
  <si>
    <t>[Master] [Customer: United Launch Alliance, KPMG] SMB share inaccessible after failover with: "Windows cannot access &lt;sharename&gt;"</t>
  </si>
  <si>
    <t>[Master=116732, Avitus-1.4-Maint] [Customer: United Launch Alliance, KPMG] SMB share inaccessible after failover with: "Windows cannot access &lt;sharename&gt;"</t>
  </si>
  <si>
    <t>[Master=116732, Axion-1.5-Maint] [Customer: United Launch Alliance, KPMG] SMB share inaccessible after failover with: "Windows cannot access &lt;sharename&gt;"</t>
  </si>
  <si>
    <t>20571</t>
  </si>
  <si>
    <t>20580</t>
  </si>
  <si>
    <t>[Customer: US Army] domain join fails for single node with: Error: AD operation failed. Reason : An unexpected exception occurred.  The system may be under heavy load.  Please try again later.</t>
  </si>
  <si>
    <t>20605</t>
  </si>
  <si>
    <t>[Customer: Sandia National Laboratory, Rightmove Group Limited] JVM segfault in Grizzly thread</t>
  </si>
  <si>
    <t>[Master] [Customer: Ministerstvo Vnutrishnikh Sprav Ukrainy] access denied is returned when attempting to access files and subdirectories with the local guest account in 1.4 and above</t>
  </si>
  <si>
    <t>[Master=116988, Azha] [Customer: Ministerstvo Vnutrishnikh Sprav Ukrainy] access denied is returned when attempting to access files and subdirectories with the local guest account in 1.4 and above</t>
  </si>
  <si>
    <t>Azha_1.6.0-20180801</t>
  </si>
  <si>
    <t>[Master=116732, 4.1.0 Avengers] [Customer: United Launch Alliance, KPMG] SMB share inaccessible after failover with: "Windows cannot access &lt;sharename&gt;"</t>
  </si>
  <si>
    <t>Axion 1.5</t>
  </si>
  <si>
    <t>5330642973[OHIO STATE UNIVERSITY HEALTH SYSTEM  WE] -3.16.5/5500- system unresponsive, LSASS hung Service dead: lsass, resolved by restarting the system and likewise services.</t>
  </si>
  <si>
    <t>[Tetra Pak]SRVSVC aborted and self heals because lwmsg timeout</t>
  </si>
  <si>
    <t>[Master=101814, Trunk] [Customer: Skipton] net ping fails if domain name has '_' (underscore) in FQN</t>
  </si>
  <si>
    <t>20664</t>
  </si>
  <si>
    <t xml:space="preserve"> Alien Volumes being reported after upgrading StoreOnce code.</t>
  </si>
  <si>
    <t xml:space="preserve"> After unclean serviceset shutdown; the serviceset goes to status "FailedToInitia</t>
  </si>
  <si>
    <t xml:space="preserve"> 3.16.3 Fusion Manager FM becomes unresponsive due to Event Data base becoming to</t>
  </si>
  <si>
    <t xml:space="preserve"> NAS share files become unusable and unrealistic large file sizes are reported</t>
  </si>
  <si>
    <t>Escape,One-off_Patch,TBVbyDevelopment</t>
  </si>
  <si>
    <t>20632</t>
  </si>
  <si>
    <t>[Customer: Tech Mahindra Limited] SO 5500 - hpspmon shows drives 1 - 11 as missing in both drawers</t>
  </si>
  <si>
    <t>[Master=117509, Axion-1.5.0-HF02] [Customer: Kforce] File system fails to mount after failover with:  kernel: ftx_capsule_play_redo_on_page(): bs_access() of bfset 2 file-tag 261786531 failed(-1032) dirTag : 2</t>
  </si>
  <si>
    <t>Axion-1.5.0-HF02</t>
  </si>
  <si>
    <t>20676</t>
  </si>
  <si>
    <t>8/2: Matt to review today. 7/30: Scott thinks this may reside with FS team</t>
  </si>
  <si>
    <t>[Master] [Customer: Kforce] File system fails to mount after failover with:  kernel: ftx_capsule_play_redo_on_page(): bs_access() of bfset 2 file-tag 261786531 failed(-1032) dirTag : 2</t>
  </si>
  <si>
    <t>[Master=117509, Axion-1.5-Maint] [Customer: Kforce] File system fails to mount after failover with:  kernel: ftx_capsule_play_redo_on_page(): bs_access() of bfset 2 file-tag 261786531 failed(-1032) dirTag : 2</t>
  </si>
  <si>
    <t>[Master=117509, Azha] [Customer: Kforce] File system fails to mount after failover with:  kernel: ftx_capsule_play_redo_on_page(): bs_access() of bfset 2 file-tag 261786531 failed(-1032) dirTag : 2</t>
  </si>
  <si>
    <t>20695</t>
  </si>
  <si>
    <t>[Customer: Mercy Medical Center] fcollect fails with logcollection.autocreate.failed: An automatic log collection (2018_07_06_1914) was triggered, but failed.</t>
  </si>
  <si>
    <t>20701</t>
  </si>
  <si>
    <t>[Customer: Mercy Medical Center] JVM crashed on node1fs in libjvm.so</t>
  </si>
  <si>
    <t>prakash.angadi@hpe.com</t>
  </si>
  <si>
    <t>20705</t>
  </si>
  <si>
    <t xml:space="preserve"> Node crash due to lack of memory</t>
  </si>
  <si>
    <t xml:space="preserve"> VDU - Quotas lost on failover with: import_all_stree_quota_info_in_mtree:STREE-6</t>
  </si>
  <si>
    <t xml:space="preserve"> VDU - fcollect fails with logcollection.autocreate.failed: An automatic log coll</t>
  </si>
  <si>
    <t xml:space="preserve"> VDU - File system fails to mount after failover with: kernel: ftx_capsule_play_r</t>
  </si>
  <si>
    <t>1.5.0</t>
  </si>
  <si>
    <t>Azha_1.6.0-20180815</t>
  </si>
  <si>
    <t xml:space="preserve"> Nodes / fusionmanager may become irresponsive due to garbage collection exceptio</t>
  </si>
  <si>
    <t xml:space="preserve"> Bad integrity flag set for store because of a read error when reading a .backup </t>
  </si>
  <si>
    <t xml:space="preserve"> NAS Replication fails with an error indicating that the shadow file cannot be cr</t>
  </si>
  <si>
    <t xml:space="preserve"> VDU - Domain join fails with ERROR:0x7fc0c9fe8700:RdrSocketConnect():lwio/server</t>
  </si>
  <si>
    <t xml:space="preserve"> VDU - AV task partially failed since node1fs pml crash (problem A) until reboot </t>
  </si>
  <si>
    <t xml:space="preserve"> VMWare 6 with Data Protection loss of access to NFS share items.</t>
  </si>
  <si>
    <t>[Master=107325, 3.18.15 Esoteric] [Customer: Wellspan Health] - StoreOnce 6600 - Replication process crash with lwmsg</t>
  </si>
  <si>
    <t>3.18.15 Esoteric</t>
  </si>
  <si>
    <t>CRB Reviewed</t>
  </si>
  <si>
    <t>3.18.0</t>
  </si>
  <si>
    <t>1.4.0</t>
  </si>
  <si>
    <t>8/28: In CRB, awaiting StoreOnce approval. 8/27: Code/test is done, CRB next. 7/26: In plan, just needs to get scheduled</t>
  </si>
  <si>
    <t>Azha_1.6.0-20180829</t>
  </si>
  <si>
    <t>[Master=116988, Axion-1.5.2] [Customer: Ministerstvo Vnutrishnikh Sprav Ukrainy] access denied is returned when attempting to access files and subdirectories with the local guest account in 1.4 and above</t>
  </si>
  <si>
    <t>[Customer: Mercy Medical Center] AV task partially failed since node1fs pml crash (problem A) until reboot node0fs</t>
  </si>
  <si>
    <t>rajatj@hpe.com</t>
  </si>
  <si>
    <t>Multinode Core Utilities</t>
  </si>
  <si>
    <t>Common Utility Daemon</t>
  </si>
  <si>
    <t>Avitus 1.4.2</t>
  </si>
  <si>
    <t>Azha_1.6.0-20180822</t>
  </si>
  <si>
    <t xml:space="preserve">8/13: Russell is looking at how to make LC more reliable when JVM crashes. Fix is TBD still. </t>
  </si>
  <si>
    <t>20831</t>
  </si>
  <si>
    <t>[Master=118042, PPI-17E] [Customer: Mercy Medical Center] JVM crashes with java.lang.OutOfMemoryError: GC overhead limit exceeded</t>
  </si>
  <si>
    <t>[Master=118255, Azha] [Customer: US Army] Domain join fails with ERROR:0x7fc0c9fe8700:RdrSocketConnect():lwio/server/rdr/socket.c:1900: RdrSocketConnectHost() &amp;&amp; RdrSocketConnectDomain() for pszServerName=LEONA1NWP000001.nanw.ds.army.mil failed dwError...</t>
  </si>
  <si>
    <t>20830</t>
  </si>
  <si>
    <t>[Master=118045, PPI-17E] [Customer: Mercy Medical Center] After capturing heap/stack information, PML monitor failed to restart PML on node1fs</t>
  </si>
  <si>
    <t>20829</t>
  </si>
  <si>
    <t>[Master=118048, PPI-17E] [Customer: Mercy Medical Center] If PML and PML Monitor both die on a passive node, no automatic mechanism brings the node back to good health</t>
  </si>
  <si>
    <t>[Master] [Customer: Mercy Medical Center] JVM crashes with java.lang.OutOfMemoryError: GC overhead limit exceeded</t>
  </si>
  <si>
    <t>8/20: MichaelH closed 4.1.1 clone as CANTREPRO (was it tested with Federation?). 8/11: Seen on FP, not sure if issue for Avengers</t>
  </si>
  <si>
    <t>[Master] [Customer: Mercy Medical Center] After capturing heap/stack information, PML monitor failed to restart PML on node1fs</t>
  </si>
  <si>
    <t>8/13: Bill consulting on this, have fix in the works.</t>
  </si>
  <si>
    <t>[Master=118045, Trunk] [Customer: Mercy Medical Center] After capturing heap/stack information, PML monitor failed to restart PML on node1fs</t>
  </si>
  <si>
    <t>[Master=118045, 4.1.1 Avengers] [Customer: Mercy Medical Center] After capturing heap/stack information, PML monitor failed to restart PML on node1fs</t>
  </si>
  <si>
    <t>[see master] - CRB required</t>
  </si>
  <si>
    <t>[Master] [Customer: Mercy Medical Center] If PML and PML Monitor both die on a passive node, no automatic mechanism brings the node back to good health</t>
  </si>
  <si>
    <t>[Master=118048, Trunk] [Customer: Mercy Medical Center] If PML and PML Monitor both die on a passive node, no automatic mechanism brings the node back to good health</t>
  </si>
  <si>
    <t>HW5330953316[Tigre]-UNK/3500 - P1224 failure on disks, logical drive was failed, Resolved by performing QR</t>
  </si>
  <si>
    <t>sachin-kumar@hpe.com</t>
  </si>
  <si>
    <t>8/13: Allan looking at, not a lot of info to go off of</t>
  </si>
  <si>
    <t>HW 5331390742[ENI SPA]-3.16.5/6500-service set 2 down with failure in BIOS loading, resolved by replacing the system board.</t>
  </si>
  <si>
    <t>8/20: Node 2 crashed, no logs from node 2.  Should have tried getting logs after replacing system board.</t>
  </si>
  <si>
    <t>gunjan.gaur@hpe.com</t>
  </si>
  <si>
    <t>20769</t>
  </si>
  <si>
    <t>[Master=118250, Azha] [Customer: US Army] PML caches domain join state and will not allow a join attempt if cache shows that the cluster is joined</t>
  </si>
  <si>
    <t>20766</t>
  </si>
  <si>
    <t>HW5330194554[MCB International B.V.]-3.16.5/4700- System inaccessible, resolved by powering unit from ILO, system board replaced for BIOS faults</t>
  </si>
  <si>
    <t>8/20: Jim has looked at but didn't find anything useful.</t>
  </si>
  <si>
    <t>[Master] [Customer: US Army] PML caches domain join state and will not allow a join attempt if cache shows that the cluster is joined</t>
  </si>
  <si>
    <t>[Master] [Customer: US Army] Domain join fails with ERROR:0x7fc0c9fe8700:RdrSocketConnect():lwio/server/rdr/socket.c:1900: RdrSocketConnectHost() &amp;&amp; RdrSocketConnectDomain() for pszServerName=LEONA1NWP000001.nanw.ds.army.mil failed dwError=-1073741559</t>
  </si>
  <si>
    <t>[Master=118255, Axion-1.5.0-HF02] [Customer: US Army] Domain join fails with ERROR:0x7fc0c9fe8700:RdrSocketConnect():</t>
  </si>
  <si>
    <t>20777</t>
  </si>
  <si>
    <t>[Master=114352, Axion-1.5.0-HF02] [Customer: Tetra Pak AB] lwsm core files generated and services got ABORTED while executing AD related test cases</t>
  </si>
  <si>
    <t>HW5331491001[VTB PROEKT, OOO]-3.13.8/B6200-GUI inaccessible, resolved by rebooting all the nodes and replacing cache module and the battery</t>
  </si>
  <si>
    <t>HW5331522139[DAIRY FARM COMPANY, LIMITED, THE]- NA/4500- Controller cant be detected, resolved by replacing P1224 controller.</t>
  </si>
  <si>
    <t>8/20: With Raptor team for initial investigation</t>
  </si>
  <si>
    <t>HW-5331584684[Cgi Technologies and Solutions Inc]-5100/3.16.2-Cu reported segments not mounted, Controller lockup with H046, Resolved by replacing P1224 Controller</t>
  </si>
  <si>
    <t>HW-5331215753[State Government South Nigeria]-3.18.3/5500-Cu reported system degraded with FS unmounted, resolved by replacing P1228 controller and remounting FS</t>
  </si>
  <si>
    <t>8/27: With Raptor team for initial analysis.</t>
  </si>
  <si>
    <t>errol.pereira@hpe.com</t>
  </si>
  <si>
    <t>HW- 5331624915[VOSMER OTOMOTIV TICARET VE SANAYI ANONIM SIRKETI]-3.18.4/3500-system restarting continuously, resolved by replacing system board.</t>
  </si>
  <si>
    <t>3.18.4 Esoteric</t>
  </si>
  <si>
    <t>20838</t>
  </si>
  <si>
    <t>[Customer: City of Sacramento (CA, US)] StoreOnce 3520 - NAS shows offline after updating software from 3.15.3 to 3.16.5</t>
  </si>
  <si>
    <t>[Master] [Customer: US Army] 17280 failed DNS quires per day for imdghost.americas.hpqcorp.net in customer environments</t>
  </si>
  <si>
    <t>[Master=118832, Azha] [Customer: US Army] 17280 failed DNS quires per day for imdghost.americas.hpqcorp.net in customer environments</t>
  </si>
  <si>
    <t xml:space="preserve"> VDU - Cannot create new subfolder under one specific folder</t>
  </si>
  <si>
    <t xml:space="preserve"> VDU - PML caches domain join state and will not allow a join attempt if cache sh</t>
  </si>
  <si>
    <t xml:space="preserve"> iLO reporting periodic failed events after upgrading to 3.16.3 firmware.</t>
  </si>
  <si>
    <t xml:space="preserve"> HP-SMB server setinfo requests periodically taking multiple seconds to complete</t>
  </si>
  <si>
    <t xml:space="preserve"> System may hang during boot with Last POST Message is "Starting drivers. Please </t>
  </si>
  <si>
    <t xml:space="preserve"> VDU - the DDL inconsistency; DDL shouldnâ€™t have become inconsistent to begin wit</t>
  </si>
  <si>
    <t xml:space="preserve"> VDU - fsck takes very long time with extremely fragmented &amp; huge metadata</t>
  </si>
  <si>
    <t xml:space="preserve"> VDU - DCN sending multiple notifications for some events </t>
  </si>
  <si>
    <t xml:space="preserve"> VDU - When using MMC Shared Folders snapin to manage open files; "Error 64:netwo</t>
  </si>
  <si>
    <t xml:space="preserve"> VDU - HP-SMB stack crashes in srvsvc after a call to rpc__list_element_free </t>
  </si>
  <si>
    <t xml:space="preserve"> Service set gets status FailedToInitialise when trying to start with segments ab</t>
  </si>
  <si>
    <t xml:space="preserve"> Cancellation of Catalyst Copy Jobs is not working when Copy Redirect is configur</t>
  </si>
  <si>
    <t xml:space="preserve"> VDU - When using File Persona; slow file access on first open attempt subsequent</t>
  </si>
  <si>
    <t xml:space="preserve"> Poor file access performance with SMB when using rfc2307 and many of the followi</t>
  </si>
  <si>
    <t xml:space="preserve"> StoreOnce 3540 - Storage capacity reported in the GUI is confusing but causes no</t>
  </si>
  <si>
    <t xml:space="preserve"> VDU - HP-SMB lsass daemon takes multiple minutes to start and will result in a c</t>
  </si>
  <si>
    <t xml:space="preserve"> NAS service crashes when managing CIFS share through Computer Management interfa</t>
  </si>
  <si>
    <t xml:space="preserve"> VDU - JVM crashes with java.lang.OutOfMemoryError: GC overhead limit exceeded</t>
  </si>
  <si>
    <t xml:space="preserve"> VDU - JVM crashed on node1fs in libjvm.so</t>
  </si>
  <si>
    <t xml:space="preserve"> VDU - 17280 failed DNS quires per day for imdghost.americas.hpqcorp.net in custo</t>
  </si>
  <si>
    <t xml:space="preserve"> VDU - HP-SMB server segfault in SrvPhsTableGetBucket() No such file or directory</t>
  </si>
  <si>
    <t xml:space="preserve"> Unexpected failover due to system crash.  System crashes with exception RIP: elv</t>
  </si>
  <si>
    <t>11800</t>
  </si>
  <si>
    <t>[Master=100823, 4.1.1 Avengers] Event log doesn't record name of saved/restored keystores</t>
  </si>
  <si>
    <t>PML-KMS</t>
  </si>
  <si>
    <t>9/17: Behind other work</t>
  </si>
  <si>
    <t>philip.nei.davies@hpe.com</t>
  </si>
  <si>
    <t>[Master=102638, Axion][Customer:Kasturi &amp; Sons Limited, Kforce] lwio crashed in InotifySetFcbMask</t>
  </si>
  <si>
    <t>20857</t>
  </si>
  <si>
    <t>[Master=118970, Azha] [Customer: KPMG, ABB] lsass daemon takes multiple minutes to start and will result in a crash loop if service monitor is enabled, due to duplicate entries of domain names observed in krb5.conf file</t>
  </si>
  <si>
    <t>Forwardport_Needed,Regression_NPI-1</t>
  </si>
  <si>
    <t>to be fixed when Kerberos is delivered in 1.6</t>
  </si>
  <si>
    <t>Azha_1.6.0-20180919</t>
  </si>
  <si>
    <t>[Master][Customer: Nissho Electronics Corporation, University Wrzburg] crash lwio due to invalid in memory data structure (PHS.</t>
  </si>
  <si>
    <t>[Master=104132, 3.18.15 Esoteric] [Customer: SOUTH CENTRAL AMBULANCE SERVICE] CIFS server crash / RBTree entry corruption</t>
  </si>
  <si>
    <t>Escape,Gen3_Consider_Fix_Available</t>
  </si>
  <si>
    <t>[Master=104046, Avitus-1.4-Maint][Customer: Nissho Electronics Corporation, University Wrzburg] crash lwio due to invalid in memory data structure (PHS.</t>
  </si>
  <si>
    <t>20897</t>
  </si>
  <si>
    <t>[Customer: STATE REVENUE OFFICE - VICTORIA, BlueCrest] srvsvc sigabrt after call to rpc__list_element_free</t>
  </si>
  <si>
    <t>Azha_1.6.0-20181010</t>
  </si>
  <si>
    <t>[Master=112239, Axion-1.5.3] [Customer: DealerTrack] upgrade failure during the CONFIG_CHANGE_TRANSFORM step of the reg_upgrade.sh script can result in DU for NFS or SMB clients</t>
  </si>
  <si>
    <t>Raise waiver</t>
  </si>
  <si>
    <t>3.16.4</t>
  </si>
  <si>
    <t>Previous_Deferral,Regression_NPI-1</t>
  </si>
  <si>
    <t>3.15</t>
  </si>
  <si>
    <t>Previous_Deferral,Regression_NPI,TBVbyDevelopment</t>
  </si>
  <si>
    <t>[Master=114999, Axion-1.5.3] [Customer: Cigiti] HA failover not initiated despite the fact that all CPU cycles were consumed the on Active PML node</t>
  </si>
  <si>
    <t>[Master=114902, Axion-1.5.3] [Customer: Cigiti] Failover should be triggered if NFS service monitoring is unable to get the services to a healthy state</t>
  </si>
  <si>
    <t>Waiver created</t>
  </si>
  <si>
    <t>Escape,Regression_NPI-1</t>
  </si>
  <si>
    <t>Forwardport_Needed,Regression_NPI-2</t>
  </si>
  <si>
    <t>Internal</t>
  </si>
  <si>
    <t>sn_sprint69-3 - 1.6 - corruption during ART bright lights run</t>
  </si>
  <si>
    <t>X Log</t>
  </si>
  <si>
    <t>New_Feature</t>
  </si>
  <si>
    <t>New feature</t>
  </si>
  <si>
    <t>adhitya.kothandaraman@hpe.com</t>
  </si>
  <si>
    <t>[Master=118048, Axion-1.5.3] [Customer: Mercy Medical Center] If PML and PML Monitor both die on a passive node, no automatic mechanism brings the node back to good health</t>
  </si>
  <si>
    <t>[Master=119871, Azha] [Customer: GEHC] Quotas lost on failover with: import_all_stree_quota_info_in_mtree:STREE-6)Processing stree_name=SFHSTS06_Store under mtree_path=/SFHVFS01 failed, status=-7987</t>
  </si>
  <si>
    <t>Azha_1.6.0-20181024</t>
  </si>
  <si>
    <t>Support Automation</t>
  </si>
  <si>
    <t>[Master=119964, Azha] [Customer: Singapore Land Authority] LWIO segfault in SrvPhsTableGetBucket() No such file or directory</t>
  </si>
  <si>
    <t>Azha_1.6.0-20181003</t>
  </si>
  <si>
    <t>Previous_Deferral,Regression_NPI</t>
  </si>
  <si>
    <t>HW-5331864139[COOPSERVICE SOC COOP PER AZIONI ABBREVIABILE IN COOPSERVICE S.COOP.P.A.]-3.18.3/3500- system unreachable and controller failure, resolved by restarting system and P1224 controller was replaced.</t>
  </si>
  <si>
    <t>HW-5329718734[UNCTAD / CNUCED UN Conference on Trade and Development-Confrence sur le commerce et Developpement]- 3.13.3/4700 - system not responding, resolved by QRing the unit causing data loss.</t>
  </si>
  <si>
    <t>20935</t>
  </si>
  <si>
    <t>[Customer: Picscout] for fragmented meta data offline fsck is very slow</t>
  </si>
  <si>
    <t>Commands</t>
  </si>
  <si>
    <t>[Customer: KPMG, ABB] lsass daemon takes multiple minutes to start and will result in a crash loop if service monitor is enabled</t>
  </si>
  <si>
    <t>[Master] [Customer: KPMG, ABB] lsass daemon takes multiple minutes to start and will result in a crash loop if service monitor is enabled, due to duplicate entries of domain names observed in krb5.conf file</t>
  </si>
  <si>
    <t>[Master=118970, Axion-1.5.3] [Customer: KPMG, ABB] lsass daemon takes multiple minutes to start and will result in a crash loop if service monitor is enabled, due to duplicate entries of domain names observed in krb5.conf file</t>
  </si>
  <si>
    <t>Escape,Regression_NPI,Zone_Increased</t>
  </si>
  <si>
    <t>Axion_1.5.3-20180912</t>
  </si>
  <si>
    <t>20871</t>
  </si>
  <si>
    <t>[Master=119355, Axion-1.5.1-HF01] [Customer: BlueCrest] Primary group mismatch between Windows and Unix Attributes in rfc2307 results in poor performance: HPEIdmapdCache.cc:236:storeEntry(): Replacing with new GID 10062, UPN</t>
  </si>
  <si>
    <t>Axion-1.5.1-HF01</t>
  </si>
  <si>
    <t>Avitus 1.4</t>
  </si>
  <si>
    <t>[Master] [Customer: BlueCrest] Primary group mismatch between Windows and Unix Attributes in rfc2307 results in poor performance: HPEIdmapdCache.cc:236:storeEntry(): Replacing with new GID 10062, UPN</t>
  </si>
  <si>
    <t>[Master=119355, Azha] [Customer: BlueCrest] Primary group mismatch between Windows and Unix Attributes in rfc2307 results in poor performance: HPEIdmapdCache.cc:236:storeEntry(): Replacing with new GID 10062, UPN</t>
  </si>
  <si>
    <t>Azha_1.6.0-20180912</t>
  </si>
  <si>
    <t>HW-5331777698-[MEGAFON, PAO]-3.16.5/4900- P1228 Controller failed or missing, resolved by replacing P1228 controller, upgrading FW, remounting FS and power cycling unit.</t>
  </si>
  <si>
    <t>FW 5330971614[BMW Manufacturing Co., LLC]-3.13.3/B6200-SSID 3 and 4 faulty and a few HW issues, resolved by replacing MSA controller and one HDD</t>
  </si>
  <si>
    <t>HW-5331651527 [Strama - MPS Maschinenbau GmbH &amp; Co. KG]-3.16.3/5100-Cu reported segments in NA state, resolved by replacing riser card, super capacitor, cache module and clearing RO flags</t>
  </si>
  <si>
    <t>20912</t>
  </si>
  <si>
    <t>[Master] [Customer: BlueCrest] MMC returns "Error 64:network name no longer available" when thousands of files are open</t>
  </si>
  <si>
    <t>[Master=119598, Azha] [Customer: BlueCrest] MMC returns "Error 64:network name no longer available" when thousands of files are open</t>
  </si>
  <si>
    <t>20914</t>
  </si>
  <si>
    <t>[Master=120221, Axion-1.5.3] [Customer: BlueCrest] DCN sending out multiple notifications for certain events</t>
  </si>
  <si>
    <t>20937</t>
  </si>
  <si>
    <t>[Master=120029, Axion-1.5.3] [Customer: Picscout] Mount failed due to a DDL Inconsistency post a 3par controller node crash</t>
  </si>
  <si>
    <t>mahesh.unnikrishnan@hpe.com</t>
  </si>
  <si>
    <t>[Master=118255, Axion-1.5.1] [Customer: US Army] Domain join fails with ERROR:0x7fc0c9fe8700:RdrSocketConnect():lwio/server/rdr/socket.c:1900: RdrSocketConnectHost() &amp;&amp; RdrSocketConnectDomain() for pszServerName=LEONA1NWP000001.nanw.ds.army.mil failed</t>
  </si>
  <si>
    <t>Escape,Regression_NPI</t>
  </si>
  <si>
    <t>HW-5332377248[VINCI AUTOROUTES]-3.16.5/5500 - Cu reported controller failed, resolved by replacing the P1228 controller and upgrading its FW.</t>
  </si>
  <si>
    <t>[Master] [Customer: GEHC] Quotas lost on failover with: import_all_stree_quota_info_in_mtree:STREE-6)Processing stree_name=SFHSTS06_Store under mtree_path=/SFHVFS01 failed, status=-7987</t>
  </si>
  <si>
    <t>kaustav.chatterjee@hpe.com</t>
  </si>
  <si>
    <t>[Master=119871, Axion-1.5.3] [Customer: GEHC] Quotas lost on failover with: import_all_stree_quota_info_in_mtree:STREE-6)Processing stree_name=SFHSTS06_Store under mtree_path=/SFHVFS01 failed, status=-7987</t>
  </si>
  <si>
    <t>20970</t>
  </si>
  <si>
    <t>[Master=119953, Axion-1.5-Maint] [Customer: BlueCrest] HP-SMB stack becomes unresponsive for 4-6 seconds, STATUS_ACCESS_DENIED is returned from the first create request when lwio becomes unresponsive</t>
  </si>
  <si>
    <t>20971</t>
  </si>
  <si>
    <t>HW-5329782045[Fujitsu Finland Oy]-3.13.5/B6200- storage faulty, resolved by replacing the controller A and B and QRing the unit causing DL.</t>
  </si>
  <si>
    <t>3.13.5 Zirkel</t>
  </si>
  <si>
    <t>[Master] [Customer: BlueCrest] HP-SMB stack becomes unresponsive for 4-6 seconds, STATUS_ACCESS_DENIED is returned from the first create request when lwio becomes unresponsive</t>
  </si>
  <si>
    <t>[Master=119953, Azha] [Customer: BlueCrest] HP-SMB stack becomes unresponsive for 4-6 seconds, STATUS_ACCESS_DENIED is returned from the first create request when lwio becomes unresponsive</t>
  </si>
  <si>
    <t>[Master] [Customer: Singapore Land Authority] LWIO segfault in SrvPhsTableGetBucket() No such file or directory</t>
  </si>
  <si>
    <t>[Master=119964, Axion-1.5-Maint] [Customer: Singapore Land Authority] LWIO segfault in SrvPhsTableGetBucket() No such file or directory</t>
  </si>
  <si>
    <t>HW5331919299[HP ES ECS DATA CENTER HP]-3.16.5/6500- SSID 7  &amp; 8 down, resolved by replacing system board</t>
  </si>
  <si>
    <t>smita.pawar@hpe.com</t>
  </si>
  <si>
    <t>[Master] [Customer: Picscout] Mount failed due to a DDL Inconsistency post a 3par controller node crash</t>
  </si>
  <si>
    <t>[Master=120029, Azha] [Customer: Picscout] Mount failed due to a DDL Inconsistency post a 3par controller node crash</t>
  </si>
  <si>
    <t>20991</t>
  </si>
  <si>
    <t>[Customer: Nissho] FPG is unable to be failed over to pair vm node properly</t>
  </si>
  <si>
    <t>anand.phatak@hpe.com</t>
  </si>
  <si>
    <t>HW - 5332474742 [United Technologies Corporation]  3.13.5/4500  Segments in NA state with -652 error, resolved by clearing RO flags, mounting FS, restarting SSID and running FSCK</t>
  </si>
  <si>
    <t>21007</t>
  </si>
  <si>
    <t>[Customer: BlueCrest] JVM becomes unresponsive (likely due to full GC cycle) after PML workload change and is eventually fenced</t>
  </si>
  <si>
    <t>[Master] [Customer: BlueCrest] DCN sending out multiple notifications for certain events</t>
  </si>
  <si>
    <t>[Master=120221, Azha] [Customer: BlueCrest] DCN sending out multiple notifications for certain events</t>
  </si>
  <si>
    <t>FW5332349919[AT&amp;T Corp.]-UNK/5100-controller in lockup state with lockup code F053, resolved by replacing the controller and upgrading FW version of the controller from 2.50 to 2.56</t>
  </si>
  <si>
    <t>[Customer: BlueCrest] GC Logging Anomalies (as seen in bug 120218)</t>
  </si>
  <si>
    <t>FW5332594074[City of Fort Worth Water Department]-3.16.3/5100- backups failed after replacing the controller with lockup code F152, resolved by power cycling the unit and then clearing RO flags, mounting FS and SSID restart</t>
  </si>
  <si>
    <t xml:space="preserve"> Dedupe store may fail to start as a consequence of an error when processing the </t>
  </si>
  <si>
    <t xml:space="preserve"> SQL Plugin 1.4 now uses a different return code for Extended Store Procedures (E</t>
  </si>
  <si>
    <t xml:space="preserve"> Node crash with exception RIP: __inc_zone_state+26</t>
  </si>
  <si>
    <t xml:space="preserve"> After upgrading to 3.18.5 on 6600; 5500 and VSA  "External user loses admin righ</t>
  </si>
  <si>
    <t>10/22: MattB to potentially  link to Mercy Medical issues. 9/10: Behind 118042. 7/26: Michael analyzing, may be able to conclude fixed for Azha. [WAIVER: Axion &amp; Avitus]</t>
  </si>
  <si>
    <t>Andromeda, Scrubbed</t>
  </si>
  <si>
    <t>VERIFIED</t>
  </si>
  <si>
    <t>Fix_Available</t>
  </si>
  <si>
    <t>Fix_Available,Previous_Deferral</t>
  </si>
  <si>
    <t>Fix_Available,Previous_Waiver</t>
  </si>
  <si>
    <t>10/18: Expect this will be a WONT FIX</t>
  </si>
  <si>
    <t>Weisshorn</t>
  </si>
  <si>
    <t>Escape,Fix_Available</t>
  </si>
  <si>
    <t xml:space="preserve">10/22: Still working towards getting in this sprint. 10/15: Target 18-21. 8/23: Still discussing how to address. </t>
  </si>
  <si>
    <t>Azha_1.6.0-20181031</t>
  </si>
  <si>
    <t>[Master=119355, Axion-1.5.3-HF01] [Customer: BlueCrest] Primary group mismatch between Windows and Unix Attributes in rfc2307 results in poor performance: HPEIdmapdCache.cc:236:storeEntry(): Replacing with new GID 10062, UPN</t>
  </si>
  <si>
    <t>Axion-1.5.3-HF01</t>
  </si>
  <si>
    <t>[Master=119598, Axion-1.5.3-HF01] [Customer: BlueCrest] MMC returns "Error 64:network name no longer available" when thousands of files are open</t>
  </si>
  <si>
    <t>Azha_1.6.0-20181017</t>
  </si>
  <si>
    <t>[Master=121414, Axion-1.5-Maint] [Customer: BlueCrest] setinfo requests periodically taking multiple seconds to complete</t>
  </si>
  <si>
    <t>[Master=114902, Atlas-1.2-Maint] [Customer: Cigiti] Failover should be triggered if NFS service monitoring is unable to get the services to a healthy state</t>
  </si>
  <si>
    <t>HW 5332913008[BLUECREST CAPITAL MANAGEMENT HOLDINGS LTD]-3.18.2/5100-Cu reported system down, issue resolved after replacing system board</t>
  </si>
  <si>
    <t>[Master=112239, Axion-1.5-Maint] [Customer: DealerTrack] upgrade failure during the CONFIG_CHANGE_TRANSFORM step of the reg_upgrade.sh script can result in DU for NFS or SMB clients</t>
  </si>
  <si>
    <t>[Master=120221, Axion-1.5.3-HF01] [Customer: BlueCrest] DCN sending out multiple notifications for certain events</t>
  </si>
  <si>
    <t>[Master=120029, Axion-1.5-Maint] [Customer: Picscout] Mount failed due to a DDL Inconsistency post a 3par controller node crash</t>
  </si>
  <si>
    <t>21096</t>
  </si>
  <si>
    <t>[Customer: Savvis] udevd-work[1116]: error changing net interface name 'rename30' to 'eth9': Device or resource busy</t>
  </si>
  <si>
    <t>21141</t>
  </si>
  <si>
    <t>jaipal.pendyala@hpe.com</t>
  </si>
  <si>
    <t>File Access Auditing</t>
  </si>
  <si>
    <t>*Unknown (Triage)-FAA</t>
  </si>
  <si>
    <t>[Master=121336, Azha] [Customer: BlueCrest] hp-smb server sending out duplicate DCN events to the client</t>
  </si>
  <si>
    <t>[Master] [Customer: BlueCrest] hp-smb server sending out duplicate DCN events to the client</t>
  </si>
  <si>
    <t>[Master=121336, Axion-1.5-Maint] [Customer: BlueCrest] hp-smb server sending out duplicate DCN events to the client</t>
  </si>
  <si>
    <t>[Master=118250, Axion-1.5.3] [Customer: US Army] PML caches domain join state and will not allow a join attempt if cache shows that the cluster is joined</t>
  </si>
  <si>
    <t>21147</t>
  </si>
  <si>
    <t>Axion-1.5.3 (1.5.1.900)</t>
  </si>
  <si>
    <t>[Master=114902, Axion-1.5-Maint] [Customer: Cigiti] Failover should be triggered if NFS service monitoring is unable to get the services to a healthy state</t>
  </si>
  <si>
    <t>[Master=119871, Axion-1.5-Maint] [Customer: GEHC] Quotas lost on failover with: import_all_stree_quota_info_in_mtree:STREE-6)Processing stree_name=SFHSTS06_Store under mtree_path=/SFHVFS01 failed, status=-7987</t>
  </si>
  <si>
    <t>[Master=111632, Axion-1.5-Maint] [Customer: Kforce] Clusterwide Shutdown "notification timed out" can lead to cluster being left in an inconsistent state and an outage</t>
  </si>
  <si>
    <t>[Master=106032, Axion-1.5-Maint] [Customer: Ternium] Share unresponsive, attempt to connect results in tree connect error STATUS_ACCESS_DENIED</t>
  </si>
  <si>
    <t>[Master] [Customer: BlueCrest] setinfo requests periodically taking multiple seconds to complete</t>
  </si>
  <si>
    <t>[Master=121414, Azha] [Customer: BlueCrest] setinfo requests periodically taking multiple seconds to complete</t>
  </si>
  <si>
    <t>Escape,Forwardport_Needed,TBVbyDevelopment</t>
  </si>
  <si>
    <t>21170</t>
  </si>
  <si>
    <t>[Master] system hits OOM panic during file overwrites having snapshots in limits test case</t>
  </si>
  <si>
    <t>Scalability</t>
  </si>
  <si>
    <t>[Customer: ABB] FAA consumes all available CPU resources</t>
  </si>
  <si>
    <t>[Master=121542, Axion-1.5-Maint] [Customer: Alcatel-Lucent] Upgrade from 3.3.1 MU2 to P39 results in loss of domain join and inability to rejoin the domain</t>
  </si>
  <si>
    <t>Fix_Available,FP_Maint_Nom</t>
  </si>
  <si>
    <t>[Master=121503, Trunk] [Customer: BlueCrest] When JVM Full GC cycle runs more than 200 seconds, PML Monitor restarts PML but diagnostic info is incomplete</t>
  </si>
  <si>
    <t>[Master] [Customer: BlueCrest] When JVM Full GC cycle runs more than 200 seconds, PML Monitor restarts PML but diagnostic info is incomplete</t>
  </si>
  <si>
    <t>10/29: Investigating.</t>
  </si>
  <si>
    <t>[Master=121503, PPI-17E] [Customer: BlueCrest] When JVM Full GC cycle runs more than 200 seconds, PML Monitor restarts PML but diagnostic info is incomplete</t>
  </si>
  <si>
    <t>HW-5333185638[Epiroc Drilling Solutions LLC]- NA/5100- controller in lockup state with H046 code, resolved replacing the P1224 controller.</t>
  </si>
  <si>
    <t>HW-5332189516[Skagit Valley Hospital Foundation]- 3.13.3/4500 -segments in NA state and backups failure, resolved by clearing RO flags, mounting FS and running FSCK.</t>
  </si>
  <si>
    <t>[Master] [Customer: Alcatel-Lucent] Upgrade from 3.3.1 MU2 to P39 results in loss of domain join and inability to rejoin the domain</t>
  </si>
  <si>
    <t>[Master=121542, Azha] [Customer: Alcatel-Lucent] Upgrade from 3.3.1 MU2 to P39 results in loss of domain join and inability to rejoin the domain</t>
  </si>
  <si>
    <t>21111</t>
  </si>
  <si>
    <t>Authentication-NFS</t>
  </si>
  <si>
    <t>[Master] [Customer: University of Chicago] After upgrade to FP 1.5, environments depending on client-side enforcement of secondary groups may encounter loss of access</t>
  </si>
  <si>
    <t>[Master=121559, Azha] [Customer: University of Chicago] After upgrade to FP 1.5, environments depending on client-side enforcement of secondary groups may encounter loss of access</t>
  </si>
  <si>
    <t>21171</t>
  </si>
  <si>
    <t>[Master] [Customer: US Army, Alcatel-Lucent] AD join request fails in environments where DNS forward and reverse lookup does not match</t>
  </si>
  <si>
    <t>[Master=121565, Azha] [Customer: US Army, Alcatel-Lucent] AD join request fails in environments where DNS forward and reverse lookup does not match</t>
  </si>
  <si>
    <t>Azha_1.6.0-20181107</t>
  </si>
  <si>
    <t>21195</t>
  </si>
  <si>
    <t>[Master=119951, Axion-1.5-Maint] [Customer: BlueCrest] Poor file access performance with SMB oplocks enabled</t>
  </si>
  <si>
    <t>[Master] [Customer: BlueCrest] Poor file access performance with SMB oplocks enabled</t>
  </si>
  <si>
    <t>[Master=119951, Azha] [Customer: BlueCrest] Poor file access performance with SMB oplocks enabled</t>
  </si>
  <si>
    <t>21196</t>
  </si>
  <si>
    <t>[Master=114770, VDU OS 1.4] [Customer: ABB] Some of the fpgs went into STALE state and node1 went into starting state .</t>
  </si>
  <si>
    <t>[Customer: ABB] JVM crashed with a SIGSEGV while in com.hp.storage.pml.hpsp.network.impl.nmo.InterfaceShareNetworkingImpl deactivateTermini</t>
  </si>
  <si>
    <t>10/22: Spider thinks this may be a known JRE issue (Bug 114770) that can't be fixed by Network services.  Addressed with new glibc in VDU OS 2.x</t>
  </si>
  <si>
    <t>1.5.3</t>
  </si>
  <si>
    <t xml:space="preserve"> Memory leak in kernel space in the Size-128 slab bucket when using snapshots und</t>
  </si>
  <si>
    <t xml:space="preserve"> SQL and VM Catalyst Stores are slow to process Housekeeping tasks after upgradin</t>
  </si>
  <si>
    <t>Emerging</t>
  </si>
  <si>
    <t>New</t>
  </si>
  <si>
    <t>Assigned</t>
  </si>
  <si>
    <t>Fixed</t>
  </si>
  <si>
    <t>Invalid</t>
  </si>
  <si>
    <t>Duplicate</t>
  </si>
  <si>
    <t>Close w/ blank</t>
  </si>
  <si>
    <t>No status</t>
  </si>
  <si>
    <t>Open</t>
  </si>
  <si>
    <t>[Master=117102, Azha] [Customer: Alcatel-Lucent] DCERPC code 0x16C9A04F not handled, leading to more frequent join failures on larger clusters</t>
  </si>
  <si>
    <t>investigation</t>
  </si>
  <si>
    <t>Axion-1.5.4</t>
  </si>
  <si>
    <t>[Master] [Customer: Alcatel-Lucent] DCERPC code 0x16C9A04F not handled, leading to more frequent join failures on larger clusters</t>
  </si>
  <si>
    <t>Escape,Fix_Available,Regression_NPI,Zone_Increased</t>
  </si>
  <si>
    <t>Escape,Fix_Available,Regression_NPI</t>
  </si>
  <si>
    <t>Fix_Available,Regression_NPI</t>
  </si>
  <si>
    <t>wontfix</t>
  </si>
  <si>
    <t>Total</t>
  </si>
  <si>
    <t>Development</t>
  </si>
  <si>
    <t>Total Active</t>
  </si>
  <si>
    <t>Total Inactive</t>
  </si>
  <si>
    <t>Moved</t>
  </si>
  <si>
    <t>&lt;blank&gt;</t>
  </si>
  <si>
    <t>Completed</t>
  </si>
  <si>
    <t>Released</t>
  </si>
  <si>
    <t>Closed-No change</t>
  </si>
  <si>
    <t>Closed-Monitor</t>
  </si>
  <si>
    <t>Testing</t>
  </si>
  <si>
    <t>11/5: In CRB for 1.5.4.  8/2: New</t>
  </si>
  <si>
    <t>Day one bug</t>
  </si>
  <si>
    <t>Axion_1.5.4-20181107</t>
  </si>
  <si>
    <t>sundarraj.illindra@hpe.com</t>
  </si>
  <si>
    <t>Day 1 bug</t>
  </si>
  <si>
    <t>Axion_1.5.4-20181121</t>
  </si>
  <si>
    <t>Scrubbed</t>
  </si>
  <si>
    <t>20874</t>
  </si>
  <si>
    <t>[Master] [Customer: KPMG] Slow file access (multiple minutes) on first open of a file over SMB</t>
  </si>
  <si>
    <t>Axion_1.5.4-20181114</t>
  </si>
  <si>
    <t xml:space="preserve"> Dedupe bad alloc errors and kernel panics can result if Item_Delete_From HK task</t>
  </si>
  <si>
    <t xml:space="preserve"> When using iSCSI VLT with CHAP and Data Digest on the host; the connection goes </t>
  </si>
  <si>
    <t xml:space="preserve"> VDU - JVM crashed with a SIGSEGV: SIGSEGV (0xb) at pc=0x00007feacee9be71; pid=15</t>
  </si>
  <si>
    <t xml:space="preserve"> VDU - Poor performance with SMB oplocks enabled</t>
  </si>
  <si>
    <t xml:space="preserve"> VDU - AD join request fails with Error code 31 (ERROR_GEN_FAILURE) in environmen</t>
  </si>
  <si>
    <t xml:space="preserve"> VDU - Upgrade from 3.3.1 MU2 to P39 results in loss of domain join and inability</t>
  </si>
  <si>
    <t xml:space="preserve"> VDU - File Access Auditing (FAA) consumes all available CPU resources and node b</t>
  </si>
  <si>
    <t xml:space="preserve"> VDU - user in secondary group unable to write nfs share; but primary group works</t>
  </si>
  <si>
    <t xml:space="preserve"> VDU - File persona network interfaces may not come up as expected; the following</t>
  </si>
  <si>
    <t xml:space="preserve"> VDU - JVM becomes unresponsive after PML workload change and is eventually fence</t>
  </si>
  <si>
    <t xml:space="preserve"> VDU - HP-SMB stack becomes unresponsive for 4-6 seconds; STATUS_ACCESS_DENIED is</t>
  </si>
  <si>
    <t xml:space="preserve"> VDU - If PML and PML Monitor both die on a passive node; no automatic mechanism </t>
  </si>
  <si>
    <t xml:space="preserve">  UDU - createfpg -recover on an FPG that is currently in use while PML is down o</t>
  </si>
  <si>
    <t xml:space="preserve">11/5: Matt to try and close out this week. 10/29: Working on repros. 10/15: Matt to create bug about ensure we collect the memory dump. </t>
  </si>
  <si>
    <t>11/5: Plan to mark as fixed for 1.5. 10/29: Spider has updated, waiting to see Matt comments. 10/20: Spider will update, but not a Network Services bug, not a customer facing issue.</t>
  </si>
  <si>
    <t>[Master=110114, Axion-1.5.4] [Customer Rightmove Group Limited] NFSv3 mount from a Solaris client fails, error: RPC: Program not registered</t>
  </si>
  <si>
    <t>[Master=117102, Axion-1.5.4] [Customer: Alcatel-Lucent] DCERPC code 0x16C9A04F not handled, leading to more frequent join failures on larger clusters</t>
  </si>
  <si>
    <t>[Master=118250, Axion-1.5.4] [Customer: US Army] PML caches domain join state and will not allow a join attempt if cache shows that the cluster is joined</t>
  </si>
  <si>
    <t>[Master=118832, Axion-1.5.4] [Customer: US Army] 17280 failed DNS quires per day for imdghost.americas.hpqcorp.net in customer environments</t>
  </si>
  <si>
    <t>[Master=121559, Axion-1.5.4] [Customer: University of Chicago] After upgrade to FP 1.5, environments depending on client-side enforcement of secondary groups may encounter loss of access</t>
  </si>
  <si>
    <t>[Master=121565, Axion-1.5.4] [Customer: US Army, Alcatel-Lucent] AD join request fails in environments where DNS forward and reverse lookup does not match</t>
  </si>
  <si>
    <t>System crash - RIP: __inc_zone_state+26 [Customer = Airtel - 5332793771, SIE155750]</t>
  </si>
  <si>
    <t>10/29: Plan to pass bug to Raptor, but D2D should take a look at it too. 10/22: Making progress, but still investigating. 10/15: Kyle is looking at this one</t>
  </si>
  <si>
    <t xml:space="preserve"> D6020 drawers may not close completely causing fan speeds to rise. </t>
  </si>
  <si>
    <t>21244</t>
  </si>
  <si>
    <t>[Customer: ABB] PML is marked as down but no action is taken to fence the unresponsive node</t>
  </si>
  <si>
    <t>prathiba.bha.n@hpe.com</t>
  </si>
  <si>
    <t>10/29: MattB to look at, may be a dup.</t>
  </si>
  <si>
    <t xml:space="preserve"> Node hang during boot after reboot when attached to a HP12518 switch</t>
  </si>
  <si>
    <t>HW5333751571[BMW FRANCE]-3.18.7/5100-Controller failure, resolved by replacing the super capacitor, DIMM and reseating the power supply and IO module which were loosely connected</t>
  </si>
  <si>
    <t>Awaiting Release</t>
  </si>
  <si>
    <t>bug is verified, targeted to a particular version (target milestone or ATM)</t>
  </si>
  <si>
    <t>Awaiting Decision</t>
  </si>
  <si>
    <t>Bug is "resolved", but not verified</t>
  </si>
  <si>
    <t>CFI not closed until fix is available in a general release (NOT hotfix)</t>
  </si>
  <si>
    <t>Lab Review</t>
  </si>
  <si>
    <t>Support L4 has a case they are investigating</t>
  </si>
  <si>
    <t>bug has been filed</t>
  </si>
  <si>
    <t>Support Review</t>
  </si>
  <si>
    <t>L3 is working the issue, not in development, EG. may need documentation change for the product.</t>
  </si>
  <si>
    <t>Workaround in CFI, but not a code fix.</t>
  </si>
  <si>
    <t>bug fix delivered</t>
  </si>
  <si>
    <t>Monitor</t>
  </si>
  <si>
    <t>No root cause, waiting for repro or more info, not in escalation</t>
  </si>
  <si>
    <t>Default state when creating CFI. Means either not complete, or forgot to put real state on the CFI</t>
  </si>
  <si>
    <t>AI: have a list of age in "Emerging &amp; Open" older than a year</t>
  </si>
  <si>
    <t>Legend</t>
  </si>
  <si>
    <t>BZ only data indegrity mentioned</t>
  </si>
  <si>
    <t>CFI only data integrity mentinoed</t>
  </si>
  <si>
    <t>Both indicated data integrity</t>
  </si>
  <si>
    <t>3PAR File Persona Only</t>
  </si>
  <si>
    <t>3PAR File Persona specific CFI metrics</t>
  </si>
  <si>
    <t>Combined StoreOnce and 3PAR File Persona</t>
  </si>
  <si>
    <t>CRB Reviewed , WIPRO- Pending for review</t>
  </si>
  <si>
    <t>21266</t>
  </si>
  <si>
    <t>[Customer: Cisco] vm host is not heartbeating to quorum disk intermittent</t>
  </si>
  <si>
    <t xml:space="preserve"> OST 4.2.0 upgrade or new install fails if BE or NBU not installed on C</t>
  </si>
  <si>
    <t xml:space="preserve"> 3.18.5 dedupe bad_alloc errors result when attempting to load a dedupe item HK_I</t>
  </si>
  <si>
    <t xml:space="preserve"> Dedupe store fails to start due to a missing blob file that is related to the ne</t>
  </si>
  <si>
    <t>1. Verify that you have a valid login on the CFI page
http://vasa0097.cxo.storage.hpecorp.net/Cfi/CFIIssues</t>
  </si>
  <si>
    <t>If you can login, you should see a page like:</t>
  </si>
  <si>
    <t>2. Return to the spreasheet and confirm that you were able to login</t>
  </si>
  <si>
    <t>3. Select "Refresh Data" to pull in CFI and Bugzilla data</t>
  </si>
  <si>
    <t>4. Indicate if you intend to download the CSV files(default), or 'Open' them in Excel.  Generally the default 'download' is easiest.</t>
  </si>
  <si>
    <t>Be sure to select 'Save File' when the browser prompts for action on CSV file.</t>
  </si>
  <si>
    <t>An information box will appear with the order fo the downloads. Dismiss the message when ready.</t>
  </si>
  <si>
    <t>6. The bugzilla data import will start automatically after the last CFI download is confirmed. The spreadsheet may be unresponsive for a few secconds as the data is imported and merged with the CFI data.</t>
  </si>
  <si>
    <t>5. Confirm each of four downloads by selecting the spreadsheet and clicking 'OK'</t>
  </si>
  <si>
    <t>[Master=101033, FP - Technical Backlog] [Customer: Tetra Pak AB] ASSERTION FAILED: Expression = (RtlWC16StringIsEqual(pwszNewVShareName, pShareInfoDst-&gt;pwszName, 0)) File Name = ../lwio/server/srv/shares/api/shareapi.c' Line Num = '4414</t>
  </si>
  <si>
    <t>21299</t>
  </si>
  <si>
    <t>[Master] Share create failure due to Local group lookup when AD is down and stacked before local "Error finding group with Group ID: 10544"</t>
  </si>
  <si>
    <t>DAY_ONE</t>
  </si>
  <si>
    <t>11/15: Expect CRB soon. 11/13: Target 18-23 for resolution.  11/8: Will discuss with Bill today. Fixed on Trunk.</t>
  </si>
  <si>
    <t>Azha_1.6.0-20181121</t>
  </si>
  <si>
    <t>11/15: Matt to take a look at, review zoning</t>
  </si>
  <si>
    <t>21290</t>
  </si>
  <si>
    <t>[Customer: BlueCrest] vm node unable to communicate with scsi devices</t>
  </si>
  <si>
    <t xml:space="preserve"> VDU - share creation may fail when AD is offline with: "Error finding group with</t>
  </si>
  <si>
    <t xml:space="preserve"> VDU - vm node unable to communicate with scsi devices</t>
  </si>
  <si>
    <t xml:space="preserve"> UDU - AD Domain join may fail if a large number of the customer's domains are an</t>
  </si>
  <si>
    <t xml:space="preserve"> VDU - vm host is not heartbeating to quorum disk intermittent</t>
  </si>
  <si>
    <t xml:space="preserve"> UDU - File Persona FPGs left in forgotten state after P30 installation</t>
  </si>
  <si>
    <t xml:space="preserve"> VDU - PML is marked as down but no action is taken to fence the unresponsive nod</t>
  </si>
  <si>
    <t xml:space="preserve"> VDU - FPG is unable to be failed over to pair vm node properly</t>
  </si>
  <si>
    <t>PML-Quorum Device</t>
  </si>
  <si>
    <t xml:space="preserve"> lwio aborted intermittent because of 300 sec timed out; possible this is the res</t>
  </si>
  <si>
    <t xml:space="preserve"> likewise completed to start up before network activated during system boot</t>
  </si>
  <si>
    <t xml:space="preserve"> SO Reporting Central data is not as expected when creating reports for capacity </t>
  </si>
  <si>
    <t xml:space="preserve"> CoE backups could fail after upgrading to 3.16.3 which is due to data network tr</t>
  </si>
  <si>
    <t xml:space="preserve"> RDA Midway connection issues with Remote Support after upgrading to 3.18.x</t>
  </si>
  <si>
    <t xml:space="preserve"> Basic Support Fails with Status "Partially Collected" in 3.18.3 and 3.18.5  Full</t>
  </si>
  <si>
    <t xml:space="preserve"> StoreOnce 3540 appliance hang during software upgrade from 3.15.1 to 3.18.7.  </t>
  </si>
  <si>
    <t xml:space="preserve"> Customer may receiven an FAA failure alert during RC failover: File Access Audit</t>
  </si>
  <si>
    <t xml:space="preserve"> PML had crash with out of memory in Java</t>
  </si>
  <si>
    <t xml:space="preserve"> VDU - smb process killed by lw-healthMon intermittent on all vm nodes</t>
  </si>
  <si>
    <t xml:space="preserve"> MS SQL Catalyst Plug-in 1.4.0 failed on installation pre-check with error: MS SQ</t>
  </si>
  <si>
    <t xml:space="preserve"> StoreOnce appliances connected to HPE Support Insight Center for monitoring stop</t>
  </si>
  <si>
    <t xml:space="preserve"> 3.18.7 NAS shares not accessible due to DFS getting a core file and terminating </t>
  </si>
  <si>
    <t xml:space="preserve"> Capacity usage reports missing historical data from SO GUI.</t>
  </si>
  <si>
    <t>gchakravarthi@hpe.com</t>
  </si>
  <si>
    <t>matthew.simm@hpe.com</t>
  </si>
  <si>
    <t>21575</t>
  </si>
  <si>
    <t>fpg could be left in initializing state due to bug in pml core</t>
  </si>
  <si>
    <t>[Master=104132, 3.18.16 Esoteric] [Customer: SOUTH CENTRAL AMBULANCE SERVICE] CIFS server crash / RBTree entry corruption</t>
  </si>
  <si>
    <t>3.18.16 Esoteric</t>
  </si>
  <si>
    <t>[Master=109426, Azha] Share create failure due to Local group lookup when AD is down and stacked before local "Error finding group with Group ID: 10544"</t>
  </si>
  <si>
    <t>Azha_1.6.0-20190102</t>
  </si>
  <si>
    <t>Previous_Deferral,TBVbyDevelopment</t>
  </si>
  <si>
    <t>21336</t>
  </si>
  <si>
    <t>[Customer: BlueCrest] Alert on source cluster for FAA enabled FPG during pushbutton failover test</t>
  </si>
  <si>
    <t>FAA-Core</t>
  </si>
  <si>
    <t>Azha_1.6.0-20190130</t>
  </si>
  <si>
    <t>[Master=120668, Azha] system hits OOM panic during file overwrites having snapshots in limits test case</t>
  </si>
  <si>
    <t>bhuvanesh.krishnaswamy@hpe.com</t>
  </si>
  <si>
    <t>Azha_1.6.0-20180905</t>
  </si>
  <si>
    <t>[Master=122860, Axion-1.5-Maint] [Customer New South Wales Lands and Property Information Department] lwio segfault in FillFileBothDirInfoBuffer</t>
  </si>
  <si>
    <t>[Master=111642, Trunk] [Customer: Regione Emilia Romagna] With unstable Java environment, node is unable to become the active FM and restore stability to the cluster</t>
  </si>
  <si>
    <t>karteek.bhat@hpe.com</t>
  </si>
  <si>
    <t>12/7: Reopened. 11/5: In CRB for 1.5.4.  8/2: New</t>
  </si>
  <si>
    <t>[Master=118042, Trunk] [Customer: Mercy Medical Center] JVM crashes with java.lang.OutOfMemoryError: GC overhead limit exceeded</t>
  </si>
  <si>
    <t>[see master] REMOVE 4.2.0 ATM if Federation tested</t>
  </si>
  <si>
    <t>Axion_1.5.4-20181205</t>
  </si>
  <si>
    <t>Azha_1.6.0-20190220</t>
  </si>
  <si>
    <t>No FS bug as per investigation</t>
  </si>
  <si>
    <t>[Master=122671, PPI-17E] [Customer: BlueCrest] Long running Full GC cycles during system memory pressure lead to PML being restarted or intermittent comp.health.error alerts being raised</t>
  </si>
  <si>
    <t>[Master=120668, Axion-1.5.3-HF01] system hits OOM panic during file overwrites having snapshots in limits test case</t>
  </si>
  <si>
    <t>[Master=122347, Azha] [Customer: ABB] FAA consumes all available CPU resources</t>
  </si>
  <si>
    <t>[Master=122669, PPI-17E] [Customer: ABB] If PML dies or is restarted and takes an excessive time to come back, no automatic mechanism brings the node back to good health in a timely manner</t>
  </si>
  <si>
    <t>[target sprint?]</t>
  </si>
  <si>
    <t>1/7: We have divided the issue to be PML  core part and PML  monitor part. From core side we need to triage the different timeouts for diag info collection</t>
  </si>
  <si>
    <t>1.5.2</t>
  </si>
  <si>
    <t>Azha_1.6.0-20181219</t>
  </si>
  <si>
    <t>12/3: Matt to get a bit more data, but believes it's due to overloading the system. 11/15: Matt to take a look at, review zoning</t>
  </si>
  <si>
    <t>12/3: Matt will update with proper component</t>
  </si>
  <si>
    <t>FW5333818804[Bharti Airtel Limited]-3.16.5/6500-segments unavailable, p1228 controller in lockup state with lockup code F252, integrity flag set with error(5), error(22), resolved by mounting FS, clearing integrity flag followed by restarting SSID</t>
  </si>
  <si>
    <t>[Master] [Customer: ABB] FAA consumes all available CPU resources</t>
  </si>
  <si>
    <t>sankar@hpe.com</t>
  </si>
  <si>
    <t>[Master=122347, Axion-1.5-Maint] [Customer: ABB] FAA consumes all available CPU resources</t>
  </si>
  <si>
    <t>21330</t>
  </si>
  <si>
    <t>[Master=122666, Azha] [Customer: Bluecrest] smb process killed by lw-healthMon intermittent on all vm nodes.</t>
  </si>
  <si>
    <t>1.5.1</t>
  </si>
  <si>
    <t>5334006074[Ipayment Investors, Inc]-3.18.3/5100-CIFS shares not accessible, resolved by restarting LW services, rejoining domain and rebooting the unit.</t>
  </si>
  <si>
    <t>21334</t>
  </si>
  <si>
    <t>[Customer: Data#3 Limited] PML had crash with out of memory in Java.</t>
  </si>
  <si>
    <t>1/7: Need to check logs if PML restart was enabled. 12/3: May be a dup of Mercy Medical issue</t>
  </si>
  <si>
    <t>[Master] [Customer: Bluecrest] smb process killed by lw-healthMon intermittent on all vm nodes.</t>
  </si>
  <si>
    <t>[Master=122666, Axion-1.5-Maint] [Customer: Bluecrest] smb process killed by lw-healthMon intermittent on all vm nodes.</t>
  </si>
  <si>
    <t>[Master] [Customer: ABB] If PML dies or is restarted and takes an excessive time to come back, no automatic mechanism brings the node back to good health in a timely manner</t>
  </si>
  <si>
    <t>[Master=122669, Trunk] [Customer: ABB] If PML dies or is restarted and takes an excessive time to come back, no automatic mechanism brings the node back to good health in a timely manner</t>
  </si>
  <si>
    <t>[Master] [Customer: BlueCrest] Long running Full GC cycles during system memory pressure lead to PML being restarted or intermittent comp.health.error alerts being raised</t>
  </si>
  <si>
    <t>21385</t>
  </si>
  <si>
    <t>[Customer: Nissho] likewise completed to start up before network activated during system boot</t>
  </si>
  <si>
    <t>21387</t>
  </si>
  <si>
    <t>[Master=122896, Axion-1.5-Maint] [Customer: Nissho] lwio aborted intermittent because of 300 sec timed out, possible this is the result of lsass overloaded</t>
  </si>
  <si>
    <t>21395</t>
  </si>
  <si>
    <t>[Customer: Focus Lightings Tech Co., Ltd] lwio segfault in FillFileBothDirInfoBuffer</t>
  </si>
  <si>
    <t>21400</t>
  </si>
  <si>
    <t>[Customer: GEHC] Quotas no longer functional after read-only remount of FP boot volume, unhelpful error message reported to CLI</t>
  </si>
  <si>
    <t>[Master] [Customer New South Wales Lands and Property Information Department, Focus Lightings Tech Co] lwio segfault in FillFileBothDirInfoBuffer</t>
  </si>
  <si>
    <t>[Master=122860, Azha] [Customer New South Wales Lands and Property Information Department] lwio segfault in FillFileBothDirInfoBuffer</t>
  </si>
  <si>
    <t>[Master] [Customer: Nissho] lwio aborted intermittent because of 300 sec timed out, possible this is the result of lsass overloaded</t>
  </si>
  <si>
    <t>[Master=122896, Azha] [Customer: Nissho] lwio aborted intermittent because of 300 sec timed out, possible this is the result of lsass overloaded</t>
  </si>
  <si>
    <t>21431</t>
  </si>
  <si>
    <t>[Customer: GEHC] Corrupted file system does not report as corrupted, HP-SMB goes into crash loop and cluster becomes unmanageable</t>
  </si>
  <si>
    <t>kopal.singh@hpe.com</t>
  </si>
  <si>
    <t>21444</t>
  </si>
  <si>
    <t>[Customer: GEHC] One FPG mounted with errors can cause the cluster to become unmanageable</t>
  </si>
  <si>
    <t>5333778718[Marks and Spencer PLC]  3.16.5/5500  system down and NAS in critical state, resolved by power cycling the unit</t>
  </si>
  <si>
    <t>5334077297[Q9 Networks Inc]-3.18.5/5100-backup failed on a share, resolved by and stopping SSID, unmounted the FS and then remounting it</t>
  </si>
  <si>
    <t>21452</t>
  </si>
  <si>
    <t>[Master=123210, PPI-17E] [Customer: GEHC] fsck failed with exception as RestClient.pollUntilCompleted failed during period of PML unresponsiveness</t>
  </si>
  <si>
    <t>21453</t>
  </si>
  <si>
    <t>[Customer: Market America Worldwide, Inc.] VFS unable to become up state after failover during check_fpgs_failover_failback.sh</t>
  </si>
  <si>
    <t>1/7: Background tasks may still be happening when it claims its complete - could cause timing issue. 12/17: Jem investigating, may get rerouted.  Matt: Might be a dup.</t>
  </si>
  <si>
    <t>21457</t>
  </si>
  <si>
    <t>[Master=123069, Azha] [Customer: ABB] Memory leak in rpc_tasks slab results in OOM panic</t>
  </si>
  <si>
    <t>21469</t>
  </si>
  <si>
    <t>[Customer: BlueCrest] JVM segfault when attempting to create a share after "SEVERE: Protocols operation failed. Reason: Unmatched braces in the pattern." is returned</t>
  </si>
  <si>
    <t>[Master] [Customer: ABB] Memory leak in rpc_tasks slab results in OOM panic</t>
  </si>
  <si>
    <t>[Master=123069, Axion-1.5-Maint] [Customer: ABB] Memory leak in rpc_tasks slab results in OOM panic</t>
  </si>
  <si>
    <t>21492</t>
  </si>
  <si>
    <t>[Customer: WM Motor] Can't create files on the nas share with Chinese characters in the file name</t>
  </si>
  <si>
    <t>1/7: Kyle is putting on finishing touches. 1/3: Kyle is actively working this one</t>
  </si>
  <si>
    <t>4.1.0</t>
  </si>
  <si>
    <t>5333357240[Dittel Messtechnik GmbH]-3.18.5/5100-NAS access issue after SW update to 3.18.5, resolved by system boot</t>
  </si>
  <si>
    <t>[Master=121559, Axion-1.5.5] [Customer: University of Chicago] After upgrade to FP 1.5, environments depending on client-side enforcement of secondary groups may encounter loss of access</t>
  </si>
  <si>
    <t>Axion-1.5.5</t>
  </si>
  <si>
    <t>21521</t>
  </si>
  <si>
    <t>[Customer: US Army] default "nfsshares" export is visible and results in security scan failure</t>
  </si>
  <si>
    <t>[Master] [Customer: GEHC] fsck failed with exception as RestClient.pollUntilCompleted failed during period of PML unresponsiveness</t>
  </si>
  <si>
    <t>[Master=123210, Trunk] [Customer: GEHC] fsck failed with exception as RestClient.pollUntilCompleted failed during period of PML unresponsiveness</t>
  </si>
  <si>
    <t>1/7: Initial view is 3w of effort</t>
  </si>
  <si>
    <t>21499</t>
  </si>
  <si>
    <t>SIE160228 [County of Blaine] : Too many hung hardware monitoring threads</t>
  </si>
  <si>
    <t>4.2.0_Alley_Cat</t>
  </si>
  <si>
    <t>[Master=119461, Azha] [Customer: KPMG] Slow file access (multiple minutes) on first open of a file over SMB</t>
  </si>
  <si>
    <t>[Master=100823, 4.2.0 Alley Cat] Event log doesn't record name of saved/restored keystores</t>
  </si>
  <si>
    <t>Technical Backlog - G4</t>
  </si>
  <si>
    <t>Azha_1.6.0-20190206</t>
  </si>
  <si>
    <t>Azha_1.6.0-20190213</t>
  </si>
  <si>
    <t>[target sprint?] 1/17: Need to repro for further investigation.</t>
  </si>
  <si>
    <t>1/17: Could increase the timeout, but not sure what the value should be. 10/29: Investigating.</t>
  </si>
  <si>
    <t>[Master=122671, 4.2.0 Alley Cat] [Customer: BlueCrest] Long running Full GC cycles during system memory pressure lead to PML being restarted or intermittent comp.health.error alerts being raised</t>
  </si>
  <si>
    <t>1/14: Will check with customer to see if USB is attached. 1/10: Question to Noel - should we RN for 4.1.x?  Have fix for 4.2.0 (Bug 117542)</t>
  </si>
  <si>
    <t>21603</t>
  </si>
  <si>
    <t>[Customer: Landsbkarsafn, GEHC, Samsung, Target] "kernel: end_request: I/O error, dev vda, sector" results in a read-only remount of a filesystem on a vda partition of an FP bootvv</t>
  </si>
  <si>
    <t>21606</t>
  </si>
  <si>
    <t>[Customer: Samsung] no alert raised despite of root partition read-only mounted.</t>
  </si>
  <si>
    <t>21609</t>
  </si>
  <si>
    <t>[Customer: Dynatrace] PML dead without java core, seems to be the problem in ldapHelper</t>
  </si>
  <si>
    <t>1/17: downloading logs, will analyze</t>
  </si>
</sst>
</file>

<file path=xl/styles.xml><?xml version="1.0" encoding="utf-8"?>
<styleSheet xmlns="http://schemas.openxmlformats.org/spreadsheetml/2006/main" xmlns:mc="http://schemas.openxmlformats.org/markup-compatibility/2006" xmlns:x14ac="http://schemas.microsoft.com/office/spreadsheetml/2009/9/ac" mc:Ignorable="x14ac">
  <fonts count="8" x14ac:knownFonts="1">
    <font>
      <sz val="11"/>
      <color theme="1"/>
      <name val="Calibri"/>
      <family val="2"/>
      <scheme val="minor"/>
    </font>
    <font>
      <u/>
      <sz val="11"/>
      <color theme="10"/>
      <name val="Calibri"/>
      <family val="2"/>
      <scheme val="minor"/>
    </font>
    <font>
      <sz val="11"/>
      <name val="Calibri"/>
      <family val="2"/>
      <scheme val="minor"/>
    </font>
    <font>
      <sz val="11"/>
      <color rgb="FF000000"/>
      <name val="Calibri"/>
      <family val="2"/>
    </font>
    <font>
      <b/>
      <sz val="11"/>
      <color theme="0"/>
      <name val="Calibri"/>
      <family val="2"/>
      <scheme val="minor"/>
    </font>
    <font>
      <sz val="8"/>
      <color rgb="FF000000"/>
      <name val="Calibri"/>
      <family val="2"/>
    </font>
    <font>
      <sz val="9"/>
      <color rgb="FF000000"/>
      <name val="Calibri"/>
      <family val="2"/>
    </font>
    <font>
      <b/>
      <sz val="11"/>
      <color theme="1"/>
      <name val="Calibri"/>
      <family val="2"/>
      <scheme val="minor"/>
    </font>
  </fonts>
  <fills count="12">
    <fill>
      <patternFill patternType="none"/>
    </fill>
    <fill>
      <patternFill patternType="gray125"/>
    </fill>
    <fill>
      <patternFill patternType="solid">
        <fgColor rgb="FFFFFF00"/>
        <bgColor indexed="64"/>
      </patternFill>
    </fill>
    <fill>
      <patternFill patternType="solid">
        <fgColor theme="4"/>
        <bgColor theme="4"/>
      </patternFill>
    </fill>
    <fill>
      <patternFill patternType="solid">
        <fgColor theme="9" tint="0.79998168889431442"/>
        <bgColor indexed="64"/>
      </patternFill>
    </fill>
    <fill>
      <patternFill patternType="solid">
        <fgColor rgb="FFFF9999"/>
        <bgColor indexed="64"/>
      </patternFill>
    </fill>
    <fill>
      <patternFill patternType="solid">
        <fgColor theme="7" tint="0.79998168889431442"/>
        <bgColor indexed="64"/>
      </patternFill>
    </fill>
    <fill>
      <patternFill patternType="solid">
        <fgColor theme="9" tint="0.59999389629810485"/>
        <bgColor indexed="64"/>
      </patternFill>
    </fill>
    <fill>
      <patternFill patternType="solid">
        <fgColor theme="7" tint="0.39997558519241921"/>
        <bgColor indexed="64"/>
      </patternFill>
    </fill>
    <fill>
      <patternFill patternType="solid">
        <fgColor rgb="FF00B0F0"/>
        <bgColor indexed="64"/>
      </patternFill>
    </fill>
    <fill>
      <patternFill patternType="solid">
        <fgColor theme="5" tint="0.39997558519241921"/>
        <bgColor indexed="64"/>
      </patternFill>
    </fill>
    <fill>
      <patternFill patternType="solid">
        <fgColor rgb="FFFFCCFF"/>
        <bgColor indexed="64"/>
      </patternFill>
    </fill>
  </fills>
  <borders count="5">
    <border>
      <left/>
      <right/>
      <top/>
      <bottom/>
      <diagonal/>
    </border>
    <border>
      <left/>
      <right/>
      <top style="thin">
        <color theme="4" tint="0.39997558519241921"/>
      </top>
      <bottom style="thin">
        <color theme="4" tint="0.39997558519241921"/>
      </bottom>
      <diagonal/>
    </border>
    <border>
      <left/>
      <right style="thin">
        <color theme="4" tint="0.39997558519241921"/>
      </right>
      <top style="thin">
        <color theme="4" tint="0.39997558519241921"/>
      </top>
      <bottom style="thin">
        <color theme="4" tint="0.39997558519241921"/>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s>
  <cellStyleXfs count="2">
    <xf numFmtId="0" fontId="0" fillId="0" borderId="0"/>
    <xf numFmtId="0" fontId="1" fillId="0" borderId="0" applyNumberFormat="0" applyFill="0" applyBorder="0" applyAlignment="0" applyProtection="0"/>
  </cellStyleXfs>
  <cellXfs count="33">
    <xf numFmtId="0" fontId="0" fillId="0" borderId="0" xfId="0"/>
    <xf numFmtId="14" fontId="0" fillId="0" borderId="0" xfId="0" applyNumberFormat="1"/>
    <xf numFmtId="0" fontId="1" fillId="0" borderId="0" xfId="1"/>
    <xf numFmtId="49" fontId="0" fillId="0" borderId="0" xfId="0" applyNumberFormat="1"/>
    <xf numFmtId="0" fontId="0" fillId="0" borderId="0" xfId="0" quotePrefix="1"/>
    <xf numFmtId="22" fontId="0" fillId="0" borderId="0" xfId="0" applyNumberFormat="1"/>
    <xf numFmtId="0" fontId="0" fillId="0" borderId="0" xfId="0" applyNumberFormat="1"/>
    <xf numFmtId="0" fontId="2" fillId="0" borderId="0" xfId="1" applyFont="1"/>
    <xf numFmtId="0" fontId="0" fillId="2" borderId="0" xfId="0" applyFill="1"/>
    <xf numFmtId="0" fontId="4" fillId="3" borderId="1" xfId="0" applyNumberFormat="1" applyFont="1" applyFill="1" applyBorder="1"/>
    <xf numFmtId="0" fontId="4" fillId="3" borderId="2" xfId="0" applyNumberFormat="1" applyFont="1" applyFill="1" applyBorder="1"/>
    <xf numFmtId="14" fontId="4" fillId="3" borderId="1" xfId="0" applyNumberFormat="1" applyFont="1" applyFill="1" applyBorder="1"/>
    <xf numFmtId="0" fontId="0" fillId="0" borderId="0" xfId="0" applyAlignment="1">
      <alignment wrapText="1"/>
    </xf>
    <xf numFmtId="0" fontId="0" fillId="4" borderId="3" xfId="0" applyFill="1" applyBorder="1" applyAlignment="1">
      <alignment wrapText="1"/>
    </xf>
    <xf numFmtId="0" fontId="0" fillId="5" borderId="3" xfId="0" applyFill="1" applyBorder="1" applyAlignment="1">
      <alignment wrapText="1"/>
    </xf>
    <xf numFmtId="0" fontId="0" fillId="5" borderId="4" xfId="0" applyFill="1" applyBorder="1" applyAlignment="1">
      <alignment wrapText="1"/>
    </xf>
    <xf numFmtId="0" fontId="0" fillId="6" borderId="3" xfId="0" applyFill="1" applyBorder="1" applyAlignment="1">
      <alignment wrapText="1"/>
    </xf>
    <xf numFmtId="0" fontId="0" fillId="7" borderId="3" xfId="0" applyFill="1" applyBorder="1" applyAlignment="1">
      <alignment wrapText="1"/>
    </xf>
    <xf numFmtId="0" fontId="0" fillId="8" borderId="3" xfId="0" applyFill="1" applyBorder="1" applyAlignment="1">
      <alignment wrapText="1"/>
    </xf>
    <xf numFmtId="0" fontId="1" fillId="0" borderId="0" xfId="1" applyNumberFormat="1"/>
    <xf numFmtId="0" fontId="0" fillId="9" borderId="0" xfId="0" applyFill="1"/>
    <xf numFmtId="0" fontId="0" fillId="0" borderId="0" xfId="0" applyFill="1"/>
    <xf numFmtId="0" fontId="0" fillId="10" borderId="0" xfId="0" applyFill="1"/>
    <xf numFmtId="0" fontId="0" fillId="7" borderId="0" xfId="0" applyFill="1"/>
    <xf numFmtId="0" fontId="0" fillId="11" borderId="0" xfId="0" applyFill="1"/>
    <xf numFmtId="0" fontId="0" fillId="11" borderId="0" xfId="0" applyFill="1" applyAlignment="1">
      <alignment wrapText="1"/>
    </xf>
    <xf numFmtId="0" fontId="7" fillId="0" borderId="0" xfId="0" applyFont="1"/>
    <xf numFmtId="0" fontId="0" fillId="0" borderId="0" xfId="0" applyFill="1" applyBorder="1" applyAlignment="1">
      <alignment wrapText="1"/>
    </xf>
    <xf numFmtId="0" fontId="0" fillId="0" borderId="0" xfId="0" applyFill="1" applyAlignment="1">
      <alignment wrapText="1"/>
    </xf>
    <xf numFmtId="0" fontId="7" fillId="0" borderId="0" xfId="0" applyFont="1" applyAlignment="1">
      <alignment wrapText="1"/>
    </xf>
    <xf numFmtId="0" fontId="1" fillId="11" borderId="0" xfId="1" applyFill="1" applyAlignment="1">
      <alignment wrapText="1"/>
    </xf>
    <xf numFmtId="0" fontId="1" fillId="0" borderId="0" xfId="1" applyFill="1" applyAlignment="1">
      <alignment wrapText="1"/>
    </xf>
    <xf numFmtId="0" fontId="1" fillId="11" borderId="0" xfId="1" applyFill="1"/>
  </cellXfs>
  <cellStyles count="2">
    <cellStyle name="Hyperlink" xfId="1" builtinId="8"/>
    <cellStyle name="Normal" xfId="0" builtinId="0"/>
  </cellStyles>
  <dxfs count="23">
    <dxf>
      <numFmt numFmtId="30" formatCode="@"/>
    </dxf>
    <dxf>
      <numFmt numFmtId="30" formatCode="@"/>
    </dxf>
    <dxf>
      <numFmt numFmtId="27" formatCode="m/d/yyyy\ h:mm"/>
    </dxf>
    <dxf>
      <numFmt numFmtId="27" formatCode="m/d/yyyy\ h:mm"/>
    </dxf>
    <dxf>
      <numFmt numFmtId="0" formatCode="General"/>
    </dxf>
    <dxf>
      <fill>
        <patternFill>
          <bgColor rgb="FF00B0F0"/>
        </patternFill>
      </fill>
    </dxf>
    <dxf>
      <fill>
        <patternFill>
          <bgColor theme="5" tint="0.39994506668294322"/>
        </patternFill>
      </fill>
    </dxf>
    <dxf>
      <fill>
        <patternFill>
          <bgColor theme="9" tint="0.59996337778862885"/>
        </patternFill>
      </fill>
    </dxf>
    <dxf>
      <fill>
        <patternFill>
          <bgColor rgb="FF00B0F0"/>
        </patternFill>
      </fill>
    </dxf>
    <dxf>
      <fill>
        <patternFill>
          <bgColor theme="5" tint="0.39994506668294322"/>
        </patternFill>
      </fill>
    </dxf>
    <dxf>
      <fill>
        <patternFill>
          <bgColor theme="9" tint="0.59996337778862885"/>
        </patternFill>
      </fill>
    </dxf>
    <dxf>
      <fill>
        <patternFill>
          <bgColor rgb="FF00B0F0"/>
        </patternFill>
      </fill>
    </dxf>
    <dxf>
      <fill>
        <patternFill>
          <bgColor theme="5" tint="0.39994506668294322"/>
        </patternFill>
      </fill>
    </dxf>
    <dxf>
      <fill>
        <patternFill>
          <bgColor theme="9" tint="0.59996337778862885"/>
        </patternFill>
      </fill>
    </dxf>
    <dxf>
      <fill>
        <patternFill>
          <bgColor rgb="FFFF0000"/>
        </patternFill>
      </fill>
    </dxf>
    <dxf>
      <fill>
        <patternFill>
          <bgColor rgb="FFFFFF00"/>
        </patternFill>
      </fill>
    </dxf>
    <dxf>
      <fill>
        <patternFill>
          <bgColor rgb="FF00B050"/>
        </patternFill>
      </fill>
    </dxf>
    <dxf>
      <fill>
        <patternFill>
          <bgColor rgb="FF00B0F0"/>
        </patternFill>
      </fill>
    </dxf>
    <dxf>
      <fill>
        <patternFill>
          <bgColor theme="5" tint="0.39994506668294322"/>
        </patternFill>
      </fill>
    </dxf>
    <dxf>
      <fill>
        <patternFill>
          <bgColor theme="9" tint="0.59996337778862885"/>
        </patternFill>
      </fill>
    </dxf>
    <dxf>
      <fill>
        <patternFill>
          <bgColor rgb="FF00B0F0"/>
        </patternFill>
      </fill>
    </dxf>
    <dxf>
      <fill>
        <patternFill>
          <bgColor theme="5" tint="0.39994506668294322"/>
        </patternFill>
      </fill>
    </dxf>
    <dxf>
      <fill>
        <patternFill>
          <bgColor theme="9" tint="0.59996337778862885"/>
        </patternFill>
      </fill>
    </dxf>
  </dxfs>
  <tableStyles count="0" defaultTableStyle="TableStyleMedium2" defaultPivotStyle="PivotStyleLight16"/>
  <colors>
    <mruColors>
      <color rgb="FFFFCCFF"/>
      <color rgb="FFFF99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onnections" Target="connection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8" Type="http://schemas.openxmlformats.org/officeDocument/2006/relationships/image" Target="../media/image8.png"/><Relationship Id="rId3" Type="http://schemas.openxmlformats.org/officeDocument/2006/relationships/image" Target="../media/image3.png"/><Relationship Id="rId7" Type="http://schemas.openxmlformats.org/officeDocument/2006/relationships/image" Target="../media/image7.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47625</xdr:colOff>
          <xdr:row>46</xdr:row>
          <xdr:rowOff>19050</xdr:rowOff>
        </xdr:from>
        <xdr:to>
          <xdr:col>3</xdr:col>
          <xdr:colOff>485775</xdr:colOff>
          <xdr:row>46</xdr:row>
          <xdr:rowOff>219075</xdr:rowOff>
        </xdr:to>
        <xdr:sp macro="" textlink="">
          <xdr:nvSpPr>
            <xdr:cNvPr id="2050" name="Button 2" hidden="1">
              <a:extLst>
                <a:ext uri="{63B3BB69-23CF-44E3-9099-C40C66FF867C}">
                  <a14:compatExt spid="_x0000_s205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AllDev</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76200</xdr:colOff>
          <xdr:row>29</xdr:row>
          <xdr:rowOff>38100</xdr:rowOff>
        </xdr:from>
        <xdr:to>
          <xdr:col>3</xdr:col>
          <xdr:colOff>809625</xdr:colOff>
          <xdr:row>29</xdr:row>
          <xdr:rowOff>228600</xdr:rowOff>
        </xdr:to>
        <xdr:sp macro="" textlink="">
          <xdr:nvSpPr>
            <xdr:cNvPr id="2051" name="Button 3" hidden="1">
              <a:extLst>
                <a:ext uri="{63B3BB69-23CF-44E3-9099-C40C66FF867C}">
                  <a14:compatExt spid="_x0000_s205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AllActive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66675</xdr:colOff>
          <xdr:row>15</xdr:row>
          <xdr:rowOff>47625</xdr:rowOff>
        </xdr:from>
        <xdr:to>
          <xdr:col>3</xdr:col>
          <xdr:colOff>866775</xdr:colOff>
          <xdr:row>15</xdr:row>
          <xdr:rowOff>276225</xdr:rowOff>
        </xdr:to>
        <xdr:sp macro="" textlink="">
          <xdr:nvSpPr>
            <xdr:cNvPr id="2052" name="Button 4" hidden="1">
              <a:extLst>
                <a:ext uri="{63B3BB69-23CF-44E3-9099-C40C66FF867C}">
                  <a14:compatExt spid="_x0000_s205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EmergOpenDev</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20</xdr:row>
          <xdr:rowOff>161925</xdr:rowOff>
        </xdr:from>
        <xdr:to>
          <xdr:col>1</xdr:col>
          <xdr:colOff>171450</xdr:colOff>
          <xdr:row>20</xdr:row>
          <xdr:rowOff>342900</xdr:rowOff>
        </xdr:to>
        <xdr:sp macro="" textlink="">
          <xdr:nvSpPr>
            <xdr:cNvPr id="2053" name="Button 5" hidden="1">
              <a:extLst>
                <a:ext uri="{63B3BB69-23CF-44E3-9099-C40C66FF867C}">
                  <a14:compatExt spid="_x0000_s205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AllActivDev</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66675</xdr:colOff>
          <xdr:row>46</xdr:row>
          <xdr:rowOff>314325</xdr:rowOff>
        </xdr:from>
        <xdr:to>
          <xdr:col>3</xdr:col>
          <xdr:colOff>571500</xdr:colOff>
          <xdr:row>46</xdr:row>
          <xdr:rowOff>533400</xdr:rowOff>
        </xdr:to>
        <xdr:sp macro="" textlink="">
          <xdr:nvSpPr>
            <xdr:cNvPr id="2054" name="Button 6" hidden="1">
              <a:extLst>
                <a:ext uri="{63B3BB69-23CF-44E3-9099-C40C66FF867C}">
                  <a14:compatExt spid="_x0000_s205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Calibri"/>
                  <a:cs typeface="Calibri"/>
                </a:rPr>
                <a:t>NonBlank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66675</xdr:colOff>
          <xdr:row>30</xdr:row>
          <xdr:rowOff>38100</xdr:rowOff>
        </xdr:from>
        <xdr:to>
          <xdr:col>0</xdr:col>
          <xdr:colOff>600075</xdr:colOff>
          <xdr:row>30</xdr:row>
          <xdr:rowOff>180975</xdr:rowOff>
        </xdr:to>
        <xdr:sp macro="" textlink="">
          <xdr:nvSpPr>
            <xdr:cNvPr id="2055" name="Button 7" hidden="1">
              <a:extLst>
                <a:ext uri="{63B3BB69-23CF-44E3-9099-C40C66FF867C}">
                  <a14:compatExt spid="_x0000_s205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SMB Open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85725</xdr:colOff>
          <xdr:row>29</xdr:row>
          <xdr:rowOff>19050</xdr:rowOff>
        </xdr:from>
        <xdr:to>
          <xdr:col>1</xdr:col>
          <xdr:colOff>285750</xdr:colOff>
          <xdr:row>29</xdr:row>
          <xdr:rowOff>180975</xdr:rowOff>
        </xdr:to>
        <xdr:sp macro="" textlink="">
          <xdr:nvSpPr>
            <xdr:cNvPr id="2056" name="Button 8" hidden="1">
              <a:extLst>
                <a:ext uri="{63B3BB69-23CF-44E3-9099-C40C66FF867C}">
                  <a14:compatExt spid="_x0000_s205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Any Product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57150</xdr:colOff>
          <xdr:row>83</xdr:row>
          <xdr:rowOff>28575</xdr:rowOff>
        </xdr:from>
        <xdr:to>
          <xdr:col>2</xdr:col>
          <xdr:colOff>57150</xdr:colOff>
          <xdr:row>83</xdr:row>
          <xdr:rowOff>276225</xdr:rowOff>
        </xdr:to>
        <xdr:sp macro="" textlink="">
          <xdr:nvSpPr>
            <xdr:cNvPr id="2057" name="Button 9" descr="Any product 3par" hidden="1">
              <a:extLst>
                <a:ext uri="{63B3BB69-23CF-44E3-9099-C40C66FF867C}">
                  <a14:compatExt spid="_x0000_s205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Filter any product 3par</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16</xdr:col>
          <xdr:colOff>419100</xdr:colOff>
          <xdr:row>0</xdr:row>
          <xdr:rowOff>0</xdr:rowOff>
        </xdr:from>
        <xdr:to>
          <xdr:col>16</xdr:col>
          <xdr:colOff>4514850</xdr:colOff>
          <xdr:row>0</xdr:row>
          <xdr:rowOff>180975</xdr:rowOff>
        </xdr:to>
        <xdr:grpSp>
          <xdr:nvGrpSpPr>
            <xdr:cNvPr id="2" name="Group 1"/>
            <xdr:cNvGrpSpPr/>
          </xdr:nvGrpSpPr>
          <xdr:grpSpPr>
            <a:xfrm>
              <a:off x="14748468" y="0"/>
              <a:ext cx="4095750" cy="180975"/>
              <a:chOff x="14748468" y="0"/>
              <a:chExt cx="4095750" cy="180975"/>
            </a:xfrm>
          </xdr:grpSpPr>
          <xdr:sp macro="" textlink="">
            <xdr:nvSpPr>
              <xdr:cNvPr id="1025" name="Button 1" hidden="1">
                <a:extLst>
                  <a:ext uri="{63B3BB69-23CF-44E3-9099-C40C66FF867C}">
                    <a14:compatExt spid="_x0000_s1025"/>
                  </a:ext>
                </a:extLst>
              </xdr:cNvPr>
              <xdr:cNvSpPr/>
            </xdr:nvSpPr>
            <xdr:spPr bwMode="auto">
              <a:xfrm>
                <a:off x="14748468" y="9525"/>
                <a:ext cx="895350" cy="17145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Refresh Data</a:t>
                </a:r>
              </a:p>
            </xdr:txBody>
          </xdr:sp>
          <xdr:sp macro="" textlink="">
            <xdr:nvSpPr>
              <xdr:cNvPr id="1026" name="Button 2" hidden="1">
                <a:extLst>
                  <a:ext uri="{63B3BB69-23CF-44E3-9099-C40C66FF867C}">
                    <a14:compatExt spid="_x0000_s1026"/>
                  </a:ext>
                </a:extLst>
              </xdr:cNvPr>
              <xdr:cNvSpPr/>
            </xdr:nvSpPr>
            <xdr:spPr bwMode="auto">
              <a:xfrm>
                <a:off x="15662868" y="19050"/>
                <a:ext cx="1000125" cy="161925"/>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Check CFI login</a:t>
                </a:r>
              </a:p>
            </xdr:txBody>
          </xdr:sp>
          <xdr:sp macro="" textlink="">
            <xdr:nvSpPr>
              <xdr:cNvPr id="1027" name="Button 3" hidden="1">
                <a:extLst>
                  <a:ext uri="{63B3BB69-23CF-44E3-9099-C40C66FF867C}">
                    <a14:compatExt spid="_x0000_s1027"/>
                  </a:ext>
                </a:extLst>
              </xdr:cNvPr>
              <xdr:cNvSpPr/>
            </xdr:nvSpPr>
            <xdr:spPr bwMode="auto">
              <a:xfrm>
                <a:off x="16682043" y="9525"/>
                <a:ext cx="885825" cy="161925"/>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FP open/dev</a:t>
                </a:r>
              </a:p>
            </xdr:txBody>
          </xdr:sp>
          <xdr:sp macro="" textlink="">
            <xdr:nvSpPr>
              <xdr:cNvPr id="1028" name="Button 4" hidden="1">
                <a:extLst>
                  <a:ext uri="{63B3BB69-23CF-44E3-9099-C40C66FF867C}">
                    <a14:compatExt spid="_x0000_s1028"/>
                  </a:ext>
                </a:extLst>
              </xdr:cNvPr>
              <xdr:cNvSpPr/>
            </xdr:nvSpPr>
            <xdr:spPr bwMode="auto">
              <a:xfrm>
                <a:off x="17586918" y="0"/>
                <a:ext cx="457200" cy="17145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Clear</a:t>
                </a:r>
              </a:p>
            </xdr:txBody>
          </xdr:sp>
          <xdr:sp macro="" textlink="">
            <xdr:nvSpPr>
              <xdr:cNvPr id="1029" name="Button 5" hidden="1">
                <a:extLst>
                  <a:ext uri="{63B3BB69-23CF-44E3-9099-C40C66FF867C}">
                    <a14:compatExt spid="_x0000_s1029"/>
                  </a:ext>
                </a:extLst>
              </xdr:cNvPr>
              <xdr:cNvSpPr/>
            </xdr:nvSpPr>
            <xdr:spPr bwMode="auto">
              <a:xfrm>
                <a:off x="18177468" y="19050"/>
                <a:ext cx="666750" cy="15240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UnHideCol</a:t>
                </a:r>
              </a:p>
            </xdr:txBody>
          </xdr:sp>
        </xdr:grp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152400</xdr:colOff>
      <xdr:row>0</xdr:row>
      <xdr:rowOff>0</xdr:rowOff>
    </xdr:from>
    <xdr:to>
      <xdr:col>8</xdr:col>
      <xdr:colOff>189962</xdr:colOff>
      <xdr:row>2</xdr:row>
      <xdr:rowOff>152310</xdr:rowOff>
    </xdr:to>
    <xdr:pic>
      <xdr:nvPicPr>
        <xdr:cNvPr id="2" name="Picture 1"/>
        <xdr:cNvPicPr>
          <a:picLocks noChangeAspect="1"/>
        </xdr:cNvPicPr>
      </xdr:nvPicPr>
      <xdr:blipFill>
        <a:blip xmlns:r="http://schemas.openxmlformats.org/officeDocument/2006/relationships" r:embed="rId1"/>
        <a:stretch>
          <a:fillRect/>
        </a:stretch>
      </xdr:blipFill>
      <xdr:spPr>
        <a:xfrm>
          <a:off x="3667125" y="0"/>
          <a:ext cx="4304762" cy="723810"/>
        </a:xfrm>
        <a:prstGeom prst="rect">
          <a:avLst/>
        </a:prstGeom>
      </xdr:spPr>
    </xdr:pic>
    <xdr:clientData/>
  </xdr:twoCellAnchor>
  <xdr:twoCellAnchor editAs="oneCell">
    <xdr:from>
      <xdr:col>1</xdr:col>
      <xdr:colOff>95250</xdr:colOff>
      <xdr:row>24</xdr:row>
      <xdr:rowOff>9525</xdr:rowOff>
    </xdr:from>
    <xdr:to>
      <xdr:col>7</xdr:col>
      <xdr:colOff>275745</xdr:colOff>
      <xdr:row>32</xdr:row>
      <xdr:rowOff>123596</xdr:rowOff>
    </xdr:to>
    <xdr:pic>
      <xdr:nvPicPr>
        <xdr:cNvPr id="3" name="Picture 2"/>
        <xdr:cNvPicPr>
          <a:picLocks noChangeAspect="1"/>
        </xdr:cNvPicPr>
      </xdr:nvPicPr>
      <xdr:blipFill>
        <a:blip xmlns:r="http://schemas.openxmlformats.org/officeDocument/2006/relationships" r:embed="rId2"/>
        <a:stretch>
          <a:fillRect/>
        </a:stretch>
      </xdr:blipFill>
      <xdr:spPr>
        <a:xfrm>
          <a:off x="3609975" y="5343525"/>
          <a:ext cx="3838095" cy="1828571"/>
        </a:xfrm>
        <a:prstGeom prst="rect">
          <a:avLst/>
        </a:prstGeom>
      </xdr:spPr>
    </xdr:pic>
    <xdr:clientData/>
  </xdr:twoCellAnchor>
  <xdr:twoCellAnchor editAs="oneCell">
    <xdr:from>
      <xdr:col>1</xdr:col>
      <xdr:colOff>123825</xdr:colOff>
      <xdr:row>18</xdr:row>
      <xdr:rowOff>38100</xdr:rowOff>
    </xdr:from>
    <xdr:to>
      <xdr:col>5</xdr:col>
      <xdr:colOff>380663</xdr:colOff>
      <xdr:row>23</xdr:row>
      <xdr:rowOff>190314</xdr:rowOff>
    </xdr:to>
    <xdr:pic>
      <xdr:nvPicPr>
        <xdr:cNvPr id="4" name="Picture 3"/>
        <xdr:cNvPicPr>
          <a:picLocks noChangeAspect="1"/>
        </xdr:cNvPicPr>
      </xdr:nvPicPr>
      <xdr:blipFill>
        <a:blip xmlns:r="http://schemas.openxmlformats.org/officeDocument/2006/relationships" r:embed="rId3"/>
        <a:stretch>
          <a:fillRect/>
        </a:stretch>
      </xdr:blipFill>
      <xdr:spPr>
        <a:xfrm>
          <a:off x="3638550" y="3848100"/>
          <a:ext cx="2695238" cy="1485714"/>
        </a:xfrm>
        <a:prstGeom prst="rect">
          <a:avLst/>
        </a:prstGeom>
      </xdr:spPr>
    </xdr:pic>
    <xdr:clientData/>
  </xdr:twoCellAnchor>
  <xdr:twoCellAnchor editAs="oneCell">
    <xdr:from>
      <xdr:col>1</xdr:col>
      <xdr:colOff>104775</xdr:colOff>
      <xdr:row>14</xdr:row>
      <xdr:rowOff>0</xdr:rowOff>
    </xdr:from>
    <xdr:to>
      <xdr:col>7</xdr:col>
      <xdr:colOff>351937</xdr:colOff>
      <xdr:row>16</xdr:row>
      <xdr:rowOff>152333</xdr:rowOff>
    </xdr:to>
    <xdr:pic>
      <xdr:nvPicPr>
        <xdr:cNvPr id="5" name="Picture 4"/>
        <xdr:cNvPicPr>
          <a:picLocks noChangeAspect="1"/>
        </xdr:cNvPicPr>
      </xdr:nvPicPr>
      <xdr:blipFill>
        <a:blip xmlns:r="http://schemas.openxmlformats.org/officeDocument/2006/relationships" r:embed="rId4"/>
        <a:stretch>
          <a:fillRect/>
        </a:stretch>
      </xdr:blipFill>
      <xdr:spPr>
        <a:xfrm>
          <a:off x="3619500" y="3048000"/>
          <a:ext cx="3904762" cy="533333"/>
        </a:xfrm>
        <a:prstGeom prst="rect">
          <a:avLst/>
        </a:prstGeom>
      </xdr:spPr>
    </xdr:pic>
    <xdr:clientData/>
  </xdr:twoCellAnchor>
  <xdr:twoCellAnchor editAs="oneCell">
    <xdr:from>
      <xdr:col>1</xdr:col>
      <xdr:colOff>142875</xdr:colOff>
      <xdr:row>7</xdr:row>
      <xdr:rowOff>180975</xdr:rowOff>
    </xdr:from>
    <xdr:to>
      <xdr:col>4</xdr:col>
      <xdr:colOff>285504</xdr:colOff>
      <xdr:row>13</xdr:row>
      <xdr:rowOff>171285</xdr:rowOff>
    </xdr:to>
    <xdr:pic>
      <xdr:nvPicPr>
        <xdr:cNvPr id="6" name="Picture 5"/>
        <xdr:cNvPicPr>
          <a:picLocks noChangeAspect="1"/>
        </xdr:cNvPicPr>
      </xdr:nvPicPr>
      <xdr:blipFill>
        <a:blip xmlns:r="http://schemas.openxmlformats.org/officeDocument/2006/relationships" r:embed="rId5"/>
        <a:stretch>
          <a:fillRect/>
        </a:stretch>
      </xdr:blipFill>
      <xdr:spPr>
        <a:xfrm>
          <a:off x="3657600" y="1704975"/>
          <a:ext cx="1971429" cy="1323810"/>
        </a:xfrm>
        <a:prstGeom prst="rect">
          <a:avLst/>
        </a:prstGeom>
      </xdr:spPr>
    </xdr:pic>
    <xdr:clientData/>
  </xdr:twoCellAnchor>
  <xdr:twoCellAnchor editAs="oneCell">
    <xdr:from>
      <xdr:col>1</xdr:col>
      <xdr:colOff>104775</xdr:colOff>
      <xdr:row>3</xdr:row>
      <xdr:rowOff>47625</xdr:rowOff>
    </xdr:from>
    <xdr:to>
      <xdr:col>10</xdr:col>
      <xdr:colOff>561975</xdr:colOff>
      <xdr:row>7</xdr:row>
      <xdr:rowOff>62230</xdr:rowOff>
    </xdr:to>
    <xdr:pic>
      <xdr:nvPicPr>
        <xdr:cNvPr id="7" name="Picture 6"/>
        <xdr:cNvPicPr/>
      </xdr:nvPicPr>
      <xdr:blipFill>
        <a:blip xmlns:r="http://schemas.openxmlformats.org/officeDocument/2006/relationships" r:embed="rId6"/>
        <a:stretch>
          <a:fillRect/>
        </a:stretch>
      </xdr:blipFill>
      <xdr:spPr>
        <a:xfrm>
          <a:off x="3619500" y="809625"/>
          <a:ext cx="5943600" cy="776605"/>
        </a:xfrm>
        <a:prstGeom prst="rect">
          <a:avLst/>
        </a:prstGeom>
      </xdr:spPr>
    </xdr:pic>
    <xdr:clientData/>
  </xdr:twoCellAnchor>
  <xdr:twoCellAnchor editAs="oneCell">
    <xdr:from>
      <xdr:col>1</xdr:col>
      <xdr:colOff>123825</xdr:colOff>
      <xdr:row>33</xdr:row>
      <xdr:rowOff>76200</xdr:rowOff>
    </xdr:from>
    <xdr:to>
      <xdr:col>8</xdr:col>
      <xdr:colOff>332815</xdr:colOff>
      <xdr:row>48</xdr:row>
      <xdr:rowOff>123438</xdr:rowOff>
    </xdr:to>
    <xdr:pic>
      <xdr:nvPicPr>
        <xdr:cNvPr id="8" name="Picture 7"/>
        <xdr:cNvPicPr>
          <a:picLocks noChangeAspect="1"/>
        </xdr:cNvPicPr>
      </xdr:nvPicPr>
      <xdr:blipFill>
        <a:blip xmlns:r="http://schemas.openxmlformats.org/officeDocument/2006/relationships" r:embed="rId7"/>
        <a:stretch>
          <a:fillRect/>
        </a:stretch>
      </xdr:blipFill>
      <xdr:spPr>
        <a:xfrm>
          <a:off x="3638550" y="7315200"/>
          <a:ext cx="4476190" cy="3095238"/>
        </a:xfrm>
        <a:prstGeom prst="rect">
          <a:avLst/>
        </a:prstGeom>
      </xdr:spPr>
    </xdr:pic>
    <xdr:clientData/>
  </xdr:twoCellAnchor>
  <xdr:twoCellAnchor editAs="oneCell">
    <xdr:from>
      <xdr:col>2</xdr:col>
      <xdr:colOff>0</xdr:colOff>
      <xdr:row>51</xdr:row>
      <xdr:rowOff>0</xdr:rowOff>
    </xdr:from>
    <xdr:to>
      <xdr:col>5</xdr:col>
      <xdr:colOff>95250</xdr:colOff>
      <xdr:row>56</xdr:row>
      <xdr:rowOff>76200</xdr:rowOff>
    </xdr:to>
    <xdr:pic>
      <xdr:nvPicPr>
        <xdr:cNvPr id="9" name="Picture 8"/>
        <xdr:cNvPicPr/>
      </xdr:nvPicPr>
      <xdr:blipFill>
        <a:blip xmlns:r="http://schemas.openxmlformats.org/officeDocument/2006/relationships" r:embed="rId8"/>
        <a:stretch>
          <a:fillRect/>
        </a:stretch>
      </xdr:blipFill>
      <xdr:spPr>
        <a:xfrm>
          <a:off x="4181475" y="10858500"/>
          <a:ext cx="1924050" cy="1219200"/>
        </a:xfrm>
        <a:prstGeom prst="rect">
          <a:avLst/>
        </a:prstGeom>
      </xdr:spPr>
    </xdr:pic>
    <xdr:clientData/>
  </xdr:twoCellAnchor>
  <xdr:twoCellAnchor editAs="oneCell">
    <xdr:from>
      <xdr:col>6</xdr:col>
      <xdr:colOff>0</xdr:colOff>
      <xdr:row>51</xdr:row>
      <xdr:rowOff>0</xdr:rowOff>
    </xdr:from>
    <xdr:to>
      <xdr:col>9</xdr:col>
      <xdr:colOff>114300</xdr:colOff>
      <xdr:row>56</xdr:row>
      <xdr:rowOff>85725</xdr:rowOff>
    </xdr:to>
    <xdr:pic>
      <xdr:nvPicPr>
        <xdr:cNvPr id="10" name="Picture 9"/>
        <xdr:cNvPicPr/>
      </xdr:nvPicPr>
      <xdr:blipFill>
        <a:blip xmlns:r="http://schemas.openxmlformats.org/officeDocument/2006/relationships" r:embed="rId9"/>
        <a:stretch>
          <a:fillRect/>
        </a:stretch>
      </xdr:blipFill>
      <xdr:spPr>
        <a:xfrm>
          <a:off x="6619875" y="10858500"/>
          <a:ext cx="1943100" cy="1228725"/>
        </a:xfrm>
        <a:prstGeom prst="rect">
          <a:avLst/>
        </a:prstGeom>
      </xdr:spPr>
    </xdr:pic>
    <xdr:clientData/>
  </xdr:twoCellAnchor>
  <xdr:twoCellAnchor editAs="oneCell">
    <xdr:from>
      <xdr:col>10</xdr:col>
      <xdr:colOff>0</xdr:colOff>
      <xdr:row>51</xdr:row>
      <xdr:rowOff>0</xdr:rowOff>
    </xdr:from>
    <xdr:to>
      <xdr:col>13</xdr:col>
      <xdr:colOff>66675</xdr:colOff>
      <xdr:row>56</xdr:row>
      <xdr:rowOff>114300</xdr:rowOff>
    </xdr:to>
    <xdr:pic>
      <xdr:nvPicPr>
        <xdr:cNvPr id="11" name="Picture 10"/>
        <xdr:cNvPicPr/>
      </xdr:nvPicPr>
      <xdr:blipFill>
        <a:blip xmlns:r="http://schemas.openxmlformats.org/officeDocument/2006/relationships" r:embed="rId10"/>
        <a:stretch>
          <a:fillRect/>
        </a:stretch>
      </xdr:blipFill>
      <xdr:spPr>
        <a:xfrm>
          <a:off x="9058275" y="10858500"/>
          <a:ext cx="1895475" cy="1257300"/>
        </a:xfrm>
        <a:prstGeom prst="rect">
          <a:avLst/>
        </a:prstGeom>
      </xdr:spPr>
    </xdr:pic>
    <xdr:clientData/>
  </xdr:twoCellAnchor>
  <xdr:twoCellAnchor editAs="oneCell">
    <xdr:from>
      <xdr:col>14</xdr:col>
      <xdr:colOff>0</xdr:colOff>
      <xdr:row>51</xdr:row>
      <xdr:rowOff>0</xdr:rowOff>
    </xdr:from>
    <xdr:to>
      <xdr:col>17</xdr:col>
      <xdr:colOff>76200</xdr:colOff>
      <xdr:row>56</xdr:row>
      <xdr:rowOff>104775</xdr:rowOff>
    </xdr:to>
    <xdr:pic>
      <xdr:nvPicPr>
        <xdr:cNvPr id="12" name="Picture 11"/>
        <xdr:cNvPicPr/>
      </xdr:nvPicPr>
      <xdr:blipFill>
        <a:blip xmlns:r="http://schemas.openxmlformats.org/officeDocument/2006/relationships" r:embed="rId11"/>
        <a:stretch>
          <a:fillRect/>
        </a:stretch>
      </xdr:blipFill>
      <xdr:spPr>
        <a:xfrm>
          <a:off x="11496675" y="10858500"/>
          <a:ext cx="1905000" cy="1247775"/>
        </a:xfrm>
        <a:prstGeom prst="rect">
          <a:avLst/>
        </a:prstGeom>
      </xdr:spPr>
    </xdr:pic>
    <xdr:clientData/>
  </xdr:twoCellAnchor>
</xdr:wsDr>
</file>

<file path=xl/queryTables/queryTable1.xml><?xml version="1.0" encoding="utf-8"?>
<queryTable xmlns="http://schemas.openxmlformats.org/spreadsheetml/2006/main" name="AllCFIbzQuery" backgroundRefresh="0" growShrinkType="overwriteClear" connectionId="1" autoFormatId="16" applyNumberFormats="0" applyBorderFormats="0" applyFontFormats="0" applyPatternFormats="0" applyAlignmentFormats="0" applyWidthHeightFormats="0">
  <queryTableRefresh nextId="25">
    <queryTableFields count="22">
      <queryTableField id="1" name="CfCfiNumberText" tableColumnId="1"/>
      <queryTableField id="2" name="BugID" tableColumnId="2"/>
      <queryTableField id="3" name="Summary" tableColumnId="3"/>
      <queryTableField id="4" name="AssignedTo" tableColumnId="4"/>
      <queryTableField id="5" name="Status" tableColumnId="5"/>
      <queryTableField id="6" name="Resolution" tableColumnId="6"/>
      <queryTableField id="7" name="Priority" tableColumnId="7"/>
      <queryTableField id="8" name="CfBedrock" tableColumnId="8"/>
      <queryTableField id="9" name="Severity" tableColumnId="9"/>
      <queryTableField id="10" name="CfProbability" tableColumnId="10"/>
      <queryTableField id="11" name="Product" tableColumnId="11"/>
      <queryTableField id="12" name="Component" tableColumnId="12"/>
      <queryTableField id="14" name="Keywords" tableColumnId="14"/>
      <queryTableField id="15" name="WhiteBoard" tableColumnId="15"/>
      <queryTableField id="16" name="Version" tableColumnId="16"/>
      <queryTableField id="17" name="CfVersionIntroducedIn" tableColumnId="17"/>
      <queryTableField id="18" name="CreationTime" tableColumnId="18"/>
      <queryTableField id="19" name="LastChangeTime" tableColumnId="19"/>
      <queryTableField id="20" name="Creator" tableColumnId="20"/>
      <queryTableField id="21" name="CfTargetBuild" tableColumnId="21"/>
      <queryTableField id="22" name="cfdudl" tableColumnId="22"/>
      <queryTableField id="24" name="TargetMilestone" tableColumnId="13"/>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id="1" name="Table_AllCFIbzQuery" displayName="Table_AllCFIbzQuery" ref="B1:W2090" tableType="queryTable" totalsRowShown="0" headerRowDxfId="4">
  <autoFilter ref="B1:W2090"/>
  <sortState ref="B2:W2090">
    <sortCondition descending="1" ref="C1:C2039"/>
  </sortState>
  <tableColumns count="22">
    <tableColumn id="1" uniqueName="1" name="CfCfiNumberText" queryTableFieldId="1"/>
    <tableColumn id="2" uniqueName="2" name="BugID" queryTableFieldId="2"/>
    <tableColumn id="3" uniqueName="3" name="Summary" queryTableFieldId="3"/>
    <tableColumn id="4" uniqueName="4" name="AssignedTo" queryTableFieldId="4"/>
    <tableColumn id="5" uniqueName="5" name="Status" queryTableFieldId="5"/>
    <tableColumn id="6" uniqueName="6" name="Resolution" queryTableFieldId="6"/>
    <tableColumn id="7" uniqueName="7" name="Priority" queryTableFieldId="7"/>
    <tableColumn id="8" uniqueName="8" name="CfBedrock" queryTableFieldId="8"/>
    <tableColumn id="9" uniqueName="9" name="Severity" queryTableFieldId="9"/>
    <tableColumn id="10" uniqueName="10" name="CfProbability" queryTableFieldId="10"/>
    <tableColumn id="11" uniqueName="11" name="Product" queryTableFieldId="11"/>
    <tableColumn id="12" uniqueName="12" name="Component" queryTableFieldId="12"/>
    <tableColumn id="14" uniqueName="14" name="Keywords" queryTableFieldId="14"/>
    <tableColumn id="15" uniqueName="15" name="WhiteBoard" queryTableFieldId="15"/>
    <tableColumn id="16" uniqueName="16" name="Version" queryTableFieldId="16"/>
    <tableColumn id="17" uniqueName="17" name="CfVersionIntroducedIn" queryTableFieldId="17"/>
    <tableColumn id="18" uniqueName="18" name="CreationTime" queryTableFieldId="18" dataDxfId="3"/>
    <tableColumn id="19" uniqueName="19" name="LastChangeTime" queryTableFieldId="19" dataDxfId="2"/>
    <tableColumn id="20" uniqueName="20" name="Creator" queryTableFieldId="20"/>
    <tableColumn id="21" uniqueName="21" name="CfTargetBuild" queryTableFieldId="21"/>
    <tableColumn id="22" uniqueName="22" name="cfdudl" queryTableFieldId="22" dataDxfId="1"/>
    <tableColumn id="13" uniqueName="13" name="TargetMilestone" queryTableFieldId="24"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3.xml"/><Relationship Id="rId3" Type="http://schemas.openxmlformats.org/officeDocument/2006/relationships/vmlDrawing" Target="../drawings/vmlDrawing2.vml"/><Relationship Id="rId7" Type="http://schemas.openxmlformats.org/officeDocument/2006/relationships/ctrlProp" Target="../ctrlProps/ctrlProp1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11.xml"/><Relationship Id="rId5" Type="http://schemas.openxmlformats.org/officeDocument/2006/relationships/ctrlProp" Target="../ctrlProps/ctrlProp10.xml"/><Relationship Id="rId4" Type="http://schemas.openxmlformats.org/officeDocument/2006/relationships/ctrlProp" Target="../ctrlProps/ctrlProp9.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table" Target="../tables/table1.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dimension ref="B1:T118"/>
  <sheetViews>
    <sheetView tabSelected="1" topLeftCell="A71" workbookViewId="0">
      <selection activeCell="B70" sqref="B70"/>
    </sheetView>
  </sheetViews>
  <sheetFormatPr defaultRowHeight="15" x14ac:dyDescent="0.25"/>
  <cols>
    <col min="2" max="2" width="14.85546875" customWidth="1"/>
    <col min="4" max="4" width="13.28515625" style="12" bestFit="1" customWidth="1"/>
    <col min="5" max="5" width="9.140625" style="12" customWidth="1"/>
    <col min="6" max="6" width="10.28515625" style="12" customWidth="1"/>
    <col min="7" max="7" width="9.140625" style="12"/>
    <col min="8" max="8" width="7.85546875" style="12" customWidth="1"/>
    <col min="9" max="11" width="9.140625" style="12"/>
    <col min="12" max="12" width="14.140625" style="12" bestFit="1" customWidth="1"/>
    <col min="13" max="13" width="9.140625" style="12"/>
    <col min="19" max="19" width="20.5703125" bestFit="1" customWidth="1"/>
  </cols>
  <sheetData>
    <row r="1" spans="2:20" x14ac:dyDescent="0.25">
      <c r="B1" s="2" t="s">
        <v>5080</v>
      </c>
    </row>
    <row r="2" spans="2:20" x14ac:dyDescent="0.25">
      <c r="B2" s="2" t="s">
        <v>5079</v>
      </c>
    </row>
    <row r="10" spans="2:20" x14ac:dyDescent="0.25">
      <c r="B10" s="32" t="s">
        <v>5080</v>
      </c>
      <c r="C10" s="24"/>
      <c r="D10" s="25"/>
      <c r="E10" s="25"/>
      <c r="F10" s="25"/>
      <c r="G10" s="25"/>
      <c r="H10" s="25"/>
      <c r="I10" s="25"/>
      <c r="J10" s="25"/>
      <c r="K10" s="25"/>
      <c r="L10" s="25"/>
      <c r="M10" s="25"/>
      <c r="N10" s="24"/>
      <c r="O10" s="24"/>
      <c r="P10" s="24"/>
    </row>
    <row r="11" spans="2:20" ht="30" x14ac:dyDescent="0.25">
      <c r="C11" t="s">
        <v>5007</v>
      </c>
      <c r="D11" s="13" t="s">
        <v>5009</v>
      </c>
      <c r="E11" s="14" t="s">
        <v>5010</v>
      </c>
      <c r="F11" s="13" t="s">
        <v>4991</v>
      </c>
      <c r="G11" s="13" t="s">
        <v>4992</v>
      </c>
      <c r="H11" s="14" t="s">
        <v>4993</v>
      </c>
      <c r="I11" s="14" t="s">
        <v>5006</v>
      </c>
      <c r="J11" s="14" t="s">
        <v>4994</v>
      </c>
      <c r="K11" s="14" t="s">
        <v>4995</v>
      </c>
      <c r="L11" s="14" t="s">
        <v>4996</v>
      </c>
      <c r="M11" s="14" t="s">
        <v>4997</v>
      </c>
    </row>
    <row r="12" spans="2:20" x14ac:dyDescent="0.25">
      <c r="B12" t="s">
        <v>4990</v>
      </c>
      <c r="C12">
        <f>COUNTIFS(CFIdb!$C$2:'CFIdb'!$C$2000,"*"&amp;B12)</f>
        <v>92</v>
      </c>
      <c r="D12" s="13">
        <f>SUM(F12:G12)</f>
        <v>31</v>
      </c>
      <c r="E12" s="14">
        <f>SUM(H12:M12)</f>
        <v>61</v>
      </c>
      <c r="F12" s="13">
        <f>COUNTIFS(CFIdb!$C$2:'CFIdb'!$C$2000,"*"&amp;B12,CFIdb!$R$2:'CFIdb'!$R$2000,"*"&amp;$F$11&amp;"*")</f>
        <v>19</v>
      </c>
      <c r="G12" s="13">
        <f>COUNTIFS(CFIdb!$C$2:'CFIdb'!$C$2000,"*"&amp;B12,CFIdb!$R$2:'CFIdb'!$R$2000,"*"&amp;$G$11&amp;"*")</f>
        <v>12</v>
      </c>
      <c r="H12" s="14">
        <f>COUNTIFS(CFIdb!$C$2:'CFIdb'!$C$2000,"*"&amp;B12,CFIdb!$S$2:'CFIdb'!$S$2000,"*"&amp;$H$11&amp;"*")</f>
        <v>18</v>
      </c>
      <c r="I12" s="14">
        <f>COUNTIFS(CFIdb!$C$2:'CFIdb'!$C$2000,"*"&amp;B12,CFIdb!$S$2:'CFIdb'!$S$2000,"*"&amp;$I$11&amp;"*")</f>
        <v>6</v>
      </c>
      <c r="J12" s="14">
        <f>COUNTIFS(CFIdb!$C$2:'CFIdb'!$C$2000,"*"&amp;B12,CFIdb!$S$2:'CFIdb'!$S$2000,"*"&amp;$J$11&amp;"*")</f>
        <v>0</v>
      </c>
      <c r="K12" s="14">
        <f>COUNTIFS(CFIdb!$C$2:'CFIdb'!$C$2000,"*"&amp;B12,CFIdb!$S$2:'CFIdb'!$S$2000,"*"&amp;$K$11&amp;"*")</f>
        <v>1</v>
      </c>
      <c r="L12" s="14">
        <f>COUNTIFS(CFIdb!$C$2:'CFIdb'!$C$2000,"*"&amp;B12,CFIdb!$R$2:'CFIdb'!$R$2000,"*Close*",CFIdb!$S$2:'CFIdb'!$S$2000,"")
+COUNTIFS(CFIdb!$C$2:'CFIdb'!$C$2000,"*"&amp;B12,CFIdb!$R$2:'CFIdb'!$R$2000,"*Resolve*",CFIdb!$S$2:'CFIdb'!$S$2000,"")
+COUNTIFS(CFIdb!$C$2:'CFIdb'!$C$2000,"*"&amp;B12,CFIdb!$R$2:'CFIdb'!$R$2000,"*Verified*",CFIdb!$S$2:'CFIdb'!$S$2000,"")</f>
        <v>10</v>
      </c>
      <c r="M12" s="14">
        <f>COUNTIFS(CFIdb!$C$2:'CFIdb'!$C$2000,"*"&amp;B12,CFIdb!$R$2:'CFIdb'!$R$2000,"")</f>
        <v>26</v>
      </c>
      <c r="O12" t="str">
        <f>CONCATENATE(COUNTIFS(CFIdb!$C$2:'CFIdb'!$C$2000,"*"&amp;B12),"/",SUM(F12:M12))</f>
        <v>92/92</v>
      </c>
    </row>
    <row r="13" spans="2:20" x14ac:dyDescent="0.25">
      <c r="B13" t="s">
        <v>4998</v>
      </c>
      <c r="C13">
        <f>COUNTIFS(CFIdb!$C$2:'CFIdb'!$C$2000,"*"&amp;B13)</f>
        <v>55</v>
      </c>
      <c r="D13" s="13">
        <f>SUM(F13:G13)</f>
        <v>12</v>
      </c>
      <c r="E13" s="14">
        <f>SUM(H13:M13)</f>
        <v>43</v>
      </c>
      <c r="F13" s="13">
        <f>COUNTIFS(CFIdb!$C$2:'CFIdb'!$C$2000,"*"&amp;B13,CFIdb!$R$2:'CFIdb'!$R$2000,"*"&amp;$F$11&amp;"*")</f>
        <v>10</v>
      </c>
      <c r="G13" s="13">
        <f>COUNTIFS(CFIdb!$C$2:'CFIdb'!$C$2000,"*"&amp;B13,CFIdb!$R$2:'CFIdb'!$R$2000,"*"&amp;$G$11&amp;"*")</f>
        <v>2</v>
      </c>
      <c r="H13" s="14">
        <f>COUNTIFS(CFIdb!$C$2:'CFIdb'!$C$2000,"*"&amp;B13,CFIdb!$S$2:'CFIdb'!$S$2000,"*"&amp;$H$11&amp;"*")</f>
        <v>11</v>
      </c>
      <c r="I13" s="14">
        <f>COUNTIFS(CFIdb!$C$2:'CFIdb'!$C$2000,"*"&amp;B13,CFIdb!$S$2:'CFIdb'!$S$2000,"*"&amp;$I$11&amp;"*")</f>
        <v>1</v>
      </c>
      <c r="J13" s="14">
        <f>COUNTIFS(CFIdb!$C$2:'CFIdb'!$C$2000,"*"&amp;B13,CFIdb!$S$2:'CFIdb'!$S$2000,"*"&amp;$J$11&amp;"*")</f>
        <v>0</v>
      </c>
      <c r="K13" s="14">
        <f>COUNTIFS(CFIdb!$C$2:'CFIdb'!$C$2000,"*"&amp;B13,CFIdb!$S$2:'CFIdb'!$S$2000,"*"&amp;$K$11&amp;"*")</f>
        <v>1</v>
      </c>
      <c r="L13" s="14">
        <f>COUNTIFS(CFIdb!$C$2:'CFIdb'!$C$2000,"*"&amp;B13,CFIdb!$R$2:'CFIdb'!$R$2000,"*Close*",CFIdb!$S$2:'CFIdb'!$S$2000,"")
+COUNTIFS(CFIdb!$C$2:'CFIdb'!$C$2000,"*"&amp;B13,CFIdb!$R$2:'CFIdb'!$R$2000,"*Resolve*",CFIdb!$S$2:'CFIdb'!$S$2000,"")
+COUNTIFS(CFIdb!$C$2:'CFIdb'!$C$2000,"*"&amp;B13,CFIdb!$R$2:'CFIdb'!$R$2000,"*Verified*",CFIdb!$S$2:'CFIdb'!$S$2000,"")</f>
        <v>9</v>
      </c>
      <c r="M13" s="14">
        <f>COUNTIFS(CFIdb!$C$2:'CFIdb'!$C$2000,"*"&amp;B13,CFIdb!$R$2:'CFIdb'!$R$2000,"")</f>
        <v>21</v>
      </c>
      <c r="O13" t="str">
        <f>CONCATENATE(COUNTIFS(CFIdb!$C$2:'CFIdb'!$C$2000,"*"&amp;B13),"/",SUM(F13:M13))</f>
        <v>55/55</v>
      </c>
    </row>
    <row r="14" spans="2:20" x14ac:dyDescent="0.25">
      <c r="C14">
        <f>SUM(C12:C13)</f>
        <v>147</v>
      </c>
      <c r="D14" s="13">
        <f t="shared" ref="D14:M14" si="0">SUM(D12:D13)</f>
        <v>43</v>
      </c>
      <c r="E14" s="14">
        <f t="shared" si="0"/>
        <v>104</v>
      </c>
      <c r="F14" s="13">
        <f t="shared" si="0"/>
        <v>29</v>
      </c>
      <c r="G14" s="13">
        <f t="shared" si="0"/>
        <v>14</v>
      </c>
      <c r="H14" s="14">
        <f t="shared" si="0"/>
        <v>29</v>
      </c>
      <c r="I14" s="14">
        <f t="shared" si="0"/>
        <v>7</v>
      </c>
      <c r="J14" s="14">
        <f t="shared" si="0"/>
        <v>0</v>
      </c>
      <c r="K14" s="14">
        <f t="shared" si="0"/>
        <v>2</v>
      </c>
      <c r="L14" s="14">
        <f t="shared" si="0"/>
        <v>19</v>
      </c>
      <c r="M14" s="14">
        <f t="shared" si="0"/>
        <v>47</v>
      </c>
      <c r="O14" t="str">
        <f>CONCATENATE(C14,"/",SUM(F14:M14))</f>
        <v>147/147</v>
      </c>
    </row>
    <row r="15" spans="2:20" x14ac:dyDescent="0.25">
      <c r="S15" t="s">
        <v>5062</v>
      </c>
    </row>
    <row r="16" spans="2:20" ht="33.75" customHeight="1" x14ac:dyDescent="0.25">
      <c r="C16" t="s">
        <v>5007</v>
      </c>
      <c r="D16" s="13" t="s">
        <v>5008</v>
      </c>
      <c r="E16" s="17" t="s">
        <v>640</v>
      </c>
      <c r="F16" s="17" t="s">
        <v>1360</v>
      </c>
      <c r="G16" s="18" t="s">
        <v>626</v>
      </c>
      <c r="H16" s="18" t="s">
        <v>649</v>
      </c>
      <c r="I16" s="14" t="s">
        <v>5013</v>
      </c>
      <c r="J16" s="14" t="s">
        <v>5014</v>
      </c>
      <c r="K16" s="14" t="s">
        <v>4995</v>
      </c>
      <c r="L16" s="14" t="s">
        <v>5015</v>
      </c>
      <c r="M16" s="16" t="s">
        <v>5016</v>
      </c>
      <c r="N16" s="16" t="s">
        <v>5017</v>
      </c>
      <c r="O16" s="16" t="s">
        <v>2879</v>
      </c>
      <c r="S16" t="s">
        <v>5058</v>
      </c>
      <c r="T16" t="s">
        <v>5059</v>
      </c>
    </row>
    <row r="17" spans="2:20" x14ac:dyDescent="0.25">
      <c r="B17" t="s">
        <v>4990</v>
      </c>
      <c r="C17">
        <f>COUNTIFS(CFIdb!$C$2:'CFIdb'!$C$2000,"*"&amp;B17)</f>
        <v>92</v>
      </c>
      <c r="D17" s="13">
        <f>COUNTIFS(CFIdb!$C$2:'CFIdb'!$C$2000,"*"&amp;B17,CFIdb!$O$2:'CFIdb'!$O$2000,"*"&amp;$D$16&amp;"*")</f>
        <v>63</v>
      </c>
      <c r="E17" s="17">
        <f>COUNTIFS(CFIdb!$C$2:'CFIdb'!$C$2000,"*"&amp;$B17,CFIdb!$O$2:'CFIdb'!$O$2000,"*"&amp;E$16&amp;"*")</f>
        <v>10</v>
      </c>
      <c r="F17" s="17">
        <f>COUNTIFS(CFIdb!$C$2:'CFIdb'!$C$2000,"*"&amp;$B17,CFIdb!$O$2:'CFIdb'!$O$2000,"*"&amp;F$16&amp;"*")</f>
        <v>10</v>
      </c>
      <c r="G17" s="18">
        <f>COUNTIFS(CFIdb!$C$2:'CFIdb'!$C$2000,"*"&amp;$B17,CFIdb!$O$2:'CFIdb'!$O$2000,"*"&amp;G$16&amp;"*")</f>
        <v>8</v>
      </c>
      <c r="H17" s="18">
        <f>COUNTIFS(CFIdb!$C$2:'CFIdb'!$C$2000,"*"&amp;$B17,CFIdb!$O$2:'CFIdb'!$O$2000,"*"&amp;H$16&amp;"*")</f>
        <v>1</v>
      </c>
      <c r="I17" s="14">
        <f>COUNTIFS(CFIdb!$C$2:'CFIdb'!$C$2000,"*"&amp;$B17,CFIdb!$O$2:'CFIdb'!$O$2000,"*"&amp;I$16&amp;"*")</f>
        <v>0</v>
      </c>
      <c r="J17" s="14">
        <f>COUNTIFS(CFIdb!$C$2:'CFIdb'!$C$2000,"*"&amp;$B17,CFIdb!$O$2:'CFIdb'!$O$2000,"*"&amp;J$16&amp;"*")</f>
        <v>0</v>
      </c>
      <c r="K17" s="14">
        <f>COUNTIFS(CFIdb!$C$2:'CFIdb'!$C$2000,"*"&amp;$B17,CFIdb!$O$2:'CFIdb'!$O$2000,"*"&amp;K$16&amp;"*")</f>
        <v>0</v>
      </c>
      <c r="L17" s="14">
        <f>COUNTIFS(CFIdb!$C$2:'CFIdb'!$C$2000,"*"&amp;$B17,CFIdb!$O$2:'CFIdb'!$O$2000,"*"&amp;L$16&amp;"*")</f>
        <v>0</v>
      </c>
      <c r="M17" s="16">
        <f>COUNTIFS(CFIdb!$C$2:'CFIdb'!$C$2000,"*"&amp;$B17,CFIdb!$O$2:'CFIdb'!$O$2000,"*"&amp;M$16&amp;"*")</f>
        <v>0</v>
      </c>
      <c r="N17" s="16">
        <f>COUNTIFS(CFIdb!$C$2:'CFIdb'!$C$2000,"*"&amp;$B17,CFIdb!$O$2:'CFIdb'!$O$2000,"*"&amp;N$16&amp;"*")</f>
        <v>0</v>
      </c>
      <c r="O17" s="16">
        <f>COUNTIFS(CFIdb!$C$2:'CFIdb'!$C$2000,"*"&amp;$B17,CFIdb!$O$2:'CFIdb'!$O$2000,"*"&amp;O$16&amp;"*")</f>
        <v>0</v>
      </c>
      <c r="P17" t="str">
        <f>CONCATENATE(COUNTIFS(CFIdb!$C$2:'CFIdb'!$C$2000,"*"&amp;$B17),"/",SUM(D17:O17))</f>
        <v>92/92</v>
      </c>
      <c r="S17" t="s">
        <v>5060</v>
      </c>
      <c r="T17" t="s">
        <v>5061</v>
      </c>
    </row>
    <row r="18" spans="2:20" x14ac:dyDescent="0.25">
      <c r="B18" t="s">
        <v>4998</v>
      </c>
      <c r="C18">
        <f>COUNTIFS(CFIdb!$C$2:'CFIdb'!$C$2000,"*"&amp;B18)</f>
        <v>55</v>
      </c>
      <c r="D18" s="13">
        <f>COUNTIFS(CFIdb!$C$2:'CFIdb'!$C$2000,"*"&amp;B18,CFIdb!$O$2:'CFIdb'!$O$2000,"*"&amp;$D$16&amp;"*")</f>
        <v>33</v>
      </c>
      <c r="E18" s="17">
        <f>COUNTIFS(CFIdb!$C$2:'CFIdb'!$C$2000,"*"&amp;B18,CFIdb!$O$2:'CFIdb'!$O$2000,"*"&amp;$E$16&amp;"*")</f>
        <v>11</v>
      </c>
      <c r="F18" s="17">
        <f>COUNTIFS(CFIdb!$C$2:'CFIdb'!$C$2000,"*"&amp;$B18,CFIdb!$O$2:'CFIdb'!$O$2000,"*"&amp;F$16&amp;"*")</f>
        <v>6</v>
      </c>
      <c r="G18" s="18">
        <f>COUNTIFS(CFIdb!$C$2:'CFIdb'!$C$2000,"*"&amp;$B18,CFIdb!$O$2:'CFIdb'!$O$2000,"*"&amp;G$16&amp;"*")</f>
        <v>1</v>
      </c>
      <c r="H18" s="18">
        <f>COUNTIFS(CFIdb!$C$2:'CFIdb'!$C$2000,"*"&amp;$B18,CFIdb!$O$2:'CFIdb'!$O$2000,"*"&amp;H$16&amp;"*")</f>
        <v>4</v>
      </c>
      <c r="I18" s="14">
        <f>COUNTIFS(CFIdb!$C$2:'CFIdb'!$C$2000,"*"&amp;$B18,CFIdb!$O$2:'CFIdb'!$O$2000,"*"&amp;I$16&amp;"*")</f>
        <v>0</v>
      </c>
      <c r="J18" s="14">
        <f>COUNTIFS(CFIdb!$C$2:'CFIdb'!$C$2000,"*"&amp;$B18,CFIdb!$O$2:'CFIdb'!$O$2000,"*"&amp;J$16&amp;"*")</f>
        <v>0</v>
      </c>
      <c r="K18" s="14">
        <f>COUNTIFS(CFIdb!$C$2:'CFIdb'!$C$2000,"*"&amp;$B18,CFIdb!$O$2:'CFIdb'!$O$2000,"*"&amp;K$16&amp;"*")</f>
        <v>0</v>
      </c>
      <c r="L18" s="14">
        <f>COUNTIFS(CFIdb!$C$2:'CFIdb'!$C$2000,"*"&amp;$B18,CFIdb!$O$2:'CFIdb'!$O$2000,"*"&amp;L$16&amp;"*")</f>
        <v>0</v>
      </c>
      <c r="M18" s="16">
        <f>COUNTIFS(CFIdb!$C$2:'CFIdb'!$C$2000,"*"&amp;$B18,CFIdb!$O$2:'CFIdb'!$O$2000,"*"&amp;M$16&amp;"*")</f>
        <v>0</v>
      </c>
      <c r="N18" s="16">
        <f>COUNTIFS(CFIdb!$C$2:'CFIdb'!$C$2000,"*"&amp;$B18,CFIdb!$O$2:'CFIdb'!$O$2000,"*"&amp;N$16&amp;"*")</f>
        <v>0</v>
      </c>
      <c r="O18" s="16">
        <f>COUNTIFS(CFIdb!$C$2:'CFIdb'!$C$2000,"*"&amp;$B18,CFIdb!$O$2:'CFIdb'!$O$2000,"*"&amp;O$16&amp;"*")</f>
        <v>0</v>
      </c>
      <c r="P18" t="str">
        <f>CONCATENATE(COUNTIFS(CFIdb!$C$2:'CFIdb'!$C$2000,"*"&amp;$B18),"/",SUM(D18:O18))</f>
        <v>55/55</v>
      </c>
      <c r="S18" t="s">
        <v>5063</v>
      </c>
      <c r="T18" t="s">
        <v>5064</v>
      </c>
    </row>
    <row r="19" spans="2:20" x14ac:dyDescent="0.25">
      <c r="C19">
        <f>SUM(C17:C18)</f>
        <v>147</v>
      </c>
      <c r="D19" s="13">
        <f t="shared" ref="D19:O19" si="1">SUM(D17:D18)</f>
        <v>96</v>
      </c>
      <c r="E19" s="17">
        <f t="shared" si="1"/>
        <v>21</v>
      </c>
      <c r="F19" s="17">
        <f t="shared" si="1"/>
        <v>16</v>
      </c>
      <c r="G19" s="18">
        <f t="shared" si="1"/>
        <v>9</v>
      </c>
      <c r="H19" s="18">
        <f t="shared" si="1"/>
        <v>5</v>
      </c>
      <c r="I19" s="14">
        <f t="shared" si="1"/>
        <v>0</v>
      </c>
      <c r="J19" s="14">
        <f t="shared" si="1"/>
        <v>0</v>
      </c>
      <c r="K19" s="14">
        <f t="shared" si="1"/>
        <v>0</v>
      </c>
      <c r="L19" s="14">
        <f t="shared" si="1"/>
        <v>0</v>
      </c>
      <c r="M19" s="16">
        <f t="shared" si="1"/>
        <v>0</v>
      </c>
      <c r="N19" s="16">
        <f t="shared" si="1"/>
        <v>0</v>
      </c>
      <c r="O19" s="16">
        <f t="shared" si="1"/>
        <v>0</v>
      </c>
      <c r="P19" t="str">
        <f>CONCATENATE(C19,"/",SUM(D19:O19))</f>
        <v>147/147</v>
      </c>
      <c r="S19" t="s">
        <v>5008</v>
      </c>
      <c r="T19" t="s">
        <v>5065</v>
      </c>
    </row>
    <row r="20" spans="2:20" x14ac:dyDescent="0.25">
      <c r="S20" t="s">
        <v>5066</v>
      </c>
      <c r="T20" t="s">
        <v>5067</v>
      </c>
    </row>
    <row r="21" spans="2:20" ht="30" x14ac:dyDescent="0.25">
      <c r="D21" s="13" t="s">
        <v>5009</v>
      </c>
      <c r="E21" s="14" t="s">
        <v>5010</v>
      </c>
      <c r="F21" s="13" t="s">
        <v>4991</v>
      </c>
      <c r="G21" s="13" t="s">
        <v>4992</v>
      </c>
      <c r="H21" s="14" t="s">
        <v>4993</v>
      </c>
      <c r="I21" s="14" t="s">
        <v>5006</v>
      </c>
      <c r="J21" s="14" t="s">
        <v>4994</v>
      </c>
      <c r="K21" s="14" t="s">
        <v>4995</v>
      </c>
      <c r="L21" s="14" t="s">
        <v>4996</v>
      </c>
      <c r="M21" s="14" t="s">
        <v>4997</v>
      </c>
      <c r="N21" s="15" t="s">
        <v>5011</v>
      </c>
      <c r="S21" t="s">
        <v>5013</v>
      </c>
      <c r="T21" t="s">
        <v>5068</v>
      </c>
    </row>
    <row r="22" spans="2:20" x14ac:dyDescent="0.25">
      <c r="B22" s="12" t="str">
        <f>D$16</f>
        <v>Development</v>
      </c>
      <c r="C22">
        <f>COUNTIFS(CFIdb!$O$2:'CFIdb'!$O$2000,"*"&amp;B22,CFIdb!$C$2:'CFIdb'!$C$2000,"*Emerging")
+COUNTIFS(CFIdb!$O$2:'CFIdb'!$O$2000,"*"&amp;B22,CFIdb!$C$2:'CFIdb'!$C$2000,"*Open*")</f>
        <v>96</v>
      </c>
      <c r="D22" s="13">
        <f>SUM(F22:G22)</f>
        <v>38</v>
      </c>
      <c r="E22" s="14">
        <f>SUM(H22:N22)</f>
        <v>58</v>
      </c>
      <c r="F22" s="13">
        <f>COUNTIFS(CFIdb!$O$2:'CFIdb'!$O$2000,"*"&amp;$B22,CFIdb!$C$2:'CFIdb'!$C$2000,"*Emerging",CFIdb!$R$2:'CFIdb'!$R$2000,"*"&amp;$F$21&amp;"*")+COUNTIFS(CFIdb!$O$2:'CFIdb'!$O$2000,"*"&amp;$B22,CFIdb!$C$2:'CFIdb'!$C$2000,"*Open*",CFIdb!$R$2:'CFIdb'!$R$2000,"*"&amp;$F$21&amp;"*")</f>
        <v>25</v>
      </c>
      <c r="G22" s="13">
        <f>COUNTIFS(CFIdb!$O$2:'CFIdb'!$O$2000,"*"&amp;B22,CFIdb!$C$2:'CFIdb'!$C$2000,"*Emerging",CFIdb!$R$2:'CFIdb'!$R$2000,"*"&amp;$G$21&amp;"*")+COUNTIFS(CFIdb!$O$2:'CFIdb'!$O$2000,"*"&amp;B22,CFIdb!$C$2:'CFIdb'!$C$2000,"*Open*",CFIdb!$R$2:'CFIdb'!$R$2000,"*"&amp;$G$21&amp;"*")</f>
        <v>13</v>
      </c>
      <c r="H22" s="14">
        <f>COUNTIFS(CFIdb!$O$2:'CFIdb'!$O$2000,"*"&amp;B22,CFIdb!$C$2:'CFIdb'!$C$2000,"*Emerging",CFIdb!$S$2:'CFIdb'!$S$2000,"*"&amp;$H$21&amp;"*")+COUNTIFS(CFIdb!$O$2:'CFIdb'!$O$2000,"*"&amp;B22,CFIdb!$C$2:'CFIdb'!$C$2000,"*Open*",CFIdb!$S$2:'CFIdb'!$S$2000,"*"&amp;$H$21&amp;"*")</f>
        <v>3</v>
      </c>
      <c r="I22" s="14">
        <f>COUNTIFS(CFIdb!$O$2:'CFIdb'!$O$2000,"*"&amp;B22,CFIdb!$C$2:'CFIdb'!$C$2000,"*Emerging",CFIdb!$S$2:'CFIdb'!$S$2000,"*"&amp;$I$21&amp;"*")+COUNTIFS(CFIdb!$O$2:'CFIdb'!$O$2000,"*"&amp;B22,CFIdb!$C$2:'CFIdb'!$C$2000,"*Open*",CFIdb!$S$2:'CFIdb'!$S$2000,"*"&amp;$I$21&amp;"*")</f>
        <v>6</v>
      </c>
      <c r="J22" s="14">
        <f>COUNTIFS(CFIdb!$O$2:'CFIdb'!$O$2000,"*"&amp;$B22,CFIdb!$C$2:'CFIdb'!$C$2000,"*Emerging",CFIdb!$S$2:'CFIdb'!$S$2000,"*"&amp;$J$21&amp;"*")+COUNTIFS(CFIdb!$O$2:'CFIdb'!$O$2000,"*"&amp;$B22,CFIdb!$C$2:'CFIdb'!$C$2000,"*Open*",CFIdb!$S$2:'CFIdb'!$S$2000,"*"&amp;$J$21&amp;"*")</f>
        <v>0</v>
      </c>
      <c r="K22" s="14">
        <f>COUNTIFS(CFIdb!$O$2:'CFIdb'!$O$2000,"*"&amp;$B22,CFIdb!$C$2:'CFIdb'!$C$2000,"*Emerging",CFIdb!$S$2:'CFIdb'!$S$2000,"*"&amp;$K$21&amp;"*")+COUNTIFS(CFIdb!$O$2:'CFIdb'!$O$2000,"*"&amp;$B22,CFIdb!$C$2:'CFIdb'!$C$2000,"*Open*",CFIdb!$S$2:'CFIdb'!$S$2000,"*"&amp;$K$21&amp;"*")</f>
        <v>2</v>
      </c>
      <c r="L22" s="14">
        <f>COUNTIFS(CFIdb!$O$2:'CFIdb'!$O$2000,"*"&amp;$B22,CFIdb!$C$2:'CFIdb'!$C$2000,"*Emerging",CFIdb!$R$2:'CFIdb'!$R$2000,"*Close*",CFIdb!$S$2:'CFIdb'!$S$2000,"")
+COUNTIFS(CFIdb!$O$2:'CFIdb'!$O$2000,"*"&amp;$B22,CFIdb!$C$2:'CFIdb'!$C$2000,"*Open*",CFIdb!$R$2:'CFIdb'!$R$2000,"*Resolve*",CFIdb!$S$2:'CFIdb'!$S$2000,"")
+COUNTIFS(CFIdb!$O$2:'CFIdb'!$O$2000,"*"&amp;$B22,CFIdb!$C$2:'CFIdb'!$C$2000,"*Open*",CFIdb!$R$2:'CFIdb'!$R$2000,"*Verified*",CFIdb!$S$2:'CFIdb'!$S$2000,"")
+COUNTIFS(CFIdb!$O$2:'CFIdb'!$O$2000,"*"&amp;$B22,CFIdb!$C$2:'CFIdb'!$C$2000,"*Open*",CFIdb!$R$2:'CFIdb'!$R$2000,"*Close*",CFIdb!$S$2:'CFIdb'!$S$2000,"")
+COUNTIFS(CFIdb!$O$2:'CFIdb'!$O$2000,"*"&amp;$B22,CFIdb!$C$2:'CFIdb'!$C$2000,"*Emerging",CFIdb!$R$2:'CFIdb'!$R$2000,"*Resolve*",CFIdb!$S$2:'CFIdb'!$S$2000,"")
+COUNTIFS(CFIdb!$O$2:'CFIdb'!$O$2000,"*"&amp;$B22,CFIdb!$C$2:'CFIdb'!$C$2000,"*Emerging",CFIdb!$R$2:'CFIdb'!$R$2000,"*Verified*",CFIdb!$S$2:'CFIdb'!$S$2000,"")</f>
        <v>13</v>
      </c>
      <c r="M22" s="14">
        <f>COUNTIFS(CFIdb!$O$2:'CFIdb'!$O$2000,"*"&amp;$B22,CFIdb!$C$2:'CFIdb'!$C$2000,"*Emerging",CFIdb!$R$2:'CFIdb'!$R$2000,"")+COUNTIFS(CFIdb!$O$2:'CFIdb'!$O$2000,"*"&amp;$B22,CFIdb!$C$2:'CFIdb'!$C$2000,"*Open*",CFIdb!$R$2:'CFIdb'!$R$2000,"")</f>
        <v>34</v>
      </c>
      <c r="N22" s="14">
        <f>COUNTIFS(CFIdb!$O$2:'CFIdb'!$O$2000,"*"&amp;$B22,CFIdb!$C$2:'CFIdb'!$C$2000,"*Emerging",CFIdb!$S$2:'CFIdb'!$S$2000,"*"&amp;$N$21&amp;"*")+COUNTIFS(CFIdb!$O$2:'CFIdb'!$O$2000,"*"&amp;$B22,CFIdb!$C$2:'CFIdb'!$C$2000,"*Open*",CFIdb!$S$2:'CFIdb'!$S$2000,"*"&amp;$N$21&amp;"*")</f>
        <v>0</v>
      </c>
      <c r="O22" t="str">
        <f>CONCATENATE((COUNTIFS(CFIdb!$O$2:'CFIdb'!$O$2000,"*"&amp;B22,CFIdb!$C$2:'CFIdb'!$C$2000,"*Emerging")+COUNTIFS(CFIdb!$O$2:'CFIdb'!$O$2000,"*"&amp;B22,CFIdb!$C$2:'CFIdb'!$C$2000,"*Open*")),"/",SUM(F22:N22))</f>
        <v>96/96</v>
      </c>
      <c r="S22" t="s">
        <v>5014</v>
      </c>
      <c r="T22" t="s">
        <v>5069</v>
      </c>
    </row>
    <row r="23" spans="2:20" ht="30" x14ac:dyDescent="0.25">
      <c r="B23" s="12" t="str">
        <f>E$16</f>
        <v xml:space="preserve"> Awaiting Release</v>
      </c>
      <c r="C23">
        <f>COUNTIFS(CFIdb!$O$2:'CFIdb'!$O$2000,"*"&amp;B23,CFIdb!$C$2:'CFIdb'!$C$2000,"*Emerging")
+COUNTIFS(CFIdb!$O$2:'CFIdb'!$O$2000,"*"&amp;B23,CFIdb!$C$2:'CFIdb'!$C$2000,"*Open*")</f>
        <v>21</v>
      </c>
      <c r="D23" s="13">
        <f t="shared" ref="D23:D26" si="2">SUM(F23:G23)</f>
        <v>0</v>
      </c>
      <c r="E23" s="14">
        <f t="shared" ref="E23:E27" si="3">SUM(H23:N23)</f>
        <v>21</v>
      </c>
      <c r="F23" s="13">
        <f>COUNTIFS(CFIdb!$O$2:'CFIdb'!$O$2000,"*"&amp;B23,CFIdb!$C$2:'CFIdb'!$C$2000,"*Emerging",CFIdb!$R$2:'CFIdb'!$R$2000,"*"&amp;$F$21&amp;"*")+COUNTIFS(CFIdb!$O$2:'CFIdb'!$O$2000,"*"&amp;B23,CFIdb!$C$2:'CFIdb'!$C$2000,"*Open*",CFIdb!$R$2:'CFIdb'!$R$2000,"*"&amp;$F$21&amp;"*")</f>
        <v>0</v>
      </c>
      <c r="G23" s="13">
        <f>COUNTIFS(CFIdb!$O$2:'CFIdb'!$O$2000,"*"&amp;B23,CFIdb!$C$2:'CFIdb'!$C$2000,"*Emerging",CFIdb!$R$2:'CFIdb'!$R$2000,"*"&amp;$G$21&amp;"*")+COUNTIFS(CFIdb!$O$2:'CFIdb'!$O$2000,"*"&amp;B23,CFIdb!$C$2:'CFIdb'!$C$2000,"*Open*",CFIdb!$R$2:'CFIdb'!$R$2000,"*"&amp;$G$21&amp;"*")</f>
        <v>0</v>
      </c>
      <c r="H23" s="14">
        <f>COUNTIFS(CFIdb!$O$2:'CFIdb'!$O$2000,"*"&amp;B23,CFIdb!$C$2:'CFIdb'!$C$2000,"*Emerging",CFIdb!$S$2:'CFIdb'!$S$2000,"*"&amp;$H$21&amp;"*")+COUNTIFS(CFIdb!$O$2:'CFIdb'!$O$2000,"*"&amp;B23,CFIdb!$C$2:'CFIdb'!$C$2000,"*Open*",CFIdb!$S$2:'CFIdb'!$S$2000,"*"&amp;$H$21&amp;"*")</f>
        <v>16</v>
      </c>
      <c r="I23" s="14">
        <f>COUNTIFS(CFIdb!$O$2:'CFIdb'!$O$2000,"*"&amp;B23,CFIdb!$C$2:'CFIdb'!$C$2000,"*Emerging",CFIdb!$S$2:'CFIdb'!$S$2000,"*"&amp;$I$21&amp;"*")+COUNTIFS(CFIdb!$O$2:'CFIdb'!$O$2000,"*"&amp;B23,CFIdb!$C$2:'CFIdb'!$C$2000,"*Open*",CFIdb!$S$2:'CFIdb'!$S$2000,"*"&amp;$I$21&amp;"*")</f>
        <v>0</v>
      </c>
      <c r="J23" s="14">
        <f>COUNTIFS(CFIdb!$O$2:'CFIdb'!$O$2000,"*"&amp;$B23,CFIdb!$C$2:'CFIdb'!$C$2000,"*Emerging",CFIdb!$S$2:'CFIdb'!$S$2000,"*"&amp;$J$21&amp;"*")+COUNTIFS(CFIdb!$O$2:'CFIdb'!$O$2000,"*"&amp;$B23,CFIdb!$C$2:'CFIdb'!$C$2000,"*Open*",CFIdb!$S$2:'CFIdb'!$S$2000,"*"&amp;$J$21&amp;"*")</f>
        <v>0</v>
      </c>
      <c r="K23" s="14">
        <f>COUNTIFS(CFIdb!$O$2:'CFIdb'!$O$2000,"*"&amp;$B23,CFIdb!$C$2:'CFIdb'!$C$2000,"*Emerging",CFIdb!$S$2:'CFIdb'!$S$2000,"*"&amp;$K$21&amp;"*")+COUNTIFS(CFIdb!$O$2:'CFIdb'!$O$2000,"*"&amp;$B23,CFIdb!$C$2:'CFIdb'!$C$2000,"*Open*",CFIdb!$S$2:'CFIdb'!$S$2000,"*"&amp;$K$21&amp;"*")</f>
        <v>0</v>
      </c>
      <c r="L23" s="14">
        <f>COUNTIFS(CFIdb!$O$2:'CFIdb'!$O$2000,"*"&amp;$B23,CFIdb!$C$2:'CFIdb'!$C$2000,"*Emerging",CFIdb!$R$2:'CFIdb'!$R$2000,"*Close*",CFIdb!$S$2:'CFIdb'!$S$2000,"")
+COUNTIFS(CFIdb!$O$2:'CFIdb'!$O$2000,"*"&amp;$B23,CFIdb!$C$2:'CFIdb'!$C$2000,"*Open*",CFIdb!$R$2:'CFIdb'!$R$2000,"*Resolve*",CFIdb!$S$2:'CFIdb'!$S$2000,"")
+COUNTIFS(CFIdb!$O$2:'CFIdb'!$O$2000,"*"&amp;$B23,CFIdb!$C$2:'CFIdb'!$C$2000,"*Open*",CFIdb!$R$2:'CFIdb'!$R$2000,"*Verified*",CFIdb!$S$2:'CFIdb'!$S$2000,"")
+COUNTIFS(CFIdb!$O$2:'CFIdb'!$O$2000,"*"&amp;$B23,CFIdb!$C$2:'CFIdb'!$C$2000,"*Open*",CFIdb!$R$2:'CFIdb'!$R$2000,"*Close*",CFIdb!$S$2:'CFIdb'!$S$2000,"")
+COUNTIFS(CFIdb!$O$2:'CFIdb'!$O$2000,"*"&amp;$B23,CFIdb!$C$2:'CFIdb'!$C$2000,"*Emerging",CFIdb!$R$2:'CFIdb'!$R$2000,"*Resolve*",CFIdb!$S$2:'CFIdb'!$S$2000,"")
+COUNTIFS(CFIdb!$O$2:'CFIdb'!$O$2000,"*"&amp;$B23,CFIdb!$C$2:'CFIdb'!$C$2000,"*Emerging",CFIdb!$R$2:'CFIdb'!$R$2000,"*Verified*",CFIdb!$S$2:'CFIdb'!$S$2000,"")</f>
        <v>2</v>
      </c>
      <c r="M23" s="14">
        <f>COUNTIFS(CFIdb!$O$2:'CFIdb'!$O$2000,"*"&amp;$B23,CFIdb!$C$2:'CFIdb'!$C$2000,"*Emerging",CFIdb!$R$2:'CFIdb'!$R$2000,"")+COUNTIFS(CFIdb!$O$2:'CFIdb'!$O$2000,"*"&amp;$B23,CFIdb!$C$2:'CFIdb'!$C$2000,"*Open*",CFIdb!$R$2:'CFIdb'!$R$2000,"")</f>
        <v>3</v>
      </c>
      <c r="N23" s="14">
        <f>COUNTIFS(CFIdb!$O$2:'CFIdb'!$O$2000,"*"&amp;$B23,CFIdb!$C$2:'CFIdb'!$C$2000,"*Emerging",CFIdb!$S$2:'CFIdb'!$S$2000,"*"&amp;$N$21&amp;"*")+COUNTIFS(CFIdb!$O$2:'CFIdb'!$O$2000,"*"&amp;$B23,CFIdb!$C$2:'CFIdb'!$C$2000,"*Open*",CFIdb!$S$2:'CFIdb'!$S$2000,"*"&amp;$N$21&amp;"*")</f>
        <v>0</v>
      </c>
      <c r="O23" t="str">
        <f>CONCATENATE((COUNTIFS(CFIdb!$O$2:'CFIdb'!$O$2000,"*"&amp;B23,CFIdb!$C$2:'CFIdb'!$C$2000,"*Emerging")+COUNTIFS(CFIdb!$O$2:'CFIdb'!$O$2000,"*"&amp;B23,CFIdb!$C$2:'CFIdb'!$C$2000,"*Open*")),"/",SUM(F23:N23))</f>
        <v>21/21</v>
      </c>
      <c r="S23" t="s">
        <v>5070</v>
      </c>
      <c r="T23" t="s">
        <v>5071</v>
      </c>
    </row>
    <row r="24" spans="2:20" ht="30" x14ac:dyDescent="0.25">
      <c r="B24" s="12" t="str">
        <f>F$16</f>
        <v xml:space="preserve"> Awaiting Decision</v>
      </c>
      <c r="C24">
        <f>COUNTIFS(CFIdb!$O$2:'CFIdb'!$O$2000,"*"&amp;B24,CFIdb!$C$2:'CFIdb'!$C$2000,"*Emerging")
+COUNTIFS(CFIdb!$O$2:'CFIdb'!$O$2000,"*"&amp;B24,CFIdb!$C$2:'CFIdb'!$C$2000,"*Open*")</f>
        <v>16</v>
      </c>
      <c r="D24" s="13">
        <f t="shared" si="2"/>
        <v>2</v>
      </c>
      <c r="E24" s="14">
        <f t="shared" si="3"/>
        <v>14</v>
      </c>
      <c r="F24" s="13">
        <f>COUNTIFS(CFIdb!$O$2:'CFIdb'!$O$2000,"*"&amp;B24,CFIdb!$C$2:'CFIdb'!$C$2000,"*Emerging",CFIdb!$R$2:'CFIdb'!$R$2000,"*"&amp;$F$21&amp;"*")+COUNTIFS(CFIdb!$O$2:'CFIdb'!$O$2000,"*"&amp;B24,CFIdb!$C$2:'CFIdb'!$C$2000,"*Open*",CFIdb!$R$2:'CFIdb'!$R$2000,"*"&amp;$F$21&amp;"*")</f>
        <v>1</v>
      </c>
      <c r="G24" s="13">
        <f>COUNTIFS(CFIdb!$O$2:'CFIdb'!$O$2000,"*"&amp;B24,CFIdb!$C$2:'CFIdb'!$C$2000,"*Emerging",CFIdb!$R$2:'CFIdb'!$R$2000,"*"&amp;$G$21&amp;"*")+COUNTIFS(CFIdb!$O$2:'CFIdb'!$O$2000,"*"&amp;B24,CFIdb!$C$2:'CFIdb'!$C$2000,"*Open*",CFIdb!$R$2:'CFIdb'!$R$2000,"*"&amp;$G$21&amp;"*")</f>
        <v>1</v>
      </c>
      <c r="H24" s="14">
        <f>COUNTIFS(CFIdb!$O$2:'CFIdb'!$O$2000,"*"&amp;B24,CFIdb!$C$2:'CFIdb'!$C$2000,"*Emerging",CFIdb!$S$2:'CFIdb'!$S$2000,"*"&amp;$H$21&amp;"*")+COUNTIFS(CFIdb!$O$2:'CFIdb'!$O$2000,"*"&amp;B24,CFIdb!$C$2:'CFIdb'!$C$2000,"*Open*",CFIdb!$S$2:'CFIdb'!$S$2000,"*"&amp;$H$21&amp;"*")</f>
        <v>10</v>
      </c>
      <c r="I24" s="14">
        <f>COUNTIFS(CFIdb!$O$2:'CFIdb'!$O$2000,"*"&amp;B24,CFIdb!$C$2:'CFIdb'!$C$2000,"*Emerging",CFIdb!$S$2:'CFIdb'!$S$2000,"*"&amp;$I$21&amp;"*")+COUNTIFS(CFIdb!$O$2:'CFIdb'!$O$2000,"*"&amp;B24,CFIdb!$C$2:'CFIdb'!$C$2000,"*Open*",CFIdb!$S$2:'CFIdb'!$S$2000,"*"&amp;$I$21&amp;"*")</f>
        <v>1</v>
      </c>
      <c r="J24" s="14">
        <f>COUNTIFS(CFIdb!$O$2:'CFIdb'!$O$2000,"*"&amp;$B24,CFIdb!$C$2:'CFIdb'!$C$2000,"*Emerging",CFIdb!$S$2:'CFIdb'!$S$2000,"*"&amp;$J$21&amp;"*")+COUNTIFS(CFIdb!$O$2:'CFIdb'!$O$2000,"*"&amp;$B24,CFIdb!$C$2:'CFIdb'!$C$2000,"*Open*",CFIdb!$S$2:'CFIdb'!$S$2000,"*"&amp;$J$21&amp;"*")</f>
        <v>0</v>
      </c>
      <c r="K24" s="14">
        <f>COUNTIFS(CFIdb!$O$2:'CFIdb'!$O$2000,"*"&amp;$B24,CFIdb!$C$2:'CFIdb'!$C$2000,"*Emerging",CFIdb!$S$2:'CFIdb'!$S$2000,"*"&amp;$K$21&amp;"*")+COUNTIFS(CFIdb!$O$2:'CFIdb'!$O$2000,"*"&amp;$B24,CFIdb!$C$2:'CFIdb'!$C$2000,"*Open*",CFIdb!$S$2:'CFIdb'!$S$2000,"*"&amp;$K$21&amp;"*")</f>
        <v>0</v>
      </c>
      <c r="L24" s="14">
        <f>COUNTIFS(CFIdb!$O$2:'CFIdb'!$O$2000,"*"&amp;$B24,CFIdb!$C$2:'CFIdb'!$C$2000,"*Emerging",CFIdb!$R$2:'CFIdb'!$R$2000,"*Close*",CFIdb!$S$2:'CFIdb'!$S$2000,"")
+COUNTIFS(CFIdb!$O$2:'CFIdb'!$O$2000,"*"&amp;$B24,CFIdb!$C$2:'CFIdb'!$C$2000,"*Open*",CFIdb!$R$2:'CFIdb'!$R$2000,"*Resolve*",CFIdb!$S$2:'CFIdb'!$S$2000,"")
+COUNTIFS(CFIdb!$O$2:'CFIdb'!$O$2000,"*"&amp;$B24,CFIdb!$C$2:'CFIdb'!$C$2000,"*Open*",CFIdb!$R$2:'CFIdb'!$R$2000,"*Verified*",CFIdb!$S$2:'CFIdb'!$S$2000,"")
+COUNTIFS(CFIdb!$O$2:'CFIdb'!$O$2000,"*"&amp;$B24,CFIdb!$C$2:'CFIdb'!$C$2000,"*Open*",CFIdb!$R$2:'CFIdb'!$R$2000,"*Close*",CFIdb!$S$2:'CFIdb'!$S$2000,"")
+COUNTIFS(CFIdb!$O$2:'CFIdb'!$O$2000,"*"&amp;$B24,CFIdb!$C$2:'CFIdb'!$C$2000,"*Emerging",CFIdb!$R$2:'CFIdb'!$R$2000,"*Resolve*",CFIdb!$S$2:'CFIdb'!$S$2000,"")
+COUNTIFS(CFIdb!$O$2:'CFIdb'!$O$2000,"*"&amp;$B24,CFIdb!$C$2:'CFIdb'!$C$2000,"*Emerging",CFIdb!$R$2:'CFIdb'!$R$2000,"*Verified*",CFIdb!$S$2:'CFIdb'!$S$2000,"")</f>
        <v>2</v>
      </c>
      <c r="M24" s="14">
        <f>COUNTIFS(CFIdb!$O$2:'CFIdb'!$O$2000,"*"&amp;$B24,CFIdb!$C$2:'CFIdb'!$C$2000,"*Emerging",CFIdb!$R$2:'CFIdb'!$R$2000,"")+COUNTIFS(CFIdb!$O$2:'CFIdb'!$O$2000,"*"&amp;$B24,CFIdb!$C$2:'CFIdb'!$C$2000,"*Open*",CFIdb!$R$2:'CFIdb'!$R$2000,"")</f>
        <v>1</v>
      </c>
      <c r="N24" s="14">
        <f>COUNTIFS(CFIdb!$O$2:'CFIdb'!$O$2000,"*"&amp;$B24,CFIdb!$C$2:'CFIdb'!$C$2000,"*Emerging",CFIdb!$S$2:'CFIdb'!$S$2000,"*"&amp;$N$21&amp;"*")+COUNTIFS(CFIdb!$O$2:'CFIdb'!$O$2000,"*"&amp;$B24,CFIdb!$C$2:'CFIdb'!$C$2000,"*Open*",CFIdb!$S$2:'CFIdb'!$S$2000,"*"&amp;$N$21&amp;"*")</f>
        <v>0</v>
      </c>
      <c r="O24" t="str">
        <f>CONCATENATE((COUNTIFS(CFIdb!$O$2:'CFIdb'!$O$2000,"*"&amp;B24,CFIdb!$C$2:'CFIdb'!$C$2000,"*Emerging")+COUNTIFS(CFIdb!$O$2:'CFIdb'!$O$2000,"*"&amp;B24,CFIdb!$C$2:'CFIdb'!$C$2000,"*Open*")),"/",SUM(F24:N24))</f>
        <v>16/16</v>
      </c>
      <c r="S24" t="s">
        <v>2879</v>
      </c>
      <c r="T24" t="s">
        <v>5072</v>
      </c>
    </row>
    <row r="25" spans="2:20" x14ac:dyDescent="0.25">
      <c r="B25" s="12" t="str">
        <f>G$16</f>
        <v xml:space="preserve"> Lab Review</v>
      </c>
      <c r="C25">
        <f>COUNTIFS(CFIdb!$O$2:'CFIdb'!$O$2000,"*"&amp;B25,CFIdb!$C$2:'CFIdb'!$C$2000,"*Emerging")
+COUNTIFS(CFIdb!$O$2:'CFIdb'!$O$2000,"*"&amp;B25,CFIdb!$C$2:'CFIdb'!$C$2000,"*Open*")</f>
        <v>9</v>
      </c>
      <c r="D25" s="13">
        <f t="shared" si="2"/>
        <v>3</v>
      </c>
      <c r="E25" s="14">
        <f t="shared" si="3"/>
        <v>6</v>
      </c>
      <c r="F25" s="13">
        <f>COUNTIFS(CFIdb!$O$2:'CFIdb'!$O$2000,"*"&amp;B25,CFIdb!$C$2:'CFIdb'!$C$2000,"*Emerging",CFIdb!$R$2:'CFIdb'!$R$2000,"*"&amp;$F$21&amp;"*")+COUNTIFS(CFIdb!$O$2:'CFIdb'!$O$2000,"*"&amp;B25,CFIdb!$C$2:'CFIdb'!$C$2000,"*Open*",CFIdb!$R$2:'CFIdb'!$R$2000,"*"&amp;$F$21&amp;"*")</f>
        <v>3</v>
      </c>
      <c r="G25" s="13">
        <f>COUNTIFS(CFIdb!$O$2:'CFIdb'!$O$2000,"*"&amp;B25,CFIdb!$C$2:'CFIdb'!$C$2000,"*Emerging",CFIdb!$R$2:'CFIdb'!$R$2000,"*"&amp;$G$21&amp;"*")+COUNTIFS(CFIdb!$O$2:'CFIdb'!$O$2000,"*"&amp;B25,CFIdb!$C$2:'CFIdb'!$C$2000,"*Open*",CFIdb!$R$2:'CFIdb'!$R$2000,"*"&amp;$G$21&amp;"*")</f>
        <v>0</v>
      </c>
      <c r="H25" s="14">
        <f>COUNTIFS(CFIdb!$O$2:'CFIdb'!$O$2000,"*"&amp;B25,CFIdb!$C$2:'CFIdb'!$C$2000,"*Emerging",CFIdb!$S$2:'CFIdb'!$S$2000,"*"&amp;$H$21&amp;"*")+COUNTIFS(CFIdb!$O$2:'CFIdb'!$O$2000,"*"&amp;B25,CFIdb!$C$2:'CFIdb'!$C$2000,"*Open*",CFIdb!$S$2:'CFIdb'!$S$2000,"*"&amp;$H$21&amp;"*")</f>
        <v>0</v>
      </c>
      <c r="I25" s="14">
        <f>COUNTIFS(CFIdb!$O$2:'CFIdb'!$O$2000,"*"&amp;B25,CFIdb!$C$2:'CFIdb'!$C$2000,"*Emerging",CFIdb!$S$2:'CFIdb'!$S$2000,"*"&amp;$I$21&amp;"*")+COUNTIFS(CFIdb!$O$2:'CFIdb'!$O$2000,"*"&amp;B25,CFIdb!$C$2:'CFIdb'!$C$2000,"*Open*",CFIdb!$S$2:'CFIdb'!$S$2000,"*"&amp;$I$21&amp;"*")</f>
        <v>0</v>
      </c>
      <c r="J25" s="14">
        <f>COUNTIFS(CFIdb!$O$2:'CFIdb'!$O$2000,"*"&amp;$B25,CFIdb!$C$2:'CFIdb'!$C$2000,"*Emerging",CFIdb!$S$2:'CFIdb'!$S$2000,"*"&amp;$J$21&amp;"*")+COUNTIFS(CFIdb!$O$2:'CFIdb'!$O$2000,"*"&amp;$B25,CFIdb!$C$2:'CFIdb'!$C$2000,"*Open*",CFIdb!$S$2:'CFIdb'!$S$2000,"*"&amp;$J$21&amp;"*")</f>
        <v>0</v>
      </c>
      <c r="K25" s="14">
        <f>COUNTIFS(CFIdb!$O$2:'CFIdb'!$O$2000,"*"&amp;$B25,CFIdb!$C$2:'CFIdb'!$C$2000,"*Emerging",CFIdb!$S$2:'CFIdb'!$S$2000,"*"&amp;$K$21&amp;"*")+COUNTIFS(CFIdb!$O$2:'CFIdb'!$O$2000,"*"&amp;$B25,CFIdb!$C$2:'CFIdb'!$C$2000,"*Open*",CFIdb!$S$2:'CFIdb'!$S$2000,"*"&amp;$K$21&amp;"*")</f>
        <v>0</v>
      </c>
      <c r="L25" s="14">
        <f>COUNTIFS(CFIdb!$O$2:'CFIdb'!$O$2000,"*"&amp;$B25,CFIdb!$C$2:'CFIdb'!$C$2000,"*Emerging",CFIdb!$R$2:'CFIdb'!$R$2000,"*Close*",CFIdb!$S$2:'CFIdb'!$S$2000,"")
+COUNTIFS(CFIdb!$O$2:'CFIdb'!$O$2000,"*"&amp;$B25,CFIdb!$C$2:'CFIdb'!$C$2000,"*Open*",CFIdb!$R$2:'CFIdb'!$R$2000,"*Resolve*",CFIdb!$S$2:'CFIdb'!$S$2000,"")
+COUNTIFS(CFIdb!$O$2:'CFIdb'!$O$2000,"*"&amp;$B25,CFIdb!$C$2:'CFIdb'!$C$2000,"*Open*",CFIdb!$R$2:'CFIdb'!$R$2000,"*Verified*",CFIdb!$S$2:'CFIdb'!$S$2000,"")
+COUNTIFS(CFIdb!$O$2:'CFIdb'!$O$2000,"*"&amp;$B25,CFIdb!$C$2:'CFIdb'!$C$2000,"*Open*",CFIdb!$R$2:'CFIdb'!$R$2000,"*Close*",CFIdb!$S$2:'CFIdb'!$S$2000,"")
+COUNTIFS(CFIdb!$O$2:'CFIdb'!$O$2000,"*"&amp;$B25,CFIdb!$C$2:'CFIdb'!$C$2000,"*Emerging",CFIdb!$R$2:'CFIdb'!$R$2000,"*Resolve*",CFIdb!$S$2:'CFIdb'!$S$2000,"")
+COUNTIFS(CFIdb!$O$2:'CFIdb'!$O$2000,"*"&amp;$B25,CFIdb!$C$2:'CFIdb'!$C$2000,"*Emerging",CFIdb!$R$2:'CFIdb'!$R$2000,"*Verified*",CFIdb!$S$2:'CFIdb'!$S$2000,"")</f>
        <v>0</v>
      </c>
      <c r="M25" s="14">
        <f>COUNTIFS(CFIdb!$O$2:'CFIdb'!$O$2000,"*"&amp;$B25,CFIdb!$C$2:'CFIdb'!$C$2000,"*Emerging",CFIdb!$R$2:'CFIdb'!$R$2000,"")+COUNTIFS(CFIdb!$O$2:'CFIdb'!$O$2000,"*"&amp;$B25,CFIdb!$C$2:'CFIdb'!$C$2000,"*Open*",CFIdb!$R$2:'CFIdb'!$R$2000,"")</f>
        <v>6</v>
      </c>
      <c r="N25" s="14">
        <f>COUNTIFS(CFIdb!$O$2:'CFIdb'!$O$2000,"*"&amp;$B25,CFIdb!$C$2:'CFIdb'!$C$2000,"*Emerging",CFIdb!$S$2:'CFIdb'!$S$2000,"*"&amp;$N$21&amp;"*")+COUNTIFS(CFIdb!$O$2:'CFIdb'!$O$2000,"*"&amp;$B25,CFIdb!$C$2:'CFIdb'!$C$2000,"*Open*",CFIdb!$S$2:'CFIdb'!$S$2000,"*"&amp;$N$21&amp;"*")</f>
        <v>0</v>
      </c>
      <c r="O25" t="str">
        <f>CONCATENATE((COUNTIFS(CFIdb!$O$2:'CFIdb'!$O$2000,"*"&amp;B25,CFIdb!$C$2:'CFIdb'!$C$2000,"*Emerging")+COUNTIFS(CFIdb!$O$2:'CFIdb'!$O$2000,"*"&amp;B25,CFIdb!$C$2:'CFIdb'!$C$2000,"*Open*")),"/",SUM(F25:N25))</f>
        <v>9/9</v>
      </c>
    </row>
    <row r="26" spans="2:20" ht="30" x14ac:dyDescent="0.25">
      <c r="B26" s="12" t="str">
        <f>H$16</f>
        <v xml:space="preserve"> Support Review</v>
      </c>
      <c r="C26">
        <f>COUNTIFS(CFIdb!$O$2:'CFIdb'!$O$2000,"*"&amp;B26,CFIdb!$C$2:'CFIdb'!$C$2000,"*Emerging")
+COUNTIFS(CFIdb!$O$2:'CFIdb'!$O$2000,"*"&amp;B26,CFIdb!$C$2:'CFIdb'!$C$2000,"*Open*")</f>
        <v>5</v>
      </c>
      <c r="D26" s="13">
        <f t="shared" si="2"/>
        <v>0</v>
      </c>
      <c r="E26" s="14">
        <f t="shared" si="3"/>
        <v>5</v>
      </c>
      <c r="F26" s="13">
        <f>COUNTIFS(CFIdb!$O$2:'CFIdb'!$O$2000,"*"&amp;B26,CFIdb!$C$2:'CFIdb'!$C$2000,"*Emerging",CFIdb!$R$2:'CFIdb'!$R$2000,"*"&amp;$F$21&amp;"*")+COUNTIFS(CFIdb!$O$2:'CFIdb'!$O$2000,"*"&amp;B26,CFIdb!$C$2:'CFIdb'!$C$2000,"*Open*",CFIdb!$R$2:'CFIdb'!$R$2000,"*"&amp;$F$21&amp;"*")</f>
        <v>0</v>
      </c>
      <c r="G26" s="13">
        <f>COUNTIFS(CFIdb!$O$2:'CFIdb'!$O$2000,"*"&amp;B26,CFIdb!$C$2:'CFIdb'!$C$2000,"*Emerging",CFIdb!$R$2:'CFIdb'!$R$2000,"*"&amp;$G$21&amp;"*")+COUNTIFS(CFIdb!$O$2:'CFIdb'!$O$2000,"*"&amp;B26,CFIdb!$C$2:'CFIdb'!$C$2000,"*Open*",CFIdb!$R$2:'CFIdb'!$R$2000,"*"&amp;$G$21&amp;"*")</f>
        <v>0</v>
      </c>
      <c r="H26" s="14">
        <f>COUNTIFS(CFIdb!$O$2:'CFIdb'!$O$2000,"*"&amp;B26,CFIdb!$C$2:'CFIdb'!$C$2000,"*Emerging",CFIdb!$S$2:'CFIdb'!$S$2000,"*"&amp;$H$21&amp;"*")+COUNTIFS(CFIdb!$O$2:'CFIdb'!$O$2000,"*"&amp;B26,CFIdb!$C$2:'CFIdb'!$C$2000,"*Open*",CFIdb!$S$2:'CFIdb'!$S$2000,"*"&amp;$H$21&amp;"*")</f>
        <v>0</v>
      </c>
      <c r="I26" s="14">
        <f>COUNTIFS(CFIdb!$O$2:'CFIdb'!$O$2000,"*"&amp;B26,CFIdb!$C$2:'CFIdb'!$C$2000,"*Emerging",CFIdb!$S$2:'CFIdb'!$S$2000,"*"&amp;$I$21&amp;"*")+COUNTIFS(CFIdb!$O$2:'CFIdb'!$O$2000,"*"&amp;B26,CFIdb!$C$2:'CFIdb'!$C$2000,"*Open*",CFIdb!$S$2:'CFIdb'!$S$2000,"*"&amp;$I$21&amp;"*")</f>
        <v>0</v>
      </c>
      <c r="J26" s="14">
        <f>COUNTIFS(CFIdb!$O$2:'CFIdb'!$O$2000,"*"&amp;$B26,CFIdb!$C$2:'CFIdb'!$C$2000,"*Emerging",CFIdb!$S$2:'CFIdb'!$S$2000,"*"&amp;$J$21&amp;"*")+COUNTIFS(CFIdb!$O$2:'CFIdb'!$O$2000,"*"&amp;$B26,CFIdb!$C$2:'CFIdb'!$C$2000,"*Open*",CFIdb!$S$2:'CFIdb'!$S$2000,"*"&amp;$J$21&amp;"*")</f>
        <v>0</v>
      </c>
      <c r="K26" s="14">
        <f>COUNTIFS(CFIdb!$O$2:'CFIdb'!$O$2000,"*"&amp;$B26,CFIdb!$C$2:'CFIdb'!$C$2000,"*Emerging",CFIdb!$S$2:'CFIdb'!$S$2000,"*"&amp;$K$21&amp;"*")+COUNTIFS(CFIdb!$O$2:'CFIdb'!$O$2000,"*"&amp;$B26,CFIdb!$C$2:'CFIdb'!$C$2000,"*Open*",CFIdb!$S$2:'CFIdb'!$S$2000,"*"&amp;$K$21&amp;"*")</f>
        <v>0</v>
      </c>
      <c r="L26" s="14">
        <f>COUNTIFS(CFIdb!$O$2:'CFIdb'!$O$2000,"*"&amp;$B26,CFIdb!$C$2:'CFIdb'!$C$2000,"*Emerging",CFIdb!$R$2:'CFIdb'!$R$2000,"*Close*",CFIdb!$S$2:'CFIdb'!$S$2000,"")
+COUNTIFS(CFIdb!$O$2:'CFIdb'!$O$2000,"*"&amp;$B26,CFIdb!$C$2:'CFIdb'!$C$2000,"*Open*",CFIdb!$R$2:'CFIdb'!$R$2000,"*Resolve*",CFIdb!$S$2:'CFIdb'!$S$2000,"")
+COUNTIFS(CFIdb!$O$2:'CFIdb'!$O$2000,"*"&amp;$B26,CFIdb!$C$2:'CFIdb'!$C$2000,"*Open*",CFIdb!$R$2:'CFIdb'!$R$2000,"*Verified*",CFIdb!$S$2:'CFIdb'!$S$2000,"")
+COUNTIFS(CFIdb!$O$2:'CFIdb'!$O$2000,"*"&amp;$B26,CFIdb!$C$2:'CFIdb'!$C$2000,"*Open*",CFIdb!$R$2:'CFIdb'!$R$2000,"*Close*",CFIdb!$S$2:'CFIdb'!$S$2000,"")
+COUNTIFS(CFIdb!$O$2:'CFIdb'!$O$2000,"*"&amp;$B26,CFIdb!$C$2:'CFIdb'!$C$2000,"*Emerging",CFIdb!$R$2:'CFIdb'!$R$2000,"*Resolve*",CFIdb!$S$2:'CFIdb'!$S$2000,"")
+COUNTIFS(CFIdb!$O$2:'CFIdb'!$O$2000,"*"&amp;$B26,CFIdb!$C$2:'CFIdb'!$C$2000,"*Emerging",CFIdb!$R$2:'CFIdb'!$R$2000,"*Verified*",CFIdb!$S$2:'CFIdb'!$S$2000,"")</f>
        <v>2</v>
      </c>
      <c r="M26" s="14">
        <f>COUNTIFS(CFIdb!$O$2:'CFIdb'!$O$2000,"*"&amp;$B26,CFIdb!$C$2:'CFIdb'!$C$2000,"*Emerging",CFIdb!$R$2:'CFIdb'!$R$2000,"")+COUNTIFS(CFIdb!$O$2:'CFIdb'!$O$2000,"*"&amp;$B26,CFIdb!$C$2:'CFIdb'!$C$2000,"*Open*",CFIdb!$R$2:'CFIdb'!$R$2000,"")</f>
        <v>3</v>
      </c>
      <c r="N26" s="14">
        <f>COUNTIFS(CFIdb!$O$2:'CFIdb'!$O$2000,"*"&amp;$B26,CFIdb!$C$2:'CFIdb'!$C$2000,"*Emerging",CFIdb!$S$2:'CFIdb'!$S$2000,"*"&amp;$N$21&amp;"*")+COUNTIFS(CFIdb!$O$2:'CFIdb'!$O$2000,"*"&amp;$B26,CFIdb!$C$2:'CFIdb'!$C$2000,"*Open*",CFIdb!$S$2:'CFIdb'!$S$2000,"*"&amp;$N$21&amp;"*")</f>
        <v>0</v>
      </c>
      <c r="O26" t="str">
        <f>CONCATENATE((COUNTIFS(CFIdb!$O$2:'CFIdb'!$O$2000,"*"&amp;B26,CFIdb!$C$2:'CFIdb'!$C$2000,"*Emerging")+COUNTIFS(CFIdb!$O$2:'CFIdb'!$O$2000,"*"&amp;B26,CFIdb!$C$2:'CFIdb'!$C$2000,"*Open*")),"/",SUM(F26:N26))</f>
        <v>5/5</v>
      </c>
      <c r="S26" t="s">
        <v>5073</v>
      </c>
    </row>
    <row r="27" spans="2:20" x14ac:dyDescent="0.25">
      <c r="C27">
        <f>SUM(C22:C26)</f>
        <v>147</v>
      </c>
      <c r="D27" s="13">
        <f t="shared" ref="D27:N27" si="4">SUM(D22:D26)</f>
        <v>43</v>
      </c>
      <c r="E27" s="14">
        <f t="shared" si="3"/>
        <v>104</v>
      </c>
      <c r="F27" s="13">
        <f t="shared" si="4"/>
        <v>29</v>
      </c>
      <c r="G27" s="13">
        <f t="shared" si="4"/>
        <v>14</v>
      </c>
      <c r="H27" s="14">
        <f t="shared" si="4"/>
        <v>29</v>
      </c>
      <c r="I27" s="14">
        <f t="shared" si="4"/>
        <v>7</v>
      </c>
      <c r="J27" s="14">
        <f t="shared" si="4"/>
        <v>0</v>
      </c>
      <c r="K27" s="14">
        <f t="shared" si="4"/>
        <v>2</v>
      </c>
      <c r="L27" s="14">
        <f t="shared" si="4"/>
        <v>19</v>
      </c>
      <c r="M27" s="14">
        <f t="shared" si="4"/>
        <v>47</v>
      </c>
      <c r="N27" s="14">
        <f t="shared" si="4"/>
        <v>0</v>
      </c>
      <c r="O27">
        <f>SUM(F27:N27)</f>
        <v>147</v>
      </c>
    </row>
    <row r="30" spans="2:20" ht="30" x14ac:dyDescent="0.25">
      <c r="D30" s="13" t="s">
        <v>5009</v>
      </c>
      <c r="E30" s="14" t="s">
        <v>5010</v>
      </c>
      <c r="F30" s="13" t="s">
        <v>4991</v>
      </c>
      <c r="G30" s="13" t="s">
        <v>4992</v>
      </c>
      <c r="H30" s="14" t="s">
        <v>4993</v>
      </c>
      <c r="I30" s="14" t="s">
        <v>5006</v>
      </c>
      <c r="J30" s="14" t="s">
        <v>4994</v>
      </c>
      <c r="K30" s="14" t="s">
        <v>4995</v>
      </c>
      <c r="L30" s="14" t="s">
        <v>4996</v>
      </c>
      <c r="M30" s="14" t="s">
        <v>4997</v>
      </c>
      <c r="N30" s="14" t="s">
        <v>5011</v>
      </c>
      <c r="S30" s="12"/>
    </row>
    <row r="31" spans="2:20" x14ac:dyDescent="0.25">
      <c r="B31" s="12" t="s">
        <v>73</v>
      </c>
      <c r="C31">
        <f>COUNTIFS(CFIdb!$Z$2:'CFIdb'!$Z$2000,"*"&amp;B31,CFIdb!$C$2:'CFIdb'!$C$2000,"*Emerging")+COUNTIFS(CFIdb!$Z$2:'CFIdb'!$Z$2000,"*"&amp;B31,CFIdb!$C$2:'CFIdb'!$C$2000,"*Open*")</f>
        <v>30</v>
      </c>
      <c r="D31" s="13">
        <f>SUM(F31:G31)</f>
        <v>18</v>
      </c>
      <c r="E31" s="14">
        <f>SUM(H31:N31)</f>
        <v>12</v>
      </c>
      <c r="F31" s="13">
        <f>COUNTIFS(CFIdb!$Z$2:'CFIdb'!$Z$2000,"*"&amp;B31,CFIdb!$C$2:'CFIdb'!$C$2000,"*Emerging",CFIdb!$R$2:'CFIdb'!$R$2000,"*"&amp;$F$30&amp;"*")+COUNTIFS(CFIdb!$Z$2:'CFIdb'!$Z$2000,"*"&amp;B31,CFIdb!$C$2:'CFIdb'!$C$2000,"*Open*",CFIdb!$R$2:'CFIdb'!$R$2000,"*"&amp;$F$30&amp;"*")</f>
        <v>11</v>
      </c>
      <c r="G31" s="13">
        <f>COUNTIFS(CFIdb!$Z$2:'CFIdb'!$Z$2000,"*"&amp;B31,CFIdb!$C$2:'CFIdb'!$C$2000,"*Emerging",CFIdb!$R$2:'CFIdb'!$R$2000,"*"&amp;$G$30&amp;"*")+COUNTIFS(CFIdb!$Z$2:'CFIdb'!$Z$2000,"*"&amp;B31,CFIdb!$C$2:'CFIdb'!$C$2000,"*Open*",CFIdb!$R$2:'CFIdb'!$R$2000,"*"&amp;$G$30&amp;"*")</f>
        <v>7</v>
      </c>
      <c r="H31" s="14">
        <f>COUNTIFS(CFIdb!$Z$2:'CFIdb'!$Z$2000,"*"&amp;B31,CFIdb!$C$2:'CFIdb'!$C$2000,"*Emerging",CFIdb!$S$2:'CFIdb'!$S$2000,"*"&amp;$H$30&amp;"*")+COUNTIFS(CFIdb!$Z$2:'CFIdb'!$Z$2000,"*"&amp;B31,CFIdb!$C$2:'CFIdb'!$C$2000,"*Open*",CFIdb!$S$2:'CFIdb'!$S$2000,"*"&amp;$H$30&amp;"*")</f>
        <v>8</v>
      </c>
      <c r="I31" s="14">
        <f>COUNTIFS(CFIdb!$Z$2:'CFIdb'!$Z$2000,"*"&amp;$B31,CFIdb!$C$2:'CFIdb'!$C$2000,"*Emerging",CFIdb!$S$2:'CFIdb'!$S$2000,"*"&amp;$I$30&amp;"*")+COUNTIFS(CFIdb!$Z$2:'CFIdb'!$Z$2000,"*"&amp;$B31,CFIdb!$C$2:'CFIdb'!$C$2000,"*Open*",CFIdb!$S$2:'CFIdb'!$S$2000,"*"&amp;$I$30&amp;"*")</f>
        <v>2</v>
      </c>
      <c r="J31" s="14">
        <f>COUNTIFS(CFIdb!$Z$2:'CFIdb'!$Z$2000,"*"&amp;$B31,CFIdb!$C$2:'CFIdb'!$C$2000,"*Emerging",CFIdb!$S$2:'CFIdb'!$S$2000,"*"&amp;$J$30&amp;"*")+COUNTIFS(CFIdb!$Z$2:'CFIdb'!$Z$2000,"*"&amp;$B31,CFIdb!$C$2:'CFIdb'!$C$2000,"*Open*",CFIdb!$S$2:'CFIdb'!$S$2000,"*"&amp;$J$30&amp;"*")</f>
        <v>0</v>
      </c>
      <c r="K31" s="14">
        <f>COUNTIFS(CFIdb!$Z$2:'CFIdb'!$Z$2000,"*"&amp;$B31,CFIdb!$C$2:'CFIdb'!$C$2000,"*Emerging",CFIdb!$S$2:'CFIdb'!$S$2000,"*"&amp;$K$30&amp;"*")+COUNTIFS(CFIdb!$Z$2:'CFIdb'!$Z$2000,"*"&amp;$B31,CFIdb!$C$2:'CFIdb'!$C$2000,"*Open*",CFIdb!$S$2:'CFIdb'!$S$2000,"*"&amp;$K$30&amp;"*")</f>
        <v>2</v>
      </c>
      <c r="L31" s="14">
        <f>COUNTIFS(CFIdb!$Z$2:'CFIdb'!$Z$2000,"*"&amp;$B31,CFIdb!$C$2:'CFIdb'!$C$2000,"*Emerging",CFIdb!$R$2:'CFIdb'!$R$2000,"*Close*",CFIdb!$S$2:'CFIdb'!$S$2000,"")
+COUNTIFS(CFIdb!$Z$2:'CFIdb'!$Z$2000,"*"&amp;$B31,CFIdb!$C$2:'CFIdb'!$C$2000,"*Open*",CFIdb!$R$2:'CFIdb'!$R$2000,"*Resolve*",CFIdb!$S$2:'CFIdb'!$S$2000,"")
+COUNTIFS(CFIdb!$Z$2:'CFIdb'!$Z$2000,"*"&amp;$B31,CFIdb!$C$2:'CFIdb'!$C$2000,"*Open*",CFIdb!$R$2:'CFIdb'!$R$2000,"*Verified*",CFIdb!$S$2:'CFIdb'!$S$2000,"")
+COUNTIFS(CFIdb!$Z$2:'CFIdb'!$Z$2000,"*"&amp;$B31,CFIdb!$C$2:'CFIdb'!$C$2000,"*Open*",CFIdb!$R$2:'CFIdb'!$R$2000,"*Close*",CFIdb!$S$2:'CFIdb'!$S$2000,"")
+COUNTIFS(CFIdb!$Z$2:'CFIdb'!$Z$2000,"*"&amp;$B31,CFIdb!$C$2:'CFIdb'!$C$2000,"*Emerging",CFIdb!$R$2:'CFIdb'!$R$2000,"*Resolve*",CFIdb!$S$2:'CFIdb'!$S$2000,"")
+COUNTIFS(CFIdb!$Z$2:'CFIdb'!$Z$2000,"*"&amp;$B31,CFIdb!$C$2:'CFIdb'!$C$2000,"*Emerging",CFIdb!$R$2:'CFIdb'!$R$2000,"*Verified*",CFIdb!$S$2:'CFIdb'!$S$2000,"")</f>
        <v>0</v>
      </c>
      <c r="M31" s="14">
        <f>COUNTIFS(CFIdb!$Z$2:'CFIdb'!$Z$2000,"*"&amp;$B31,CFIdb!$C$2:'CFIdb'!$C$2000,"*Emerging",CFIdb!$R$2:'CFIdb'!$R$2000,"")
+COUNTIFS(CFIdb!$Z$2:'CFIdb'!$Z$2000,"*"&amp;$B31,CFIdb!$C$2:'CFIdb'!$C$2000,"*Open*",CFIdb!$R$2:'CFIdb'!$R$2000,"")</f>
        <v>0</v>
      </c>
      <c r="N31" s="14">
        <f>COUNTIFS(CFIdb!$Z$2:'CFIdb'!$Z$2000,"*"&amp;$B31,CFIdb!$C$2:'CFIdb'!$C$2000,"*Emerging",CFIdb!$S$2:'CFIdb'!$S$2000,"*"&amp;$N$30&amp;"*")
+COUNTIFS(CFIdb!$Z$2:'CFIdb'!$Z$2000,"*"&amp;$B31,CFIdb!$C$2:'CFIdb'!$C$2000,"*Open*",CFIdb!$S$2:'CFIdb'!$S$2000,"*"&amp;$N$30&amp;"*")</f>
        <v>0</v>
      </c>
      <c r="O31" t="str">
        <f>CONCATENATE(C31,"/",SUM(F31:N31))</f>
        <v>30/30</v>
      </c>
      <c r="S31" s="12"/>
    </row>
    <row r="32" spans="2:20" ht="30" x14ac:dyDescent="0.25">
      <c r="B32" s="12" t="s">
        <v>96</v>
      </c>
      <c r="C32">
        <f>COUNTIFS(CFIdb!$Z$2:'CFIdb'!$Z$2000,"*"&amp;B32,CFIdb!$C$2:'CFIdb'!$C$2000,"*Emerging")+COUNTIFS(CFIdb!$Z$2:'CFIdb'!$Z$2000,"*"&amp;B32,CFIdb!$C$2:'CFIdb'!$C$2000,"*Open*")</f>
        <v>7</v>
      </c>
      <c r="D32" s="13">
        <f t="shared" ref="D32:D36" si="5">SUM(F32:G32)</f>
        <v>1</v>
      </c>
      <c r="E32" s="14">
        <f t="shared" ref="E32:E36" si="6">SUM(H32:N32)</f>
        <v>6</v>
      </c>
      <c r="F32" s="13">
        <f>COUNTIFS(CFIdb!$Z$2:'CFIdb'!$Z$2000,"*"&amp;B32,CFIdb!$C$2:'CFIdb'!$C$2000,"*Emerging",CFIdb!$R$2:'CFIdb'!$R$2000,"*"&amp;$F$30&amp;"*")+COUNTIFS(CFIdb!$Z$2:'CFIdb'!$Z$2000,"*"&amp;B32,CFIdb!$C$2:'CFIdb'!$C$2000,"*Open*",CFIdb!$R$2:'CFIdb'!$R$2000,"*"&amp;$F$30&amp;"*")</f>
        <v>1</v>
      </c>
      <c r="G32" s="13">
        <f>COUNTIFS(CFIdb!$Z$2:'CFIdb'!$Z$2000,"*"&amp;B32,CFIdb!$C$2:'CFIdb'!$C$2000,"*Emerging",CFIdb!$R$2:'CFIdb'!$R$2000,"*"&amp;$G$30&amp;"*")+COUNTIFS(CFIdb!$Z$2:'CFIdb'!$Z$2000,"*"&amp;B32,CFIdb!$C$2:'CFIdb'!$C$2000,"*Open*",CFIdb!$R$2:'CFIdb'!$R$2000,"*"&amp;$G$30&amp;"*")</f>
        <v>0</v>
      </c>
      <c r="H32" s="14">
        <f>COUNTIFS(CFIdb!$Z$2:'CFIdb'!$Z$2000,"*"&amp;B32,CFIdb!$C$2:'CFIdb'!$C$2000,"*Emerging",CFIdb!$S$2:'CFIdb'!$S$2000,"*"&amp;$H$30&amp;"*")+COUNTIFS(CFIdb!$Z$2:'CFIdb'!$Z$2000,"*"&amp;B32,CFIdb!$C$2:'CFIdb'!$C$2000,"*Open*",CFIdb!$S$2:'CFIdb'!$S$2000,"*"&amp;$H$30&amp;"*")</f>
        <v>6</v>
      </c>
      <c r="I32" s="14">
        <f>COUNTIFS(CFIdb!$Z$2:'CFIdb'!$Z$2000,"*"&amp;B32,CFIdb!$C$2:'CFIdb'!$C$2000,"*Emerging",CFIdb!$S$2:'CFIdb'!$S$2000,"*"&amp;$I$30&amp;"*")+COUNTIFS(CFIdb!$Z$2:'CFIdb'!$Z$2000,"*"&amp;B32,CFIdb!$C$2:'CFIdb'!$C$2000,"*Open*",CFIdb!$S$2:'CFIdb'!$S$2000,"*"&amp;$I$30&amp;"*")</f>
        <v>0</v>
      </c>
      <c r="J32" s="14">
        <f>COUNTIFS(CFIdb!$Z$2:'CFIdb'!$Z$2000,"*"&amp;$B32,CFIdb!$C$2:'CFIdb'!$C$2000,"*Emerging",CFIdb!$S$2:'CFIdb'!$S$2000,"*"&amp;$J$30&amp;"*")+COUNTIFS(CFIdb!$Z$2:'CFIdb'!$Z$2000,"*"&amp;$B32,CFIdb!$C$2:'CFIdb'!$C$2000,"*Open*",CFIdb!$S$2:'CFIdb'!$S$2000,"*"&amp;$J$30&amp;"*")</f>
        <v>0</v>
      </c>
      <c r="K32" s="14">
        <f>COUNTIFS(CFIdb!$Z$2:'CFIdb'!$Z$2000,"*"&amp;$B32,CFIdb!$C$2:'CFIdb'!$C$2000,"*Emerging",CFIdb!$S$2:'CFIdb'!$S$2000,"*"&amp;$K$30&amp;"*")+COUNTIFS(CFIdb!$Z$2:'CFIdb'!$Z$2000,"*"&amp;$B32,CFIdb!$C$2:'CFIdb'!$C$2000,"*Open*",CFIdb!$S$2:'CFIdb'!$S$2000,"*"&amp;$K$30&amp;"*")</f>
        <v>0</v>
      </c>
      <c r="L32" s="14">
        <f>COUNTIFS(CFIdb!$Z$2:'CFIdb'!$Z$2000,"*"&amp;$B32,CFIdb!$C$2:'CFIdb'!$C$2000,"*Emerging",CFIdb!$R$2:'CFIdb'!$R$2000,"*Close*",CFIdb!$S$2:'CFIdb'!$S$2000,"")
+COUNTIFS(CFIdb!$Z$2:'CFIdb'!$Z$2000,"*"&amp;$B32,CFIdb!$C$2:'CFIdb'!$C$2000,"*Open*",CFIdb!$R$2:'CFIdb'!$R$2000,"*Resolve*",CFIdb!$S$2:'CFIdb'!$S$2000,"")
+COUNTIFS(CFIdb!$Z$2:'CFIdb'!$Z$2000,"*"&amp;$B32,CFIdb!$C$2:'CFIdb'!$C$2000,"*Open*",CFIdb!$R$2:'CFIdb'!$R$2000,"*Verified*",CFIdb!$S$2:'CFIdb'!$S$2000,"")
+COUNTIFS(CFIdb!$Z$2:'CFIdb'!$Z$2000,"*"&amp;$B32,CFIdb!$C$2:'CFIdb'!$C$2000,"*Open*",CFIdb!$R$2:'CFIdb'!$R$2000,"*Close*",CFIdb!$S$2:'CFIdb'!$S$2000,"")
+COUNTIFS(CFIdb!$Z$2:'CFIdb'!$Z$2000,"*"&amp;$B32,CFIdb!$C$2:'CFIdb'!$C$2000,"*Emerging",CFIdb!$R$2:'CFIdb'!$R$2000,"*Resolve*",CFIdb!$S$2:'CFIdb'!$S$2000,"")
+COUNTIFS(CFIdb!$Z$2:'CFIdb'!$Z$2000,"*"&amp;$B32,CFIdb!$C$2:'CFIdb'!$C$2000,"*Emerging",CFIdb!$R$2:'CFIdb'!$R$2000,"*Verified*",CFIdb!$S$2:'CFIdb'!$S$2000,"")</f>
        <v>0</v>
      </c>
      <c r="M32" s="14">
        <f>COUNTIFS(CFIdb!$Z$2:'CFIdb'!$Z$2000,"*"&amp;$B32,CFIdb!$C$2:'CFIdb'!$C$2000,"*Emerging",CFIdb!$R$2:'CFIdb'!$R$2000,"")
+COUNTIFS(CFIdb!$Z$2:'CFIdb'!$Z$2000,"*"&amp;$B32,CFIdb!$C$2:'CFIdb'!$C$2000,"*Open*",CFIdb!$R$2:'CFIdb'!$R$2000,"")</f>
        <v>0</v>
      </c>
      <c r="N32" s="14">
        <f>COUNTIFS(CFIdb!$Z$2:'CFIdb'!$Z$2000,"*"&amp;$B32,CFIdb!$C$2:'CFIdb'!$C$2000,"*Emerging",CFIdb!$S$2:'CFIdb'!$S$2000,"*"&amp;$N$30&amp;"*")
+COUNTIFS(CFIdb!$Z$2:'CFIdb'!$Z$2000,"*"&amp;$B32,CFIdb!$C$2:'CFIdb'!$C$2000,"*Open*",CFIdb!$S$2:'CFIdb'!$S$2000,"*"&amp;$N$30&amp;"*")</f>
        <v>0</v>
      </c>
      <c r="O32" t="str">
        <f t="shared" ref="O32:O43" si="7">CONCATENATE(C32,"/",SUM(F32:N32))</f>
        <v>7/7</v>
      </c>
      <c r="S32" s="12"/>
    </row>
    <row r="33" spans="2:19" x14ac:dyDescent="0.25">
      <c r="B33" s="12" t="s">
        <v>380</v>
      </c>
      <c r="C33">
        <f>COUNTIFS(CFIdb!$Z$2:'CFIdb'!$Z$2000,"*"&amp;B33,CFIdb!$C$2:'CFIdb'!$C$2000,"*Emerging")+COUNTIFS(CFIdb!$Z$2:'CFIdb'!$Z$2000,"*"&amp;B33,CFIdb!$C$2:'CFIdb'!$C$2000,"*Open*")</f>
        <v>3</v>
      </c>
      <c r="D33" s="13">
        <f t="shared" ref="D33" si="8">SUM(F33:G33)</f>
        <v>1</v>
      </c>
      <c r="E33" s="14">
        <f t="shared" ref="E33" si="9">SUM(H33:N33)</f>
        <v>2</v>
      </c>
      <c r="F33" s="13">
        <f>COUNTIFS(CFIdb!$Z$2:'CFIdb'!$Z$2000,"*"&amp;B33,CFIdb!$C$2:'CFIdb'!$C$2000,"*Emerging",CFIdb!$R$2:'CFIdb'!$R$2000,"*"&amp;$F$30&amp;"*")+COUNTIFS(CFIdb!$Z$2:'CFIdb'!$Z$2000,"*"&amp;B33,CFIdb!$C$2:'CFIdb'!$C$2000,"*Open*",CFIdb!$R$2:'CFIdb'!$R$2000,"*"&amp;$F$30&amp;"*")</f>
        <v>1</v>
      </c>
      <c r="G33" s="13">
        <f>COUNTIFS(CFIdb!$Z$2:'CFIdb'!$Z$2000,"*"&amp;B33,CFIdb!$C$2:'CFIdb'!$C$2000,"*Emerging",CFIdb!$R$2:'CFIdb'!$R$2000,"*"&amp;$G$30&amp;"*")+COUNTIFS(CFIdb!$Z$2:'CFIdb'!$Z$2000,"*"&amp;B33,CFIdb!$C$2:'CFIdb'!$C$2000,"*Open*",CFIdb!$R$2:'CFIdb'!$R$2000,"*"&amp;$G$30&amp;"*")</f>
        <v>0</v>
      </c>
      <c r="H33" s="14">
        <f>COUNTIFS(CFIdb!$Z$2:'CFIdb'!$Z$2000,"*"&amp;B33,CFIdb!$C$2:'CFIdb'!$C$2000,"*Emerging",CFIdb!$S$2:'CFIdb'!$S$2000,"*"&amp;$H$30&amp;"*")+COUNTIFS(CFIdb!$Z$2:'CFIdb'!$Z$2000,"*"&amp;B33,CFIdb!$C$2:'CFIdb'!$C$2000,"*Open*",CFIdb!$S$2:'CFIdb'!$S$2000,"*"&amp;$H$30&amp;"*")</f>
        <v>2</v>
      </c>
      <c r="I33" s="14">
        <f>COUNTIFS(CFIdb!$Z$2:'CFIdb'!$Z$2000,"*"&amp;B33,CFIdb!$C$2:'CFIdb'!$C$2000,"*Emerging",CFIdb!$S$2:'CFIdb'!$S$2000,"*"&amp;$I$30&amp;"*")+COUNTIFS(CFIdb!$Z$2:'CFIdb'!$Z$2000,"*"&amp;B33,CFIdb!$C$2:'CFIdb'!$C$2000,"*Open*",CFIdb!$S$2:'CFIdb'!$S$2000,"*"&amp;$I$30&amp;"*")</f>
        <v>0</v>
      </c>
      <c r="J33" s="14">
        <f>COUNTIFS(CFIdb!$Z$2:'CFIdb'!$Z$2000,"*"&amp;$B33,CFIdb!$C$2:'CFIdb'!$C$2000,"*Emerging",CFIdb!$S$2:'CFIdb'!$S$2000,"*"&amp;$J$30&amp;"*")+COUNTIFS(CFIdb!$Z$2:'CFIdb'!$Z$2000,"*"&amp;$B33,CFIdb!$C$2:'CFIdb'!$C$2000,"*Open*",CFIdb!$S$2:'CFIdb'!$S$2000,"*"&amp;$J$30&amp;"*")</f>
        <v>0</v>
      </c>
      <c r="K33" s="14">
        <f>COUNTIFS(CFIdb!$Z$2:'CFIdb'!$Z$2000,"*"&amp;$B33,CFIdb!$C$2:'CFIdb'!$C$2000,"*Emerging",CFIdb!$S$2:'CFIdb'!$S$2000,"*"&amp;$K$30&amp;"*")+COUNTIFS(CFIdb!$Z$2:'CFIdb'!$Z$2000,"*"&amp;$B33,CFIdb!$C$2:'CFIdb'!$C$2000,"*Open*",CFIdb!$S$2:'CFIdb'!$S$2000,"*"&amp;$K$30&amp;"*")</f>
        <v>0</v>
      </c>
      <c r="L33" s="14">
        <f>COUNTIFS(CFIdb!$Z$2:'CFIdb'!$Z$2000,"*"&amp;$B33,CFIdb!$C$2:'CFIdb'!$C$2000,"*Emerging",CFIdb!$R$2:'CFIdb'!$R$2000,"*Close*",CFIdb!$S$2:'CFIdb'!$S$2000,"")
+COUNTIFS(CFIdb!$Z$2:'CFIdb'!$Z$2000,"*"&amp;$B33,CFIdb!$C$2:'CFIdb'!$C$2000,"*Open*",CFIdb!$R$2:'CFIdb'!$R$2000,"*Resolve*",CFIdb!$S$2:'CFIdb'!$S$2000,"")
+COUNTIFS(CFIdb!$Z$2:'CFIdb'!$Z$2000,"*"&amp;$B33,CFIdb!$C$2:'CFIdb'!$C$2000,"*Open*",CFIdb!$R$2:'CFIdb'!$R$2000,"*Verified*",CFIdb!$S$2:'CFIdb'!$S$2000,"")
+COUNTIFS(CFIdb!$Z$2:'CFIdb'!$Z$2000,"*"&amp;$B33,CFIdb!$C$2:'CFIdb'!$C$2000,"*Open*",CFIdb!$R$2:'CFIdb'!$R$2000,"*Close*",CFIdb!$S$2:'CFIdb'!$S$2000,"")
+COUNTIFS(CFIdb!$Z$2:'CFIdb'!$Z$2000,"*"&amp;$B33,CFIdb!$C$2:'CFIdb'!$C$2000,"*Emerging",CFIdb!$R$2:'CFIdb'!$R$2000,"*Resolve*",CFIdb!$S$2:'CFIdb'!$S$2000,"")
+COUNTIFS(CFIdb!$Z$2:'CFIdb'!$Z$2000,"*"&amp;$B33,CFIdb!$C$2:'CFIdb'!$C$2000,"*Emerging",CFIdb!$R$2:'CFIdb'!$R$2000,"*Verified*",CFIdb!$S$2:'CFIdb'!$S$2000,"")</f>
        <v>0</v>
      </c>
      <c r="M33" s="14">
        <f>COUNTIFS(CFIdb!$Z$2:'CFIdb'!$Z$2000,"*"&amp;$B33,CFIdb!$C$2:'CFIdb'!$C$2000,"*Emerging",CFIdb!$R$2:'CFIdb'!$R$2000,"")
+COUNTIFS(CFIdb!$Z$2:'CFIdb'!$Z$2000,"*"&amp;$B33,CFIdb!$C$2:'CFIdb'!$C$2000,"*Open*",CFIdb!$R$2:'CFIdb'!$R$2000,"")</f>
        <v>0</v>
      </c>
      <c r="N33" s="14">
        <f>COUNTIFS(CFIdb!$Z$2:'CFIdb'!$Z$2000,"*"&amp;$B33,CFIdb!$C$2:'CFIdb'!$C$2000,"*Emerging",CFIdb!$S$2:'CFIdb'!$S$2000,"*"&amp;$N$30&amp;"*")
+COUNTIFS(CFIdb!$Z$2:'CFIdb'!$Z$2000,"*"&amp;$B33,CFIdb!$C$2:'CFIdb'!$C$2000,"*Open*",CFIdb!$S$2:'CFIdb'!$S$2000,"*"&amp;$N$30&amp;"*")</f>
        <v>0</v>
      </c>
      <c r="O33" t="str">
        <f t="shared" ref="O33" si="10">CONCATENATE(C33,"/",SUM(F33:N33))</f>
        <v>3/3</v>
      </c>
      <c r="S33" s="12"/>
    </row>
    <row r="34" spans="2:19" x14ac:dyDescent="0.25">
      <c r="B34" s="12" t="s">
        <v>303</v>
      </c>
      <c r="C34">
        <f>COUNTIFS(CFIdb!$Z$2:'CFIdb'!$Z$2000,"*"&amp;B34,CFIdb!$C$2:'CFIdb'!$C$2000,"*Emerging")+COUNTIFS(CFIdb!$Z$2:'CFIdb'!$Z$2000,"*"&amp;B34,CFIdb!$C$2:'CFIdb'!$C$2000,"*Open*")</f>
        <v>0</v>
      </c>
      <c r="D34" s="13">
        <f t="shared" si="5"/>
        <v>0</v>
      </c>
      <c r="E34" s="14">
        <f t="shared" si="6"/>
        <v>0</v>
      </c>
      <c r="F34" s="13">
        <f>COUNTIFS(CFIdb!$Z$2:'CFIdb'!$Z$2000,"*"&amp;B34,CFIdb!$C$2:'CFIdb'!$C$2000,"*Emerging",CFIdb!$R$2:'CFIdb'!$R$2000,"*"&amp;$F$30&amp;"*")+COUNTIFS(CFIdb!$Z$2:'CFIdb'!$Z$2000,"*"&amp;B34,CFIdb!$C$2:'CFIdb'!$C$2000,"*Open*",CFIdb!$R$2:'CFIdb'!$R$2000,"*"&amp;$F$30&amp;"*")</f>
        <v>0</v>
      </c>
      <c r="G34" s="13">
        <f>COUNTIFS(CFIdb!$Z$2:'CFIdb'!$Z$2000,"*"&amp;B34,CFIdb!$C$2:'CFIdb'!$C$2000,"*Emerging",CFIdb!$R$2:'CFIdb'!$R$2000,"*"&amp;$G$30&amp;"*")+COUNTIFS(CFIdb!$Z$2:'CFIdb'!$Z$2000,"*"&amp;B34,CFIdb!$C$2:'CFIdb'!$C$2000,"*Open*",CFIdb!$R$2:'CFIdb'!$R$2000,"*"&amp;$G$30&amp;"*")</f>
        <v>0</v>
      </c>
      <c r="H34" s="14">
        <f>COUNTIFS(CFIdb!$Z$2:'CFIdb'!$Z$2000,"*"&amp;B34,CFIdb!$C$2:'CFIdb'!$C$2000,"*Emerging",CFIdb!$S$2:'CFIdb'!$S$2000,"*"&amp;$H$30&amp;"*")+COUNTIFS(CFIdb!$Z$2:'CFIdb'!$Z$2000,"*"&amp;B34,CFIdb!$C$2:'CFIdb'!$C$2000,"*Open*",CFIdb!$S$2:'CFIdb'!$S$2000,"*"&amp;$H$30&amp;"*")</f>
        <v>0</v>
      </c>
      <c r="I34" s="14">
        <f>COUNTIFS(CFIdb!$Z$2:'CFIdb'!$Z$2000,"*"&amp;B34,CFIdb!$C$2:'CFIdb'!$C$2000,"*Emerging",CFIdb!$S$2:'CFIdb'!$S$2000,"*"&amp;$I$30&amp;"*")+COUNTIFS(CFIdb!$Z$2:'CFIdb'!$Z$2000,"*"&amp;B34,CFIdb!$C$2:'CFIdb'!$C$2000,"*Open*",CFIdb!$S$2:'CFIdb'!$S$2000,"*"&amp;$I$30&amp;"*")</f>
        <v>0</v>
      </c>
      <c r="J34" s="14">
        <f>COUNTIFS(CFIdb!$Z$2:'CFIdb'!$Z$2000,"*"&amp;$B34,CFIdb!$C$2:'CFIdb'!$C$2000,"*Emerging",CFIdb!$S$2:'CFIdb'!$S$2000,"*"&amp;$J$30&amp;"*")+COUNTIFS(CFIdb!$Z$2:'CFIdb'!$Z$2000,"*"&amp;$B34,CFIdb!$C$2:'CFIdb'!$C$2000,"*Open*",CFIdb!$S$2:'CFIdb'!$S$2000,"*"&amp;$J$30&amp;"*")</f>
        <v>0</v>
      </c>
      <c r="K34" s="14">
        <f>COUNTIFS(CFIdb!$Z$2:'CFIdb'!$Z$2000,"*"&amp;$B34,CFIdb!$C$2:'CFIdb'!$C$2000,"*Emerging",CFIdb!$S$2:'CFIdb'!$S$2000,"*"&amp;$K$30&amp;"*")+COUNTIFS(CFIdb!$Z$2:'CFIdb'!$Z$2000,"*"&amp;$B34,CFIdb!$C$2:'CFIdb'!$C$2000,"*Open*",CFIdb!$S$2:'CFIdb'!$S$2000,"*"&amp;$K$30&amp;"*")</f>
        <v>0</v>
      </c>
      <c r="L34" s="14">
        <f>COUNTIFS(CFIdb!$Z$2:'CFIdb'!$Z$2000,"*"&amp;$B34,CFIdb!$C$2:'CFIdb'!$C$2000,"*Emerging",CFIdb!$R$2:'CFIdb'!$R$2000,"*Close*",CFIdb!$S$2:'CFIdb'!$S$2000,"")
+COUNTIFS(CFIdb!$Z$2:'CFIdb'!$Z$2000,"*"&amp;$B34,CFIdb!$C$2:'CFIdb'!$C$2000,"*Open*",CFIdb!$R$2:'CFIdb'!$R$2000,"*Resolve*",CFIdb!$S$2:'CFIdb'!$S$2000,"")
+COUNTIFS(CFIdb!$Z$2:'CFIdb'!$Z$2000,"*"&amp;$B34,CFIdb!$C$2:'CFIdb'!$C$2000,"*Open*",CFIdb!$R$2:'CFIdb'!$R$2000,"*Verified*",CFIdb!$S$2:'CFIdb'!$S$2000,"")
+COUNTIFS(CFIdb!$Z$2:'CFIdb'!$Z$2000,"*"&amp;$B34,CFIdb!$C$2:'CFIdb'!$C$2000,"*Open*",CFIdb!$R$2:'CFIdb'!$R$2000,"*Close*",CFIdb!$S$2:'CFIdb'!$S$2000,"")
+COUNTIFS(CFIdb!$Z$2:'CFIdb'!$Z$2000,"*"&amp;$B34,CFIdb!$C$2:'CFIdb'!$C$2000,"*Emerging",CFIdb!$R$2:'CFIdb'!$R$2000,"*Resolve*",CFIdb!$S$2:'CFIdb'!$S$2000,"")
+COUNTIFS(CFIdb!$Z$2:'CFIdb'!$Z$2000,"*"&amp;$B34,CFIdb!$C$2:'CFIdb'!$C$2000,"*Emerging",CFIdb!$R$2:'CFIdb'!$R$2000,"*Verified*",CFIdb!$S$2:'CFIdb'!$S$2000,"")</f>
        <v>0</v>
      </c>
      <c r="M34" s="14">
        <f>COUNTIFS(CFIdb!$Z$2:'CFIdb'!$Z$2000,"*"&amp;$B34,CFIdb!$C$2:'CFIdb'!$C$2000,"*Emerging",CFIdb!$R$2:'CFIdb'!$R$2000,"")
+COUNTIFS(CFIdb!$Z$2:'CFIdb'!$Z$2000,"*"&amp;$B34,CFIdb!$C$2:'CFIdb'!$C$2000,"*Open*",CFIdb!$R$2:'CFIdb'!$R$2000,"")</f>
        <v>0</v>
      </c>
      <c r="N34" s="14">
        <f>COUNTIFS(CFIdb!$Z$2:'CFIdb'!$Z$2000,"*"&amp;$B34,CFIdb!$C$2:'CFIdb'!$C$2000,"*Emerging",CFIdb!$S$2:'CFIdb'!$S$2000,"*"&amp;$N$30&amp;"*")
+COUNTIFS(CFIdb!$Z$2:'CFIdb'!$Z$2000,"*"&amp;$B34,CFIdb!$C$2:'CFIdb'!$C$2000,"*Open*",CFIdb!$S$2:'CFIdb'!$S$2000,"*"&amp;$N$30&amp;"*")</f>
        <v>0</v>
      </c>
      <c r="O34" t="str">
        <f t="shared" si="7"/>
        <v>0/0</v>
      </c>
      <c r="S34" s="12"/>
    </row>
    <row r="35" spans="2:19" x14ac:dyDescent="0.25">
      <c r="B35" s="12" t="s">
        <v>45</v>
      </c>
      <c r="C35">
        <f>COUNTIFS(CFIdb!$Z$2:'CFIdb'!$Z$2000,"*"&amp;B35,CFIdb!$C$2:'CFIdb'!$C$2000,"*Emerging")+COUNTIFS(CFIdb!$Z$2:'CFIdb'!$Z$2000,"*"&amp;B35,CFIdb!$C$2:'CFIdb'!$C$2000,"*Open*")</f>
        <v>3</v>
      </c>
      <c r="D35" s="13">
        <f t="shared" si="5"/>
        <v>2</v>
      </c>
      <c r="E35" s="14">
        <f t="shared" si="6"/>
        <v>1</v>
      </c>
      <c r="F35" s="13">
        <f>COUNTIFS(CFIdb!$Z$2:'CFIdb'!$Z$2000,"*"&amp;B35,CFIdb!$C$2:'CFIdb'!$C$2000,"*Emerging",CFIdb!$R$2:'CFIdb'!$R$2000,"*"&amp;$F$30&amp;"*")+COUNTIFS(CFIdb!$Z$2:'CFIdb'!$Z$2000,"*"&amp;B35,CFIdb!$C$2:'CFIdb'!$C$2000,"*Open*",CFIdb!$R$2:'CFIdb'!$R$2000,"*"&amp;$F$30&amp;"*")</f>
        <v>1</v>
      </c>
      <c r="G35" s="13">
        <f>COUNTIFS(CFIdb!$Z$2:'CFIdb'!$Z$2000,"*"&amp;B35,CFIdb!$C$2:'CFIdb'!$C$2000,"*Emerging",CFIdb!$R$2:'CFIdb'!$R$2000,"*"&amp;$G$30&amp;"*")+COUNTIFS(CFIdb!$Z$2:'CFIdb'!$Z$2000,"*"&amp;B35,CFIdb!$C$2:'CFIdb'!$C$2000,"*Open*",CFIdb!$R$2:'CFIdb'!$R$2000,"*"&amp;$G$30&amp;"*")</f>
        <v>1</v>
      </c>
      <c r="H35" s="14">
        <f>COUNTIFS(CFIdb!$Z$2:'CFIdb'!$Z$2000,"*"&amp;B35,CFIdb!$C$2:'CFIdb'!$C$2000,"*Emerging",CFIdb!$S$2:'CFIdb'!$S$2000,"*"&amp;$H$30&amp;"*")+COUNTIFS(CFIdb!$Z$2:'CFIdb'!$Z$2000,"*"&amp;B35,CFIdb!$C$2:'CFIdb'!$C$2000,"*Open*",CFIdb!$S$2:'CFIdb'!$S$2000,"*"&amp;$H$30&amp;"*")</f>
        <v>1</v>
      </c>
      <c r="I35" s="14">
        <f>COUNTIFS(CFIdb!$Z$2:'CFIdb'!$Z$2000,"*"&amp;B35,CFIdb!$C$2:'CFIdb'!$C$2000,"*Emerging",CFIdb!$S$2:'CFIdb'!$S$2000,"*"&amp;$I$30&amp;"*")+COUNTIFS(CFIdb!$Z$2:'CFIdb'!$Z$2000,"*"&amp;B35,CFIdb!$C$2:'CFIdb'!$C$2000,"*Open*",CFIdb!$S$2:'CFIdb'!$S$2000,"*"&amp;$I$30&amp;"*")</f>
        <v>0</v>
      </c>
      <c r="J35" s="14">
        <f>COUNTIFS(CFIdb!$Z$2:'CFIdb'!$Z$2000,"*"&amp;$B35,CFIdb!$C$2:'CFIdb'!$C$2000,"*Emerging",CFIdb!$S$2:'CFIdb'!$S$2000,"*"&amp;$J$30&amp;"*")+COUNTIFS(CFIdb!$Z$2:'CFIdb'!$Z$2000,"*"&amp;$B35,CFIdb!$C$2:'CFIdb'!$C$2000,"*Open*",CFIdb!$S$2:'CFIdb'!$S$2000,"*"&amp;$J$30&amp;"*")</f>
        <v>0</v>
      </c>
      <c r="K35" s="14">
        <f>COUNTIFS(CFIdb!$Z$2:'CFIdb'!$Z$2000,"*"&amp;$B35,CFIdb!$C$2:'CFIdb'!$C$2000,"*Emerging",CFIdb!$S$2:'CFIdb'!$S$2000,"*"&amp;$K$30&amp;"*")+COUNTIFS(CFIdb!$Z$2:'CFIdb'!$Z$2000,"*"&amp;$B35,CFIdb!$C$2:'CFIdb'!$C$2000,"*Open*",CFIdb!$S$2:'CFIdb'!$S$2000,"*"&amp;$K$30&amp;"*")</f>
        <v>0</v>
      </c>
      <c r="L35" s="14">
        <f>COUNTIFS(CFIdb!$Z$2:'CFIdb'!$Z$2000,"*"&amp;$B35,CFIdb!$C$2:'CFIdb'!$C$2000,"*Emerging",CFIdb!$R$2:'CFIdb'!$R$2000,"*Close*",CFIdb!$S$2:'CFIdb'!$S$2000,"")
+COUNTIFS(CFIdb!$Z$2:'CFIdb'!$Z$2000,"*"&amp;$B35,CFIdb!$C$2:'CFIdb'!$C$2000,"*Open*",CFIdb!$R$2:'CFIdb'!$R$2000,"*Resolve*",CFIdb!$S$2:'CFIdb'!$S$2000,"")
+COUNTIFS(CFIdb!$Z$2:'CFIdb'!$Z$2000,"*"&amp;$B35,CFIdb!$C$2:'CFIdb'!$C$2000,"*Open*",CFIdb!$R$2:'CFIdb'!$R$2000,"*Verified*",CFIdb!$S$2:'CFIdb'!$S$2000,"")
+COUNTIFS(CFIdb!$Z$2:'CFIdb'!$Z$2000,"*"&amp;$B35,CFIdb!$C$2:'CFIdb'!$C$2000,"*Open*",CFIdb!$R$2:'CFIdb'!$R$2000,"*Close*",CFIdb!$S$2:'CFIdb'!$S$2000,"")
+COUNTIFS(CFIdb!$Z$2:'CFIdb'!$Z$2000,"*"&amp;$B35,CFIdb!$C$2:'CFIdb'!$C$2000,"*Emerging",CFIdb!$R$2:'CFIdb'!$R$2000,"*Resolve*",CFIdb!$S$2:'CFIdb'!$S$2000,"")
+COUNTIFS(CFIdb!$Z$2:'CFIdb'!$Z$2000,"*"&amp;$B35,CFIdb!$C$2:'CFIdb'!$C$2000,"*Emerging",CFIdb!$R$2:'CFIdb'!$R$2000,"*Verified*",CFIdb!$S$2:'CFIdb'!$S$2000,"")</f>
        <v>0</v>
      </c>
      <c r="M35" s="14">
        <f>COUNTIFS(CFIdb!$Z$2:'CFIdb'!$Z$2000,"*"&amp;$B35,CFIdb!$C$2:'CFIdb'!$C$2000,"*Emerging",CFIdb!$R$2:'CFIdb'!$R$2000,"")
+COUNTIFS(CFIdb!$Z$2:'CFIdb'!$Z$2000,"*"&amp;$B35,CFIdb!$C$2:'CFIdb'!$C$2000,"*Open*",CFIdb!$R$2:'CFIdb'!$R$2000,"")</f>
        <v>0</v>
      </c>
      <c r="N35" s="14">
        <f>COUNTIFS(CFIdb!$Z$2:'CFIdb'!$Z$2000,"*"&amp;$B35,CFIdb!$C$2:'CFIdb'!$C$2000,"*Emerging",CFIdb!$S$2:'CFIdb'!$S$2000,"*"&amp;$N$30&amp;"*")
+COUNTIFS(CFIdb!$Z$2:'CFIdb'!$Z$2000,"*"&amp;$B35,CFIdb!$C$2:'CFIdb'!$C$2000,"*Open*",CFIdb!$S$2:'CFIdb'!$S$2000,"*"&amp;$N$30&amp;"*")</f>
        <v>0</v>
      </c>
      <c r="O35" t="str">
        <f t="shared" si="7"/>
        <v>3/3</v>
      </c>
      <c r="S35" s="12"/>
    </row>
    <row r="36" spans="2:19" x14ac:dyDescent="0.25">
      <c r="B36" s="12" t="s">
        <v>52</v>
      </c>
      <c r="C36">
        <f>COUNTIFS(CFIdb!$Z$2:'CFIdb'!$Z$2000,"*"&amp;B36,CFIdb!$C$2:'CFIdb'!$C$2000,"*Emerging")+COUNTIFS(CFIdb!$Z$2:'CFIdb'!$Z$2000,"*"&amp;B36,CFIdb!$C$2:'CFIdb'!$C$2000,"*Open*")</f>
        <v>4</v>
      </c>
      <c r="D36" s="13">
        <f t="shared" si="5"/>
        <v>3</v>
      </c>
      <c r="E36" s="14">
        <f t="shared" si="6"/>
        <v>1</v>
      </c>
      <c r="F36" s="13">
        <f>COUNTIFS(CFIdb!$Z$2:'CFIdb'!$Z$2000,"*"&amp;B36,CFIdb!$C$2:'CFIdb'!$C$2000,"*Emerging",CFIdb!$R$2:'CFIdb'!$R$2000,"*"&amp;$F$30&amp;"*")+COUNTIFS(CFIdb!$Z$2:'CFIdb'!$Z$2000,"*"&amp;B36,CFIdb!$C$2:'CFIdb'!$C$2000,"*Open*",CFIdb!$R$2:'CFIdb'!$R$2000,"*"&amp;$F$30&amp;"*")</f>
        <v>1</v>
      </c>
      <c r="G36" s="13">
        <f>COUNTIFS(CFIdb!$Z$2:'CFIdb'!$Z$2000,"*"&amp;B36,CFIdb!$C$2:'CFIdb'!$C$2000,"*Emerging",CFIdb!$R$2:'CFIdb'!$R$2000,"*"&amp;$G$30&amp;"*")+COUNTIFS(CFIdb!$Z$2:'CFIdb'!$Z$2000,"*"&amp;B36,CFIdb!$C$2:'CFIdb'!$C$2000,"*Open*",CFIdb!$R$2:'CFIdb'!$R$2000,"*"&amp;$G$30&amp;"*")</f>
        <v>2</v>
      </c>
      <c r="H36" s="14">
        <f>COUNTIFS(CFIdb!$Z$2:'CFIdb'!$Z$2000,"*"&amp;B36,CFIdb!$C$2:'CFIdb'!$C$2000,"*Emerging",CFIdb!$S$2:'CFIdb'!$S$2000,"*"&amp;$H$30&amp;"*")+COUNTIFS(CFIdb!$Z$2:'CFIdb'!$Z$2000,"*"&amp;B36,CFIdb!$C$2:'CFIdb'!$C$2000,"*Open*",CFIdb!$S$2:'CFIdb'!$S$2000,"*"&amp;$H$30&amp;"*")</f>
        <v>0</v>
      </c>
      <c r="I36" s="14">
        <f>COUNTIFS(CFIdb!$Z$2:'CFIdb'!$Z$2000,"*"&amp;B36,CFIdb!$C$2:'CFIdb'!$C$2000,"*Emerging",CFIdb!$S$2:'CFIdb'!$S$2000,"*"&amp;$I$30&amp;"*")+COUNTIFS(CFIdb!$Z$2:'CFIdb'!$Z$2000,"*"&amp;B36,CFIdb!$C$2:'CFIdb'!$C$2000,"*Open*",CFIdb!$S$2:'CFIdb'!$S$2000,"*"&amp;$I$30&amp;"*")</f>
        <v>1</v>
      </c>
      <c r="J36" s="14">
        <f>COUNTIFS(CFIdb!$Z$2:'CFIdb'!$Z$2000,"*"&amp;$B36,CFIdb!$C$2:'CFIdb'!$C$2000,"*Emerging",CFIdb!$S$2:'CFIdb'!$S$2000,"*"&amp;$J$30&amp;"*")+COUNTIFS(CFIdb!$Z$2:'CFIdb'!$Z$2000,"*"&amp;$B36,CFIdb!$C$2:'CFIdb'!$C$2000,"*Open*",CFIdb!$S$2:'CFIdb'!$S$2000,"*"&amp;$J$30&amp;"*")</f>
        <v>0</v>
      </c>
      <c r="K36" s="14">
        <f>COUNTIFS(CFIdb!$Z$2:'CFIdb'!$Z$2000,"*"&amp;$B36,CFIdb!$C$2:'CFIdb'!$C$2000,"*Emerging",CFIdb!$S$2:'CFIdb'!$S$2000,"*"&amp;$K$30&amp;"*")+COUNTIFS(CFIdb!$Z$2:'CFIdb'!$Z$2000,"*"&amp;$B36,CFIdb!$C$2:'CFIdb'!$C$2000,"*Open*",CFIdb!$S$2:'CFIdb'!$S$2000,"*"&amp;$K$30&amp;"*")</f>
        <v>0</v>
      </c>
      <c r="L36" s="14">
        <f>COUNTIFS(CFIdb!$Z$2:'CFIdb'!$Z$2000,"*"&amp;$B36,CFIdb!$C$2:'CFIdb'!$C$2000,"*Emerging",CFIdb!$R$2:'CFIdb'!$R$2000,"*Close*",CFIdb!$S$2:'CFIdb'!$S$2000,"")
+COUNTIFS(CFIdb!$Z$2:'CFIdb'!$Z$2000,"*"&amp;$B36,CFIdb!$C$2:'CFIdb'!$C$2000,"*Open*",CFIdb!$R$2:'CFIdb'!$R$2000,"*Resolve*",CFIdb!$S$2:'CFIdb'!$S$2000,"")
+COUNTIFS(CFIdb!$Z$2:'CFIdb'!$Z$2000,"*"&amp;$B36,CFIdb!$C$2:'CFIdb'!$C$2000,"*Open*",CFIdb!$R$2:'CFIdb'!$R$2000,"*Verified*",CFIdb!$S$2:'CFIdb'!$S$2000,"")
+COUNTIFS(CFIdb!$Z$2:'CFIdb'!$Z$2000,"*"&amp;$B36,CFIdb!$C$2:'CFIdb'!$C$2000,"*Open*",CFIdb!$R$2:'CFIdb'!$R$2000,"*Close*",CFIdb!$S$2:'CFIdb'!$S$2000,"")
+COUNTIFS(CFIdb!$Z$2:'CFIdb'!$Z$2000,"*"&amp;$B36,CFIdb!$C$2:'CFIdb'!$C$2000,"*Emerging",CFIdb!$R$2:'CFIdb'!$R$2000,"*Resolve*",CFIdb!$S$2:'CFIdb'!$S$2000,"")
+COUNTIFS(CFIdb!$Z$2:'CFIdb'!$Z$2000,"*"&amp;$B36,CFIdb!$C$2:'CFIdb'!$C$2000,"*Emerging",CFIdb!$R$2:'CFIdb'!$R$2000,"*Verified*",CFIdb!$S$2:'CFIdb'!$S$2000,"")</f>
        <v>0</v>
      </c>
      <c r="M36" s="14">
        <f>COUNTIFS(CFIdb!$Z$2:'CFIdb'!$Z$2000,"*"&amp;$B36,CFIdb!$C$2:'CFIdb'!$C$2000,"*Emerging",CFIdb!$R$2:'CFIdb'!$R$2000,"")
+COUNTIFS(CFIdb!$Z$2:'CFIdb'!$Z$2000,"*"&amp;$B36,CFIdb!$C$2:'CFIdb'!$C$2000,"*Open*",CFIdb!$R$2:'CFIdb'!$R$2000,"")</f>
        <v>0</v>
      </c>
      <c r="N36" s="14">
        <f>COUNTIFS(CFIdb!$Z$2:'CFIdb'!$Z$2000,"*"&amp;$B36,CFIdb!$C$2:'CFIdb'!$C$2000,"*Emerging",CFIdb!$S$2:'CFIdb'!$S$2000,"*"&amp;$N$30&amp;"*")
+COUNTIFS(CFIdb!$Z$2:'CFIdb'!$Z$2000,"*"&amp;$B36,CFIdb!$C$2:'CFIdb'!$C$2000,"*Open*",CFIdb!$S$2:'CFIdb'!$S$2000,"*"&amp;$N$30&amp;"*")</f>
        <v>0</v>
      </c>
      <c r="O36" t="str">
        <f t="shared" si="7"/>
        <v>4/4</v>
      </c>
      <c r="S36" s="12"/>
    </row>
    <row r="37" spans="2:19" ht="30" x14ac:dyDescent="0.25">
      <c r="B37" s="12" t="s">
        <v>34</v>
      </c>
      <c r="C37">
        <f>COUNTIFS(CFIdb!$Z$2:'CFIdb'!$Z$2000,"*"&amp;B37,CFIdb!$C$2:'CFIdb'!$C$2000,"*Emerging")+COUNTIFS(CFIdb!$Z$2:'CFIdb'!$Z$2000,"*"&amp;B37,CFIdb!$C$2:'CFIdb'!$C$2000,"*Open*")</f>
        <v>18</v>
      </c>
      <c r="D37" s="13">
        <f t="shared" ref="D37:D43" si="11">SUM(F37:G37)</f>
        <v>7</v>
      </c>
      <c r="E37" s="14">
        <f t="shared" ref="E37:E43" si="12">SUM(H37:N37)</f>
        <v>11</v>
      </c>
      <c r="F37" s="13">
        <f>COUNTIFS(CFIdb!$Z$2:'CFIdb'!$Z$2000,"*"&amp;B37,CFIdb!$C$2:'CFIdb'!$C$2000,"*Emerging",CFIdb!$R$2:'CFIdb'!$R$2000,"*"&amp;$F$30&amp;"*")+COUNTIFS(CFIdb!$Z$2:'CFIdb'!$Z$2000,"*"&amp;B37,CFIdb!$C$2:'CFIdb'!$C$2000,"*Open*",CFIdb!$R$2:'CFIdb'!$R$2000,"*"&amp;$F$30&amp;"*")</f>
        <v>5</v>
      </c>
      <c r="G37" s="13">
        <f>COUNTIFS(CFIdb!$Z$2:'CFIdb'!$Z$2000,"*"&amp;B37,CFIdb!$C$2:'CFIdb'!$C$2000,"*Emerging",CFIdb!$R$2:'CFIdb'!$R$2000,"*"&amp;$G$30&amp;"*")+COUNTIFS(CFIdb!$Z$2:'CFIdb'!$Z$2000,"*"&amp;B37,CFIdb!$C$2:'CFIdb'!$C$2000,"*Open*",CFIdb!$R$2:'CFIdb'!$R$2000,"*"&amp;$G$30&amp;"*")</f>
        <v>2</v>
      </c>
      <c r="H37" s="14">
        <f>COUNTIFS(CFIdb!$Z$2:'CFIdb'!$Z$2000,"*"&amp;B37,CFIdb!$C$2:'CFIdb'!$C$2000,"*Emerging",CFIdb!$S$2:'CFIdb'!$S$2000,"*"&amp;$H$30&amp;"*")+COUNTIFS(CFIdb!$Z$2:'CFIdb'!$Z$2000,"*"&amp;B37,CFIdb!$C$2:'CFIdb'!$C$2000,"*Open*",CFIdb!$S$2:'CFIdb'!$S$2000,"*"&amp;$H$30&amp;"*")</f>
        <v>8</v>
      </c>
      <c r="I37" s="14">
        <f>COUNTIFS(CFIdb!$Z$2:'CFIdb'!$Z$2000,"*"&amp;B37,CFIdb!$C$2:'CFIdb'!$C$2000,"*Emerging",CFIdb!$S$2:'CFIdb'!$S$2000,"*"&amp;$I$30&amp;"*")+COUNTIFS(CFIdb!$Z$2:'CFIdb'!$Z$2000,"*"&amp;B37,CFIdb!$C$2:'CFIdb'!$C$2000,"*Open*",CFIdb!$S$2:'CFIdb'!$S$2000,"*"&amp;$I$30&amp;"*")</f>
        <v>3</v>
      </c>
      <c r="J37" s="14">
        <f>COUNTIFS(CFIdb!$Z$2:'CFIdb'!$Z$2000,"*"&amp;$B37,CFIdb!$C$2:'CFIdb'!$C$2000,"*Emerging",CFIdb!$S$2:'CFIdb'!$S$2000,"*"&amp;$J$30&amp;"*")+COUNTIFS(CFIdb!$Z$2:'CFIdb'!$Z$2000,"*"&amp;$B37,CFIdb!$C$2:'CFIdb'!$C$2000,"*Open*",CFIdb!$S$2:'CFIdb'!$S$2000,"*"&amp;$J$30&amp;"*")</f>
        <v>0</v>
      </c>
      <c r="K37" s="14">
        <f>COUNTIFS(CFIdb!$Z$2:'CFIdb'!$Z$2000,"*"&amp;$B37,CFIdb!$C$2:'CFIdb'!$C$2000,"*Emerging",CFIdb!$S$2:'CFIdb'!$S$2000,"*"&amp;$K$30&amp;"*")+COUNTIFS(CFIdb!$Z$2:'CFIdb'!$Z$2000,"*"&amp;$B37,CFIdb!$C$2:'CFIdb'!$C$2000,"*Open*",CFIdb!$S$2:'CFIdb'!$S$2000,"*"&amp;$K$30&amp;"*")</f>
        <v>0</v>
      </c>
      <c r="L37" s="14">
        <f>COUNTIFS(CFIdb!$Z$2:'CFIdb'!$Z$2000,"*"&amp;$B37,CFIdb!$C$2:'CFIdb'!$C$2000,"*Emerging",CFIdb!$R$2:'CFIdb'!$R$2000,"*Close*",CFIdb!$S$2:'CFIdb'!$S$2000,"")
+COUNTIFS(CFIdb!$Z$2:'CFIdb'!$Z$2000,"*"&amp;$B37,CFIdb!$C$2:'CFIdb'!$C$2000,"*Open*",CFIdb!$R$2:'CFIdb'!$R$2000,"*Resolve*",CFIdb!$S$2:'CFIdb'!$S$2000,"")
+COUNTIFS(CFIdb!$Z$2:'CFIdb'!$Z$2000,"*"&amp;$B37,CFIdb!$C$2:'CFIdb'!$C$2000,"*Open*",CFIdb!$R$2:'CFIdb'!$R$2000,"*Verified*",CFIdb!$S$2:'CFIdb'!$S$2000,"")
+COUNTIFS(CFIdb!$Z$2:'CFIdb'!$Z$2000,"*"&amp;$B37,CFIdb!$C$2:'CFIdb'!$C$2000,"*Open*",CFIdb!$R$2:'CFIdb'!$R$2000,"*Close*",CFIdb!$S$2:'CFIdb'!$S$2000,"")
+COUNTIFS(CFIdb!$Z$2:'CFIdb'!$Z$2000,"*"&amp;$B37,CFIdb!$C$2:'CFIdb'!$C$2000,"*Emerging",CFIdb!$R$2:'CFIdb'!$R$2000,"*Resolve*",CFIdb!$S$2:'CFIdb'!$S$2000,"")
+COUNTIFS(CFIdb!$Z$2:'CFIdb'!$Z$2000,"*"&amp;$B37,CFIdb!$C$2:'CFIdb'!$C$2000,"*Emerging",CFIdb!$R$2:'CFIdb'!$R$2000,"*Verified*",CFIdb!$S$2:'CFIdb'!$S$2000,"")</f>
        <v>0</v>
      </c>
      <c r="M37" s="14">
        <f>COUNTIFS(CFIdb!$Z$2:'CFIdb'!$Z$2000,"*"&amp;$B37,CFIdb!$C$2:'CFIdb'!$C$2000,"*Emerging",CFIdb!$R$2:'CFIdb'!$R$2000,"")
+COUNTIFS(CFIdb!$Z$2:'CFIdb'!$Z$2000,"*"&amp;$B37,CFIdb!$C$2:'CFIdb'!$C$2000,"*Open*",CFIdb!$R$2:'CFIdb'!$R$2000,"")</f>
        <v>0</v>
      </c>
      <c r="N37" s="14">
        <f>COUNTIFS(CFIdb!$Z$2:'CFIdb'!$Z$2000,"*"&amp;$B37,CFIdb!$C$2:'CFIdb'!$C$2000,"*Emerging",CFIdb!$S$2:'CFIdb'!$S$2000,"*"&amp;$N$30&amp;"*")
+COUNTIFS(CFIdb!$Z$2:'CFIdb'!$Z$2000,"*"&amp;$B37,CFIdb!$C$2:'CFIdb'!$C$2000,"*Open*",CFIdb!$S$2:'CFIdb'!$S$2000,"*"&amp;$N$30&amp;"*")</f>
        <v>0</v>
      </c>
      <c r="O37" t="str">
        <f t="shared" si="7"/>
        <v>18/18</v>
      </c>
      <c r="S37" s="12"/>
    </row>
    <row r="38" spans="2:19" ht="30" x14ac:dyDescent="0.25">
      <c r="B38" s="12" t="s">
        <v>2529</v>
      </c>
      <c r="C38">
        <f>COUNTIFS(CFIdb!$Z$2:'CFIdb'!$Z$2000,"*"&amp;B38,CFIdb!$C$2:'CFIdb'!$C$2000,"*Emerging")+COUNTIFS(CFIdb!$Z$2:'CFIdb'!$Z$2000,"*"&amp;B38,CFIdb!$C$2:'CFIdb'!$C$2000,"*Open*")</f>
        <v>0</v>
      </c>
      <c r="D38" s="13">
        <f t="shared" ref="D38" si="13">SUM(F38:G38)</f>
        <v>0</v>
      </c>
      <c r="E38" s="14">
        <f t="shared" ref="E38" si="14">SUM(H38:N38)</f>
        <v>0</v>
      </c>
      <c r="F38" s="13">
        <f>COUNTIFS(CFIdb!$Z$2:'CFIdb'!$Z$2000,"*"&amp;B38,CFIdb!$C$2:'CFIdb'!$C$2000,"*Emerging",CFIdb!$R$2:'CFIdb'!$R$2000,"*"&amp;$F$30&amp;"*")+COUNTIFS(CFIdb!$Z$2:'CFIdb'!$Z$2000,"*"&amp;B38,CFIdb!$C$2:'CFIdb'!$C$2000,"*Open*",CFIdb!$R$2:'CFIdb'!$R$2000,"*"&amp;$F$30&amp;"*")</f>
        <v>0</v>
      </c>
      <c r="G38" s="13">
        <f>COUNTIFS(CFIdb!$Z$2:'CFIdb'!$Z$2000,"*"&amp;B38,CFIdb!$C$2:'CFIdb'!$C$2000,"*Emerging",CFIdb!$R$2:'CFIdb'!$R$2000,"*"&amp;$G$30&amp;"*")+COUNTIFS(CFIdb!$Z$2:'CFIdb'!$Z$2000,"*"&amp;B38,CFIdb!$C$2:'CFIdb'!$C$2000,"*Open*",CFIdb!$R$2:'CFIdb'!$R$2000,"*"&amp;$G$30&amp;"*")</f>
        <v>0</v>
      </c>
      <c r="H38" s="14">
        <f>COUNTIFS(CFIdb!$Z$2:'CFIdb'!$Z$2000,"*"&amp;B38,CFIdb!$C$2:'CFIdb'!$C$2000,"*Emerging",CFIdb!$S$2:'CFIdb'!$S$2000,"*"&amp;$H$30&amp;"*")+COUNTIFS(CFIdb!$Z$2:'CFIdb'!$Z$2000,"*"&amp;B38,CFIdb!$C$2:'CFIdb'!$C$2000,"*Open*",CFIdb!$S$2:'CFIdb'!$S$2000,"*"&amp;$H$30&amp;"*")</f>
        <v>0</v>
      </c>
      <c r="I38" s="14">
        <f>COUNTIFS(CFIdb!$Z$2:'CFIdb'!$Z$2000,"*"&amp;B38,CFIdb!$C$2:'CFIdb'!$C$2000,"*Emerging",CFIdb!$S$2:'CFIdb'!$S$2000,"*"&amp;$I$30&amp;"*")+COUNTIFS(CFIdb!$Z$2:'CFIdb'!$Z$2000,"*"&amp;B38,CFIdb!$C$2:'CFIdb'!$C$2000,"*Open*",CFIdb!$S$2:'CFIdb'!$S$2000,"*"&amp;$I$30&amp;"*")</f>
        <v>0</v>
      </c>
      <c r="J38" s="14">
        <f>COUNTIFS(CFIdb!$Z$2:'CFIdb'!$Z$2000,"*"&amp;$B38,CFIdb!$C$2:'CFIdb'!$C$2000,"*Emerging",CFIdb!$S$2:'CFIdb'!$S$2000,"*"&amp;$J$30&amp;"*")+COUNTIFS(CFIdb!$Z$2:'CFIdb'!$Z$2000,"*"&amp;$B38,CFIdb!$C$2:'CFIdb'!$C$2000,"*Open*",CFIdb!$S$2:'CFIdb'!$S$2000,"*"&amp;$J$30&amp;"*")</f>
        <v>0</v>
      </c>
      <c r="K38" s="14">
        <f>COUNTIFS(CFIdb!$Z$2:'CFIdb'!$Z$2000,"*"&amp;$B38,CFIdb!$C$2:'CFIdb'!$C$2000,"*Emerging",CFIdb!$S$2:'CFIdb'!$S$2000,"*"&amp;$K$30&amp;"*")+COUNTIFS(CFIdb!$Z$2:'CFIdb'!$Z$2000,"*"&amp;$B38,CFIdb!$C$2:'CFIdb'!$C$2000,"*Open*",CFIdb!$S$2:'CFIdb'!$S$2000,"*"&amp;$K$30&amp;"*")</f>
        <v>0</v>
      </c>
      <c r="L38" s="14">
        <f>COUNTIFS(CFIdb!$Z$2:'CFIdb'!$Z$2000,"*"&amp;$B38,CFIdb!$C$2:'CFIdb'!$C$2000,"*Emerging",CFIdb!$R$2:'CFIdb'!$R$2000,"*Close*",CFIdb!$S$2:'CFIdb'!$S$2000,"")
+COUNTIFS(CFIdb!$Z$2:'CFIdb'!$Z$2000,"*"&amp;$B38,CFIdb!$C$2:'CFIdb'!$C$2000,"*Open*",CFIdb!$R$2:'CFIdb'!$R$2000,"*Resolve*",CFIdb!$S$2:'CFIdb'!$S$2000,"")
+COUNTIFS(CFIdb!$Z$2:'CFIdb'!$Z$2000,"*"&amp;$B38,CFIdb!$C$2:'CFIdb'!$C$2000,"*Open*",CFIdb!$R$2:'CFIdb'!$R$2000,"*Verified*",CFIdb!$S$2:'CFIdb'!$S$2000,"")
+COUNTIFS(CFIdb!$Z$2:'CFIdb'!$Z$2000,"*"&amp;$B38,CFIdb!$C$2:'CFIdb'!$C$2000,"*Open*",CFIdb!$R$2:'CFIdb'!$R$2000,"*Close*",CFIdb!$S$2:'CFIdb'!$S$2000,"")
+COUNTIFS(CFIdb!$Z$2:'CFIdb'!$Z$2000,"*"&amp;$B38,CFIdb!$C$2:'CFIdb'!$C$2000,"*Emerging",CFIdb!$R$2:'CFIdb'!$R$2000,"*Resolve*",CFIdb!$S$2:'CFIdb'!$S$2000,"")
+COUNTIFS(CFIdb!$Z$2:'CFIdb'!$Z$2000,"*"&amp;$B38,CFIdb!$C$2:'CFIdb'!$C$2000,"*Emerging",CFIdb!$R$2:'CFIdb'!$R$2000,"*Verified*",CFIdb!$S$2:'CFIdb'!$S$2000,"")</f>
        <v>0</v>
      </c>
      <c r="M38" s="14">
        <f>COUNTIFS(CFIdb!$Z$2:'CFIdb'!$Z$2000,"*"&amp;$B38,CFIdb!$C$2:'CFIdb'!$C$2000,"*Emerging",CFIdb!$R$2:'CFIdb'!$R$2000,"")
+COUNTIFS(CFIdb!$Z$2:'CFIdb'!$Z$2000,"*"&amp;$B38,CFIdb!$C$2:'CFIdb'!$C$2000,"*Open*",CFIdb!$R$2:'CFIdb'!$R$2000,"")</f>
        <v>0</v>
      </c>
      <c r="N38" s="14">
        <f>COUNTIFS(CFIdb!$Z$2:'CFIdb'!$Z$2000,"*"&amp;$B38,CFIdb!$C$2:'CFIdb'!$C$2000,"*Emerging",CFIdb!$S$2:'CFIdb'!$S$2000,"*"&amp;$N$30&amp;"*")
+COUNTIFS(CFIdb!$Z$2:'CFIdb'!$Z$2000,"*"&amp;$B38,CFIdb!$C$2:'CFIdb'!$C$2000,"*Open*",CFIdb!$S$2:'CFIdb'!$S$2000,"*"&amp;$N$30&amp;"*")</f>
        <v>0</v>
      </c>
      <c r="O38" t="str">
        <f t="shared" ref="O38" si="15">CONCATENATE(C38,"/",SUM(F38:N38))</f>
        <v>0/0</v>
      </c>
      <c r="S38" s="12"/>
    </row>
    <row r="39" spans="2:19" ht="45" x14ac:dyDescent="0.25">
      <c r="B39" s="12" t="s">
        <v>195</v>
      </c>
      <c r="C39">
        <f>COUNTIFS(CFIdb!$Z$2:'CFIdb'!$Z$2000,"*"&amp;B39,CFIdb!$C$2:'CFIdb'!$C$2000,"*Emerging")+COUNTIFS(CFIdb!$Z$2:'CFIdb'!$Z$2000,"*"&amp;B39,CFIdb!$C$2:'CFIdb'!$C$2000,"*Open*")</f>
        <v>4</v>
      </c>
      <c r="D39" s="13">
        <f t="shared" si="11"/>
        <v>1</v>
      </c>
      <c r="E39" s="14">
        <f t="shared" si="12"/>
        <v>3</v>
      </c>
      <c r="F39" s="13">
        <f>COUNTIFS(CFIdb!$Z$2:'CFIdb'!$Z$2000,"*"&amp;B39,CFIdb!$C$2:'CFIdb'!$C$2000,"*Emerging",CFIdb!$R$2:'CFIdb'!$R$2000,"*"&amp;$F$30&amp;"*")+COUNTIFS(CFIdb!$Z$2:'CFIdb'!$Z$2000,"*"&amp;B39,CFIdb!$C$2:'CFIdb'!$C$2000,"*Open*",CFIdb!$R$2:'CFIdb'!$R$2000,"*"&amp;$F$30&amp;"*")</f>
        <v>1</v>
      </c>
      <c r="G39" s="13">
        <f>COUNTIFS(CFIdb!$Z$2:'CFIdb'!$Z$2000,"*"&amp;B39,CFIdb!$C$2:'CFIdb'!$C$2000,"*Emerging",CFIdb!$R$2:'CFIdb'!$R$2000,"*"&amp;$G$30&amp;"*")+COUNTIFS(CFIdb!$Z$2:'CFIdb'!$Z$2000,"*"&amp;B39,CFIdb!$C$2:'CFIdb'!$C$2000,"*Open*",CFIdb!$R$2:'CFIdb'!$R$2000,"*"&amp;$G$30&amp;"*")</f>
        <v>0</v>
      </c>
      <c r="H39" s="14">
        <f>COUNTIFS(CFIdb!$Z$2:'CFIdb'!$Z$2000,"*"&amp;B39,CFIdb!$C$2:'CFIdb'!$C$2000,"*Emerging",CFIdb!$S$2:'CFIdb'!$S$2000,"*"&amp;$H$30&amp;"*")+COUNTIFS(CFIdb!$Z$2:'CFIdb'!$Z$2000,"*"&amp;B39,CFIdb!$C$2:'CFIdb'!$C$2000,"*Open*",CFIdb!$S$2:'CFIdb'!$S$2000,"*"&amp;$H$30&amp;"*")</f>
        <v>2</v>
      </c>
      <c r="I39" s="14">
        <f>COUNTIFS(CFIdb!$Z$2:'CFIdb'!$Z$2000,"*"&amp;B39,CFIdb!$C$2:'CFIdb'!$C$2000,"*Emerging",CFIdb!$S$2:'CFIdb'!$S$2000,"*"&amp;$I$30&amp;"*")+COUNTIFS(CFIdb!$Z$2:'CFIdb'!$Z$2000,"*"&amp;B39,CFIdb!$C$2:'CFIdb'!$C$2000,"*Open*",CFIdb!$S$2:'CFIdb'!$S$2000,"*"&amp;$I$30&amp;"*")</f>
        <v>1</v>
      </c>
      <c r="J39" s="14">
        <f>COUNTIFS(CFIdb!$Z$2:'CFIdb'!$Z$2000,"*"&amp;$B39,CFIdb!$C$2:'CFIdb'!$C$2000,"*Emerging",CFIdb!$S$2:'CFIdb'!$S$2000,"*"&amp;$J$30&amp;"*")+COUNTIFS(CFIdb!$Z$2:'CFIdb'!$Z$2000,"*"&amp;$B39,CFIdb!$C$2:'CFIdb'!$C$2000,"*Open*",CFIdb!$S$2:'CFIdb'!$S$2000,"*"&amp;$J$30&amp;"*")</f>
        <v>0</v>
      </c>
      <c r="K39" s="14">
        <f>COUNTIFS(CFIdb!$Z$2:'CFIdb'!$Z$2000,"*"&amp;$B39,CFIdb!$C$2:'CFIdb'!$C$2000,"*Emerging",CFIdb!$S$2:'CFIdb'!$S$2000,"*"&amp;$K$30&amp;"*")+COUNTIFS(CFIdb!$Z$2:'CFIdb'!$Z$2000,"*"&amp;$B39,CFIdb!$C$2:'CFIdb'!$C$2000,"*Open*",CFIdb!$S$2:'CFIdb'!$S$2000,"*"&amp;$K$30&amp;"*")</f>
        <v>0</v>
      </c>
      <c r="L39" s="14">
        <f>COUNTIFS(CFIdb!$Z$2:'CFIdb'!$Z$2000,"*"&amp;$B39,CFIdb!$C$2:'CFIdb'!$C$2000,"*Emerging",CFIdb!$R$2:'CFIdb'!$R$2000,"*Close*",CFIdb!$S$2:'CFIdb'!$S$2000,"")
+COUNTIFS(CFIdb!$Z$2:'CFIdb'!$Z$2000,"*"&amp;$B39,CFIdb!$C$2:'CFIdb'!$C$2000,"*Open*",CFIdb!$R$2:'CFIdb'!$R$2000,"*Resolve*",CFIdb!$S$2:'CFIdb'!$S$2000,"")
+COUNTIFS(CFIdb!$Z$2:'CFIdb'!$Z$2000,"*"&amp;$B39,CFIdb!$C$2:'CFIdb'!$C$2000,"*Open*",CFIdb!$R$2:'CFIdb'!$R$2000,"*Verified*",CFIdb!$S$2:'CFIdb'!$S$2000,"")
+COUNTIFS(CFIdb!$Z$2:'CFIdb'!$Z$2000,"*"&amp;$B39,CFIdb!$C$2:'CFIdb'!$C$2000,"*Open*",CFIdb!$R$2:'CFIdb'!$R$2000,"*Close*",CFIdb!$S$2:'CFIdb'!$S$2000,"")
+COUNTIFS(CFIdb!$Z$2:'CFIdb'!$Z$2000,"*"&amp;$B39,CFIdb!$C$2:'CFIdb'!$C$2000,"*Emerging",CFIdb!$R$2:'CFIdb'!$R$2000,"*Resolve*",CFIdb!$S$2:'CFIdb'!$S$2000,"")
+COUNTIFS(CFIdb!$Z$2:'CFIdb'!$Z$2000,"*"&amp;$B39,CFIdb!$C$2:'CFIdb'!$C$2000,"*Emerging",CFIdb!$R$2:'CFIdb'!$R$2000,"*Verified*",CFIdb!$S$2:'CFIdb'!$S$2000,"")</f>
        <v>0</v>
      </c>
      <c r="M39" s="14">
        <f>COUNTIFS(CFIdb!$Z$2:'CFIdb'!$Z$2000,"*"&amp;$B39,CFIdb!$C$2:'CFIdb'!$C$2000,"*Emerging",CFIdb!$R$2:'CFIdb'!$R$2000,"")
+COUNTIFS(CFIdb!$Z$2:'CFIdb'!$Z$2000,"*"&amp;$B39,CFIdb!$C$2:'CFIdb'!$C$2000,"*Open*",CFIdb!$R$2:'CFIdb'!$R$2000,"")</f>
        <v>0</v>
      </c>
      <c r="N39" s="14">
        <f>COUNTIFS(CFIdb!$Z$2:'CFIdb'!$Z$2000,"*"&amp;$B39,CFIdb!$C$2:'CFIdb'!$C$2000,"*Emerging",CFIdb!$S$2:'CFIdb'!$S$2000,"*"&amp;$N$30&amp;"*")
+COUNTIFS(CFIdb!$Z$2:'CFIdb'!$Z$2000,"*"&amp;$B39,CFIdb!$C$2:'CFIdb'!$C$2000,"*Open*",CFIdb!$S$2:'CFIdb'!$S$2000,"*"&amp;$N$30&amp;"*")</f>
        <v>0</v>
      </c>
      <c r="O39" t="str">
        <f t="shared" si="7"/>
        <v>4/4</v>
      </c>
      <c r="S39" s="12"/>
    </row>
    <row r="40" spans="2:19" x14ac:dyDescent="0.25">
      <c r="B40" s="12" t="s">
        <v>408</v>
      </c>
      <c r="C40">
        <f>COUNTIFS(CFIdb!$Z$2:'CFIdb'!$Z$2000,"*"&amp;B40,CFIdb!$C$2:'CFIdb'!$C$2000,"*Emerging")+COUNTIFS(CFIdb!$Z$2:'CFIdb'!$Z$2000,"*"&amp;B40,CFIdb!$C$2:'CFIdb'!$C$2000,"*Open*")</f>
        <v>1</v>
      </c>
      <c r="D40" s="13">
        <f t="shared" si="11"/>
        <v>0</v>
      </c>
      <c r="E40" s="14">
        <f t="shared" si="12"/>
        <v>1</v>
      </c>
      <c r="F40" s="13">
        <f>COUNTIFS(CFIdb!$Z$2:'CFIdb'!$Z$2000,"*"&amp;B40,CFIdb!$C$2:'CFIdb'!$C$2000,"*Emerging",CFIdb!$R$2:'CFIdb'!$R$2000,"*"&amp;$F$30&amp;"*")+COUNTIFS(CFIdb!$Z$2:'CFIdb'!$Z$2000,"*"&amp;B40,CFIdb!$C$2:'CFIdb'!$C$2000,"*Open*",CFIdb!$R$2:'CFIdb'!$R$2000,"*"&amp;$F$30&amp;"*")</f>
        <v>0</v>
      </c>
      <c r="G40" s="13">
        <f>COUNTIFS(CFIdb!$Z$2:'CFIdb'!$Z$2000,"*"&amp;B40,CFIdb!$C$2:'CFIdb'!$C$2000,"*Emerging",CFIdb!$R$2:'CFIdb'!$R$2000,"*"&amp;$G$30&amp;"*")+COUNTIFS(CFIdb!$Z$2:'CFIdb'!$Z$2000,"*"&amp;B40,CFIdb!$C$2:'CFIdb'!$C$2000,"*Open*",CFIdb!$R$2:'CFIdb'!$R$2000,"*"&amp;$G$30&amp;"*")</f>
        <v>0</v>
      </c>
      <c r="H40" s="14">
        <f>COUNTIFS(CFIdb!$Z$2:'CFIdb'!$Z$2000,"*"&amp;B40,CFIdb!$C$2:'CFIdb'!$C$2000,"*Emerging",CFIdb!$S$2:'CFIdb'!$S$2000,"*"&amp;$H$30&amp;"*")+COUNTIFS(CFIdb!$Z$2:'CFIdb'!$Z$2000,"*"&amp;B40,CFIdb!$C$2:'CFIdb'!$C$2000,"*Open*",CFIdb!$S$2:'CFIdb'!$S$2000,"*"&amp;$H$30&amp;"*")</f>
        <v>1</v>
      </c>
      <c r="I40" s="14">
        <f>COUNTIFS(CFIdb!$Z$2:'CFIdb'!$Z$2000,"*"&amp;B40,CFIdb!$C$2:'CFIdb'!$C$2000,"*Emerging",CFIdb!$S$2:'CFIdb'!$S$2000,"*"&amp;$I$30&amp;"*")+COUNTIFS(CFIdb!$Z$2:'CFIdb'!$Z$2000,"*"&amp;B40,CFIdb!$C$2:'CFIdb'!$C$2000,"*Open*",CFIdb!$S$2:'CFIdb'!$S$2000,"*"&amp;$I$30&amp;"*")</f>
        <v>0</v>
      </c>
      <c r="J40" s="14">
        <f>COUNTIFS(CFIdb!$Z$2:'CFIdb'!$Z$2000,"*"&amp;$B40,CFIdb!$C$2:'CFIdb'!$C$2000,"*Emerging",CFIdb!$S$2:'CFIdb'!$S$2000,"*"&amp;$J$30&amp;"*")+COUNTIFS(CFIdb!$Z$2:'CFIdb'!$Z$2000,"*"&amp;$B40,CFIdb!$C$2:'CFIdb'!$C$2000,"*Open*",CFIdb!$S$2:'CFIdb'!$S$2000,"*"&amp;$J$30&amp;"*")</f>
        <v>0</v>
      </c>
      <c r="K40" s="14">
        <f>COUNTIFS(CFIdb!$Z$2:'CFIdb'!$Z$2000,"*"&amp;$B40,CFIdb!$C$2:'CFIdb'!$C$2000,"*Emerging",CFIdb!$S$2:'CFIdb'!$S$2000,"*"&amp;$K$30&amp;"*")+COUNTIFS(CFIdb!$Z$2:'CFIdb'!$Z$2000,"*"&amp;$B40,CFIdb!$C$2:'CFIdb'!$C$2000,"*Open*",CFIdb!$S$2:'CFIdb'!$S$2000,"*"&amp;$K$30&amp;"*")</f>
        <v>0</v>
      </c>
      <c r="L40" s="14">
        <f>COUNTIFS(CFIdb!$Z$2:'CFIdb'!$Z$2000,"*"&amp;$B40,CFIdb!$C$2:'CFIdb'!$C$2000,"*Emerging",CFIdb!$R$2:'CFIdb'!$R$2000,"*Close*",CFIdb!$S$2:'CFIdb'!$S$2000,"")
+COUNTIFS(CFIdb!$Z$2:'CFIdb'!$Z$2000,"*"&amp;$B40,CFIdb!$C$2:'CFIdb'!$C$2000,"*Open*",CFIdb!$R$2:'CFIdb'!$R$2000,"*Resolve*",CFIdb!$S$2:'CFIdb'!$S$2000,"")
+COUNTIFS(CFIdb!$Z$2:'CFIdb'!$Z$2000,"*"&amp;$B40,CFIdb!$C$2:'CFIdb'!$C$2000,"*Open*",CFIdb!$R$2:'CFIdb'!$R$2000,"*Verified*",CFIdb!$S$2:'CFIdb'!$S$2000,"")
+COUNTIFS(CFIdb!$Z$2:'CFIdb'!$Z$2000,"*"&amp;$B40,CFIdb!$C$2:'CFIdb'!$C$2000,"*Open*",CFIdb!$R$2:'CFIdb'!$R$2000,"*Close*",CFIdb!$S$2:'CFIdb'!$S$2000,"")
+COUNTIFS(CFIdb!$Z$2:'CFIdb'!$Z$2000,"*"&amp;$B40,CFIdb!$C$2:'CFIdb'!$C$2000,"*Emerging",CFIdb!$R$2:'CFIdb'!$R$2000,"*Resolve*",CFIdb!$S$2:'CFIdb'!$S$2000,"")
+COUNTIFS(CFIdb!$Z$2:'CFIdb'!$Z$2000,"*"&amp;$B40,CFIdb!$C$2:'CFIdb'!$C$2000,"*Emerging",CFIdb!$R$2:'CFIdb'!$R$2000,"*Verified*",CFIdb!$S$2:'CFIdb'!$S$2000,"")</f>
        <v>0</v>
      </c>
      <c r="M40" s="14">
        <f>COUNTIFS(CFIdb!$Z$2:'CFIdb'!$Z$2000,"*"&amp;$B40,CFIdb!$C$2:'CFIdb'!$C$2000,"*Emerging",CFIdb!$R$2:'CFIdb'!$R$2000,"")
+COUNTIFS(CFIdb!$Z$2:'CFIdb'!$Z$2000,"*"&amp;$B40,CFIdb!$C$2:'CFIdb'!$C$2000,"*Open*",CFIdb!$R$2:'CFIdb'!$R$2000,"")</f>
        <v>0</v>
      </c>
      <c r="N40" s="14">
        <f>COUNTIFS(CFIdb!$Z$2:'CFIdb'!$Z$2000,"*"&amp;$B40,CFIdb!$C$2:'CFIdb'!$C$2000,"*Emerging",CFIdb!$S$2:'CFIdb'!$S$2000,"*"&amp;$N$30&amp;"*")
+COUNTIFS(CFIdb!$Z$2:'CFIdb'!$Z$2000,"*"&amp;$B40,CFIdb!$C$2:'CFIdb'!$C$2000,"*Open*",CFIdb!$S$2:'CFIdb'!$S$2000,"*"&amp;$N$30&amp;"*")</f>
        <v>0</v>
      </c>
      <c r="O40" t="str">
        <f t="shared" si="7"/>
        <v>1/1</v>
      </c>
      <c r="S40" s="12"/>
    </row>
    <row r="41" spans="2:19" ht="30" x14ac:dyDescent="0.25">
      <c r="B41" s="12" t="s">
        <v>4741</v>
      </c>
      <c r="C41">
        <f>COUNTIFS(CFIdb!$Z$2:'CFIdb'!$Z$2000,"*"&amp;B41,CFIdb!$C$2:'CFIdb'!$C$2000,"*Emerging")+COUNTIFS(CFIdb!$Z$2:'CFIdb'!$Z$2000,"*"&amp;B41,CFIdb!$C$2:'CFIdb'!$C$2000,"*Open*")</f>
        <v>1</v>
      </c>
      <c r="D41" s="13">
        <f>SUM(F41:G41)</f>
        <v>0</v>
      </c>
      <c r="E41" s="14">
        <f>SUM(H41:N41)</f>
        <v>1</v>
      </c>
      <c r="F41" s="13">
        <f>COUNTIFS(CFIdb!$Z$2:'CFIdb'!$Z$2000,"*"&amp;B41,CFIdb!$C$2:'CFIdb'!$C$2000,"*Emerging",CFIdb!$R$2:'CFIdb'!$R$2000,"*"&amp;$F$30&amp;"*")+COUNTIFS(CFIdb!$Z$2:'CFIdb'!$Z$2000,"*"&amp;B41,CFIdb!$C$2:'CFIdb'!$C$2000,"*Open*",CFIdb!$R$2:'CFIdb'!$R$2000,"*"&amp;$F$30&amp;"*")</f>
        <v>0</v>
      </c>
      <c r="G41" s="13">
        <f>COUNTIFS(CFIdb!$Z$2:'CFIdb'!$Z$2000,"*"&amp;B41,CFIdb!$C$2:'CFIdb'!$C$2000,"*Emerging",CFIdb!$R$2:'CFIdb'!$R$2000,"*"&amp;$G$30&amp;"*")+COUNTIFS(CFIdb!$Z$2:'CFIdb'!$Z$2000,"*"&amp;B41,CFIdb!$C$2:'CFIdb'!$C$2000,"*Open*",CFIdb!$R$2:'CFIdb'!$R$2000,"*"&amp;$G$30&amp;"*")</f>
        <v>0</v>
      </c>
      <c r="H41" s="14">
        <f>COUNTIFS(CFIdb!$Z$2:'CFIdb'!$Z$2000,"*"&amp;B41,CFIdb!$C$2:'CFIdb'!$C$2000,"*Emerging",CFIdb!$S$2:'CFIdb'!$S$2000,"*"&amp;$H$30&amp;"*")+COUNTIFS(CFIdb!$Z$2:'CFIdb'!$Z$2000,"*"&amp;B41,CFIdb!$C$2:'CFIdb'!$C$2000,"*Open*",CFIdb!$S$2:'CFIdb'!$S$2000,"*"&amp;$H$30&amp;"*")</f>
        <v>1</v>
      </c>
      <c r="I41" s="14">
        <f>COUNTIFS(CFIdb!$Z$2:'CFIdb'!$Z$2000,"*"&amp;B41,CFIdb!$C$2:'CFIdb'!$C$2000,"*Emerging",CFIdb!$S$2:'CFIdb'!$S$2000,"*"&amp;$I$30&amp;"*")+COUNTIFS(CFIdb!$Z$2:'CFIdb'!$Z$2000,"*"&amp;B41,CFIdb!$C$2:'CFIdb'!$C$2000,"*Open*",CFIdb!$S$2:'CFIdb'!$S$2000,"*"&amp;$I$30&amp;"*")</f>
        <v>0</v>
      </c>
      <c r="J41" s="14">
        <f>COUNTIFS(CFIdb!$Z$2:'CFIdb'!$Z$2000,"*"&amp;$B41,CFIdb!$C$2:'CFIdb'!$C$2000,"*Emerging",CFIdb!$S$2:'CFIdb'!$S$2000,"*"&amp;$J$30&amp;"*")+COUNTIFS(CFIdb!$Z$2:'CFIdb'!$Z$2000,"*"&amp;$B41,CFIdb!$C$2:'CFIdb'!$C$2000,"*Open*",CFIdb!$S$2:'CFIdb'!$S$2000,"*"&amp;$J$30&amp;"*")</f>
        <v>0</v>
      </c>
      <c r="K41" s="14">
        <f>COUNTIFS(CFIdb!$Z$2:'CFIdb'!$Z$2000,"*"&amp;$B41,CFIdb!$C$2:'CFIdb'!$C$2000,"*Emerging",CFIdb!$S$2:'CFIdb'!$S$2000,"*"&amp;$K$30&amp;"*")+COUNTIFS(CFIdb!$Z$2:'CFIdb'!$Z$2000,"*"&amp;$B41,CFIdb!$C$2:'CFIdb'!$C$2000,"*Open*",CFIdb!$S$2:'CFIdb'!$S$2000,"*"&amp;$K$30&amp;"*")</f>
        <v>0</v>
      </c>
      <c r="L41" s="14">
        <f>COUNTIFS(CFIdb!$Z$2:'CFIdb'!$Z$2000,"*"&amp;$B41,CFIdb!$C$2:'CFIdb'!$C$2000,"*Emerging",CFIdb!$R$2:'CFIdb'!$R$2000,"*Close*",CFIdb!$S$2:'CFIdb'!$S$2000,"")
+COUNTIFS(CFIdb!$Z$2:'CFIdb'!$Z$2000,"*"&amp;$B41,CFIdb!$C$2:'CFIdb'!$C$2000,"*Open*",CFIdb!$R$2:'CFIdb'!$R$2000,"*Resolve*",CFIdb!$S$2:'CFIdb'!$S$2000,"")
+COUNTIFS(CFIdb!$Z$2:'CFIdb'!$Z$2000,"*"&amp;$B41,CFIdb!$C$2:'CFIdb'!$C$2000,"*Open*",CFIdb!$R$2:'CFIdb'!$R$2000,"*Verified*",CFIdb!$S$2:'CFIdb'!$S$2000,"")
+COUNTIFS(CFIdb!$Z$2:'CFIdb'!$Z$2000,"*"&amp;$B41,CFIdb!$C$2:'CFIdb'!$C$2000,"*Open*",CFIdb!$R$2:'CFIdb'!$R$2000,"*Close*",CFIdb!$S$2:'CFIdb'!$S$2000,"")
+COUNTIFS(CFIdb!$Z$2:'CFIdb'!$Z$2000,"*"&amp;$B41,CFIdb!$C$2:'CFIdb'!$C$2000,"*Emerging",CFIdb!$R$2:'CFIdb'!$R$2000,"*Resolve*",CFIdb!$S$2:'CFIdb'!$S$2000,"")
+COUNTIFS(CFIdb!$Z$2:'CFIdb'!$Z$2000,"*"&amp;$B41,CFIdb!$C$2:'CFIdb'!$C$2000,"*Emerging",CFIdb!$R$2:'CFIdb'!$R$2000,"*Verified*",CFIdb!$S$2:'CFIdb'!$S$2000,"")</f>
        <v>0</v>
      </c>
      <c r="M41" s="14">
        <f>COUNTIFS(CFIdb!$Z$2:'CFIdb'!$Z$2000,"*"&amp;$B41,CFIdb!$C$2:'CFIdb'!$C$2000,"*Emerging",CFIdb!$R$2:'CFIdb'!$R$2000,"")
+COUNTIFS(CFIdb!$Z$2:'CFIdb'!$Z$2000,"*"&amp;$B41,CFIdb!$C$2:'CFIdb'!$C$2000,"*Open*",CFIdb!$R$2:'CFIdb'!$R$2000,"")</f>
        <v>0</v>
      </c>
      <c r="N41" s="14">
        <f>COUNTIFS(CFIdb!$Z$2:'CFIdb'!$Z$2000,"*"&amp;$B41,CFIdb!$C$2:'CFIdb'!$C$2000,"*Emerging",CFIdb!$S$2:'CFIdb'!$S$2000,"*"&amp;$N$30&amp;"*")
+COUNTIFS(CFIdb!$Z$2:'CFIdb'!$Z$2000,"*"&amp;$B41,CFIdb!$C$2:'CFIdb'!$C$2000,"*Open*",CFIdb!$S$2:'CFIdb'!$S$2000,"*"&amp;$N$30&amp;"*")</f>
        <v>0</v>
      </c>
      <c r="O41" t="str">
        <f>CONCATENATE(C41,"/",SUM(F41:N41))</f>
        <v>1/1</v>
      </c>
    </row>
    <row r="42" spans="2:19" x14ac:dyDescent="0.25">
      <c r="B42" s="12" t="s">
        <v>106</v>
      </c>
      <c r="C42">
        <f>COUNTIFS(CFIdb!$Z$2:'CFIdb'!$Z$2000,"*"&amp;B42,CFIdb!$C$2:'CFIdb'!$C$2000,"*Emerging")+COUNTIFS(CFIdb!$Z$2:'CFIdb'!$Z$2000,"*"&amp;B42,CFIdb!$C$2:'CFIdb'!$C$2000,"*Open*")</f>
        <v>0</v>
      </c>
      <c r="D42" s="13">
        <f>SUM(F42:G42)</f>
        <v>0</v>
      </c>
      <c r="E42" s="14">
        <f>SUM(H42:N42)</f>
        <v>0</v>
      </c>
      <c r="F42" s="13">
        <f>COUNTIFS(CFIdb!$Z$2:'CFIdb'!$Z$2000,"*"&amp;B42,CFIdb!$C$2:'CFIdb'!$C$2000,"*Emerging",CFIdb!$R$2:'CFIdb'!$R$2000,"*"&amp;$F$30&amp;"*")+COUNTIFS(CFIdb!$Z$2:'CFIdb'!$Z$2000,"*"&amp;B42,CFIdb!$C$2:'CFIdb'!$C$2000,"*Open*",CFIdb!$R$2:'CFIdb'!$R$2000,"*"&amp;$F$30&amp;"*")</f>
        <v>0</v>
      </c>
      <c r="G42" s="13">
        <f>COUNTIFS(CFIdb!$Z$2:'CFIdb'!$Z$2000,"*"&amp;B42,CFIdb!$C$2:'CFIdb'!$C$2000,"*Emerging",CFIdb!$R$2:'CFIdb'!$R$2000,"*"&amp;$G$30&amp;"*")+COUNTIFS(CFIdb!$Z$2:'CFIdb'!$Z$2000,"*"&amp;B42,CFIdb!$C$2:'CFIdb'!$C$2000,"*Open*",CFIdb!$R$2:'CFIdb'!$R$2000,"*"&amp;$G$30&amp;"*")</f>
        <v>0</v>
      </c>
      <c r="H42" s="14">
        <f>COUNTIFS(CFIdb!$Z$2:'CFIdb'!$Z$2000,"*"&amp;B42,CFIdb!$C$2:'CFIdb'!$C$2000,"*Emerging",CFIdb!$S$2:'CFIdb'!$S$2000,"*"&amp;$H$30&amp;"*")+COUNTIFS(CFIdb!$Z$2:'CFIdb'!$Z$2000,"*"&amp;B42,CFIdb!$C$2:'CFIdb'!$C$2000,"*Open*",CFIdb!$S$2:'CFIdb'!$S$2000,"*"&amp;$H$30&amp;"*")</f>
        <v>0</v>
      </c>
      <c r="I42" s="14">
        <f>COUNTIFS(CFIdb!$Z$2:'CFIdb'!$Z$2000,"*"&amp;B42,CFIdb!$C$2:'CFIdb'!$C$2000,"*Emerging",CFIdb!$S$2:'CFIdb'!$S$2000,"*"&amp;$I$30&amp;"*")+COUNTIFS(CFIdb!$Z$2:'CFIdb'!$Z$2000,"*"&amp;B42,CFIdb!$C$2:'CFIdb'!$C$2000,"*Open*",CFIdb!$S$2:'CFIdb'!$S$2000,"*"&amp;$I$30&amp;"*")</f>
        <v>0</v>
      </c>
      <c r="J42" s="14">
        <f>COUNTIFS(CFIdb!$Z$2:'CFIdb'!$Z$2000,"*"&amp;$B42,CFIdb!$C$2:'CFIdb'!$C$2000,"*Emerging",CFIdb!$S$2:'CFIdb'!$S$2000,"*"&amp;$J$30&amp;"*")+COUNTIFS(CFIdb!$Z$2:'CFIdb'!$Z$2000,"*"&amp;$B42,CFIdb!$C$2:'CFIdb'!$C$2000,"*Open*",CFIdb!$S$2:'CFIdb'!$S$2000,"*"&amp;$J$30&amp;"*")</f>
        <v>0</v>
      </c>
      <c r="K42" s="14">
        <f>COUNTIFS(CFIdb!$Z$2:'CFIdb'!$Z$2000,"*"&amp;$B42,CFIdb!$C$2:'CFIdb'!$C$2000,"*Emerging",CFIdb!$S$2:'CFIdb'!$S$2000,"*"&amp;$K$30&amp;"*")+COUNTIFS(CFIdb!$Z$2:'CFIdb'!$Z$2000,"*"&amp;$B42,CFIdb!$C$2:'CFIdb'!$C$2000,"*Open*",CFIdb!$S$2:'CFIdb'!$S$2000,"*"&amp;$K$30&amp;"*")</f>
        <v>0</v>
      </c>
      <c r="L42" s="14">
        <f>COUNTIFS(CFIdb!$Z$2:'CFIdb'!$Z$2000,"*"&amp;$B42,CFIdb!$C$2:'CFIdb'!$C$2000,"*Emerging",CFIdb!$R$2:'CFIdb'!$R$2000,"*Close*",CFIdb!$S$2:'CFIdb'!$S$2000,"")
+COUNTIFS(CFIdb!$Z$2:'CFIdb'!$Z$2000,"*"&amp;$B42,CFIdb!$C$2:'CFIdb'!$C$2000,"*Open*",CFIdb!$R$2:'CFIdb'!$R$2000,"*Resolve*",CFIdb!$S$2:'CFIdb'!$S$2000,"")
+COUNTIFS(CFIdb!$Z$2:'CFIdb'!$Z$2000,"*"&amp;$B42,CFIdb!$C$2:'CFIdb'!$C$2000,"*Open*",CFIdb!$R$2:'CFIdb'!$R$2000,"*Verified*",CFIdb!$S$2:'CFIdb'!$S$2000,"")
+COUNTIFS(CFIdb!$Z$2:'CFIdb'!$Z$2000,"*"&amp;$B42,CFIdb!$C$2:'CFIdb'!$C$2000,"*Open*",CFIdb!$R$2:'CFIdb'!$R$2000,"*Close*",CFIdb!$S$2:'CFIdb'!$S$2000,"")
+COUNTIFS(CFIdb!$Z$2:'CFIdb'!$Z$2000,"*"&amp;$B42,CFIdb!$C$2:'CFIdb'!$C$2000,"*Emerging",CFIdb!$R$2:'CFIdb'!$R$2000,"*Resolve*",CFIdb!$S$2:'CFIdb'!$S$2000,"")
+COUNTIFS(CFIdb!$Z$2:'CFIdb'!$Z$2000,"*"&amp;$B42,CFIdb!$C$2:'CFIdb'!$C$2000,"*Emerging",CFIdb!$R$2:'CFIdb'!$R$2000,"*Verified*",CFIdb!$S$2:'CFIdb'!$S$2000,"")</f>
        <v>0</v>
      </c>
      <c r="M42" s="14">
        <f>COUNTIFS(CFIdb!$Z$2:'CFIdb'!$Z$2000,"*"&amp;$B42,CFIdb!$C$2:'CFIdb'!$C$2000,"*Emerging",CFIdb!$R$2:'CFIdb'!$R$2000,"")
+COUNTIFS(CFIdb!$Z$2:'CFIdb'!$Z$2000,"*"&amp;$B42,CFIdb!$C$2:'CFIdb'!$C$2000,"*Open*",CFIdb!$R$2:'CFIdb'!$R$2000,"")</f>
        <v>0</v>
      </c>
      <c r="N42" s="14">
        <f>COUNTIFS(CFIdb!$Z$2:'CFIdb'!$Z$2000,"*"&amp;$B42,CFIdb!$C$2:'CFIdb'!$C$2000,"*Emerging",CFIdb!$S$2:'CFIdb'!$S$2000,"*"&amp;$N$30&amp;"*")
+COUNTIFS(CFIdb!$Z$2:'CFIdb'!$Z$2000,"*"&amp;$B42,CFIdb!$C$2:'CFIdb'!$C$2000,"*Open*",CFIdb!$S$2:'CFIdb'!$S$2000,"*"&amp;$N$30&amp;"*")</f>
        <v>0</v>
      </c>
      <c r="O42" t="str">
        <f>CONCATENATE(C42,"/",SUM(F42:N42))</f>
        <v>0/0</v>
      </c>
    </row>
    <row r="43" spans="2:19" x14ac:dyDescent="0.25">
      <c r="B43" s="12" t="s">
        <v>5012</v>
      </c>
      <c r="C43">
        <f>COUNTIFS(CFIdb!$Z$2:'CFIdb'!$Z$2000,"",CFIdb!$C$2:'CFIdb'!$C$2000,"*Emerging")+COUNTIFS(CFIdb!$Z$2:'CFIdb'!$Z$2000,"",CFIdb!$C$2:'CFIdb'!$C$2000,"*Open*")</f>
        <v>75</v>
      </c>
      <c r="D43" s="13">
        <f t="shared" si="11"/>
        <v>9</v>
      </c>
      <c r="E43" s="14">
        <f t="shared" si="12"/>
        <v>66</v>
      </c>
      <c r="F43" s="13">
        <f>COUNTIFS(CFIdb!$Z$2:'CFIdb'!$Z$2000,"",CFIdb!$C$2:'CFIdb'!$C$2000,"*Emerging",CFIdb!$R$2:'CFIdb'!$R$2000,"*"&amp;$F$30&amp;"*")+COUNTIFS(CFIdb!$Z$2:'CFIdb'!$Z$2000,"",CFIdb!$C$2:'CFIdb'!$C$2000,"*Open*",CFIdb!$R$2:'CFIdb'!$R$2000,"*"&amp;$F$30&amp;"*")</f>
        <v>7</v>
      </c>
      <c r="G43" s="13">
        <f>COUNTIFS(CFIdb!$Z$2:'CFIdb'!$Z$2000,"",CFIdb!$C$2:'CFIdb'!$C$2000,"*Emerging",CFIdb!$R$2:'CFIdb'!$R$2000,"*"&amp;$G$30&amp;"*")+COUNTIFS(CFIdb!$Z$2:'CFIdb'!$Z$2000,"",CFIdb!$C$2:'CFIdb'!$C$2000,"*Open*",CFIdb!$R$2:'CFIdb'!$R$2000,"*"&amp;$G$30&amp;"*")</f>
        <v>2</v>
      </c>
      <c r="H43" s="14">
        <f>COUNTIFS(CFIdb!$Z$2:'CFIdb'!$Z$2000,"",CFIdb!$C$2:'CFIdb'!$C$2000,"*Emerging",CFIdb!$S$2:'CFIdb'!$S$2000,"*"&amp;$H$30&amp;"*")+COUNTIFS(CFIdb!$Z$2:'CFIdb'!$Z$2000,"",CFIdb!$C$2:'CFIdb'!$C$2000,"*Open*",CFIdb!$S$2:'CFIdb'!$S$2000,"*"&amp;$H$30&amp;"*")</f>
        <v>0</v>
      </c>
      <c r="I43" s="14">
        <f>COUNTIFS(CFIdb!$Z$2:'CFIdb'!$Z$2000,"",CFIdb!$C$2:'CFIdb'!$C$2000,"*Emerging",CFIdb!$S$2:'CFIdb'!$S$2000,"*"&amp;$I$30&amp;"*")+COUNTIFS(CFIdb!$Z$2:'CFIdb'!$Z$2000,"",CFIdb!$C$2:'CFIdb'!$C$2000,"*Open*",CFIdb!$S$2:'CFIdb'!$S$2000,"*"&amp;$I$30&amp;"*")</f>
        <v>0</v>
      </c>
      <c r="J43" s="14">
        <f>COUNTIFS(CFIdb!$Z$2:'CFIdb'!$Z$2000,"",CFIdb!$C$2:'CFIdb'!$C$2000,"*Emerging",CFIdb!$S$2:'CFIdb'!$S$2000,"*"&amp;$J$30&amp;"*")+COUNTIFS(CFIdb!$Z$2:'CFIdb'!$Z$2000,"",CFIdb!$C$2:'CFIdb'!$C$2000,"*Open*",CFIdb!$S$2:'CFIdb'!$S$2000,"*"&amp;$J$30&amp;"*")</f>
        <v>0</v>
      </c>
      <c r="K43" s="14">
        <f>COUNTIFS(CFIdb!$Z$2:'CFIdb'!$Z$2000,"",CFIdb!$C$2:'CFIdb'!$C$2000,"*Emerging",CFIdb!$S$2:'CFIdb'!$S$2000,"*"&amp;$K$30&amp;"*")+COUNTIFS(CFIdb!$Z$2:'CFIdb'!$Z$2000,"",CFIdb!$C$2:'CFIdb'!$C$2000,"*Open*",CFIdb!$S$2:'CFIdb'!$S$2000,"*"&amp;$K$30&amp;"*")</f>
        <v>0</v>
      </c>
      <c r="L43" s="14">
        <f>COUNTIFS(CFIdb!$Z$2:'CFIdb'!$Z$2000,"",CFIdb!$C$2:'CFIdb'!$C$2000,"*Emerging",CFIdb!$R$2:'CFIdb'!$R$2000,"*Close*",CFIdb!$S$2:'CFIdb'!$S$2000,"")
+COUNTIFS(CFIdb!$Z$2:'CFIdb'!$Z$2000,"",CFIdb!$C$2:'CFIdb'!$C$2000,"*Open*",CFIdb!$R$2:'CFIdb'!$R$2000,"*Resolve*",CFIdb!$S$2:'CFIdb'!$S$2000,"")
+COUNTIFS(CFIdb!$Z$2:'CFIdb'!$Z$2000,"",CFIdb!$C$2:'CFIdb'!$C$2000,"*Open*",CFIdb!$R$2:'CFIdb'!$R$2000,"*Verified*",CFIdb!$S$2:'CFIdb'!$S$2000,"")
+COUNTIFS(CFIdb!$Z$2:'CFIdb'!$Z$2000,"",CFIdb!$C$2:'CFIdb'!$C$2000,"*Open*",CFIdb!$R$2:'CFIdb'!$R$2000,"*Close*",CFIdb!$S$2:'CFIdb'!$S$2000,"")
+COUNTIFS(CFIdb!$Z$2:'CFIdb'!$Z$2000,"",CFIdb!$C$2:'CFIdb'!$C$2000,"*Emerging",CFIdb!$R$2:'CFIdb'!$R$2000,"*Resolve*",CFIdb!$S$2:'CFIdb'!$S$2000,"")
+COUNTIFS(CFIdb!$Z$2:'CFIdb'!$Z$2000,"",CFIdb!$C$2:'CFIdb'!$C$2000,"*Emerging",CFIdb!$R$2:'CFIdb'!$R$2000,"*Verified*",CFIdb!$S$2:'CFIdb'!$S$2000,"")</f>
        <v>19</v>
      </c>
      <c r="M43" s="14">
        <f>COUNTIFS(CFIdb!$Z$2:'CFIdb'!$Z$2000,"",CFIdb!$C$2:'CFIdb'!$C$2000,"*Emerging",CFIdb!$R$2:'CFIdb'!$R$2000,"")
+COUNTIFS(CFIdb!$Z$2:'CFIdb'!$Z$2000,"",CFIdb!$C$2:'CFIdb'!$C$2000,"*Open*",CFIdb!$R$2:'CFIdb'!$R$2000,"")</f>
        <v>47</v>
      </c>
      <c r="N43" s="14">
        <f>COUNTIFS(CFIdb!$Z$2:'CFIdb'!$Z$2000,"",CFIdb!$C$2:'CFIdb'!$C$2000,"*Emerging",CFIdb!$S$2:'CFIdb'!$S$2000,"*"&amp;$N$30&amp;"*")
+COUNTIFS(CFIdb!$Z$2:'CFIdb'!$Z$2000,"",CFIdb!$C$2:'CFIdb'!$C$2000,"*Open*",CFIdb!$S$2:'CFIdb'!$S$2000,"*"&amp;$N$30&amp;"*")</f>
        <v>0</v>
      </c>
      <c r="O43" t="str">
        <f t="shared" si="7"/>
        <v>75/75</v>
      </c>
    </row>
    <row r="44" spans="2:19" x14ac:dyDescent="0.25">
      <c r="C44">
        <f>SUM(C31:C43)</f>
        <v>146</v>
      </c>
      <c r="D44" s="13">
        <f>SUM(D31:D43)</f>
        <v>42</v>
      </c>
      <c r="E44" s="14">
        <f>SUM(E31:E43)</f>
        <v>104</v>
      </c>
      <c r="F44" s="13">
        <f t="shared" ref="F44:N44" si="16">SUM(F31:F43)</f>
        <v>28</v>
      </c>
      <c r="G44" s="13">
        <f t="shared" si="16"/>
        <v>14</v>
      </c>
      <c r="H44" s="14">
        <f t="shared" si="16"/>
        <v>29</v>
      </c>
      <c r="I44" s="14">
        <f t="shared" si="16"/>
        <v>7</v>
      </c>
      <c r="J44" s="14">
        <f t="shared" si="16"/>
        <v>0</v>
      </c>
      <c r="K44" s="14">
        <f t="shared" si="16"/>
        <v>2</v>
      </c>
      <c r="L44" s="14">
        <f t="shared" si="16"/>
        <v>19</v>
      </c>
      <c r="M44" s="14">
        <f t="shared" si="16"/>
        <v>47</v>
      </c>
      <c r="N44" s="14">
        <f t="shared" si="16"/>
        <v>0</v>
      </c>
      <c r="O44">
        <f>SUM(F44:N44)</f>
        <v>146</v>
      </c>
    </row>
    <row r="47" spans="2:19" ht="60" x14ac:dyDescent="0.25">
      <c r="C47" t="s">
        <v>5007</v>
      </c>
      <c r="D47" s="13" t="s">
        <v>5008</v>
      </c>
      <c r="E47" s="17" t="s">
        <v>640</v>
      </c>
      <c r="F47" s="17" t="s">
        <v>1360</v>
      </c>
      <c r="G47" s="18" t="s">
        <v>626</v>
      </c>
      <c r="H47" s="18" t="s">
        <v>649</v>
      </c>
      <c r="I47" s="14" t="s">
        <v>5013</v>
      </c>
      <c r="J47" s="14" t="s">
        <v>5014</v>
      </c>
      <c r="K47" s="14" t="s">
        <v>4995</v>
      </c>
      <c r="L47" s="14" t="s">
        <v>5015</v>
      </c>
      <c r="M47" s="16" t="s">
        <v>5016</v>
      </c>
      <c r="N47" s="16" t="s">
        <v>5017</v>
      </c>
      <c r="O47" s="16" t="s">
        <v>2879</v>
      </c>
    </row>
    <row r="48" spans="2:19" x14ac:dyDescent="0.25">
      <c r="B48" s="12" t="str">
        <f>B31</f>
        <v>Protocols-SMB</v>
      </c>
      <c r="C48">
        <f>COUNTIFS(CFIdb!$Z$2:'CFIdb'!$Z$2000,"*"&amp;B48)</f>
        <v>136</v>
      </c>
      <c r="D48" s="13">
        <f>COUNTIFS(CFIdb!$Z$2:'CFIdb'!$Z$2000,"*"&amp;$B48,CFIdb!$O$2:'CFIdb'!$O$2000,"*"&amp;$D$47&amp;"*")</f>
        <v>21</v>
      </c>
      <c r="E48" s="17">
        <f>COUNTIFS(CFIdb!$Z$2:'CFIdb'!$Z$2000,"*"&amp;$B48,CFIdb!$O$2:'CFIdb'!$O$2000,"*"&amp;$E$47&amp;"*")</f>
        <v>4</v>
      </c>
      <c r="F48" s="17">
        <f>COUNTIFS(CFIdb!$Z$2:'CFIdb'!$Z$2000,"*"&amp;$B48,CFIdb!$O$2:'CFIdb'!$O$2000,"*"&amp;$F$47&amp;"*")</f>
        <v>6</v>
      </c>
      <c r="G48" s="18">
        <f>COUNTIFS(CFIdb!$Z$2:'CFIdb'!$Z$2000,"*"&amp;$B48,CFIdb!$O$2:'CFIdb'!$O$2000,"*"&amp;$G$47&amp;"*")</f>
        <v>1</v>
      </c>
      <c r="H48" s="18">
        <f>COUNTIFS(CFIdb!$Z$2:'CFIdb'!$Z$2000,"*"&amp;$B48,CFIdb!$O$2:'CFIdb'!$O$2000,"*"&amp;H$47&amp;"*")</f>
        <v>1</v>
      </c>
      <c r="I48" s="14">
        <f>COUNTIFS(CFIdb!$Z$2:'CFIdb'!$Z$2000,"*"&amp;$B48,CFIdb!$O$2:'CFIdb'!$O$2000,"*"&amp;$I$47&amp;"*")</f>
        <v>28</v>
      </c>
      <c r="J48" s="14">
        <f>COUNTIFS(CFIdb!$Z$2:'CFIdb'!$Z$2000,"*"&amp;$B48,CFIdb!$O$2:'CFIdb'!$O$2000,"*"&amp;$J$47&amp;"*")</f>
        <v>53</v>
      </c>
      <c r="K48" s="14">
        <f>COUNTIFS(CFIdb!$Z$2:'CFIdb'!$Z$2000,"*"&amp;$B48,CFIdb!$O$2:'CFIdb'!$O$2000,"*"&amp;$K$47&amp;"*")</f>
        <v>2</v>
      </c>
      <c r="L48" s="14">
        <f>COUNTIFS(CFIdb!$Z$2:'CFIdb'!$Z$2000,"*"&amp;$B48,CFIdb!$O$2:'CFIdb'!$O$2000,"*"&amp;$L$47&amp;"*")</f>
        <v>19</v>
      </c>
      <c r="M48" s="16">
        <f>COUNTIFS(CFIdb!$Z$2:'CFIdb'!$Z$2000,"*"&amp;$B48,CFIdb!$O$2:'CFIdb'!$O$2000,"*"&amp;$M$47&amp;"*")</f>
        <v>1</v>
      </c>
      <c r="N48" s="16">
        <f>COUNTIFS(CFIdb!$Z$2:'CFIdb'!$Z$2000,"*"&amp;$B48,CFIdb!$O$2:'CFIdb'!$O$2000,"*"&amp;$N$47&amp;"*")</f>
        <v>0</v>
      </c>
      <c r="O48" s="16">
        <f>COUNTIFS(CFIdb!$Z$2:'CFIdb'!$Z$2000,"*"&amp;$B48,CFIdb!$O$2:'CFIdb'!$O$2000,"*"&amp;$O$47&amp;"*")</f>
        <v>0</v>
      </c>
      <c r="P48" t="str">
        <f>CONCATENATE(COUNTIFS(CFIdb!$Z$2:'CFIdb'!$Z$2000,"*"&amp;$B48),"/",SUM(D48:O48))</f>
        <v>136/136</v>
      </c>
    </row>
    <row r="49" spans="2:16" ht="30" x14ac:dyDescent="0.25">
      <c r="B49" s="12" t="str">
        <f t="shared" ref="B49:B59" si="17">B32</f>
        <v>Protocols-AAUM</v>
      </c>
      <c r="C49">
        <f>COUNTIFS(CFIdb!$Z$2:'CFIdb'!$Z$2000,"*"&amp;B49)</f>
        <v>30</v>
      </c>
      <c r="D49" s="13">
        <f>COUNTIFS(CFIdb!$Z$2:'CFIdb'!$Z$2000,"*"&amp;$B49,CFIdb!$O$2:'CFIdb'!$O$2000,"*"&amp;$D$47&amp;"*")</f>
        <v>1</v>
      </c>
      <c r="E49" s="17">
        <f>COUNTIFS(CFIdb!$Z$2:'CFIdb'!$Z$2000,"*"&amp;$B49,CFIdb!$O$2:'CFIdb'!$O$2000,"*"&amp;$E$47&amp;"*")</f>
        <v>5</v>
      </c>
      <c r="F49" s="17">
        <f>COUNTIFS(CFIdb!$Z$2:'CFIdb'!$Z$2000,"*"&amp;$B49,CFIdb!$O$2:'CFIdb'!$O$2000,"*"&amp;$F$47&amp;"*")</f>
        <v>2</v>
      </c>
      <c r="G49" s="18">
        <f>COUNTIFS(CFIdb!$Z$2:'CFIdb'!$Z$2000,"*"&amp;$B49,CFIdb!$O$2:'CFIdb'!$O$2000,"*"&amp;$G$47&amp;"*")</f>
        <v>2</v>
      </c>
      <c r="H49" s="18">
        <f>COUNTIFS(CFIdb!$Z$2:'CFIdb'!$Z$2000,"*"&amp;$B49,CFIdb!$O$2:'CFIdb'!$O$2000,"*"&amp;H$47&amp;"*")</f>
        <v>0</v>
      </c>
      <c r="I49" s="14">
        <f>COUNTIFS(CFIdb!$Z$2:'CFIdb'!$Z$2000,"*"&amp;$B49,CFIdb!$O$2:'CFIdb'!$O$2000,"*"&amp;$I$47&amp;"*")</f>
        <v>5</v>
      </c>
      <c r="J49" s="14">
        <f>COUNTIFS(CFIdb!$Z$2:'CFIdb'!$Z$2000,"*"&amp;$B49,CFIdb!$O$2:'CFIdb'!$O$2000,"*"&amp;$J$47&amp;"*")</f>
        <v>15</v>
      </c>
      <c r="K49" s="14">
        <f>COUNTIFS(CFIdb!$Z$2:'CFIdb'!$Z$2000,"*"&amp;$B49,CFIdb!$O$2:'CFIdb'!$O$2000,"*"&amp;$K$47&amp;"*")</f>
        <v>0</v>
      </c>
      <c r="L49" s="14">
        <f>COUNTIFS(CFIdb!$Z$2:'CFIdb'!$Z$2000,"*"&amp;$B49,CFIdb!$O$2:'CFIdb'!$O$2000,"*"&amp;$L$47&amp;"*")</f>
        <v>0</v>
      </c>
      <c r="M49" s="16">
        <f>COUNTIFS(CFIdb!$Z$2:'CFIdb'!$Z$2000,"*"&amp;$B49,CFIdb!$O$2:'CFIdb'!$O$2000,"*"&amp;$M$47&amp;"*")</f>
        <v>0</v>
      </c>
      <c r="N49" s="16">
        <f>COUNTIFS(CFIdb!$Z$2:'CFIdb'!$Z$2000,"*"&amp;$B49,CFIdb!$O$2:'CFIdb'!$O$2000,"*"&amp;$N$47&amp;"*")</f>
        <v>0</v>
      </c>
      <c r="O49" s="16">
        <f>COUNTIFS(CFIdb!$Z$2:'CFIdb'!$Z$2000,"*"&amp;$B49,CFIdb!$O$2:'CFIdb'!$O$2000,"*"&amp;$O$47&amp;"*")</f>
        <v>0</v>
      </c>
      <c r="P49" t="str">
        <f>CONCATENATE(COUNTIFS(CFIdb!$Z$2:'CFIdb'!$Z$2000,"*"&amp;$B49),"/",SUM(D49:O49))</f>
        <v>30/30</v>
      </c>
    </row>
    <row r="50" spans="2:16" x14ac:dyDescent="0.25">
      <c r="B50" s="12" t="str">
        <f t="shared" si="17"/>
        <v>Protocols-NFS</v>
      </c>
      <c r="C50">
        <f>COUNTIFS(CFIdb!$Z$2:'CFIdb'!$Z$2000,"*"&amp;B50)</f>
        <v>11</v>
      </c>
      <c r="D50" s="13">
        <f>COUNTIFS(CFIdb!$Z$2:'CFIdb'!$Z$2000,"*"&amp;$B50,CFIdb!$O$2:'CFIdb'!$O$2000,"*"&amp;$D$47&amp;"*")</f>
        <v>1</v>
      </c>
      <c r="E50" s="17">
        <f>COUNTIFS(CFIdb!$Z$2:'CFIdb'!$Z$2000,"*"&amp;$B50,CFIdb!$O$2:'CFIdb'!$O$2000,"*"&amp;$E$47&amp;"*")</f>
        <v>2</v>
      </c>
      <c r="F50" s="17">
        <f>COUNTIFS(CFIdb!$Z$2:'CFIdb'!$Z$2000,"*"&amp;$B50,CFIdb!$O$2:'CFIdb'!$O$2000,"*"&amp;$F$47&amp;"*")</f>
        <v>0</v>
      </c>
      <c r="G50" s="18">
        <f>COUNTIFS(CFIdb!$Z$2:'CFIdb'!$Z$2000,"*"&amp;$B50,CFIdb!$O$2:'CFIdb'!$O$2000,"*"&amp;$G$47&amp;"*")</f>
        <v>1</v>
      </c>
      <c r="H50" s="18">
        <f>COUNTIFS(CFIdb!$Z$2:'CFIdb'!$Z$2000,"*"&amp;$B50,CFIdb!$O$2:'CFIdb'!$O$2000,"*"&amp;H$47&amp;"*")</f>
        <v>0</v>
      </c>
      <c r="I50" s="14">
        <f>COUNTIFS(CFIdb!$Z$2:'CFIdb'!$Z$2000,"*"&amp;$B50,CFIdb!$O$2:'CFIdb'!$O$2000,"*"&amp;$I$47&amp;"*")</f>
        <v>2</v>
      </c>
      <c r="J50" s="14">
        <f>COUNTIFS(CFIdb!$Z$2:'CFIdb'!$Z$2000,"*"&amp;$B50,CFIdb!$O$2:'CFIdb'!$O$2000,"*"&amp;$J$47&amp;"*")</f>
        <v>5</v>
      </c>
      <c r="K50" s="14">
        <f>COUNTIFS(CFIdb!$Z$2:'CFIdb'!$Z$2000,"*"&amp;$B50,CFIdb!$O$2:'CFIdb'!$O$2000,"*"&amp;$K$47&amp;"*")</f>
        <v>0</v>
      </c>
      <c r="L50" s="14">
        <f>COUNTIFS(CFIdb!$Z$2:'CFIdb'!$Z$2000,"*"&amp;$B50,CFIdb!$O$2:'CFIdb'!$O$2000,"*"&amp;$L$47&amp;"*")</f>
        <v>0</v>
      </c>
      <c r="M50" s="16">
        <f>COUNTIFS(CFIdb!$Z$2:'CFIdb'!$Z$2000,"*"&amp;$B50,CFIdb!$O$2:'CFIdb'!$O$2000,"*"&amp;$M$47&amp;"*")</f>
        <v>0</v>
      </c>
      <c r="N50" s="16">
        <f>COUNTIFS(CFIdb!$Z$2:'CFIdb'!$Z$2000,"*"&amp;$B50,CFIdb!$O$2:'CFIdb'!$O$2000,"*"&amp;$N$47&amp;"*")</f>
        <v>0</v>
      </c>
      <c r="O50" s="16">
        <f>COUNTIFS(CFIdb!$Z$2:'CFIdb'!$Z$2000,"*"&amp;$B50,CFIdb!$O$2:'CFIdb'!$O$2000,"*"&amp;$O$47&amp;"*")</f>
        <v>0</v>
      </c>
      <c r="P50" t="str">
        <f>CONCATENATE(COUNTIFS(CFIdb!$Z$2:'CFIdb'!$Z$2000,"*"&amp;$B50),"/",SUM(D50:O50))</f>
        <v>11/11</v>
      </c>
    </row>
    <row r="51" spans="2:16" x14ac:dyDescent="0.25">
      <c r="B51" s="12" t="str">
        <f t="shared" si="17"/>
        <v>Protocols-HTTP</v>
      </c>
      <c r="C51">
        <f>COUNTIFS(CFIdb!$Z$2:'CFIdb'!$Z$2000,"*"&amp;B51)</f>
        <v>1</v>
      </c>
      <c r="D51" s="13">
        <f>COUNTIFS(CFIdb!$Z$2:'CFIdb'!$Z$2000,"*"&amp;$B51,CFIdb!$O$2:'CFIdb'!$O$2000,"*"&amp;$D$47&amp;"*")</f>
        <v>0</v>
      </c>
      <c r="E51" s="17">
        <f>COUNTIFS(CFIdb!$Z$2:'CFIdb'!$Z$2000,"*"&amp;$B51,CFIdb!$O$2:'CFIdb'!$O$2000,"*"&amp;$E$47&amp;"*")</f>
        <v>0</v>
      </c>
      <c r="F51" s="17">
        <f>COUNTIFS(CFIdb!$Z$2:'CFIdb'!$Z$2000,"*"&amp;$B51,CFIdb!$O$2:'CFIdb'!$O$2000,"*"&amp;$F$47&amp;"*")</f>
        <v>0</v>
      </c>
      <c r="G51" s="18">
        <f>COUNTIFS(CFIdb!$Z$2:'CFIdb'!$Z$2000,"*"&amp;$B51,CFIdb!$O$2:'CFIdb'!$O$2000,"*"&amp;$G$47&amp;"*")</f>
        <v>0</v>
      </c>
      <c r="H51" s="18">
        <f>COUNTIFS(CFIdb!$Z$2:'CFIdb'!$Z$2000,"*"&amp;$B51,CFIdb!$O$2:'CFIdb'!$O$2000,"*"&amp;H$47&amp;"*")</f>
        <v>0</v>
      </c>
      <c r="I51" s="14">
        <f>COUNTIFS(CFIdb!$Z$2:'CFIdb'!$Z$2000,"*"&amp;$B51,CFIdb!$O$2:'CFIdb'!$O$2000,"*"&amp;$I$47&amp;"*")</f>
        <v>0</v>
      </c>
      <c r="J51" s="14">
        <f>COUNTIFS(CFIdb!$Z$2:'CFIdb'!$Z$2000,"*"&amp;$B51,CFIdb!$O$2:'CFIdb'!$O$2000,"*"&amp;$J$47&amp;"*")</f>
        <v>1</v>
      </c>
      <c r="K51" s="14">
        <f>COUNTIFS(CFIdb!$Z$2:'CFIdb'!$Z$2000,"*"&amp;$B51,CFIdb!$O$2:'CFIdb'!$O$2000,"*"&amp;$K$47&amp;"*")</f>
        <v>0</v>
      </c>
      <c r="L51" s="14">
        <f>COUNTIFS(CFIdb!$Z$2:'CFIdb'!$Z$2000,"*"&amp;$B51,CFIdb!$O$2:'CFIdb'!$O$2000,"*"&amp;$L$47&amp;"*")</f>
        <v>0</v>
      </c>
      <c r="M51" s="16">
        <f>COUNTIFS(CFIdb!$Z$2:'CFIdb'!$Z$2000,"*"&amp;$B51,CFIdb!$O$2:'CFIdb'!$O$2000,"*"&amp;$M$47&amp;"*")</f>
        <v>0</v>
      </c>
      <c r="N51" s="16">
        <f>COUNTIFS(CFIdb!$Z$2:'CFIdb'!$Z$2000,"*"&amp;$B51,CFIdb!$O$2:'CFIdb'!$O$2000,"*"&amp;$N$47&amp;"*")</f>
        <v>0</v>
      </c>
      <c r="O51" s="16">
        <f>COUNTIFS(CFIdb!$Z$2:'CFIdb'!$Z$2000,"*"&amp;$B51,CFIdb!$O$2:'CFIdb'!$O$2000,"*"&amp;$O$47&amp;"*")</f>
        <v>0</v>
      </c>
      <c r="P51" t="str">
        <f>CONCATENATE(COUNTIFS(CFIdb!$Z$2:'CFIdb'!$Z$2000,"*"&amp;$B51),"/",SUM(D51:O51))</f>
        <v>1/1</v>
      </c>
    </row>
    <row r="52" spans="2:16" x14ac:dyDescent="0.25">
      <c r="B52" s="12" t="str">
        <f t="shared" si="17"/>
        <v>ADE</v>
      </c>
      <c r="C52">
        <f>COUNTIFS(CFIdb!$Z$2:'CFIdb'!$Z$2000,"*"&amp;B52)</f>
        <v>29</v>
      </c>
      <c r="D52" s="13">
        <f>COUNTIFS(CFIdb!$Z$2:'CFIdb'!$Z$2000,"*"&amp;$B52,CFIdb!$O$2:'CFIdb'!$O$2000,"*"&amp;$D$47&amp;"*")</f>
        <v>2</v>
      </c>
      <c r="E52" s="17">
        <f>COUNTIFS(CFIdb!$Z$2:'CFIdb'!$Z$2000,"*"&amp;$B52,CFIdb!$O$2:'CFIdb'!$O$2000,"*"&amp;$E$47&amp;"*")</f>
        <v>1</v>
      </c>
      <c r="F52" s="17">
        <f>COUNTIFS(CFIdb!$Z$2:'CFIdb'!$Z$2000,"*"&amp;$B52,CFIdb!$O$2:'CFIdb'!$O$2000,"*"&amp;$F$47&amp;"*")</f>
        <v>0</v>
      </c>
      <c r="G52" s="18">
        <f>COUNTIFS(CFIdb!$Z$2:'CFIdb'!$Z$2000,"*"&amp;$B52,CFIdb!$O$2:'CFIdb'!$O$2000,"*"&amp;$G$47&amp;"*")</f>
        <v>1</v>
      </c>
      <c r="H52" s="18">
        <f>COUNTIFS(CFIdb!$Z$2:'CFIdb'!$Z$2000,"*"&amp;$B52,CFIdb!$O$2:'CFIdb'!$O$2000,"*"&amp;H$47&amp;"*")</f>
        <v>0</v>
      </c>
      <c r="I52" s="14">
        <f>COUNTIFS(CFIdb!$Z$2:'CFIdb'!$Z$2000,"*"&amp;$B52,CFIdb!$O$2:'CFIdb'!$O$2000,"*"&amp;$I$47&amp;"*")</f>
        <v>7</v>
      </c>
      <c r="J52" s="14">
        <f>COUNTIFS(CFIdb!$Z$2:'CFIdb'!$Z$2000,"*"&amp;$B52,CFIdb!$O$2:'CFIdb'!$O$2000,"*"&amp;$J$47&amp;"*")</f>
        <v>12</v>
      </c>
      <c r="K52" s="14">
        <f>COUNTIFS(CFIdb!$Z$2:'CFIdb'!$Z$2000,"*"&amp;$B52,CFIdb!$O$2:'CFIdb'!$O$2000,"*"&amp;$K$47&amp;"*")</f>
        <v>0</v>
      </c>
      <c r="L52" s="14">
        <f>COUNTIFS(CFIdb!$Z$2:'CFIdb'!$Z$2000,"*"&amp;$B52,CFIdb!$O$2:'CFIdb'!$O$2000,"*"&amp;$L$47&amp;"*")</f>
        <v>6</v>
      </c>
      <c r="M52" s="16">
        <f>COUNTIFS(CFIdb!$Z$2:'CFIdb'!$Z$2000,"*"&amp;$B52,CFIdb!$O$2:'CFIdb'!$O$2000,"*"&amp;$M$47&amp;"*")</f>
        <v>0</v>
      </c>
      <c r="N52" s="16">
        <f>COUNTIFS(CFIdb!$Z$2:'CFIdb'!$Z$2000,"*"&amp;$B52,CFIdb!$O$2:'CFIdb'!$O$2000,"*"&amp;$N$47&amp;"*")</f>
        <v>0</v>
      </c>
      <c r="O52" s="16">
        <f>COUNTIFS(CFIdb!$Z$2:'CFIdb'!$Z$2000,"*"&amp;$B52,CFIdb!$O$2:'CFIdb'!$O$2000,"*"&amp;$O$47&amp;"*")</f>
        <v>0</v>
      </c>
      <c r="P52" t="str">
        <f>CONCATENATE(COUNTIFS(CFIdb!$Z$2:'CFIdb'!$Z$2000,"*"&amp;$B52),"/",SUM(D52:O52))</f>
        <v>29/29</v>
      </c>
    </row>
    <row r="53" spans="2:16" x14ac:dyDescent="0.25">
      <c r="B53" s="12" t="str">
        <f t="shared" si="17"/>
        <v>AvatarFS</v>
      </c>
      <c r="C53">
        <f>COUNTIFS(CFIdb!$Z$2:'CFIdb'!$Z$2000,"*"&amp;B53)</f>
        <v>18</v>
      </c>
      <c r="D53" s="13">
        <f>COUNTIFS(CFIdb!$Z$2:'CFIdb'!$Z$2000,"*"&amp;$B53,CFIdb!$O$2:'CFIdb'!$O$2000,"*"&amp;$D$47&amp;"*")</f>
        <v>4</v>
      </c>
      <c r="E53" s="17">
        <f>COUNTIFS(CFIdb!$Z$2:'CFIdb'!$Z$2000,"*"&amp;$B53,CFIdb!$O$2:'CFIdb'!$O$2000,"*"&amp;$E$47&amp;"*")</f>
        <v>0</v>
      </c>
      <c r="F53" s="17">
        <f>COUNTIFS(CFIdb!$Z$2:'CFIdb'!$Z$2000,"*"&amp;$B53,CFIdb!$O$2:'CFIdb'!$O$2000,"*"&amp;$F$47&amp;"*")</f>
        <v>0</v>
      </c>
      <c r="G53" s="18">
        <f>COUNTIFS(CFIdb!$Z$2:'CFIdb'!$Z$2000,"*"&amp;$B53,CFIdb!$O$2:'CFIdb'!$O$2000,"*"&amp;$G$47&amp;"*")</f>
        <v>0</v>
      </c>
      <c r="H53" s="18">
        <f>COUNTIFS(CFIdb!$Z$2:'CFIdb'!$Z$2000,"*"&amp;$B53,CFIdb!$O$2:'CFIdb'!$O$2000,"*"&amp;H$47&amp;"*")</f>
        <v>0</v>
      </c>
      <c r="I53" s="14">
        <f>COUNTIFS(CFIdb!$Z$2:'CFIdb'!$Z$2000,"*"&amp;$B53,CFIdb!$O$2:'CFIdb'!$O$2000,"*"&amp;$I$47&amp;"*")</f>
        <v>2</v>
      </c>
      <c r="J53" s="14">
        <f>COUNTIFS(CFIdb!$Z$2:'CFIdb'!$Z$2000,"*"&amp;$B53,CFIdb!$O$2:'CFIdb'!$O$2000,"*"&amp;$J$47&amp;"*")</f>
        <v>10</v>
      </c>
      <c r="K53" s="14">
        <f>COUNTIFS(CFIdb!$Z$2:'CFIdb'!$Z$2000,"*"&amp;$B53,CFIdb!$O$2:'CFIdb'!$O$2000,"*"&amp;$K$47&amp;"*")</f>
        <v>0</v>
      </c>
      <c r="L53" s="14">
        <f>COUNTIFS(CFIdb!$Z$2:'CFIdb'!$Z$2000,"*"&amp;$B53,CFIdb!$O$2:'CFIdb'!$O$2000,"*"&amp;$L$47&amp;"*")</f>
        <v>2</v>
      </c>
      <c r="M53" s="16">
        <f>COUNTIFS(CFIdb!$Z$2:'CFIdb'!$Z$2000,"*"&amp;$B53,CFIdb!$O$2:'CFIdb'!$O$2000,"*"&amp;$M$47&amp;"*")</f>
        <v>0</v>
      </c>
      <c r="N53" s="16">
        <f>COUNTIFS(CFIdb!$Z$2:'CFIdb'!$Z$2000,"*"&amp;$B53,CFIdb!$O$2:'CFIdb'!$O$2000,"*"&amp;$N$47&amp;"*")</f>
        <v>0</v>
      </c>
      <c r="O53" s="16">
        <f>COUNTIFS(CFIdb!$Z$2:'CFIdb'!$Z$2000,"*"&amp;$B53,CFIdb!$O$2:'CFIdb'!$O$2000,"*"&amp;$O$47&amp;"*")</f>
        <v>0</v>
      </c>
      <c r="P53" t="str">
        <f>CONCATENATE(COUNTIFS(CFIdb!$Z$2:'CFIdb'!$Z$2000,"*"&amp;$B53),"/",SUM(D53:O53))</f>
        <v>18/18</v>
      </c>
    </row>
    <row r="54" spans="2:16" ht="30" x14ac:dyDescent="0.25">
      <c r="B54" s="12" t="str">
        <f t="shared" si="17"/>
        <v>Platform Software</v>
      </c>
      <c r="C54">
        <f>COUNTIFS(CFIdb!$Z$2:'CFIdb'!$Z$2000,"*"&amp;B54)</f>
        <v>76</v>
      </c>
      <c r="D54" s="13">
        <f>COUNTIFS(CFIdb!$Z$2:'CFIdb'!$Z$2000,"*"&amp;$B54,CFIdb!$O$2:'CFIdb'!$O$2000,"*"&amp;$D$47&amp;"*")</f>
        <v>12</v>
      </c>
      <c r="E54" s="17">
        <f>COUNTIFS(CFIdb!$Z$2:'CFIdb'!$Z$2000,"*"&amp;$B54,CFIdb!$O$2:'CFIdb'!$O$2000,"*"&amp;$E$47&amp;"*")</f>
        <v>5</v>
      </c>
      <c r="F54" s="17">
        <f>COUNTIFS(CFIdb!$Z$2:'CFIdb'!$Z$2000,"*"&amp;$B54,CFIdb!$O$2:'CFIdb'!$O$2000,"*"&amp;$F$47&amp;"*")</f>
        <v>2</v>
      </c>
      <c r="G54" s="18">
        <f>COUNTIFS(CFIdb!$Z$2:'CFIdb'!$Z$2000,"*"&amp;$B54,CFIdb!$O$2:'CFIdb'!$O$2000,"*"&amp;$G$47&amp;"*")</f>
        <v>0</v>
      </c>
      <c r="H54" s="18">
        <f>COUNTIFS(CFIdb!$Z$2:'CFIdb'!$Z$2000,"*"&amp;$B54,CFIdb!$O$2:'CFIdb'!$O$2000,"*"&amp;H$47&amp;"*")</f>
        <v>0</v>
      </c>
      <c r="I54" s="14">
        <f>COUNTIFS(CFIdb!$Z$2:'CFIdb'!$Z$2000,"*"&amp;$B54,CFIdb!$O$2:'CFIdb'!$O$2000,"*"&amp;$I$47&amp;"*")</f>
        <v>22</v>
      </c>
      <c r="J54" s="14">
        <f>COUNTIFS(CFIdb!$Z$2:'CFIdb'!$Z$2000,"*"&amp;$B54,CFIdb!$O$2:'CFIdb'!$O$2000,"*"&amp;$J$47&amp;"*")</f>
        <v>29</v>
      </c>
      <c r="K54" s="14">
        <f>COUNTIFS(CFIdb!$Z$2:'CFIdb'!$Z$2000,"*"&amp;$B54,CFIdb!$O$2:'CFIdb'!$O$2000,"*"&amp;$K$47&amp;"*")</f>
        <v>0</v>
      </c>
      <c r="L54" s="14">
        <f>COUNTIFS(CFIdb!$Z$2:'CFIdb'!$Z$2000,"*"&amp;$B54,CFIdb!$O$2:'CFIdb'!$O$2000,"*"&amp;$L$47&amp;"*")</f>
        <v>6</v>
      </c>
      <c r="M54" s="16">
        <f>COUNTIFS(CFIdb!$Z$2:'CFIdb'!$Z$2000,"*"&amp;$B54,CFIdb!$O$2:'CFIdb'!$O$2000,"*"&amp;$M$47&amp;"*")</f>
        <v>0</v>
      </c>
      <c r="N54" s="16">
        <f>COUNTIFS(CFIdb!$Z$2:'CFIdb'!$Z$2000,"*"&amp;$B54,CFIdb!$O$2:'CFIdb'!$O$2000,"*"&amp;$N$47&amp;"*")</f>
        <v>0</v>
      </c>
      <c r="O54" s="16">
        <f>COUNTIFS(CFIdb!$Z$2:'CFIdb'!$Z$2000,"*"&amp;$B54,CFIdb!$O$2:'CFIdb'!$O$2000,"*"&amp;$O$47&amp;"*")</f>
        <v>0</v>
      </c>
      <c r="P54" t="str">
        <f>CONCATENATE(COUNTIFS(CFIdb!$Z$2:'CFIdb'!$Z$2000,"*"&amp;$B54),"/",SUM(D54:O54))</f>
        <v>76/76</v>
      </c>
    </row>
    <row r="55" spans="2:16" ht="30" x14ac:dyDescent="0.25">
      <c r="B55" s="12" t="str">
        <f t="shared" si="17"/>
        <v>PML Core Services</v>
      </c>
      <c r="C55">
        <f>COUNTIFS(CFIdb!$Z$2:'CFIdb'!$Z$2000,"*"&amp;B55)</f>
        <v>5</v>
      </c>
      <c r="D55" s="13">
        <f>COUNTIFS(CFIdb!$Z$2:'CFIdb'!$Z$2000,"*"&amp;$B55,CFIdb!$O$2:'CFIdb'!$O$2000,"*"&amp;$D$47&amp;"*")</f>
        <v>0</v>
      </c>
      <c r="E55" s="17">
        <f>COUNTIFS(CFIdb!$Z$2:'CFIdb'!$Z$2000,"*"&amp;$B55,CFIdb!$O$2:'CFIdb'!$O$2000,"*"&amp;$E$47&amp;"*")</f>
        <v>0</v>
      </c>
      <c r="F55" s="17">
        <f>COUNTIFS(CFIdb!$Z$2:'CFIdb'!$Z$2000,"*"&amp;$B55,CFIdb!$O$2:'CFIdb'!$O$2000,"*"&amp;$F$47&amp;"*")</f>
        <v>0</v>
      </c>
      <c r="G55" s="18">
        <f>COUNTIFS(CFIdb!$Z$2:'CFIdb'!$Z$2000,"*"&amp;$B55,CFIdb!$O$2:'CFIdb'!$O$2000,"*"&amp;$G$47&amp;"*")</f>
        <v>0</v>
      </c>
      <c r="H55" s="18">
        <f>COUNTIFS(CFIdb!$Z$2:'CFIdb'!$Z$2000,"*"&amp;$B55,CFIdb!$O$2:'CFIdb'!$O$2000,"*"&amp;H$47&amp;"*")</f>
        <v>0</v>
      </c>
      <c r="I55" s="14">
        <f>COUNTIFS(CFIdb!$Z$2:'CFIdb'!$Z$2000,"*"&amp;$B55,CFIdb!$O$2:'CFIdb'!$O$2000,"*"&amp;$I$47&amp;"*")</f>
        <v>0</v>
      </c>
      <c r="J55" s="14">
        <f>COUNTIFS(CFIdb!$Z$2:'CFIdb'!$Z$2000,"*"&amp;$B55,CFIdb!$O$2:'CFIdb'!$O$2000,"*"&amp;$J$47&amp;"*")</f>
        <v>2</v>
      </c>
      <c r="K55" s="14">
        <f>COUNTIFS(CFIdb!$Z$2:'CFIdb'!$Z$2000,"*"&amp;$B55,CFIdb!$O$2:'CFIdb'!$O$2000,"*"&amp;$K$47&amp;"*")</f>
        <v>0</v>
      </c>
      <c r="L55" s="14">
        <f>COUNTIFS(CFIdb!$Z$2:'CFIdb'!$Z$2000,"*"&amp;$B55,CFIdb!$O$2:'CFIdb'!$O$2000,"*"&amp;$L$47&amp;"*")</f>
        <v>2</v>
      </c>
      <c r="M55" s="16">
        <f>COUNTIFS(CFIdb!$Z$2:'CFIdb'!$Z$2000,"*"&amp;$B55,CFIdb!$O$2:'CFIdb'!$O$2000,"*"&amp;$M$47&amp;"*")</f>
        <v>0</v>
      </c>
      <c r="N55" s="16">
        <f>COUNTIFS(CFIdb!$Z$2:'CFIdb'!$Z$2000,"*"&amp;$B55,CFIdb!$O$2:'CFIdb'!$O$2000,"*"&amp;$N$47&amp;"*")</f>
        <v>1</v>
      </c>
      <c r="O55" s="16">
        <f>COUNTIFS(CFIdb!$Z$2:'CFIdb'!$Z$2000,"*"&amp;$B55,CFIdb!$O$2:'CFIdb'!$O$2000,"*"&amp;$O$47&amp;"*")</f>
        <v>0</v>
      </c>
      <c r="P55" t="str">
        <f>CONCATENATE(COUNTIFS(CFIdb!$Z$2:'CFIdb'!$Z$2000,"*"&amp;$B55),"/",SUM(D55:O55))</f>
        <v>5/5</v>
      </c>
    </row>
    <row r="56" spans="2:16" ht="45" x14ac:dyDescent="0.25">
      <c r="B56" s="12" t="str">
        <f t="shared" si="17"/>
        <v>FileSystem Management (IAS)</v>
      </c>
      <c r="C56">
        <f>COUNTIFS(CFIdb!$Z$2:'CFIdb'!$Z$2000,"*"&amp;B56)</f>
        <v>8</v>
      </c>
      <c r="D56" s="13">
        <f>COUNTIFS(CFIdb!$Z$2:'CFIdb'!$Z$2000,"*"&amp;$B56,CFIdb!$O$2:'CFIdb'!$O$2000,"*"&amp;$D$47&amp;"*")</f>
        <v>2</v>
      </c>
      <c r="E56" s="17">
        <f>COUNTIFS(CFIdb!$Z$2:'CFIdb'!$Z$2000,"*"&amp;$B56,CFIdb!$O$2:'CFIdb'!$O$2000,"*"&amp;$E$47&amp;"*")</f>
        <v>1</v>
      </c>
      <c r="F56" s="17">
        <f>COUNTIFS(CFIdb!$Z$2:'CFIdb'!$Z$2000,"*"&amp;$B56,CFIdb!$O$2:'CFIdb'!$O$2000,"*"&amp;$F$47&amp;"*")</f>
        <v>1</v>
      </c>
      <c r="G56" s="18">
        <f>COUNTIFS(CFIdb!$Z$2:'CFIdb'!$Z$2000,"*"&amp;$B56,CFIdb!$O$2:'CFIdb'!$O$2000,"*"&amp;$G$47&amp;"*")</f>
        <v>0</v>
      </c>
      <c r="H56" s="18">
        <f>COUNTIFS(CFIdb!$Z$2:'CFIdb'!$Z$2000,"*"&amp;$B56,CFIdb!$O$2:'CFIdb'!$O$2000,"*"&amp;H$47&amp;"*")</f>
        <v>0</v>
      </c>
      <c r="I56" s="14">
        <f>COUNTIFS(CFIdb!$Z$2:'CFIdb'!$Z$2000,"*"&amp;$B56,CFIdb!$O$2:'CFIdb'!$O$2000,"*"&amp;$I$47&amp;"*")</f>
        <v>2</v>
      </c>
      <c r="J56" s="14">
        <f>COUNTIFS(CFIdb!$Z$2:'CFIdb'!$Z$2000,"*"&amp;$B56,CFIdb!$O$2:'CFIdb'!$O$2000,"*"&amp;$J$47&amp;"*")</f>
        <v>2</v>
      </c>
      <c r="K56" s="14">
        <f>COUNTIFS(CFIdb!$Z$2:'CFIdb'!$Z$2000,"*"&amp;$B56,CFIdb!$O$2:'CFIdb'!$O$2000,"*"&amp;$K$47&amp;"*")</f>
        <v>0</v>
      </c>
      <c r="L56" s="14">
        <f>COUNTIFS(CFIdb!$Z$2:'CFIdb'!$Z$2000,"*"&amp;$B56,CFIdb!$O$2:'CFIdb'!$O$2000,"*"&amp;$L$47&amp;"*")</f>
        <v>0</v>
      </c>
      <c r="M56" s="16">
        <f>COUNTIFS(CFIdb!$Z$2:'CFIdb'!$Z$2000,"*"&amp;$B56,CFIdb!$O$2:'CFIdb'!$O$2000,"*"&amp;$M$47&amp;"*")</f>
        <v>0</v>
      </c>
      <c r="N56" s="16">
        <f>COUNTIFS(CFIdb!$Z$2:'CFIdb'!$Z$2000,"*"&amp;$B56,CFIdb!$O$2:'CFIdb'!$O$2000,"*"&amp;$N$47&amp;"*")</f>
        <v>0</v>
      </c>
      <c r="O56" s="16">
        <f>COUNTIFS(CFIdb!$Z$2:'CFIdb'!$Z$2000,"*"&amp;$B56,CFIdb!$O$2:'CFIdb'!$O$2000,"*"&amp;$O$47&amp;"*")</f>
        <v>0</v>
      </c>
      <c r="P56" t="str">
        <f>CONCATENATE(COUNTIFS(CFIdb!$Z$2:'CFIdb'!$Z$2000,"*"&amp;$B56),"/",SUM(D56:O56))</f>
        <v>8/8</v>
      </c>
    </row>
    <row r="57" spans="2:16" x14ac:dyDescent="0.25">
      <c r="B57" s="12" t="str">
        <f t="shared" si="17"/>
        <v>Quotas</v>
      </c>
      <c r="C57">
        <f>COUNTIFS(CFIdb!$Z$2:'CFIdb'!$Z$2000,"*"&amp;B57)</f>
        <v>2</v>
      </c>
      <c r="D57" s="13">
        <f>COUNTIFS(CFIdb!$Z$2:'CFIdb'!$Z$2000,"*"&amp;$B57,CFIdb!$O$2:'CFIdb'!$O$2000,"*"&amp;$D$47&amp;"*")</f>
        <v>0</v>
      </c>
      <c r="E57" s="17">
        <f>COUNTIFS(CFIdb!$Z$2:'CFIdb'!$Z$2000,"*"&amp;$B57,CFIdb!$O$2:'CFIdb'!$O$2000,"*"&amp;$E$47&amp;"*")</f>
        <v>0</v>
      </c>
      <c r="F57" s="17">
        <f>COUNTIFS(CFIdb!$Z$2:'CFIdb'!$Z$2000,"*"&amp;$B57,CFIdb!$O$2:'CFIdb'!$O$2000,"*"&amp;$F$47&amp;"*")</f>
        <v>1</v>
      </c>
      <c r="G57" s="18">
        <f>COUNTIFS(CFIdb!$Z$2:'CFIdb'!$Z$2000,"*"&amp;$B57,CFIdb!$O$2:'CFIdb'!$O$2000,"*"&amp;$G$47&amp;"*")</f>
        <v>0</v>
      </c>
      <c r="H57" s="18">
        <f>COUNTIFS(CFIdb!$Z$2:'CFIdb'!$Z$2000,"*"&amp;$B57,CFIdb!$O$2:'CFIdb'!$O$2000,"*"&amp;H$47&amp;"*")</f>
        <v>0</v>
      </c>
      <c r="I57" s="14">
        <f>COUNTIFS(CFIdb!$Z$2:'CFIdb'!$Z$2000,"*"&amp;$B57,CFIdb!$O$2:'CFIdb'!$O$2000,"*"&amp;$I$47&amp;"*")</f>
        <v>1</v>
      </c>
      <c r="J57" s="14">
        <f>COUNTIFS(CFIdb!$Z$2:'CFIdb'!$Z$2000,"*"&amp;$B57,CFIdb!$O$2:'CFIdb'!$O$2000,"*"&amp;$J$47&amp;"*")</f>
        <v>0</v>
      </c>
      <c r="K57" s="14">
        <f>COUNTIFS(CFIdb!$Z$2:'CFIdb'!$Z$2000,"*"&amp;$B57,CFIdb!$O$2:'CFIdb'!$O$2000,"*"&amp;$K$47&amp;"*")</f>
        <v>0</v>
      </c>
      <c r="L57" s="14">
        <f>COUNTIFS(CFIdb!$Z$2:'CFIdb'!$Z$2000,"*"&amp;$B57,CFIdb!$O$2:'CFIdb'!$O$2000,"*"&amp;$L$47&amp;"*")</f>
        <v>0</v>
      </c>
      <c r="M57" s="16">
        <f>COUNTIFS(CFIdb!$Z$2:'CFIdb'!$Z$2000,"*"&amp;$B57,CFIdb!$O$2:'CFIdb'!$O$2000,"*"&amp;$M$47&amp;"*")</f>
        <v>0</v>
      </c>
      <c r="N57" s="16">
        <f>COUNTIFS(CFIdb!$Z$2:'CFIdb'!$Z$2000,"*"&amp;$B57,CFIdb!$O$2:'CFIdb'!$O$2000,"*"&amp;$N$47&amp;"*")</f>
        <v>0</v>
      </c>
      <c r="O57" s="16">
        <f>COUNTIFS(CFIdb!$Z$2:'CFIdb'!$Z$2000,"*"&amp;$B57,CFIdb!$O$2:'CFIdb'!$O$2000,"*"&amp;$O$47&amp;"*")</f>
        <v>0</v>
      </c>
      <c r="P57" t="str">
        <f>CONCATENATE(COUNTIFS(CFIdb!$Z$2:'CFIdb'!$Z$2000,"*"&amp;$B57),"/",SUM(D57:O57))</f>
        <v>2/2</v>
      </c>
    </row>
    <row r="58" spans="2:16" ht="30" x14ac:dyDescent="0.25">
      <c r="B58" s="12" t="str">
        <f t="shared" si="17"/>
        <v>Multinode Core Utilities</v>
      </c>
      <c r="C58">
        <f>COUNTIFS(CFIdb!$Z$2:'CFIdb'!$Z$2000,"*"&amp;B58)</f>
        <v>1</v>
      </c>
      <c r="D58" s="13">
        <f>COUNTIFS(CFIdb!$Z$2:'CFIdb'!$Z$2000,"*"&amp;$B58,CFIdb!$O$2:'CFIdb'!$O$2000,"*"&amp;$D$47&amp;"*")</f>
        <v>1</v>
      </c>
      <c r="E58" s="17">
        <f>COUNTIFS(CFIdb!$Z$2:'CFIdb'!$Z$2000,"*"&amp;$B58,CFIdb!$O$2:'CFIdb'!$O$2000,"*"&amp;$E$47&amp;"*")</f>
        <v>0</v>
      </c>
      <c r="F58" s="17">
        <f>COUNTIFS(CFIdb!$Z$2:'CFIdb'!$Z$2000,"*"&amp;$B58,CFIdb!$O$2:'CFIdb'!$O$2000,"*"&amp;$F$47&amp;"*")</f>
        <v>0</v>
      </c>
      <c r="G58" s="18">
        <f>COUNTIFS(CFIdb!$Z$2:'CFIdb'!$Z$2000,"*"&amp;$B58,CFIdb!$O$2:'CFIdb'!$O$2000,"*"&amp;$G$47&amp;"*")</f>
        <v>0</v>
      </c>
      <c r="H58" s="18">
        <f>COUNTIFS(CFIdb!$Z$2:'CFIdb'!$Z$2000,"*"&amp;$B58,CFIdb!$O$2:'CFIdb'!$O$2000,"*"&amp;H$47&amp;"*")</f>
        <v>0</v>
      </c>
      <c r="I58" s="14">
        <f>COUNTIFS(CFIdb!$Z$2:'CFIdb'!$Z$2000,"*"&amp;$B58,CFIdb!$O$2:'CFIdb'!$O$2000,"*"&amp;$I$47&amp;"*")</f>
        <v>0</v>
      </c>
      <c r="J58" s="14">
        <f>COUNTIFS(CFIdb!$Z$2:'CFIdb'!$Z$2000,"*"&amp;$B58,CFIdb!$O$2:'CFIdb'!$O$2000,"*"&amp;$J$47&amp;"*")</f>
        <v>0</v>
      </c>
      <c r="K58" s="14">
        <f>COUNTIFS(CFIdb!$Z$2:'CFIdb'!$Z$2000,"*"&amp;$B58,CFIdb!$O$2:'CFIdb'!$O$2000,"*"&amp;$K$47&amp;"*")</f>
        <v>0</v>
      </c>
      <c r="L58" s="14">
        <f>COUNTIFS(CFIdb!$Z$2:'CFIdb'!$Z$2000,"*"&amp;$B58,CFIdb!$O$2:'CFIdb'!$O$2000,"*"&amp;$L$47&amp;"*")</f>
        <v>0</v>
      </c>
      <c r="M58" s="16">
        <f>COUNTIFS(CFIdb!$Z$2:'CFIdb'!$Z$2000,"*"&amp;$B58,CFIdb!$O$2:'CFIdb'!$O$2000,"*"&amp;$M$47&amp;"*")</f>
        <v>0</v>
      </c>
      <c r="N58" s="16">
        <f>COUNTIFS(CFIdb!$Z$2:'CFIdb'!$Z$2000,"*"&amp;$B58,CFIdb!$O$2:'CFIdb'!$O$2000,"*"&amp;$N$47&amp;"*")</f>
        <v>0</v>
      </c>
      <c r="O58" s="16">
        <f>COUNTIFS(CFIdb!$Z$2:'CFIdb'!$Z$2000,"*"&amp;$B58,CFIdb!$O$2:'CFIdb'!$O$2000,"*"&amp;$O$47&amp;"*")</f>
        <v>0</v>
      </c>
      <c r="P58" t="str">
        <f>CONCATENATE(COUNTIFS(CFIdb!$Z$2:'CFIdb'!$Z$2000,"*"&amp;$B58),"/",SUM(D58:O58))</f>
        <v>1/1</v>
      </c>
    </row>
    <row r="59" spans="2:16" x14ac:dyDescent="0.25">
      <c r="B59" s="12" t="str">
        <f t="shared" si="17"/>
        <v>Snapshots</v>
      </c>
      <c r="C59">
        <f>COUNTIFS(CFIdb!$Z$2:'CFIdb'!$Z$2000,"*"&amp;B59)</f>
        <v>11</v>
      </c>
      <c r="D59" s="13">
        <f>COUNTIFS(CFIdb!$Z$2:'CFIdb'!$Z$2000,"*"&amp;$B59,CFIdb!$O$2:'CFIdb'!$O$2000,"*"&amp;$D$47&amp;"*")</f>
        <v>2</v>
      </c>
      <c r="E59" s="17">
        <f>COUNTIFS(CFIdb!$Z$2:'CFIdb'!$Z$2000,"*"&amp;$B59,CFIdb!$O$2:'CFIdb'!$O$2000,"*"&amp;$E$47&amp;"*")</f>
        <v>2</v>
      </c>
      <c r="F59" s="17">
        <f>COUNTIFS(CFIdb!$Z$2:'CFIdb'!$Z$2000,"*"&amp;$B59,CFIdb!$O$2:'CFIdb'!$O$2000,"*"&amp;$F$47&amp;"*")</f>
        <v>0</v>
      </c>
      <c r="G59" s="18">
        <f>COUNTIFS(CFIdb!$Z$2:'CFIdb'!$Z$2000,"*"&amp;$B59,CFIdb!$O$2:'CFIdb'!$O$2000,"*"&amp;$G$47&amp;"*")</f>
        <v>0</v>
      </c>
      <c r="H59" s="18">
        <f>COUNTIFS(CFIdb!$Z$2:'CFIdb'!$Z$2000,"*"&amp;$B59,CFIdb!$O$2:'CFIdb'!$O$2000,"*"&amp;H$47&amp;"*")</f>
        <v>0</v>
      </c>
      <c r="I59" s="14">
        <f>COUNTIFS(CFIdb!$Z$2:'CFIdb'!$Z$2000,"*"&amp;$B59,CFIdb!$O$2:'CFIdb'!$O$2000,"*"&amp;$I$47&amp;"*")</f>
        <v>1</v>
      </c>
      <c r="J59" s="14">
        <f>COUNTIFS(CFIdb!$Z$2:'CFIdb'!$Z$2000,"*"&amp;$B59,CFIdb!$O$2:'CFIdb'!$O$2000,"*"&amp;$J$47&amp;"*")</f>
        <v>6</v>
      </c>
      <c r="K59" s="14">
        <f>COUNTIFS(CFIdb!$Z$2:'CFIdb'!$Z$2000,"*"&amp;$B59,CFIdb!$O$2:'CFIdb'!$O$2000,"*"&amp;$K$47&amp;"*")</f>
        <v>0</v>
      </c>
      <c r="L59" s="14">
        <f>COUNTIFS(CFIdb!$Z$2:'CFIdb'!$Z$2000,"*"&amp;$B59,CFIdb!$O$2:'CFIdb'!$O$2000,"*"&amp;$L$47&amp;"*")</f>
        <v>0</v>
      </c>
      <c r="M59" s="16">
        <f>COUNTIFS(CFIdb!$Z$2:'CFIdb'!$Z$2000,"*"&amp;$B59,CFIdb!$O$2:'CFIdb'!$O$2000,"*"&amp;$M$47&amp;"*")</f>
        <v>0</v>
      </c>
      <c r="N59" s="16">
        <f>COUNTIFS(CFIdb!$Z$2:'CFIdb'!$Z$2000,"*"&amp;$B59,CFIdb!$O$2:'CFIdb'!$O$2000,"*"&amp;$N$47&amp;"*")</f>
        <v>0</v>
      </c>
      <c r="O59" s="16">
        <f>COUNTIFS(CFIdb!$Z$2:'CFIdb'!$Z$2000,"*"&amp;$B59,CFIdb!$O$2:'CFIdb'!$O$2000,"*"&amp;$O$47&amp;"*")</f>
        <v>0</v>
      </c>
      <c r="P59" t="str">
        <f>CONCATENATE(COUNTIFS(CFIdb!$Z$2:'CFIdb'!$Z$2000,"*"&amp;$B59),"/",SUM(D59:O59))</f>
        <v>11/11</v>
      </c>
    </row>
    <row r="60" spans="2:16" x14ac:dyDescent="0.25">
      <c r="B60" s="12" t="s">
        <v>5012</v>
      </c>
      <c r="C60">
        <f>COUNTIFS(CFIdb!$Z$2:'CFIdb'!$Z$2000,"")-COUNTBLANK(CFIdb!$C$2:'CFIdb'!$C$2000)</f>
        <v>707</v>
      </c>
      <c r="D60" s="13">
        <f>COUNTIFS(CFIdb!$Z$2:'CFIdb'!$Z$2000,"",CFIdb!$O$2:'CFIdb'!$O$2000,"*"&amp;D$47&amp;"*")</f>
        <v>53</v>
      </c>
      <c r="E60" s="17">
        <f>COUNTIFS(CFIdb!$Z$2:'CFIdb'!$Z$2000,"",CFIdb!$O$2:'CFIdb'!$O$2000,"*"&amp;E$47&amp;"*")</f>
        <v>8</v>
      </c>
      <c r="F60" s="17">
        <f>COUNTIFS(CFIdb!$Z$2:'CFIdb'!$Z$2000,"",CFIdb!$O$2:'CFIdb'!$O$2000,"*"&amp;F$47&amp;"*")</f>
        <v>6</v>
      </c>
      <c r="G60" s="18">
        <f>COUNTIFS(CFIdb!$Z$2:'CFIdb'!$Z$2000,"",CFIdb!$O$2:'CFIdb'!$O$2000,"*"&amp;G$47&amp;"*")</f>
        <v>12</v>
      </c>
      <c r="H60" s="18">
        <f>COUNTIFS(CFIdb!$Z$2:'CFIdb'!$Z$2000,"",CFIdb!$O$2:'CFIdb'!$O$2000,"*"&amp;H$47&amp;"*")</f>
        <v>6</v>
      </c>
      <c r="I60" s="14">
        <f>COUNTIFS(CFIdb!$Z$2:'CFIdb'!$Z$2000,"",CFIdb!$O$2:'CFIdb'!$O$2000,"*"&amp;I$47&amp;"*")</f>
        <v>315</v>
      </c>
      <c r="J60" s="14">
        <f>COUNTIFS(CFIdb!$Z$2:'CFIdb'!$Z$2000,"",CFIdb!$O$2:'CFIdb'!$O$2000,"*"&amp;J$47&amp;"*")</f>
        <v>182</v>
      </c>
      <c r="K60" s="14">
        <f>COUNTIFS(CFIdb!$Z$2:'CFIdb'!$Z$2000,"",CFIdb!$O$2:'CFIdb'!$O$2000,"*"&amp;K$47&amp;"*")</f>
        <v>12</v>
      </c>
      <c r="L60" s="14">
        <f>COUNTIFS(CFIdb!$Z$2:'CFIdb'!$Z$2000,"",CFIdb!$O$2:'CFIdb'!$O$2000,"*"&amp;L$47&amp;"*")</f>
        <v>106</v>
      </c>
      <c r="M60" s="16">
        <f>COUNTIFS(CFIdb!$Z$2:'CFIdb'!$Z$2000,"",CFIdb!$O$2:'CFIdb'!$O$2000,"*"&amp;M$47&amp;"*")</f>
        <v>3</v>
      </c>
      <c r="N60" s="16">
        <f>COUNTIFS(CFIdb!$Z$2:'CFIdb'!$Z$2000,"",CFIdb!$O$2:'CFIdb'!$O$2000,"*"&amp;N$47&amp;"*")</f>
        <v>0</v>
      </c>
      <c r="O60" s="16">
        <f>COUNTIFS(CFIdb!$Z$2:'CFIdb'!$Z$2000,"",CFIdb!$O$2:'CFIdb'!$O$2000,"*"&amp;$O$47&amp;"*")</f>
        <v>4</v>
      </c>
      <c r="P60" t="str">
        <f>CONCATENATE(C60,"/",SUM(D60:O60))</f>
        <v>707/707</v>
      </c>
    </row>
    <row r="61" spans="2:16" x14ac:dyDescent="0.25">
      <c r="C61">
        <f>SUM(C48:C60)</f>
        <v>1035</v>
      </c>
      <c r="D61">
        <f t="shared" ref="D61:O61" si="18">SUM(D48:D60)</f>
        <v>99</v>
      </c>
      <c r="E61">
        <f t="shared" si="18"/>
        <v>28</v>
      </c>
      <c r="F61">
        <f t="shared" si="18"/>
        <v>18</v>
      </c>
      <c r="G61">
        <f t="shared" si="18"/>
        <v>17</v>
      </c>
      <c r="H61">
        <f t="shared" si="18"/>
        <v>7</v>
      </c>
      <c r="I61">
        <f t="shared" si="18"/>
        <v>385</v>
      </c>
      <c r="J61">
        <f t="shared" si="18"/>
        <v>317</v>
      </c>
      <c r="K61">
        <f t="shared" si="18"/>
        <v>14</v>
      </c>
      <c r="L61">
        <f t="shared" si="18"/>
        <v>141</v>
      </c>
      <c r="M61">
        <f t="shared" si="18"/>
        <v>4</v>
      </c>
      <c r="N61">
        <f t="shared" si="18"/>
        <v>1</v>
      </c>
      <c r="O61">
        <f t="shared" si="18"/>
        <v>4</v>
      </c>
    </row>
    <row r="64" spans="2:16" ht="60" x14ac:dyDescent="0.25">
      <c r="C64" t="s">
        <v>5007</v>
      </c>
      <c r="D64" s="13" t="s">
        <v>5008</v>
      </c>
      <c r="E64" s="17" t="s">
        <v>640</v>
      </c>
      <c r="F64" s="17" t="s">
        <v>1360</v>
      </c>
      <c r="G64" s="18" t="s">
        <v>626</v>
      </c>
      <c r="H64" s="18" t="s">
        <v>649</v>
      </c>
      <c r="I64" s="14" t="s">
        <v>5013</v>
      </c>
      <c r="J64" s="14" t="s">
        <v>5014</v>
      </c>
      <c r="K64" s="14" t="s">
        <v>4995</v>
      </c>
      <c r="L64" s="14" t="s">
        <v>5015</v>
      </c>
      <c r="M64" s="16" t="s">
        <v>5016</v>
      </c>
      <c r="N64" s="16" t="s">
        <v>5017</v>
      </c>
      <c r="O64" s="16" t="s">
        <v>2879</v>
      </c>
    </row>
    <row r="65" spans="2:16" ht="30" x14ac:dyDescent="0.25">
      <c r="B65" s="12" t="s">
        <v>620</v>
      </c>
      <c r="C65">
        <f>COUNTIFS(CFIdb!$E$2:'CFIdb'!$E$2000,"*"&amp;B65)</f>
        <v>318</v>
      </c>
      <c r="D65" s="13">
        <f>COUNTIFS(CFIdb!$E$2:'CFIdb'!$E$2000,"*"&amp;$B65,CFIdb!$O$2:'CFIdb'!$O$2000,"*"&amp;$D$64&amp;"*")</f>
        <v>58</v>
      </c>
      <c r="E65" s="13">
        <f>COUNTIFS(CFIdb!$E$2:'CFIdb'!$E$2000,"*"&amp;$B65,CFIdb!$O$2:'CFIdb'!$O$2000,"*"&amp;E$64&amp;"*")</f>
        <v>19</v>
      </c>
      <c r="F65" s="13">
        <f>COUNTIFS(CFIdb!$E$2:'CFIdb'!$E$2000,"*"&amp;$B65,CFIdb!$O$2:'CFIdb'!$O$2000,"*"&amp;F$64&amp;"*")</f>
        <v>13</v>
      </c>
      <c r="G65" s="13">
        <f>COUNTIFS(CFIdb!$E$2:'CFIdb'!$E$2000,"*"&amp;$B65,CFIdb!$O$2:'CFIdb'!$O$2000,"*"&amp;G$64&amp;"*")</f>
        <v>9</v>
      </c>
      <c r="H65" s="13">
        <f>COUNTIFS(CFIdb!$E$2:'CFIdb'!$E$2000,"*"&amp;$B65,CFIdb!$O$2:'CFIdb'!$O$2000,"*"&amp;H$64&amp;"*")</f>
        <v>3</v>
      </c>
      <c r="I65" s="13">
        <f>COUNTIFS(CFIdb!$E$2:'CFIdb'!$E$2000,"*"&amp;$B65,CFIdb!$O$2:'CFIdb'!$O$2000,"*"&amp;I$64&amp;"*")</f>
        <v>57</v>
      </c>
      <c r="J65" s="13">
        <f>COUNTIFS(CFIdb!$E$2:'CFIdb'!$E$2000,"*"&amp;$B65,CFIdb!$O$2:'CFIdb'!$O$2000,"*"&amp;J$64&amp;"*")</f>
        <v>120</v>
      </c>
      <c r="K65" s="13">
        <f>COUNTIFS(CFIdb!$E$2:'CFIdb'!$E$2000,"*"&amp;$B65,CFIdb!$O$2:'CFIdb'!$O$2000,"*"&amp;K$64&amp;"*")</f>
        <v>2</v>
      </c>
      <c r="L65" s="13">
        <f>COUNTIFS(CFIdb!$E$2:'CFIdb'!$E$2000,"*"&amp;$B65,CFIdb!$O$2:'CFIdb'!$O$2000,"*"&amp;L$64&amp;"*")</f>
        <v>35</v>
      </c>
      <c r="M65" s="13">
        <f>COUNTIFS(CFIdb!$E$2:'CFIdb'!$E$2000,"*"&amp;$B65,CFIdb!$O$2:'CFIdb'!$O$2000,"*"&amp;M$64&amp;"*")</f>
        <v>1</v>
      </c>
      <c r="N65" s="13">
        <f>COUNTIFS(CFIdb!$E$2:'CFIdb'!$E$2000,"*"&amp;$B65,CFIdb!$O$2:'CFIdb'!$O$2000,"*"&amp;N$64&amp;"*")</f>
        <v>1</v>
      </c>
      <c r="O65" s="13">
        <f>COUNTIFS(CFIdb!$E$2:'CFIdb'!$E$2000,"*"&amp;$B65,CFIdb!$O$2:'CFIdb'!$O$2000,"*"&amp;O$64&amp;"*")</f>
        <v>0</v>
      </c>
      <c r="P65" t="str">
        <f>CONCATENATE(COUNTIFS(CFIdb!$E$2:'CFIdb'!$E$2000,"*"&amp;$B65),"/",SUM(D65:O65))</f>
        <v>318/318</v>
      </c>
    </row>
    <row r="66" spans="2:16" ht="30" x14ac:dyDescent="0.25">
      <c r="B66" s="12" t="s">
        <v>850</v>
      </c>
      <c r="C66">
        <f>COUNTIFS(CFIdb!$E$2:'CFIdb'!$E$2000,"*"&amp;B66)</f>
        <v>718</v>
      </c>
      <c r="D66" s="13">
        <f>COUNTIFS(CFIdb!$E$2:'CFIdb'!$E$2000,"*"&amp;$B66,CFIdb!$O$2:'CFIdb'!$O$2000,"*"&amp;D$64&amp;"*")</f>
        <v>42</v>
      </c>
      <c r="E66" s="13">
        <f>COUNTIFS(CFIdb!$E$2:'CFIdb'!$E$2000,"*"&amp;$B66,CFIdb!$O$2:'CFIdb'!$O$2000,"*"&amp;E$64&amp;"*")</f>
        <v>9</v>
      </c>
      <c r="F66" s="13">
        <f>COUNTIFS(CFIdb!$E$2:'CFIdb'!$E$2000,"*"&amp;$B66,CFIdb!$O$2:'CFIdb'!$O$2000,"*"&amp;F$64&amp;"*")</f>
        <v>5</v>
      </c>
      <c r="G66" s="13">
        <f>COUNTIFS(CFIdb!$E$2:'CFIdb'!$E$2000,"*"&amp;$B66,CFIdb!$O$2:'CFIdb'!$O$2000,"*"&amp;G$64&amp;"*")</f>
        <v>8</v>
      </c>
      <c r="H66" s="13">
        <f>COUNTIFS(CFIdb!$E$2:'CFIdb'!$E$2000,"*"&amp;$B66,CFIdb!$O$2:'CFIdb'!$O$2000,"*"&amp;H$64&amp;"*")</f>
        <v>4</v>
      </c>
      <c r="I66" s="13">
        <f>COUNTIFS(CFIdb!$E$2:'CFIdb'!$E$2000,"*"&amp;$B66,CFIdb!$O$2:'CFIdb'!$O$2000,"*"&amp;I$64&amp;"*")</f>
        <v>328</v>
      </c>
      <c r="J66" s="13">
        <f>COUNTIFS(CFIdb!$E$2:'CFIdb'!$E$2000,"*"&amp;$B66,CFIdb!$O$2:'CFIdb'!$O$2000,"*"&amp;J$64&amp;"*")</f>
        <v>197</v>
      </c>
      <c r="K66" s="13">
        <f>COUNTIFS(CFIdb!$E$2:'CFIdb'!$E$2000,"*"&amp;$B66,CFIdb!$O$2:'CFIdb'!$O$2000,"*"&amp;K$64&amp;"*")</f>
        <v>12</v>
      </c>
      <c r="L66" s="13">
        <f>COUNTIFS(CFIdb!$E$2:'CFIdb'!$E$2000,"*"&amp;$B66,CFIdb!$O$2:'CFIdb'!$O$2000,"*"&amp;L$64&amp;"*")</f>
        <v>106</v>
      </c>
      <c r="M66" s="13">
        <f>COUNTIFS(CFIdb!$E$2:'CFIdb'!$E$2000,"*"&amp;$B66,CFIdb!$O$2:'CFIdb'!$O$2000,"*"&amp;M$64&amp;"*")</f>
        <v>3</v>
      </c>
      <c r="N66" s="13">
        <f>COUNTIFS(CFIdb!$E$2:'CFIdb'!$E$2000,"*"&amp;$B66,CFIdb!$O$2:'CFIdb'!$O$2000,"*"&amp;N$64&amp;"*")</f>
        <v>0</v>
      </c>
      <c r="O66" s="13">
        <f>COUNTIFS(CFIdb!$E$2:'CFIdb'!$E$2000,"*"&amp;$B66,CFIdb!$O$2:'CFIdb'!$O$2000,"*"&amp;O$64&amp;"*")</f>
        <v>4</v>
      </c>
      <c r="P66" t="str">
        <f>CONCATENATE(COUNTIFS(CFIdb!$E$2:'CFIdb'!$E$2000,"*"&amp;$B66),"/",SUM(D66:O66))</f>
        <v>718/718</v>
      </c>
    </row>
    <row r="70" spans="2:16" ht="30" x14ac:dyDescent="0.25">
      <c r="B70" s="30" t="s">
        <v>5078</v>
      </c>
      <c r="C70" s="24"/>
      <c r="D70" s="25"/>
      <c r="E70" s="25"/>
      <c r="F70" s="25"/>
      <c r="G70" s="25"/>
      <c r="H70" s="25"/>
      <c r="I70" s="25"/>
      <c r="J70" s="25"/>
      <c r="K70" s="25"/>
      <c r="L70" s="25"/>
      <c r="M70" s="25"/>
      <c r="N70" s="24"/>
      <c r="O70" s="24"/>
      <c r="P70" s="24"/>
    </row>
    <row r="71" spans="2:16" x14ac:dyDescent="0.25">
      <c r="B71" s="31"/>
      <c r="C71" s="21"/>
      <c r="D71" s="28"/>
      <c r="E71" s="28"/>
      <c r="F71" s="28"/>
      <c r="G71" s="28"/>
      <c r="H71" s="28"/>
      <c r="I71" s="28"/>
      <c r="J71" s="28"/>
      <c r="K71" s="28"/>
      <c r="L71" s="28"/>
      <c r="M71" s="28"/>
      <c r="N71" s="21"/>
      <c r="O71" s="21"/>
      <c r="P71" s="21"/>
    </row>
    <row r="72" spans="2:16" ht="30" x14ac:dyDescent="0.25">
      <c r="C72" t="s">
        <v>5007</v>
      </c>
      <c r="D72" s="13" t="s">
        <v>5009</v>
      </c>
      <c r="E72" s="14" t="s">
        <v>5010</v>
      </c>
      <c r="F72" s="13" t="s">
        <v>4991</v>
      </c>
      <c r="G72" s="13" t="s">
        <v>4992</v>
      </c>
      <c r="H72" s="14" t="s">
        <v>4993</v>
      </c>
      <c r="I72" s="14" t="s">
        <v>5006</v>
      </c>
      <c r="J72" s="14" t="s">
        <v>4994</v>
      </c>
      <c r="K72" s="14" t="s">
        <v>4995</v>
      </c>
      <c r="L72" s="14" t="s">
        <v>4996</v>
      </c>
      <c r="M72" s="14" t="s">
        <v>4997</v>
      </c>
    </row>
    <row r="73" spans="2:16" x14ac:dyDescent="0.25">
      <c r="B73" t="s">
        <v>4990</v>
      </c>
      <c r="C73">
        <f>COUNTIFS(CFIdb!$C$2:'CFIdb'!$C$2000,"*"&amp;B73,CFIdb!$E$2:'CFIdb'!$E$2000,"*3PAR*")</f>
        <v>60</v>
      </c>
      <c r="D73" s="13">
        <f>SUM(F73:G73)</f>
        <v>24</v>
      </c>
      <c r="E73" s="14">
        <f>SUM(H73:M73)</f>
        <v>36</v>
      </c>
      <c r="F73" s="13">
        <f>COUNTIFS(CFIdb!$C$2:'CFIdb'!$C$2000,"*"&amp;B73,CFIdb!$R$2:'CFIdb'!$R$2000,"*"&amp;$F$72&amp;"*",CFIdb!$E$2:'CFIdb'!$E$2000,"*3PAR*")</f>
        <v>16</v>
      </c>
      <c r="G73" s="13">
        <f>COUNTIFS(CFIdb!$C$2:'CFIdb'!$C$2000,"*"&amp;B73,CFIdb!$R$2:'CFIdb'!$R$2000,"*"&amp;$G$72&amp;"*",CFIdb!$E$2:'CFIdb'!$E$2000,"*3PAR*")</f>
        <v>8</v>
      </c>
      <c r="H73" s="14">
        <f>COUNTIFS(CFIdb!$C$2:'CFIdb'!$C$2000,"*"&amp;B73,CFIdb!$S$2:'CFIdb'!$S$2000,"*"&amp;$H$72&amp;"*",CFIdb!$E$2:'CFIdb'!$E$2000,"*3PAR*")</f>
        <v>18</v>
      </c>
      <c r="I73" s="14">
        <f>COUNTIFS(CFIdb!$C$2:'CFIdb'!$C$2000,"*"&amp;B73,CFIdb!$S$2:'CFIdb'!$S$2000,"*"&amp;$I$72&amp;"*",CFIdb!$E$2:'CFIdb'!$E$2000,"*3PAR*")</f>
        <v>6</v>
      </c>
      <c r="J73" s="14">
        <f>COUNTIFS(CFIdb!$C$2:'CFIdb'!$C$2000,"*"&amp;B73,CFIdb!$S$2:'CFIdb'!$S$2000,"*"&amp;$J$72&amp;"*",CFIdb!$E$2:'CFIdb'!$E$2000,"*3PAR*")</f>
        <v>0</v>
      </c>
      <c r="K73" s="14">
        <f>COUNTIFS(CFIdb!$C$2:'CFIdb'!$C$2000,"*"&amp;B73,CFIdb!$S$2:'CFIdb'!$S$2000,"*"&amp;$K$72&amp;"*",CFIdb!$E$2:'CFIdb'!$E$2000,"*3PAR*")</f>
        <v>1</v>
      </c>
      <c r="L73" s="14">
        <f>COUNTIFS(CFIdb!$C$2:'CFIdb'!$C$2000,"*"&amp;B73,CFIdb!$R$2:'CFIdb'!$R$2000,"*Close*",CFIdb!$S$2:'CFIdb'!$S$2000,"",CFIdb!$E$2:'CFIdb'!$E$2000,"*3PAR*")
+COUNTIFS(CFIdb!$C$2:'CFIdb'!$C$2000,"*"&amp;B73,CFIdb!$R$2:'CFIdb'!$R$2000,"*Resolve*",CFIdb!$S$2:'CFIdb'!$S$2000,"",CFIdb!$E$2:'CFIdb'!$E$2000,"*3PAR*")
+COUNTIFS(CFIdb!$C$2:'CFIdb'!$C$2000,"*"&amp;B73,CFIdb!$R$2:'CFIdb'!$R$2000,"*Verified*",CFIdb!$S$2:'CFIdb'!$S$2000,"",CFIdb!$E$2:'CFIdb'!$E$2000,"*3PAR*")</f>
        <v>2</v>
      </c>
      <c r="M73" s="14">
        <f>COUNTIFS(CFIdb!$C$2:'CFIdb'!$C$2000,"*"&amp;B73,CFIdb!$R$2:'CFIdb'!$R$2000,"",CFIdb!$E$2:'CFIdb'!$E$2000,"*3PAR*")</f>
        <v>9</v>
      </c>
      <c r="O73" t="str">
        <f>CONCATENATE(COUNTIFS(CFIdb!$C$2:'CFIdb'!$C$2000,"*"&amp;B73,CFIdb!$E$2:'CFIdb'!$E$2000,"*3PAR*"),"/",SUM(F73:M73))</f>
        <v>60/60</v>
      </c>
    </row>
    <row r="74" spans="2:16" x14ac:dyDescent="0.25">
      <c r="B74" t="s">
        <v>4998</v>
      </c>
      <c r="C74">
        <f>COUNTIFS(CFIdb!$C$2:'CFIdb'!$C$2000,"*"&amp;B74,CFIdb!$E$2:'CFIdb'!$E$2000,"*3PAR*")</f>
        <v>28</v>
      </c>
      <c r="D74" s="13">
        <f>SUM(F74:G74)</f>
        <v>11</v>
      </c>
      <c r="E74" s="14">
        <f>SUM(H74:M74)</f>
        <v>17</v>
      </c>
      <c r="F74" s="13">
        <f>COUNTIFS(CFIdb!$C$2:'CFIdb'!$C$2000,"*"&amp;B74,CFIdb!$R$2:'CFIdb'!$R$2000,"*"&amp;$F$72&amp;"*",CFIdb!$E$2:'CFIdb'!$E$2000,"*3PAR*")</f>
        <v>9</v>
      </c>
      <c r="G74" s="13">
        <f>COUNTIFS(CFIdb!$C$2:'CFIdb'!$C$2000,"*"&amp;B74,CFIdb!$R$2:'CFIdb'!$R$2000,"*"&amp;$G$72&amp;"*",CFIdb!$E$2:'CFIdb'!$E$2000,"*3PAR*")</f>
        <v>2</v>
      </c>
      <c r="H74" s="14">
        <f>COUNTIFS(CFIdb!$C$2:'CFIdb'!$C$2000,"*"&amp;B74,CFIdb!$S$2:'CFIdb'!$S$2000,"*"&amp;$H$72&amp;"*",CFIdb!$E$2:'CFIdb'!$E$2000,"*3PAR*")</f>
        <v>10</v>
      </c>
      <c r="I74" s="14">
        <f>COUNTIFS(CFIdb!$C$2:'CFIdb'!$C$2000,"*"&amp;B74,CFIdb!$S$2:'CFIdb'!$S$2000,"*"&amp;$I$72&amp;"*",CFIdb!$E$2:'CFIdb'!$E$2000,"*3PAR*")</f>
        <v>1</v>
      </c>
      <c r="J74" s="14">
        <f>COUNTIFS(CFIdb!$C$2:'CFIdb'!$C$2000,"*"&amp;B74,CFIdb!$S$2:'CFIdb'!$S$2000,"*"&amp;$J$72&amp;"*",CFIdb!$E$2:'CFIdb'!$E$2000,"*3PAR*")</f>
        <v>0</v>
      </c>
      <c r="K74" s="14">
        <f>COUNTIFS(CFIdb!$C$2:'CFIdb'!$C$2000,"*"&amp;B74,CFIdb!$S$2:'CFIdb'!$S$2000,"*"&amp;$K$72&amp;"*",CFIdb!$E$2:'CFIdb'!$E$2000,"*3PAR*")</f>
        <v>1</v>
      </c>
      <c r="L74" s="14">
        <f>COUNTIFS(CFIdb!$C$2:'CFIdb'!$C$2000,"*"&amp;B74,CFIdb!$R$2:'CFIdb'!$R$2000,"*Close*",CFIdb!$S$2:'CFIdb'!$S$2000,"",CFIdb!$E$2:'CFIdb'!$E$2000,"*3PAR*")
+COUNTIFS(CFIdb!$C$2:'CFIdb'!$C$2000,"*"&amp;B74,CFIdb!$R$2:'CFIdb'!$R$2000,"*Resolve*",CFIdb!$S$2:'CFIdb'!$S$2000,"",CFIdb!$E$2:'CFIdb'!$E$2000,"*3PAR*")
+COUNTIFS(CFIdb!$C$2:'CFIdb'!$C$2000,"*"&amp;B74,CFIdb!$R$2:'CFIdb'!$R$2000,"*Verified*",CFIdb!$S$2:'CFIdb'!$S$2000,"",CFIdb!$E$2:'CFIdb'!$E$2000,"*3PAR*")</f>
        <v>2</v>
      </c>
      <c r="M74" s="14">
        <f>COUNTIFS(CFIdb!$C$2:'CFIdb'!$C$2000,"*"&amp;B74,CFIdb!$R$2:'CFIdb'!$R$2000,"",CFIdb!$E$2:'CFIdb'!$E$2000,"*3PAR*")</f>
        <v>3</v>
      </c>
      <c r="O74" t="str">
        <f>CONCATENATE(COUNTIFS(CFIdb!$C$2:'CFIdb'!$C$2000,"*"&amp;B74,CFIdb!$E$2:'CFIdb'!$E$2000,"*3PAR*"),"/",SUM(F74:M74))</f>
        <v>28/28</v>
      </c>
    </row>
    <row r="75" spans="2:16" x14ac:dyDescent="0.25">
      <c r="B75" t="s">
        <v>5007</v>
      </c>
      <c r="C75">
        <f>SUM(C73:C74)</f>
        <v>88</v>
      </c>
      <c r="D75" s="13">
        <f t="shared" ref="D75:M75" si="19">SUM(D73:D74)</f>
        <v>35</v>
      </c>
      <c r="E75" s="14">
        <f t="shared" si="19"/>
        <v>53</v>
      </c>
      <c r="F75" s="13">
        <f t="shared" si="19"/>
        <v>25</v>
      </c>
      <c r="G75" s="13">
        <f t="shared" si="19"/>
        <v>10</v>
      </c>
      <c r="H75" s="14">
        <f t="shared" si="19"/>
        <v>28</v>
      </c>
      <c r="I75" s="14">
        <f t="shared" si="19"/>
        <v>7</v>
      </c>
      <c r="J75" s="14">
        <f t="shared" si="19"/>
        <v>0</v>
      </c>
      <c r="K75" s="14">
        <f t="shared" si="19"/>
        <v>2</v>
      </c>
      <c r="L75" s="14">
        <f t="shared" si="19"/>
        <v>4</v>
      </c>
      <c r="M75" s="14">
        <f t="shared" si="19"/>
        <v>12</v>
      </c>
      <c r="O75" t="str">
        <f>CONCATENATE(C75,"/",SUM(F75:M75))</f>
        <v>88/88</v>
      </c>
    </row>
    <row r="77" spans="2:16" ht="60" x14ac:dyDescent="0.25">
      <c r="C77" t="s">
        <v>5007</v>
      </c>
      <c r="D77" s="13" t="s">
        <v>5008</v>
      </c>
      <c r="E77" s="17" t="s">
        <v>640</v>
      </c>
      <c r="F77" s="17" t="s">
        <v>1360</v>
      </c>
      <c r="G77" s="18" t="s">
        <v>626</v>
      </c>
      <c r="H77" s="18" t="s">
        <v>649</v>
      </c>
      <c r="I77" s="14" t="s">
        <v>5013</v>
      </c>
      <c r="J77" s="14" t="s">
        <v>5014</v>
      </c>
      <c r="K77" s="14" t="s">
        <v>4995</v>
      </c>
      <c r="L77" s="14" t="s">
        <v>5015</v>
      </c>
      <c r="M77" s="16" t="s">
        <v>5016</v>
      </c>
      <c r="N77" s="16" t="s">
        <v>5017</v>
      </c>
      <c r="O77" s="16" t="s">
        <v>2879</v>
      </c>
    </row>
    <row r="78" spans="2:16" x14ac:dyDescent="0.25">
      <c r="B78" t="s">
        <v>4990</v>
      </c>
      <c r="C78">
        <f>COUNTIFS(CFIdb!$C$2:'CFIdb'!$C$2000,"*"&amp;B78,CFIdb!$E$2:'CFIdb'!$E$2000,"*3PAR*")</f>
        <v>60</v>
      </c>
      <c r="D78" s="13">
        <f>COUNTIFS(CFIdb!$C$2:'CFIdb'!$C$2000,"*"&amp;B78,CFIdb!$O$2:'CFIdb'!$O$2000,"*"&amp;$D$77&amp;"*",CFIdb!$E$2:'CFIdb'!$E$2000,"*3PAR*")</f>
        <v>37</v>
      </c>
      <c r="E78" s="17">
        <f>COUNTIFS(CFIdb!$C$2:'CFIdb'!$C$2000,"*"&amp;$B78,CFIdb!$O$2:'CFIdb'!$O$2000,"*"&amp;E$77&amp;"*",CFIdb!$E$2:'CFIdb'!$E$2000,"*3PAR*")</f>
        <v>9</v>
      </c>
      <c r="F78" s="17">
        <f>COUNTIFS(CFIdb!$C$2:'CFIdb'!$C$2000,"*"&amp;$B78,CFIdb!$O$2:'CFIdb'!$O$2000,"*"&amp;F$77&amp;"*",CFIdb!$E$2:'CFIdb'!$E$2000,"*3PAR*")</f>
        <v>9</v>
      </c>
      <c r="G78" s="18">
        <f>COUNTIFS(CFIdb!$C$2:'CFIdb'!$C$2000,"*"&amp;$B78,CFIdb!$O$2:'CFIdb'!$O$2000,"*"&amp;G$77&amp;"*",CFIdb!$E$2:'CFIdb'!$E$2000,"*3PAR*")</f>
        <v>4</v>
      </c>
      <c r="H78" s="18">
        <f>COUNTIFS(CFIdb!$C$2:'CFIdb'!$C$2000,"*"&amp;$B78,CFIdb!$O$2:'CFIdb'!$O$2000,"*"&amp;H$77&amp;"*",CFIdb!$E$2:'CFIdb'!$E$2000,"*3PAR*")</f>
        <v>1</v>
      </c>
      <c r="I78" s="14">
        <f>COUNTIFS(CFIdb!$C$2:'CFIdb'!$C$2000,"*"&amp;$B78,CFIdb!$O$2:'CFIdb'!$O$2000,"*"&amp;I$77&amp;"*",CFIdb!$E$2:'CFIdb'!$E$2000,"*3PAR*")</f>
        <v>0</v>
      </c>
      <c r="J78" s="14">
        <f>COUNTIFS(CFIdb!$C$2:'CFIdb'!$C$2000,"*"&amp;$B78,CFIdb!$O$2:'CFIdb'!$O$2000,"*"&amp;J$77&amp;"*",CFIdb!$E$2:'CFIdb'!$E$2000,"*3PAR*")</f>
        <v>0</v>
      </c>
      <c r="K78" s="14">
        <f>COUNTIFS(CFIdb!$C$2:'CFIdb'!$C$2000,"*"&amp;$B78,CFIdb!$O$2:'CFIdb'!$O$2000,"*"&amp;K$77&amp;"*",CFIdb!$E$2:'CFIdb'!$E$2000,"*3PAR*")</f>
        <v>0</v>
      </c>
      <c r="L78" s="14">
        <f>COUNTIFS(CFIdb!$C$2:'CFIdb'!$C$2000,"*"&amp;$B78,CFIdb!$O$2:'CFIdb'!$O$2000,"*"&amp;L$77&amp;"*",CFIdb!$E$2:'CFIdb'!$E$2000,"*3PAR*")</f>
        <v>0</v>
      </c>
      <c r="M78" s="16">
        <f>COUNTIFS(CFIdb!$C$2:'CFIdb'!$C$2000,"*"&amp;$B78,CFIdb!$O$2:'CFIdb'!$O$2000,"*"&amp;M$77&amp;"*",CFIdb!$E$2:'CFIdb'!$E$2000,"*3PAR*")</f>
        <v>0</v>
      </c>
      <c r="N78" s="16">
        <f>COUNTIFS(CFIdb!$C$2:'CFIdb'!$C$2000,"*"&amp;$B78,CFIdb!$O$2:'CFIdb'!$O$2000,"*"&amp;N$77&amp;"*",CFIdb!$E$2:'CFIdb'!$E$2000,"*3PAR*")</f>
        <v>0</v>
      </c>
      <c r="O78" s="16">
        <f>COUNTIFS(CFIdb!$C$2:'CFIdb'!$C$2000,"*"&amp;$B78,CFIdb!$O$2:'CFIdb'!$O$2000,"*"&amp;O$77&amp;"*",CFIdb!$E$2:'CFIdb'!$E$2000,"*3PAR*")</f>
        <v>0</v>
      </c>
      <c r="P78" t="str">
        <f>CONCATENATE(COUNTIFS(CFIdb!$C$2:'CFIdb'!$C$2000,"*"&amp;$B78,CFIdb!$E$2:'CFIdb'!$E$2000,"*3PAR*"),"/",SUM(D78:O78))</f>
        <v>60/60</v>
      </c>
    </row>
    <row r="79" spans="2:16" x14ac:dyDescent="0.25">
      <c r="B79" t="s">
        <v>4998</v>
      </c>
      <c r="C79">
        <f>COUNTIFS(CFIdb!$C$2:'CFIdb'!$C$2000,"*"&amp;B79,CFIdb!$E$2:'CFIdb'!$E$2000,"*3PAR*")</f>
        <v>28</v>
      </c>
      <c r="D79" s="13">
        <f>COUNTIFS(CFIdb!$C$2:'CFIdb'!$C$2000,"*"&amp;B79,CFIdb!$O$2:'CFIdb'!$O$2000,"*"&amp;$D$77&amp;"*",CFIdb!$E$2:'CFIdb'!$E$2000,"*3PAR*")</f>
        <v>18</v>
      </c>
      <c r="E79" s="17">
        <f>COUNTIFS(CFIdb!$C$2:'CFIdb'!$C$2000,"*"&amp;$B79,CFIdb!$O$2:'CFIdb'!$O$2000,"*"&amp;E$77&amp;"*",CFIdb!$E$2:'CFIdb'!$E$2000,"*3PAR*")</f>
        <v>6</v>
      </c>
      <c r="F79" s="17">
        <f>COUNTIFS(CFIdb!$C$2:'CFIdb'!$C$2000,"*"&amp;$B79,CFIdb!$O$2:'CFIdb'!$O$2000,"*"&amp;F$77&amp;"*",CFIdb!$E$2:'CFIdb'!$E$2000,"*3PAR*")</f>
        <v>4</v>
      </c>
      <c r="G79" s="18">
        <f>COUNTIFS(CFIdb!$C$2:'CFIdb'!$C$2000,"*"&amp;$B79,CFIdb!$O$2:'CFIdb'!$O$2000,"*"&amp;G$77&amp;"*",CFIdb!$E$2:'CFIdb'!$E$2000,"*3PAR*")</f>
        <v>0</v>
      </c>
      <c r="H79" s="18">
        <f>COUNTIFS(CFIdb!$C$2:'CFIdb'!$C$2000,"*"&amp;$B79,CFIdb!$O$2:'CFIdb'!$O$2000,"*"&amp;H$77&amp;"*",CFIdb!$E$2:'CFIdb'!$E$2000,"*3PAR*")</f>
        <v>0</v>
      </c>
      <c r="I79" s="14">
        <f>COUNTIFS(CFIdb!$C$2:'CFIdb'!$C$2000,"*"&amp;$B79,CFIdb!$O$2:'CFIdb'!$O$2000,"*"&amp;I$77&amp;"*",CFIdb!$E$2:'CFIdb'!$E$2000,"*3PAR*")</f>
        <v>0</v>
      </c>
      <c r="J79" s="14">
        <f>COUNTIFS(CFIdb!$C$2:'CFIdb'!$C$2000,"*"&amp;$B79,CFIdb!$O$2:'CFIdb'!$O$2000,"*"&amp;J$77&amp;"*",CFIdb!$E$2:'CFIdb'!$E$2000,"*3PAR*")</f>
        <v>0</v>
      </c>
      <c r="K79" s="14">
        <f>COUNTIFS(CFIdb!$C$2:'CFIdb'!$C$2000,"*"&amp;$B79,CFIdb!$O$2:'CFIdb'!$O$2000,"*"&amp;K$77&amp;"*",CFIdb!$E$2:'CFIdb'!$E$2000,"*3PAR*")</f>
        <v>0</v>
      </c>
      <c r="L79" s="14">
        <f>COUNTIFS(CFIdb!$C$2:'CFIdb'!$C$2000,"*"&amp;$B79,CFIdb!$O$2:'CFIdb'!$O$2000,"*"&amp;L$77&amp;"*",CFIdb!$E$2:'CFIdb'!$E$2000,"*3PAR*")</f>
        <v>0</v>
      </c>
      <c r="M79" s="16">
        <f>COUNTIFS(CFIdb!$C$2:'CFIdb'!$C$2000,"*"&amp;$B79,CFIdb!$O$2:'CFIdb'!$O$2000,"*"&amp;M$77&amp;"*",CFIdb!$E$2:'CFIdb'!$E$2000,"*3PAR*")</f>
        <v>0</v>
      </c>
      <c r="N79" s="16">
        <f>COUNTIFS(CFIdb!$C$2:'CFIdb'!$C$2000,"*"&amp;$B79,CFIdb!$O$2:'CFIdb'!$O$2000,"*"&amp;N$77&amp;"*",CFIdb!$E$2:'CFIdb'!$E$2000,"*3PAR*")</f>
        <v>0</v>
      </c>
      <c r="O79" s="16">
        <f>COUNTIFS(CFIdb!$C$2:'CFIdb'!$C$2000,"*"&amp;$B79,CFIdb!$O$2:'CFIdb'!$O$2000,"*"&amp;O$77&amp;"*",CFIdb!$E$2:'CFIdb'!$E$2000,"*3PAR*")</f>
        <v>0</v>
      </c>
      <c r="P79" t="str">
        <f>CONCATENATE(COUNTIFS(CFIdb!$C$2:'CFIdb'!$C$2000,"*"&amp;$B79,CFIdb!$E$2:'CFIdb'!$E$2000,"*3PAR*"),"/",SUM(D79:O79))</f>
        <v>28/28</v>
      </c>
    </row>
    <row r="80" spans="2:16" x14ac:dyDescent="0.25">
      <c r="B80" t="s">
        <v>5007</v>
      </c>
      <c r="C80">
        <f>SUM(C78:C79)</f>
        <v>88</v>
      </c>
      <c r="D80" s="13">
        <f t="shared" ref="D80:O80" si="20">SUM(D78:D79)</f>
        <v>55</v>
      </c>
      <c r="E80" s="17">
        <f t="shared" si="20"/>
        <v>15</v>
      </c>
      <c r="F80" s="17">
        <f t="shared" si="20"/>
        <v>13</v>
      </c>
      <c r="G80" s="18">
        <f t="shared" si="20"/>
        <v>4</v>
      </c>
      <c r="H80" s="18">
        <f t="shared" si="20"/>
        <v>1</v>
      </c>
      <c r="I80" s="14">
        <f t="shared" si="20"/>
        <v>0</v>
      </c>
      <c r="J80" s="14">
        <f t="shared" si="20"/>
        <v>0</v>
      </c>
      <c r="K80" s="14">
        <f t="shared" si="20"/>
        <v>0</v>
      </c>
      <c r="L80" s="14">
        <f t="shared" si="20"/>
        <v>0</v>
      </c>
      <c r="M80" s="16">
        <f t="shared" si="20"/>
        <v>0</v>
      </c>
      <c r="N80" s="16">
        <f t="shared" si="20"/>
        <v>0</v>
      </c>
      <c r="O80" s="16">
        <f t="shared" si="20"/>
        <v>0</v>
      </c>
      <c r="P80" t="str">
        <f>CONCATENATE(C80,"/",SUM(D80:O80))</f>
        <v>88/88</v>
      </c>
    </row>
    <row r="81" spans="2:16" x14ac:dyDescent="0.25">
      <c r="B81" s="31"/>
      <c r="C81" s="21"/>
      <c r="D81" s="28"/>
      <c r="E81" s="28"/>
      <c r="F81" s="28"/>
      <c r="G81" s="28"/>
      <c r="H81" s="28"/>
      <c r="I81" s="28"/>
      <c r="J81" s="28"/>
      <c r="K81" s="28"/>
      <c r="L81" s="28"/>
      <c r="M81" s="28"/>
      <c r="N81" s="21"/>
      <c r="O81" s="21"/>
      <c r="P81" s="21"/>
    </row>
    <row r="82" spans="2:16" x14ac:dyDescent="0.25">
      <c r="B82" s="31"/>
      <c r="C82" s="21"/>
      <c r="D82" s="28"/>
      <c r="E82" s="28"/>
      <c r="F82" s="28"/>
      <c r="G82" s="28"/>
      <c r="H82" s="28"/>
      <c r="I82" s="28"/>
      <c r="J82" s="28"/>
      <c r="K82" s="28"/>
      <c r="L82" s="28"/>
      <c r="M82" s="28"/>
      <c r="N82" s="21"/>
      <c r="O82" s="21"/>
      <c r="P82" s="21"/>
    </row>
    <row r="83" spans="2:16" x14ac:dyDescent="0.25">
      <c r="B83" s="31"/>
      <c r="C83" s="21"/>
      <c r="D83" s="28"/>
      <c r="E83" s="28"/>
      <c r="F83" s="28"/>
      <c r="G83" s="28"/>
      <c r="H83" s="28"/>
      <c r="I83" s="28"/>
      <c r="J83" s="28"/>
      <c r="K83" s="28"/>
      <c r="L83" s="28"/>
      <c r="M83" s="28"/>
      <c r="N83" s="21"/>
      <c r="O83" s="21"/>
      <c r="P83" s="21"/>
    </row>
    <row r="84" spans="2:16" ht="30" x14ac:dyDescent="0.25">
      <c r="D84" s="13" t="s">
        <v>5009</v>
      </c>
      <c r="E84" s="14" t="s">
        <v>5010</v>
      </c>
      <c r="F84" s="13" t="s">
        <v>4991</v>
      </c>
      <c r="G84" s="13" t="s">
        <v>4992</v>
      </c>
      <c r="H84" s="14" t="s">
        <v>4993</v>
      </c>
      <c r="I84" s="14" t="s">
        <v>5006</v>
      </c>
      <c r="J84" s="14" t="s">
        <v>4994</v>
      </c>
      <c r="K84" s="14" t="s">
        <v>4995</v>
      </c>
      <c r="L84" s="14" t="s">
        <v>4996</v>
      </c>
      <c r="M84" s="14" t="s">
        <v>4997</v>
      </c>
      <c r="N84" s="14" t="s">
        <v>5011</v>
      </c>
    </row>
    <row r="85" spans="2:16" x14ac:dyDescent="0.25">
      <c r="B85" s="12" t="s">
        <v>73</v>
      </c>
      <c r="C85">
        <f>COUNTIFS(CFIdb!$Z$2:'CFIdb'!$Z$2000,"*"&amp;B85,CFIdb!$C$2:'CFIdb'!$C$2000,"*Emerging",CFIdb!$E$2:'CFIdb'!$E$2000,"*3PAR*")
+COUNTIFS(CFIdb!$Z$2:'CFIdb'!$Z$2000,"*"&amp;B85,CFIdb!$C$2:'CFIdb'!$C$2000,"*Open*",CFIdb!$E$2:'CFIdb'!$E$2000,"*3PAR*")</f>
        <v>28</v>
      </c>
      <c r="D85" s="13">
        <f>SUM(F85:G85)</f>
        <v>16</v>
      </c>
      <c r="E85" s="14">
        <f>SUM(H85:N85)</f>
        <v>12</v>
      </c>
      <c r="F85" s="13">
        <f>COUNTIFS(CFIdb!$Z$2:'CFIdb'!$Z$2000,"*"&amp;$B85,CFIdb!$C$2:'CFIdb'!$C$2000,"*Emerging",CFIdb!$R$2:'CFIdb'!$R$2000,"*"&amp;F$84&amp;"*",CFIdb!$E$2:'CFIdb'!$E$2000,"*3PAR*")
+COUNTIFS(CFIdb!$Z$2:'CFIdb'!$Z$2000,"*"&amp;$B85,CFIdb!$C$2:'CFIdb'!$C$2000,"*Open*",CFIdb!$R$2:'CFIdb'!$R$2000,"*"&amp;F$84&amp;"*",CFIdb!$E$2:'CFIdb'!$E$2000,"*3PAR*")</f>
        <v>11</v>
      </c>
      <c r="G85" s="13">
        <f>COUNTIFS(CFIdb!$Z$2:'CFIdb'!$Z$2000,"*"&amp;$B85,CFIdb!$C$2:'CFIdb'!$C$2000,"*Emerging",CFIdb!$R$2:'CFIdb'!$R$2000,"*"&amp;G$84&amp;"*",CFIdb!$E$2:'CFIdb'!$E$2000,"*3PAR*")
+COUNTIFS(CFIdb!$Z$2:'CFIdb'!$Z$2000,"*"&amp;$B85,CFIdb!$C$2:'CFIdb'!$C$2000,"*Open*",CFIdb!$R$2:'CFIdb'!$R$2000,"*"&amp;G$84&amp;"*",CFIdb!$E$2:'CFIdb'!$E$2000,"*3PAR*")</f>
        <v>5</v>
      </c>
      <c r="H85" s="14">
        <f>COUNTIFS(CFIdb!$Z$2:'CFIdb'!$Z$2000,"*"&amp;$B85,CFIdb!$C$2:'CFIdb'!$C$2000,"*Emerging",CFIdb!$S$2:'CFIdb'!$S$2000,"*"&amp;H$84&amp;"*",CFIdb!$E$2:'CFIdb'!$E$2000,"*3PAR*")
+COUNTIFS(CFIdb!$Z$2:'CFIdb'!$Z$2000,"*"&amp;$B85,CFIdb!$C$2:'CFIdb'!$C$2000,"*Open*",CFIdb!$S$2:'CFIdb'!$S$2000,"*"&amp;H$84&amp;"*",CFIdb!$E$2:'CFIdb'!$E$2000,"*3PAR*")</f>
        <v>8</v>
      </c>
      <c r="I85" s="14">
        <f>COUNTIFS(CFIdb!$Z$2:'CFIdb'!$Z$2000,"*"&amp;$B85,CFIdb!$C$2:'CFIdb'!$C$2000,"*Emerging",CFIdb!$S$2:'CFIdb'!$S$2000,"*"&amp;I$84&amp;"*",CFIdb!$E$2:'CFIdb'!$E$2000,"*3PAR*")
+COUNTIFS(CFIdb!$Z$2:'CFIdb'!$Z$2000,"*"&amp;$B85,CFIdb!$C$2:'CFIdb'!$C$2000,"*Open*",CFIdb!$S$2:'CFIdb'!$S$2000,"*"&amp;I$84&amp;"*",CFIdb!$E$2:'CFIdb'!$E$2000,"*3PAR*")</f>
        <v>2</v>
      </c>
      <c r="J85" s="14">
        <f>COUNTIFS(CFIdb!$Z$2:'CFIdb'!$Z$2000,"*"&amp;$B85,CFIdb!$C$2:'CFIdb'!$C$2000,"*Emerging",CFIdb!$S$2:'CFIdb'!$S$2000,"*"&amp;J$84&amp;"*",CFIdb!$E$2:'CFIdb'!$E$2000,"*3PAR*")
+COUNTIFS(CFIdb!$Z$2:'CFIdb'!$Z$2000,"*"&amp;$B85,CFIdb!$C$2:'CFIdb'!$C$2000,"*Open*",CFIdb!$S$2:'CFIdb'!$S$2000,"*"&amp;J$84&amp;"*",CFIdb!$E$2:'CFIdb'!$E$2000,"*3PAR*")</f>
        <v>0</v>
      </c>
      <c r="K85" s="14">
        <f>COUNTIFS(CFIdb!$Z$2:'CFIdb'!$Z$2000,"*"&amp;$B85,CFIdb!$C$2:'CFIdb'!$C$2000,"*Emerging",CFIdb!$S$2:'CFIdb'!$S$2000,"*"&amp;K$84&amp;"*",CFIdb!$E$2:'CFIdb'!$E$2000,"*3PAR*")
+COUNTIFS(CFIdb!$Z$2:'CFIdb'!$Z$2000,"*"&amp;$B85,CFIdb!$C$2:'CFIdb'!$C$2000,"*Open*",CFIdb!$S$2:'CFIdb'!$S$2000,"*"&amp;K$84&amp;"*",CFIdb!$E$2:'CFIdb'!$E$2000,"*3PAR*")</f>
        <v>2</v>
      </c>
      <c r="L85" s="14">
        <f>COUNTIFS(CFIdb!$Z$2:'CFIdb'!$Z$2000,"*"&amp;$B85,CFIdb!$C$2:'CFIdb'!$C$2000,"*Emerging",CFIdb!$R$2:'CFIdb'!$R$2000,"*Close*",CFIdb!$S$2:'CFIdb'!$S$2000,"",CFIdb!$E$2:'CFIdb'!$E$2000,"*3PAR*")
+COUNTIFS(CFIdb!$Z$2:'CFIdb'!$Z$2000,"*"&amp;$B85,CFIdb!$C$2:'CFIdb'!$C$2000,"*Open*",CFIdb!$R$2:'CFIdb'!$R$2000,"*Resolve*",CFIdb!$S$2:'CFIdb'!$S$2000,"",CFIdb!$E$2:'CFIdb'!$E$2000,"*3PAR*")
+COUNTIFS(CFIdb!$Z$2:'CFIdb'!$Z$2000,"*"&amp;$B85,CFIdb!$C$2:'CFIdb'!$C$2000,"*Open*",CFIdb!$R$2:'CFIdb'!$R$2000,"*Verified*",CFIdb!$S$2:'CFIdb'!$S$2000,"",CFIdb!$E$2:'CFIdb'!$E$2000,"*3PAR*")
+COUNTIFS(CFIdb!$Z$2:'CFIdb'!$Z$2000,"*"&amp;$B85,CFIdb!$C$2:'CFIdb'!$C$2000,"*Open*",CFIdb!$R$2:'CFIdb'!$R$2000,"*Close*",CFIdb!$S$2:'CFIdb'!$S$2000,"",CFIdb!$E$2:'CFIdb'!$E$2000,"*3PAR*")
+COUNTIFS(CFIdb!$Z$2:'CFIdb'!$Z$2000,"*"&amp;$B85,CFIdb!$C$2:'CFIdb'!$C$2000,"*Emerging",CFIdb!$R$2:'CFIdb'!$R$2000,"*Resolve*",CFIdb!$S$2:'CFIdb'!$S$2000,"",CFIdb!$E$2:'CFIdb'!$E$2000,"*3PAR*")
+COUNTIFS(CFIdb!$Z$2:'CFIdb'!$Z$2000,"*"&amp;$B85,CFIdb!$C$2:'CFIdb'!$C$2000,"*Emerging",CFIdb!$R$2:'CFIdb'!$R$2000,"*Verified*",CFIdb!$S$2:'CFIdb'!$S$2000,"",CFIdb!$E$2:'CFIdb'!$E$2000,"*3PAR*")</f>
        <v>0</v>
      </c>
      <c r="M85" s="14">
        <f>COUNTIFS(CFIdb!$Z$2:'CFIdb'!$Z$2000,"*"&amp;$B85,CFIdb!$C$2:'CFIdb'!$C$2000,"*Emerging",CFIdb!$R$2:'CFIdb'!$R$2000,"",CFIdb!$E$2:'CFIdb'!$E$2000,"*3PAR*")
+COUNTIFS(CFIdb!$Z$2:'CFIdb'!$Z$2000,"*"&amp;$B85,CFIdb!$C$2:'CFIdb'!$C$2000,"*Open*",CFIdb!$R$2:'CFIdb'!$R$2000,"",CFIdb!$E$2:'CFIdb'!$E$2000,"*3PAR*")</f>
        <v>0</v>
      </c>
      <c r="N85" s="14">
        <f>COUNTIFS(CFIdb!$Z$2:'CFIdb'!$Z$2000,"*"&amp;$B85,CFIdb!$C$2:'CFIdb'!$C$2000,"*Emerging",CFIdb!$S$2:'CFIdb'!$S$2000,"*"&amp;N$84&amp;"*",CFIdb!$E$2:'CFIdb'!$E$2000,"*3PAR*")
+COUNTIFS(CFIdb!$Z$2:'CFIdb'!$Z$2000,"*"&amp;$B85,CFIdb!$C$2:'CFIdb'!$C$2000,"*Open*",CFIdb!$S$2:'CFIdb'!$S$2000,"*"&amp;N$84&amp;"*",CFIdb!$E$2:'CFIdb'!$E$2000,"*3PAR*")</f>
        <v>0</v>
      </c>
      <c r="O85" t="str">
        <f>CONCATENATE(C85,"/",SUM(F85:N85))</f>
        <v>28/28</v>
      </c>
    </row>
    <row r="86" spans="2:16" ht="30" x14ac:dyDescent="0.25">
      <c r="B86" s="12" t="s">
        <v>96</v>
      </c>
      <c r="C86">
        <f>COUNTIFS(CFIdb!$Z$2:'CFIdb'!$Z$2000,"*"&amp;B86,CFIdb!$C$2:'CFIdb'!$C$2000,"*Emerging",CFIdb!$E$2:'CFIdb'!$E$2000,"*3PAR*")
+COUNTIFS(CFIdb!$Z$2:'CFIdb'!$Z$2000,"*"&amp;B86,CFIdb!$C$2:'CFIdb'!$C$2000,"*Open*",CFIdb!$E$2:'CFIdb'!$E$2000,"*3PAR*")</f>
        <v>7</v>
      </c>
      <c r="D86" s="13">
        <f t="shared" ref="D86" si="21">SUM(F86:G86)</f>
        <v>1</v>
      </c>
      <c r="E86" s="14">
        <f t="shared" ref="E86" si="22">SUM(H86:N86)</f>
        <v>6</v>
      </c>
      <c r="F86" s="13">
        <f>COUNTIFS(CFIdb!$Z$2:'CFIdb'!$Z$2000,"*"&amp;$B86,CFIdb!$C$2:'CFIdb'!$C$2000,"*Emerging",CFIdb!$R$2:'CFIdb'!$R$2000,"*"&amp;F$84&amp;"*",CFIdb!$E$2:'CFIdb'!$E$2000,"*3PAR*")
+COUNTIFS(CFIdb!$Z$2:'CFIdb'!$Z$2000,"*"&amp;$B86,CFIdb!$C$2:'CFIdb'!$C$2000,"*Open*",CFIdb!$R$2:'CFIdb'!$R$2000,"*"&amp;F$84&amp;"*",CFIdb!$E$2:'CFIdb'!$E$2000,"*3PAR*")</f>
        <v>1</v>
      </c>
      <c r="G86" s="13">
        <f>COUNTIFS(CFIdb!$Z$2:'CFIdb'!$Z$2000,"*"&amp;$B86,CFIdb!$C$2:'CFIdb'!$C$2000,"*Emerging",CFIdb!$R$2:'CFIdb'!$R$2000,"*"&amp;G$84&amp;"*",CFIdb!$E$2:'CFIdb'!$E$2000,"*3PAR*")
+COUNTIFS(CFIdb!$Z$2:'CFIdb'!$Z$2000,"*"&amp;$B86,CFIdb!$C$2:'CFIdb'!$C$2000,"*Open*",CFIdb!$R$2:'CFIdb'!$R$2000,"*"&amp;G$84&amp;"*",CFIdb!$E$2:'CFIdb'!$E$2000,"*3PAR*")</f>
        <v>0</v>
      </c>
      <c r="H86" s="14">
        <f>COUNTIFS(CFIdb!$Z$2:'CFIdb'!$Z$2000,"*"&amp;$B86,CFIdb!$C$2:'CFIdb'!$C$2000,"*Emerging",CFIdb!$S$2:'CFIdb'!$S$2000,"*"&amp;H$84&amp;"*",CFIdb!$E$2:'CFIdb'!$E$2000,"*3PAR*")
+COUNTIFS(CFIdb!$Z$2:'CFIdb'!$Z$2000,"*"&amp;$B86,CFIdb!$C$2:'CFIdb'!$C$2000,"*Open*",CFIdb!$S$2:'CFIdb'!$S$2000,"*"&amp;H$84&amp;"*",CFIdb!$E$2:'CFIdb'!$E$2000,"*3PAR*")</f>
        <v>6</v>
      </c>
      <c r="I86" s="14">
        <f>COUNTIFS(CFIdb!$Z$2:'CFIdb'!$Z$2000,"*"&amp;$B86,CFIdb!$C$2:'CFIdb'!$C$2000,"*Emerging",CFIdb!$S$2:'CFIdb'!$S$2000,"*"&amp;I$84&amp;"*",CFIdb!$E$2:'CFIdb'!$E$2000,"*3PAR*")
+COUNTIFS(CFIdb!$Z$2:'CFIdb'!$Z$2000,"*"&amp;$B86,CFIdb!$C$2:'CFIdb'!$C$2000,"*Open*",CFIdb!$S$2:'CFIdb'!$S$2000,"*"&amp;I$84&amp;"*",CFIdb!$E$2:'CFIdb'!$E$2000,"*3PAR*")</f>
        <v>0</v>
      </c>
      <c r="J86" s="14">
        <f>COUNTIFS(CFIdb!$Z$2:'CFIdb'!$Z$2000,"*"&amp;$B86,CFIdb!$C$2:'CFIdb'!$C$2000,"*Emerging",CFIdb!$S$2:'CFIdb'!$S$2000,"*"&amp;J$84&amp;"*",CFIdb!$E$2:'CFIdb'!$E$2000,"*3PAR*")
+COUNTIFS(CFIdb!$Z$2:'CFIdb'!$Z$2000,"*"&amp;$B86,CFIdb!$C$2:'CFIdb'!$C$2000,"*Open*",CFIdb!$S$2:'CFIdb'!$S$2000,"*"&amp;J$84&amp;"*",CFIdb!$E$2:'CFIdb'!$E$2000,"*3PAR*")</f>
        <v>0</v>
      </c>
      <c r="K86" s="14">
        <f>COUNTIFS(CFIdb!$Z$2:'CFIdb'!$Z$2000,"*"&amp;$B86,CFIdb!$C$2:'CFIdb'!$C$2000,"*Emerging",CFIdb!$S$2:'CFIdb'!$S$2000,"*"&amp;K$84&amp;"*",CFIdb!$E$2:'CFIdb'!$E$2000,"*3PAR*")
+COUNTIFS(CFIdb!$Z$2:'CFIdb'!$Z$2000,"*"&amp;$B86,CFIdb!$C$2:'CFIdb'!$C$2000,"*Open*",CFIdb!$S$2:'CFIdb'!$S$2000,"*"&amp;K$84&amp;"*",CFIdb!$E$2:'CFIdb'!$E$2000,"*3PAR*")</f>
        <v>0</v>
      </c>
      <c r="L86" s="14">
        <f>COUNTIFS(CFIdb!$Z$2:'CFIdb'!$Z$2000,"*"&amp;$B86,CFIdb!$C$2:'CFIdb'!$C$2000,"*Emerging",CFIdb!$R$2:'CFIdb'!$R$2000,"*Close*",CFIdb!$S$2:'CFIdb'!$S$2000,"",CFIdb!$E$2:'CFIdb'!$E$2000,"*3PAR*")
+COUNTIFS(CFIdb!$Z$2:'CFIdb'!$Z$2000,"*"&amp;$B86,CFIdb!$C$2:'CFIdb'!$C$2000,"*Open*",CFIdb!$R$2:'CFIdb'!$R$2000,"*Resolve*",CFIdb!$S$2:'CFIdb'!$S$2000,"",CFIdb!$E$2:'CFIdb'!$E$2000,"*3PAR*")
+COUNTIFS(CFIdb!$Z$2:'CFIdb'!$Z$2000,"*"&amp;$B86,CFIdb!$C$2:'CFIdb'!$C$2000,"*Open*",CFIdb!$R$2:'CFIdb'!$R$2000,"*Verified*",CFIdb!$S$2:'CFIdb'!$S$2000,"",CFIdb!$E$2:'CFIdb'!$E$2000,"*3PAR*")
+COUNTIFS(CFIdb!$Z$2:'CFIdb'!$Z$2000,"*"&amp;$B86,CFIdb!$C$2:'CFIdb'!$C$2000,"*Open*",CFIdb!$R$2:'CFIdb'!$R$2000,"*Close*",CFIdb!$S$2:'CFIdb'!$S$2000,"",CFIdb!$E$2:'CFIdb'!$E$2000,"*3PAR*")
+COUNTIFS(CFIdb!$Z$2:'CFIdb'!$Z$2000,"*"&amp;$B86,CFIdb!$C$2:'CFIdb'!$C$2000,"*Emerging",CFIdb!$R$2:'CFIdb'!$R$2000,"*Resolve*",CFIdb!$S$2:'CFIdb'!$S$2000,"",CFIdb!$E$2:'CFIdb'!$E$2000,"*3PAR*")
+COUNTIFS(CFIdb!$Z$2:'CFIdb'!$Z$2000,"*"&amp;$B86,CFIdb!$C$2:'CFIdb'!$C$2000,"*Emerging",CFIdb!$R$2:'CFIdb'!$R$2000,"*Verified*",CFIdb!$S$2:'CFIdb'!$S$2000,"",CFIdb!$E$2:'CFIdb'!$E$2000,"*3PAR*")</f>
        <v>0</v>
      </c>
      <c r="M86" s="14">
        <f>COUNTIFS(CFIdb!$Z$2:'CFIdb'!$Z$2000,"*"&amp;$B86,CFIdb!$C$2:'CFIdb'!$C$2000,"*Emerging",CFIdb!$R$2:'CFIdb'!$R$2000,"",CFIdb!$E$2:'CFIdb'!$E$2000,"*3PAR*")
+COUNTIFS(CFIdb!$Z$2:'CFIdb'!$Z$2000,"*"&amp;$B86,CFIdb!$C$2:'CFIdb'!$C$2000,"*Open*",CFIdb!$R$2:'CFIdb'!$R$2000,"",CFIdb!$E$2:'CFIdb'!$E$2000,"*3PAR*")</f>
        <v>0</v>
      </c>
      <c r="N86" s="14">
        <f>COUNTIFS(CFIdb!$Z$2:'CFIdb'!$Z$2000,"*"&amp;$B86,CFIdb!$C$2:'CFIdb'!$C$2000,"*Emerging",CFIdb!$S$2:'CFIdb'!$S$2000,"*"&amp;N$84&amp;"*",CFIdb!$E$2:'CFIdb'!$E$2000,"*3PAR*")
+COUNTIFS(CFIdb!$Z$2:'CFIdb'!$Z$2000,"*"&amp;$B86,CFIdb!$C$2:'CFIdb'!$C$2000,"*Open*",CFIdb!$S$2:'CFIdb'!$S$2000,"*"&amp;N$84&amp;"*",CFIdb!$E$2:'CFIdb'!$E$2000,"*3PAR*")</f>
        <v>0</v>
      </c>
      <c r="O86" t="str">
        <f t="shared" ref="O86" si="23">CONCATENATE(C86,"/",SUM(F86:N86))</f>
        <v>7/7</v>
      </c>
    </row>
    <row r="87" spans="2:16" x14ac:dyDescent="0.25">
      <c r="B87" s="12" t="s">
        <v>380</v>
      </c>
      <c r="C87">
        <f>COUNTIFS(CFIdb!$Z$2:'CFIdb'!$Z$2000,"*"&amp;B87,CFIdb!$C$2:'CFIdb'!$C$2000,"*Emerging",CFIdb!$E$2:'CFIdb'!$E$2000,"*3PAR*")
+COUNTIFS(CFIdb!$Z$2:'CFIdb'!$Z$2000,"*"&amp;B87,CFIdb!$C$2:'CFIdb'!$C$2000,"*Open*",CFIdb!$E$2:'CFIdb'!$E$2000,"*3PAR*")</f>
        <v>3</v>
      </c>
      <c r="D87" s="13">
        <f t="shared" ref="D87:D98" si="24">SUM(F87:G87)</f>
        <v>1</v>
      </c>
      <c r="E87" s="14">
        <f t="shared" ref="E87:E98" si="25">SUM(H87:N87)</f>
        <v>2</v>
      </c>
      <c r="F87" s="13">
        <f>COUNTIFS(CFIdb!$Z$2:'CFIdb'!$Z$2000,"*"&amp;$B87,CFIdb!$C$2:'CFIdb'!$C$2000,"*Emerging",CFIdb!$R$2:'CFIdb'!$R$2000,"*"&amp;F$84&amp;"*",CFIdb!$E$2:'CFIdb'!$E$2000,"*3PAR*")
+COUNTIFS(CFIdb!$Z$2:'CFIdb'!$Z$2000,"*"&amp;$B87,CFIdb!$C$2:'CFIdb'!$C$2000,"*Open*",CFIdb!$R$2:'CFIdb'!$R$2000,"*"&amp;F$84&amp;"*",CFIdb!$E$2:'CFIdb'!$E$2000,"*3PAR*")</f>
        <v>1</v>
      </c>
      <c r="G87" s="13">
        <f>COUNTIFS(CFIdb!$Z$2:'CFIdb'!$Z$2000,"*"&amp;$B87,CFIdb!$C$2:'CFIdb'!$C$2000,"*Emerging",CFIdb!$R$2:'CFIdb'!$R$2000,"*"&amp;G$84&amp;"*",CFIdb!$E$2:'CFIdb'!$E$2000,"*3PAR*")
+COUNTIFS(CFIdb!$Z$2:'CFIdb'!$Z$2000,"*"&amp;$B87,CFIdb!$C$2:'CFIdb'!$C$2000,"*Open*",CFIdb!$R$2:'CFIdb'!$R$2000,"*"&amp;G$84&amp;"*",CFIdb!$E$2:'CFIdb'!$E$2000,"*3PAR*")</f>
        <v>0</v>
      </c>
      <c r="H87" s="14">
        <f>COUNTIFS(CFIdb!$Z$2:'CFIdb'!$Z$2000,"*"&amp;$B87,CFIdb!$C$2:'CFIdb'!$C$2000,"*Emerging",CFIdb!$S$2:'CFIdb'!$S$2000,"*"&amp;H$84&amp;"*",CFIdb!$E$2:'CFIdb'!$E$2000,"*3PAR*")
+COUNTIFS(CFIdb!$Z$2:'CFIdb'!$Z$2000,"*"&amp;$B87,CFIdb!$C$2:'CFIdb'!$C$2000,"*Open*",CFIdb!$S$2:'CFIdb'!$S$2000,"*"&amp;H$84&amp;"*",CFIdb!$E$2:'CFIdb'!$E$2000,"*3PAR*")</f>
        <v>2</v>
      </c>
      <c r="I87" s="14">
        <f>COUNTIFS(CFIdb!$Z$2:'CFIdb'!$Z$2000,"*"&amp;$B87,CFIdb!$C$2:'CFIdb'!$C$2000,"*Emerging",CFIdb!$S$2:'CFIdb'!$S$2000,"*"&amp;I$84&amp;"*",CFIdb!$E$2:'CFIdb'!$E$2000,"*3PAR*")
+COUNTIFS(CFIdb!$Z$2:'CFIdb'!$Z$2000,"*"&amp;$B87,CFIdb!$C$2:'CFIdb'!$C$2000,"*Open*",CFIdb!$S$2:'CFIdb'!$S$2000,"*"&amp;I$84&amp;"*",CFIdb!$E$2:'CFIdb'!$E$2000,"*3PAR*")</f>
        <v>0</v>
      </c>
      <c r="J87" s="14">
        <f>COUNTIFS(CFIdb!$Z$2:'CFIdb'!$Z$2000,"*"&amp;$B87,CFIdb!$C$2:'CFIdb'!$C$2000,"*Emerging",CFIdb!$S$2:'CFIdb'!$S$2000,"*"&amp;J$84&amp;"*",CFIdb!$E$2:'CFIdb'!$E$2000,"*3PAR*")
+COUNTIFS(CFIdb!$Z$2:'CFIdb'!$Z$2000,"*"&amp;$B87,CFIdb!$C$2:'CFIdb'!$C$2000,"*Open*",CFIdb!$S$2:'CFIdb'!$S$2000,"*"&amp;J$84&amp;"*",CFIdb!$E$2:'CFIdb'!$E$2000,"*3PAR*")</f>
        <v>0</v>
      </c>
      <c r="K87" s="14">
        <f>COUNTIFS(CFIdb!$Z$2:'CFIdb'!$Z$2000,"*"&amp;$B87,CFIdb!$C$2:'CFIdb'!$C$2000,"*Emerging",CFIdb!$S$2:'CFIdb'!$S$2000,"*"&amp;K$84&amp;"*",CFIdb!$E$2:'CFIdb'!$E$2000,"*3PAR*")
+COUNTIFS(CFIdb!$Z$2:'CFIdb'!$Z$2000,"*"&amp;$B87,CFIdb!$C$2:'CFIdb'!$C$2000,"*Open*",CFIdb!$S$2:'CFIdb'!$S$2000,"*"&amp;K$84&amp;"*",CFIdb!$E$2:'CFIdb'!$E$2000,"*3PAR*")</f>
        <v>0</v>
      </c>
      <c r="L87" s="14">
        <f>COUNTIFS(CFIdb!$Z$2:'CFIdb'!$Z$2000,"*"&amp;$B87,CFIdb!$C$2:'CFIdb'!$C$2000,"*Emerging",CFIdb!$R$2:'CFIdb'!$R$2000,"*Close*",CFIdb!$S$2:'CFIdb'!$S$2000,"",CFIdb!$E$2:'CFIdb'!$E$2000,"*3PAR*")
+COUNTIFS(CFIdb!$Z$2:'CFIdb'!$Z$2000,"*"&amp;$B87,CFIdb!$C$2:'CFIdb'!$C$2000,"*Open*",CFIdb!$R$2:'CFIdb'!$R$2000,"*Resolve*",CFIdb!$S$2:'CFIdb'!$S$2000,"",CFIdb!$E$2:'CFIdb'!$E$2000,"*3PAR*")
+COUNTIFS(CFIdb!$Z$2:'CFIdb'!$Z$2000,"*"&amp;$B87,CFIdb!$C$2:'CFIdb'!$C$2000,"*Open*",CFIdb!$R$2:'CFIdb'!$R$2000,"*Verified*",CFIdb!$S$2:'CFIdb'!$S$2000,"",CFIdb!$E$2:'CFIdb'!$E$2000,"*3PAR*")
+COUNTIFS(CFIdb!$Z$2:'CFIdb'!$Z$2000,"*"&amp;$B87,CFIdb!$C$2:'CFIdb'!$C$2000,"*Open*",CFIdb!$R$2:'CFIdb'!$R$2000,"*Close*",CFIdb!$S$2:'CFIdb'!$S$2000,"",CFIdb!$E$2:'CFIdb'!$E$2000,"*3PAR*")
+COUNTIFS(CFIdb!$Z$2:'CFIdb'!$Z$2000,"*"&amp;$B87,CFIdb!$C$2:'CFIdb'!$C$2000,"*Emerging",CFIdb!$R$2:'CFIdb'!$R$2000,"*Resolve*",CFIdb!$S$2:'CFIdb'!$S$2000,"",CFIdb!$E$2:'CFIdb'!$E$2000,"*3PAR*")
+COUNTIFS(CFIdb!$Z$2:'CFIdb'!$Z$2000,"*"&amp;$B87,CFIdb!$C$2:'CFIdb'!$C$2000,"*Emerging",CFIdb!$R$2:'CFIdb'!$R$2000,"*Verified*",CFIdb!$S$2:'CFIdb'!$S$2000,"",CFIdb!$E$2:'CFIdb'!$E$2000,"*3PAR*")</f>
        <v>0</v>
      </c>
      <c r="M87" s="14">
        <f>COUNTIFS(CFIdb!$Z$2:'CFIdb'!$Z$2000,"*"&amp;$B87,CFIdb!$C$2:'CFIdb'!$C$2000,"*Emerging",CFIdb!$R$2:'CFIdb'!$R$2000,"",CFIdb!$E$2:'CFIdb'!$E$2000,"*3PAR*")
+COUNTIFS(CFIdb!$Z$2:'CFIdb'!$Z$2000,"*"&amp;$B87,CFIdb!$C$2:'CFIdb'!$C$2000,"*Open*",CFIdb!$R$2:'CFIdb'!$R$2000,"",CFIdb!$E$2:'CFIdb'!$E$2000,"*3PAR*")</f>
        <v>0</v>
      </c>
      <c r="N87" s="14">
        <f>COUNTIFS(CFIdb!$Z$2:'CFIdb'!$Z$2000,"*"&amp;$B87,CFIdb!$C$2:'CFIdb'!$C$2000,"*Emerging",CFIdb!$S$2:'CFIdb'!$S$2000,"*"&amp;N$84&amp;"*",CFIdb!$E$2:'CFIdb'!$E$2000,"*3PAR*")
+COUNTIFS(CFIdb!$Z$2:'CFIdb'!$Z$2000,"*"&amp;$B87,CFIdb!$C$2:'CFIdb'!$C$2000,"*Open*",CFIdb!$S$2:'CFIdb'!$S$2000,"*"&amp;N$84&amp;"*",CFIdb!$E$2:'CFIdb'!$E$2000,"*3PAR*")</f>
        <v>0</v>
      </c>
      <c r="O87" t="str">
        <f t="shared" ref="O87:O98" si="26">CONCATENATE(C87,"/",SUM(F87:N87))</f>
        <v>3/3</v>
      </c>
    </row>
    <row r="88" spans="2:16" x14ac:dyDescent="0.25">
      <c r="B88" s="12" t="s">
        <v>303</v>
      </c>
      <c r="C88">
        <f>COUNTIFS(CFIdb!$Z$2:'CFIdb'!$Z$2000,"*"&amp;B88,CFIdb!$C$2:'CFIdb'!$C$2000,"*Emerging",CFIdb!$E$2:'CFIdb'!$E$2000,"*3PAR*")
+COUNTIFS(CFIdb!$Z$2:'CFIdb'!$Z$2000,"*"&amp;B88,CFIdb!$C$2:'CFIdb'!$C$2000,"*Open*",CFIdb!$E$2:'CFIdb'!$E$2000,"*3PAR*")</f>
        <v>0</v>
      </c>
      <c r="D88" s="13">
        <f t="shared" si="24"/>
        <v>0</v>
      </c>
      <c r="E88" s="14">
        <f t="shared" si="25"/>
        <v>0</v>
      </c>
      <c r="F88" s="13">
        <f>COUNTIFS(CFIdb!$Z$2:'CFIdb'!$Z$2000,"*"&amp;$B88,CFIdb!$C$2:'CFIdb'!$C$2000,"*Emerging",CFIdb!$R$2:'CFIdb'!$R$2000,"*"&amp;F$84&amp;"*",CFIdb!$E$2:'CFIdb'!$E$2000,"*3PAR*")
+COUNTIFS(CFIdb!$Z$2:'CFIdb'!$Z$2000,"*"&amp;$B88,CFIdb!$C$2:'CFIdb'!$C$2000,"*Open*",CFIdb!$R$2:'CFIdb'!$R$2000,"*"&amp;F$84&amp;"*",CFIdb!$E$2:'CFIdb'!$E$2000,"*3PAR*")</f>
        <v>0</v>
      </c>
      <c r="G88" s="13">
        <f>COUNTIFS(CFIdb!$Z$2:'CFIdb'!$Z$2000,"*"&amp;$B88,CFIdb!$C$2:'CFIdb'!$C$2000,"*Emerging",CFIdb!$R$2:'CFIdb'!$R$2000,"*"&amp;G$84&amp;"*",CFIdb!$E$2:'CFIdb'!$E$2000,"*3PAR*")
+COUNTIFS(CFIdb!$Z$2:'CFIdb'!$Z$2000,"*"&amp;$B88,CFIdb!$C$2:'CFIdb'!$C$2000,"*Open*",CFIdb!$R$2:'CFIdb'!$R$2000,"*"&amp;G$84&amp;"*",CFIdb!$E$2:'CFIdb'!$E$2000,"*3PAR*")</f>
        <v>0</v>
      </c>
      <c r="H88" s="14">
        <f>COUNTIFS(CFIdb!$Z$2:'CFIdb'!$Z$2000,"*"&amp;$B88,CFIdb!$C$2:'CFIdb'!$C$2000,"*Emerging",CFIdb!$S$2:'CFIdb'!$S$2000,"*"&amp;H$84&amp;"*",CFIdb!$E$2:'CFIdb'!$E$2000,"*3PAR*")
+COUNTIFS(CFIdb!$Z$2:'CFIdb'!$Z$2000,"*"&amp;$B88,CFIdb!$C$2:'CFIdb'!$C$2000,"*Open*",CFIdb!$S$2:'CFIdb'!$S$2000,"*"&amp;H$84&amp;"*",CFIdb!$E$2:'CFIdb'!$E$2000,"*3PAR*")</f>
        <v>0</v>
      </c>
      <c r="I88" s="14">
        <f>COUNTIFS(CFIdb!$Z$2:'CFIdb'!$Z$2000,"*"&amp;$B88,CFIdb!$C$2:'CFIdb'!$C$2000,"*Emerging",CFIdb!$S$2:'CFIdb'!$S$2000,"*"&amp;I$84&amp;"*",CFIdb!$E$2:'CFIdb'!$E$2000,"*3PAR*")
+COUNTIFS(CFIdb!$Z$2:'CFIdb'!$Z$2000,"*"&amp;$B88,CFIdb!$C$2:'CFIdb'!$C$2000,"*Open*",CFIdb!$S$2:'CFIdb'!$S$2000,"*"&amp;I$84&amp;"*",CFIdb!$E$2:'CFIdb'!$E$2000,"*3PAR*")</f>
        <v>0</v>
      </c>
      <c r="J88" s="14">
        <f>COUNTIFS(CFIdb!$Z$2:'CFIdb'!$Z$2000,"*"&amp;$B88,CFIdb!$C$2:'CFIdb'!$C$2000,"*Emerging",CFIdb!$S$2:'CFIdb'!$S$2000,"*"&amp;J$84&amp;"*",CFIdb!$E$2:'CFIdb'!$E$2000,"*3PAR*")
+COUNTIFS(CFIdb!$Z$2:'CFIdb'!$Z$2000,"*"&amp;$B88,CFIdb!$C$2:'CFIdb'!$C$2000,"*Open*",CFIdb!$S$2:'CFIdb'!$S$2000,"*"&amp;J$84&amp;"*",CFIdb!$E$2:'CFIdb'!$E$2000,"*3PAR*")</f>
        <v>0</v>
      </c>
      <c r="K88" s="14">
        <f>COUNTIFS(CFIdb!$Z$2:'CFIdb'!$Z$2000,"*"&amp;$B88,CFIdb!$C$2:'CFIdb'!$C$2000,"*Emerging",CFIdb!$S$2:'CFIdb'!$S$2000,"*"&amp;K$84&amp;"*",CFIdb!$E$2:'CFIdb'!$E$2000,"*3PAR*")
+COUNTIFS(CFIdb!$Z$2:'CFIdb'!$Z$2000,"*"&amp;$B88,CFIdb!$C$2:'CFIdb'!$C$2000,"*Open*",CFIdb!$S$2:'CFIdb'!$S$2000,"*"&amp;K$84&amp;"*",CFIdb!$E$2:'CFIdb'!$E$2000,"*3PAR*")</f>
        <v>0</v>
      </c>
      <c r="L88" s="14">
        <f>COUNTIFS(CFIdb!$Z$2:'CFIdb'!$Z$2000,"*"&amp;$B88,CFIdb!$C$2:'CFIdb'!$C$2000,"*Emerging",CFIdb!$R$2:'CFIdb'!$R$2000,"*Close*",CFIdb!$S$2:'CFIdb'!$S$2000,"",CFIdb!$E$2:'CFIdb'!$E$2000,"*3PAR*")
+COUNTIFS(CFIdb!$Z$2:'CFIdb'!$Z$2000,"*"&amp;$B88,CFIdb!$C$2:'CFIdb'!$C$2000,"*Open*",CFIdb!$R$2:'CFIdb'!$R$2000,"*Resolve*",CFIdb!$S$2:'CFIdb'!$S$2000,"",CFIdb!$E$2:'CFIdb'!$E$2000,"*3PAR*")
+COUNTIFS(CFIdb!$Z$2:'CFIdb'!$Z$2000,"*"&amp;$B88,CFIdb!$C$2:'CFIdb'!$C$2000,"*Open*",CFIdb!$R$2:'CFIdb'!$R$2000,"*Verified*",CFIdb!$S$2:'CFIdb'!$S$2000,"",CFIdb!$E$2:'CFIdb'!$E$2000,"*3PAR*")
+COUNTIFS(CFIdb!$Z$2:'CFIdb'!$Z$2000,"*"&amp;$B88,CFIdb!$C$2:'CFIdb'!$C$2000,"*Open*",CFIdb!$R$2:'CFIdb'!$R$2000,"*Close*",CFIdb!$S$2:'CFIdb'!$S$2000,"",CFIdb!$E$2:'CFIdb'!$E$2000,"*3PAR*")
+COUNTIFS(CFIdb!$Z$2:'CFIdb'!$Z$2000,"*"&amp;$B88,CFIdb!$C$2:'CFIdb'!$C$2000,"*Emerging",CFIdb!$R$2:'CFIdb'!$R$2000,"*Resolve*",CFIdb!$S$2:'CFIdb'!$S$2000,"",CFIdb!$E$2:'CFIdb'!$E$2000,"*3PAR*")
+COUNTIFS(CFIdb!$Z$2:'CFIdb'!$Z$2000,"*"&amp;$B88,CFIdb!$C$2:'CFIdb'!$C$2000,"*Emerging",CFIdb!$R$2:'CFIdb'!$R$2000,"*Verified*",CFIdb!$S$2:'CFIdb'!$S$2000,"",CFIdb!$E$2:'CFIdb'!$E$2000,"*3PAR*")</f>
        <v>0</v>
      </c>
      <c r="M88" s="14">
        <f>COUNTIFS(CFIdb!$Z$2:'CFIdb'!$Z$2000,"*"&amp;$B88,CFIdb!$C$2:'CFIdb'!$C$2000,"*Emerging",CFIdb!$R$2:'CFIdb'!$R$2000,"",CFIdb!$E$2:'CFIdb'!$E$2000,"*3PAR*")
+COUNTIFS(CFIdb!$Z$2:'CFIdb'!$Z$2000,"*"&amp;$B88,CFIdb!$C$2:'CFIdb'!$C$2000,"*Open*",CFIdb!$R$2:'CFIdb'!$R$2000,"",CFIdb!$E$2:'CFIdb'!$E$2000,"*3PAR*")</f>
        <v>0</v>
      </c>
      <c r="N88" s="14">
        <f>COUNTIFS(CFIdb!$Z$2:'CFIdb'!$Z$2000,"*"&amp;$B88,CFIdb!$C$2:'CFIdb'!$C$2000,"*Emerging",CFIdb!$S$2:'CFIdb'!$S$2000,"*"&amp;N$84&amp;"*",CFIdb!$E$2:'CFIdb'!$E$2000,"*3PAR*")
+COUNTIFS(CFIdb!$Z$2:'CFIdb'!$Z$2000,"*"&amp;$B88,CFIdb!$C$2:'CFIdb'!$C$2000,"*Open*",CFIdb!$S$2:'CFIdb'!$S$2000,"*"&amp;N$84&amp;"*",CFIdb!$E$2:'CFIdb'!$E$2000,"*3PAR*")</f>
        <v>0</v>
      </c>
      <c r="O88" t="str">
        <f t="shared" si="26"/>
        <v>0/0</v>
      </c>
    </row>
    <row r="89" spans="2:16" x14ac:dyDescent="0.25">
      <c r="B89" s="12" t="s">
        <v>45</v>
      </c>
      <c r="C89">
        <f>COUNTIFS(CFIdb!$Z$2:'CFIdb'!$Z$2000,"*"&amp;B89,CFIdb!$C$2:'CFIdb'!$C$2000,"*Emerging",CFIdb!$E$2:'CFIdb'!$E$2000,"*3PAR*")
+COUNTIFS(CFIdb!$Z$2:'CFIdb'!$Z$2000,"*"&amp;B89,CFIdb!$C$2:'CFIdb'!$C$2000,"*Open*",CFIdb!$E$2:'CFIdb'!$E$2000,"*3PAR*")</f>
        <v>3</v>
      </c>
      <c r="D89" s="13">
        <f t="shared" si="24"/>
        <v>2</v>
      </c>
      <c r="E89" s="14">
        <f t="shared" si="25"/>
        <v>1</v>
      </c>
      <c r="F89" s="13">
        <f>COUNTIFS(CFIdb!$Z$2:'CFIdb'!$Z$2000,"*"&amp;$B89,CFIdb!$C$2:'CFIdb'!$C$2000,"*Emerging",CFIdb!$R$2:'CFIdb'!$R$2000,"*"&amp;F$84&amp;"*",CFIdb!$E$2:'CFIdb'!$E$2000,"*3PAR*")
+COUNTIFS(CFIdb!$Z$2:'CFIdb'!$Z$2000,"*"&amp;$B89,CFIdb!$C$2:'CFIdb'!$C$2000,"*Open*",CFIdb!$R$2:'CFIdb'!$R$2000,"*"&amp;F$84&amp;"*",CFIdb!$E$2:'CFIdb'!$E$2000,"*3PAR*")</f>
        <v>1</v>
      </c>
      <c r="G89" s="13">
        <f>COUNTIFS(CFIdb!$Z$2:'CFIdb'!$Z$2000,"*"&amp;$B89,CFIdb!$C$2:'CFIdb'!$C$2000,"*Emerging",CFIdb!$R$2:'CFIdb'!$R$2000,"*"&amp;G$84&amp;"*",CFIdb!$E$2:'CFIdb'!$E$2000,"*3PAR*")
+COUNTIFS(CFIdb!$Z$2:'CFIdb'!$Z$2000,"*"&amp;$B89,CFIdb!$C$2:'CFIdb'!$C$2000,"*Open*",CFIdb!$R$2:'CFIdb'!$R$2000,"*"&amp;G$84&amp;"*",CFIdb!$E$2:'CFIdb'!$E$2000,"*3PAR*")</f>
        <v>1</v>
      </c>
      <c r="H89" s="14">
        <f>COUNTIFS(CFIdb!$Z$2:'CFIdb'!$Z$2000,"*"&amp;$B89,CFIdb!$C$2:'CFIdb'!$C$2000,"*Emerging",CFIdb!$S$2:'CFIdb'!$S$2000,"*"&amp;H$84&amp;"*",CFIdb!$E$2:'CFIdb'!$E$2000,"*3PAR*")
+COUNTIFS(CFIdb!$Z$2:'CFIdb'!$Z$2000,"*"&amp;$B89,CFIdb!$C$2:'CFIdb'!$C$2000,"*Open*",CFIdb!$S$2:'CFIdb'!$S$2000,"*"&amp;H$84&amp;"*",CFIdb!$E$2:'CFIdb'!$E$2000,"*3PAR*")</f>
        <v>1</v>
      </c>
      <c r="I89" s="14">
        <f>COUNTIFS(CFIdb!$Z$2:'CFIdb'!$Z$2000,"*"&amp;$B89,CFIdb!$C$2:'CFIdb'!$C$2000,"*Emerging",CFIdb!$S$2:'CFIdb'!$S$2000,"*"&amp;I$84&amp;"*",CFIdb!$E$2:'CFIdb'!$E$2000,"*3PAR*")
+COUNTIFS(CFIdb!$Z$2:'CFIdb'!$Z$2000,"*"&amp;$B89,CFIdb!$C$2:'CFIdb'!$C$2000,"*Open*",CFIdb!$S$2:'CFIdb'!$S$2000,"*"&amp;I$84&amp;"*",CFIdb!$E$2:'CFIdb'!$E$2000,"*3PAR*")</f>
        <v>0</v>
      </c>
      <c r="J89" s="14">
        <f>COUNTIFS(CFIdb!$Z$2:'CFIdb'!$Z$2000,"*"&amp;$B89,CFIdb!$C$2:'CFIdb'!$C$2000,"*Emerging",CFIdb!$S$2:'CFIdb'!$S$2000,"*"&amp;J$84&amp;"*",CFIdb!$E$2:'CFIdb'!$E$2000,"*3PAR*")
+COUNTIFS(CFIdb!$Z$2:'CFIdb'!$Z$2000,"*"&amp;$B89,CFIdb!$C$2:'CFIdb'!$C$2000,"*Open*",CFIdb!$S$2:'CFIdb'!$S$2000,"*"&amp;J$84&amp;"*",CFIdb!$E$2:'CFIdb'!$E$2000,"*3PAR*")</f>
        <v>0</v>
      </c>
      <c r="K89" s="14">
        <f>COUNTIFS(CFIdb!$Z$2:'CFIdb'!$Z$2000,"*"&amp;$B89,CFIdb!$C$2:'CFIdb'!$C$2000,"*Emerging",CFIdb!$S$2:'CFIdb'!$S$2000,"*"&amp;K$84&amp;"*",CFIdb!$E$2:'CFIdb'!$E$2000,"*3PAR*")
+COUNTIFS(CFIdb!$Z$2:'CFIdb'!$Z$2000,"*"&amp;$B89,CFIdb!$C$2:'CFIdb'!$C$2000,"*Open*",CFIdb!$S$2:'CFIdb'!$S$2000,"*"&amp;K$84&amp;"*",CFIdb!$E$2:'CFIdb'!$E$2000,"*3PAR*")</f>
        <v>0</v>
      </c>
      <c r="L89" s="14">
        <f>COUNTIFS(CFIdb!$Z$2:'CFIdb'!$Z$2000,"*"&amp;$B89,CFIdb!$C$2:'CFIdb'!$C$2000,"*Emerging",CFIdb!$R$2:'CFIdb'!$R$2000,"*Close*",CFIdb!$S$2:'CFIdb'!$S$2000,"",CFIdb!$E$2:'CFIdb'!$E$2000,"*3PAR*")
+COUNTIFS(CFIdb!$Z$2:'CFIdb'!$Z$2000,"*"&amp;$B89,CFIdb!$C$2:'CFIdb'!$C$2000,"*Open*",CFIdb!$R$2:'CFIdb'!$R$2000,"*Resolve*",CFIdb!$S$2:'CFIdb'!$S$2000,"",CFIdb!$E$2:'CFIdb'!$E$2000,"*3PAR*")
+COUNTIFS(CFIdb!$Z$2:'CFIdb'!$Z$2000,"*"&amp;$B89,CFIdb!$C$2:'CFIdb'!$C$2000,"*Open*",CFIdb!$R$2:'CFIdb'!$R$2000,"*Verified*",CFIdb!$S$2:'CFIdb'!$S$2000,"",CFIdb!$E$2:'CFIdb'!$E$2000,"*3PAR*")
+COUNTIFS(CFIdb!$Z$2:'CFIdb'!$Z$2000,"*"&amp;$B89,CFIdb!$C$2:'CFIdb'!$C$2000,"*Open*",CFIdb!$R$2:'CFIdb'!$R$2000,"*Close*",CFIdb!$S$2:'CFIdb'!$S$2000,"",CFIdb!$E$2:'CFIdb'!$E$2000,"*3PAR*")
+COUNTIFS(CFIdb!$Z$2:'CFIdb'!$Z$2000,"*"&amp;$B89,CFIdb!$C$2:'CFIdb'!$C$2000,"*Emerging",CFIdb!$R$2:'CFIdb'!$R$2000,"*Resolve*",CFIdb!$S$2:'CFIdb'!$S$2000,"",CFIdb!$E$2:'CFIdb'!$E$2000,"*3PAR*")
+COUNTIFS(CFIdb!$Z$2:'CFIdb'!$Z$2000,"*"&amp;$B89,CFIdb!$C$2:'CFIdb'!$C$2000,"*Emerging",CFIdb!$R$2:'CFIdb'!$R$2000,"*Verified*",CFIdb!$S$2:'CFIdb'!$S$2000,"",CFIdb!$E$2:'CFIdb'!$E$2000,"*3PAR*")</f>
        <v>0</v>
      </c>
      <c r="M89" s="14">
        <f>COUNTIFS(CFIdb!$Z$2:'CFIdb'!$Z$2000,"*"&amp;$B89,CFIdb!$C$2:'CFIdb'!$C$2000,"*Emerging",CFIdb!$R$2:'CFIdb'!$R$2000,"",CFIdb!$E$2:'CFIdb'!$E$2000,"*3PAR*")
+COUNTIFS(CFIdb!$Z$2:'CFIdb'!$Z$2000,"*"&amp;$B89,CFIdb!$C$2:'CFIdb'!$C$2000,"*Open*",CFIdb!$R$2:'CFIdb'!$R$2000,"",CFIdb!$E$2:'CFIdb'!$E$2000,"*3PAR*")</f>
        <v>0</v>
      </c>
      <c r="N89" s="14">
        <f>COUNTIFS(CFIdb!$Z$2:'CFIdb'!$Z$2000,"*"&amp;$B89,CFIdb!$C$2:'CFIdb'!$C$2000,"*Emerging",CFIdb!$S$2:'CFIdb'!$S$2000,"*"&amp;N$84&amp;"*",CFIdb!$E$2:'CFIdb'!$E$2000,"*3PAR*")
+COUNTIFS(CFIdb!$Z$2:'CFIdb'!$Z$2000,"*"&amp;$B89,CFIdb!$C$2:'CFIdb'!$C$2000,"*Open*",CFIdb!$S$2:'CFIdb'!$S$2000,"*"&amp;N$84&amp;"*",CFIdb!$E$2:'CFIdb'!$E$2000,"*3PAR*")</f>
        <v>0</v>
      </c>
      <c r="O89" t="str">
        <f t="shared" si="26"/>
        <v>3/3</v>
      </c>
    </row>
    <row r="90" spans="2:16" x14ac:dyDescent="0.25">
      <c r="B90" s="12" t="s">
        <v>52</v>
      </c>
      <c r="C90">
        <f>COUNTIFS(CFIdb!$Z$2:'CFIdb'!$Z$2000,"*"&amp;B90,CFIdb!$C$2:'CFIdb'!$C$2000,"*Emerging",CFIdb!$E$2:'CFIdb'!$E$2000,"*3PAR*")
+COUNTIFS(CFIdb!$Z$2:'CFIdb'!$Z$2000,"*"&amp;B90,CFIdb!$C$2:'CFIdb'!$C$2000,"*Open*",CFIdb!$E$2:'CFIdb'!$E$2000,"*3PAR*")</f>
        <v>4</v>
      </c>
      <c r="D90" s="13">
        <f t="shared" si="24"/>
        <v>3</v>
      </c>
      <c r="E90" s="14">
        <f t="shared" si="25"/>
        <v>1</v>
      </c>
      <c r="F90" s="13">
        <f>COUNTIFS(CFIdb!$Z$2:'CFIdb'!$Z$2000,"*"&amp;$B90,CFIdb!$C$2:'CFIdb'!$C$2000,"*Emerging",CFIdb!$R$2:'CFIdb'!$R$2000,"*"&amp;F$84&amp;"*",CFIdb!$E$2:'CFIdb'!$E$2000,"*3PAR*")
+COUNTIFS(CFIdb!$Z$2:'CFIdb'!$Z$2000,"*"&amp;$B90,CFIdb!$C$2:'CFIdb'!$C$2000,"*Open*",CFIdb!$R$2:'CFIdb'!$R$2000,"*"&amp;F$84&amp;"*",CFIdb!$E$2:'CFIdb'!$E$2000,"*3PAR*")</f>
        <v>1</v>
      </c>
      <c r="G90" s="13">
        <f>COUNTIFS(CFIdb!$Z$2:'CFIdb'!$Z$2000,"*"&amp;$B90,CFIdb!$C$2:'CFIdb'!$C$2000,"*Emerging",CFIdb!$R$2:'CFIdb'!$R$2000,"*"&amp;G$84&amp;"*",CFIdb!$E$2:'CFIdb'!$E$2000,"*3PAR*")
+COUNTIFS(CFIdb!$Z$2:'CFIdb'!$Z$2000,"*"&amp;$B90,CFIdb!$C$2:'CFIdb'!$C$2000,"*Open*",CFIdb!$R$2:'CFIdb'!$R$2000,"*"&amp;G$84&amp;"*",CFIdb!$E$2:'CFIdb'!$E$2000,"*3PAR*")</f>
        <v>2</v>
      </c>
      <c r="H90" s="14">
        <f>COUNTIFS(CFIdb!$Z$2:'CFIdb'!$Z$2000,"*"&amp;$B90,CFIdb!$C$2:'CFIdb'!$C$2000,"*Emerging",CFIdb!$S$2:'CFIdb'!$S$2000,"*"&amp;H$84&amp;"*",CFIdb!$E$2:'CFIdb'!$E$2000,"*3PAR*")
+COUNTIFS(CFIdb!$Z$2:'CFIdb'!$Z$2000,"*"&amp;$B90,CFIdb!$C$2:'CFIdb'!$C$2000,"*Open*",CFIdb!$S$2:'CFIdb'!$S$2000,"*"&amp;H$84&amp;"*",CFIdb!$E$2:'CFIdb'!$E$2000,"*3PAR*")</f>
        <v>0</v>
      </c>
      <c r="I90" s="14">
        <f>COUNTIFS(CFIdb!$Z$2:'CFIdb'!$Z$2000,"*"&amp;$B90,CFIdb!$C$2:'CFIdb'!$C$2000,"*Emerging",CFIdb!$S$2:'CFIdb'!$S$2000,"*"&amp;I$84&amp;"*",CFIdb!$E$2:'CFIdb'!$E$2000,"*3PAR*")
+COUNTIFS(CFIdb!$Z$2:'CFIdb'!$Z$2000,"*"&amp;$B90,CFIdb!$C$2:'CFIdb'!$C$2000,"*Open*",CFIdb!$S$2:'CFIdb'!$S$2000,"*"&amp;I$84&amp;"*",CFIdb!$E$2:'CFIdb'!$E$2000,"*3PAR*")</f>
        <v>1</v>
      </c>
      <c r="J90" s="14">
        <f>COUNTIFS(CFIdb!$Z$2:'CFIdb'!$Z$2000,"*"&amp;$B90,CFIdb!$C$2:'CFIdb'!$C$2000,"*Emerging",CFIdb!$S$2:'CFIdb'!$S$2000,"*"&amp;J$84&amp;"*",CFIdb!$E$2:'CFIdb'!$E$2000,"*3PAR*")
+COUNTIFS(CFIdb!$Z$2:'CFIdb'!$Z$2000,"*"&amp;$B90,CFIdb!$C$2:'CFIdb'!$C$2000,"*Open*",CFIdb!$S$2:'CFIdb'!$S$2000,"*"&amp;J$84&amp;"*",CFIdb!$E$2:'CFIdb'!$E$2000,"*3PAR*")</f>
        <v>0</v>
      </c>
      <c r="K90" s="14">
        <f>COUNTIFS(CFIdb!$Z$2:'CFIdb'!$Z$2000,"*"&amp;$B90,CFIdb!$C$2:'CFIdb'!$C$2000,"*Emerging",CFIdb!$S$2:'CFIdb'!$S$2000,"*"&amp;K$84&amp;"*",CFIdb!$E$2:'CFIdb'!$E$2000,"*3PAR*")
+COUNTIFS(CFIdb!$Z$2:'CFIdb'!$Z$2000,"*"&amp;$B90,CFIdb!$C$2:'CFIdb'!$C$2000,"*Open*",CFIdb!$S$2:'CFIdb'!$S$2000,"*"&amp;K$84&amp;"*",CFIdb!$E$2:'CFIdb'!$E$2000,"*3PAR*")</f>
        <v>0</v>
      </c>
      <c r="L90" s="14">
        <f>COUNTIFS(CFIdb!$Z$2:'CFIdb'!$Z$2000,"*"&amp;$B90,CFIdb!$C$2:'CFIdb'!$C$2000,"*Emerging",CFIdb!$R$2:'CFIdb'!$R$2000,"*Close*",CFIdb!$S$2:'CFIdb'!$S$2000,"",CFIdb!$E$2:'CFIdb'!$E$2000,"*3PAR*")
+COUNTIFS(CFIdb!$Z$2:'CFIdb'!$Z$2000,"*"&amp;$B90,CFIdb!$C$2:'CFIdb'!$C$2000,"*Open*",CFIdb!$R$2:'CFIdb'!$R$2000,"*Resolve*",CFIdb!$S$2:'CFIdb'!$S$2000,"",CFIdb!$E$2:'CFIdb'!$E$2000,"*3PAR*")
+COUNTIFS(CFIdb!$Z$2:'CFIdb'!$Z$2000,"*"&amp;$B90,CFIdb!$C$2:'CFIdb'!$C$2000,"*Open*",CFIdb!$R$2:'CFIdb'!$R$2000,"*Verified*",CFIdb!$S$2:'CFIdb'!$S$2000,"",CFIdb!$E$2:'CFIdb'!$E$2000,"*3PAR*")
+COUNTIFS(CFIdb!$Z$2:'CFIdb'!$Z$2000,"*"&amp;$B90,CFIdb!$C$2:'CFIdb'!$C$2000,"*Open*",CFIdb!$R$2:'CFIdb'!$R$2000,"*Close*",CFIdb!$S$2:'CFIdb'!$S$2000,"",CFIdb!$E$2:'CFIdb'!$E$2000,"*3PAR*")
+COUNTIFS(CFIdb!$Z$2:'CFIdb'!$Z$2000,"*"&amp;$B90,CFIdb!$C$2:'CFIdb'!$C$2000,"*Emerging",CFIdb!$R$2:'CFIdb'!$R$2000,"*Resolve*",CFIdb!$S$2:'CFIdb'!$S$2000,"",CFIdb!$E$2:'CFIdb'!$E$2000,"*3PAR*")
+COUNTIFS(CFIdb!$Z$2:'CFIdb'!$Z$2000,"*"&amp;$B90,CFIdb!$C$2:'CFIdb'!$C$2000,"*Emerging",CFIdb!$R$2:'CFIdb'!$R$2000,"*Verified*",CFIdb!$S$2:'CFIdb'!$S$2000,"",CFIdb!$E$2:'CFIdb'!$E$2000,"*3PAR*")</f>
        <v>0</v>
      </c>
      <c r="M90" s="14">
        <f>COUNTIFS(CFIdb!$Z$2:'CFIdb'!$Z$2000,"*"&amp;$B90,CFIdb!$C$2:'CFIdb'!$C$2000,"*Emerging",CFIdb!$R$2:'CFIdb'!$R$2000,"",CFIdb!$E$2:'CFIdb'!$E$2000,"*3PAR*")
+COUNTIFS(CFIdb!$Z$2:'CFIdb'!$Z$2000,"*"&amp;$B90,CFIdb!$C$2:'CFIdb'!$C$2000,"*Open*",CFIdb!$R$2:'CFIdb'!$R$2000,"",CFIdb!$E$2:'CFIdb'!$E$2000,"*3PAR*")</f>
        <v>0</v>
      </c>
      <c r="N90" s="14">
        <f>COUNTIFS(CFIdb!$Z$2:'CFIdb'!$Z$2000,"*"&amp;$B90,CFIdb!$C$2:'CFIdb'!$C$2000,"*Emerging",CFIdb!$S$2:'CFIdb'!$S$2000,"*"&amp;N$84&amp;"*",CFIdb!$E$2:'CFIdb'!$E$2000,"*3PAR*")
+COUNTIFS(CFIdb!$Z$2:'CFIdb'!$Z$2000,"*"&amp;$B90,CFIdb!$C$2:'CFIdb'!$C$2000,"*Open*",CFIdb!$S$2:'CFIdb'!$S$2000,"*"&amp;N$84&amp;"*",CFIdb!$E$2:'CFIdb'!$E$2000,"*3PAR*")</f>
        <v>0</v>
      </c>
      <c r="O90" t="str">
        <f t="shared" si="26"/>
        <v>4/4</v>
      </c>
    </row>
    <row r="91" spans="2:16" ht="30" x14ac:dyDescent="0.25">
      <c r="B91" s="12" t="s">
        <v>34</v>
      </c>
      <c r="C91">
        <f>COUNTIFS(CFIdb!$Z$2:'CFIdb'!$Z$2000,"*"&amp;B91,CFIdb!$C$2:'CFIdb'!$C$2000,"*Emerging",CFIdb!$E$2:'CFIdb'!$E$2000,"*3PAR*")
+COUNTIFS(CFIdb!$Z$2:'CFIdb'!$Z$2000,"*"&amp;B91,CFIdb!$C$2:'CFIdb'!$C$2000,"*Open*",CFIdb!$E$2:'CFIdb'!$E$2000,"*3PAR*")</f>
        <v>16</v>
      </c>
      <c r="D91" s="13">
        <f t="shared" si="24"/>
        <v>6</v>
      </c>
      <c r="E91" s="14">
        <f t="shared" si="25"/>
        <v>10</v>
      </c>
      <c r="F91" s="13">
        <f>COUNTIFS(CFIdb!$Z$2:'CFIdb'!$Z$2000,"*"&amp;$B91,CFIdb!$C$2:'CFIdb'!$C$2000,"*Emerging",CFIdb!$R$2:'CFIdb'!$R$2000,"*"&amp;F$84&amp;"*",CFIdb!$E$2:'CFIdb'!$E$2000,"*3PAR*")
+COUNTIFS(CFIdb!$Z$2:'CFIdb'!$Z$2000,"*"&amp;$B91,CFIdb!$C$2:'CFIdb'!$C$2000,"*Open*",CFIdb!$R$2:'CFIdb'!$R$2000,"*"&amp;F$84&amp;"*",CFIdb!$E$2:'CFIdb'!$E$2000,"*3PAR*")</f>
        <v>5</v>
      </c>
      <c r="G91" s="13">
        <f>COUNTIFS(CFIdb!$Z$2:'CFIdb'!$Z$2000,"*"&amp;$B91,CFIdb!$C$2:'CFIdb'!$C$2000,"*Emerging",CFIdb!$R$2:'CFIdb'!$R$2000,"*"&amp;G$84&amp;"*",CFIdb!$E$2:'CFIdb'!$E$2000,"*3PAR*")
+COUNTIFS(CFIdb!$Z$2:'CFIdb'!$Z$2000,"*"&amp;$B91,CFIdb!$C$2:'CFIdb'!$C$2000,"*Open*",CFIdb!$R$2:'CFIdb'!$R$2000,"*"&amp;G$84&amp;"*",CFIdb!$E$2:'CFIdb'!$E$2000,"*3PAR*")</f>
        <v>1</v>
      </c>
      <c r="H91" s="14">
        <f>COUNTIFS(CFIdb!$Z$2:'CFIdb'!$Z$2000,"*"&amp;$B91,CFIdb!$C$2:'CFIdb'!$C$2000,"*Emerging",CFIdb!$S$2:'CFIdb'!$S$2000,"*"&amp;H$84&amp;"*",CFIdb!$E$2:'CFIdb'!$E$2000,"*3PAR*")
+COUNTIFS(CFIdb!$Z$2:'CFIdb'!$Z$2000,"*"&amp;$B91,CFIdb!$C$2:'CFIdb'!$C$2000,"*Open*",CFIdb!$S$2:'CFIdb'!$S$2000,"*"&amp;H$84&amp;"*",CFIdb!$E$2:'CFIdb'!$E$2000,"*3PAR*")</f>
        <v>7</v>
      </c>
      <c r="I91" s="14">
        <f>COUNTIFS(CFIdb!$Z$2:'CFIdb'!$Z$2000,"*"&amp;$B91,CFIdb!$C$2:'CFIdb'!$C$2000,"*Emerging",CFIdb!$S$2:'CFIdb'!$S$2000,"*"&amp;I$84&amp;"*",CFIdb!$E$2:'CFIdb'!$E$2000,"*3PAR*")
+COUNTIFS(CFIdb!$Z$2:'CFIdb'!$Z$2000,"*"&amp;$B91,CFIdb!$C$2:'CFIdb'!$C$2000,"*Open*",CFIdb!$S$2:'CFIdb'!$S$2000,"*"&amp;I$84&amp;"*",CFIdb!$E$2:'CFIdb'!$E$2000,"*3PAR*")</f>
        <v>3</v>
      </c>
      <c r="J91" s="14">
        <f>COUNTIFS(CFIdb!$Z$2:'CFIdb'!$Z$2000,"*"&amp;$B91,CFIdb!$C$2:'CFIdb'!$C$2000,"*Emerging",CFIdb!$S$2:'CFIdb'!$S$2000,"*"&amp;J$84&amp;"*",CFIdb!$E$2:'CFIdb'!$E$2000,"*3PAR*")
+COUNTIFS(CFIdb!$Z$2:'CFIdb'!$Z$2000,"*"&amp;$B91,CFIdb!$C$2:'CFIdb'!$C$2000,"*Open*",CFIdb!$S$2:'CFIdb'!$S$2000,"*"&amp;J$84&amp;"*",CFIdb!$E$2:'CFIdb'!$E$2000,"*3PAR*")</f>
        <v>0</v>
      </c>
      <c r="K91" s="14">
        <f>COUNTIFS(CFIdb!$Z$2:'CFIdb'!$Z$2000,"*"&amp;$B91,CFIdb!$C$2:'CFIdb'!$C$2000,"*Emerging",CFIdb!$S$2:'CFIdb'!$S$2000,"*"&amp;K$84&amp;"*",CFIdb!$E$2:'CFIdb'!$E$2000,"*3PAR*")
+COUNTIFS(CFIdb!$Z$2:'CFIdb'!$Z$2000,"*"&amp;$B91,CFIdb!$C$2:'CFIdb'!$C$2000,"*Open*",CFIdb!$S$2:'CFIdb'!$S$2000,"*"&amp;K$84&amp;"*",CFIdb!$E$2:'CFIdb'!$E$2000,"*3PAR*")</f>
        <v>0</v>
      </c>
      <c r="L91" s="14">
        <f>COUNTIFS(CFIdb!$Z$2:'CFIdb'!$Z$2000,"*"&amp;$B91,CFIdb!$C$2:'CFIdb'!$C$2000,"*Emerging",CFIdb!$R$2:'CFIdb'!$R$2000,"*Close*",CFIdb!$S$2:'CFIdb'!$S$2000,"",CFIdb!$E$2:'CFIdb'!$E$2000,"*3PAR*")
+COUNTIFS(CFIdb!$Z$2:'CFIdb'!$Z$2000,"*"&amp;$B91,CFIdb!$C$2:'CFIdb'!$C$2000,"*Open*",CFIdb!$R$2:'CFIdb'!$R$2000,"*Resolve*",CFIdb!$S$2:'CFIdb'!$S$2000,"",CFIdb!$E$2:'CFIdb'!$E$2000,"*3PAR*")
+COUNTIFS(CFIdb!$Z$2:'CFIdb'!$Z$2000,"*"&amp;$B91,CFIdb!$C$2:'CFIdb'!$C$2000,"*Open*",CFIdb!$R$2:'CFIdb'!$R$2000,"*Verified*",CFIdb!$S$2:'CFIdb'!$S$2000,"",CFIdb!$E$2:'CFIdb'!$E$2000,"*3PAR*")
+COUNTIFS(CFIdb!$Z$2:'CFIdb'!$Z$2000,"*"&amp;$B91,CFIdb!$C$2:'CFIdb'!$C$2000,"*Open*",CFIdb!$R$2:'CFIdb'!$R$2000,"*Close*",CFIdb!$S$2:'CFIdb'!$S$2000,"",CFIdb!$E$2:'CFIdb'!$E$2000,"*3PAR*")
+COUNTIFS(CFIdb!$Z$2:'CFIdb'!$Z$2000,"*"&amp;$B91,CFIdb!$C$2:'CFIdb'!$C$2000,"*Emerging",CFIdb!$R$2:'CFIdb'!$R$2000,"*Resolve*",CFIdb!$S$2:'CFIdb'!$S$2000,"",CFIdb!$E$2:'CFIdb'!$E$2000,"*3PAR*")
+COUNTIFS(CFIdb!$Z$2:'CFIdb'!$Z$2000,"*"&amp;$B91,CFIdb!$C$2:'CFIdb'!$C$2000,"*Emerging",CFIdb!$R$2:'CFIdb'!$R$2000,"*Verified*",CFIdb!$S$2:'CFIdb'!$S$2000,"",CFIdb!$E$2:'CFIdb'!$E$2000,"*3PAR*")</f>
        <v>0</v>
      </c>
      <c r="M91" s="14">
        <f>COUNTIFS(CFIdb!$Z$2:'CFIdb'!$Z$2000,"*"&amp;$B91,CFIdb!$C$2:'CFIdb'!$C$2000,"*Emerging",CFIdb!$R$2:'CFIdb'!$R$2000,"",CFIdb!$E$2:'CFIdb'!$E$2000,"*3PAR*")
+COUNTIFS(CFIdb!$Z$2:'CFIdb'!$Z$2000,"*"&amp;$B91,CFIdb!$C$2:'CFIdb'!$C$2000,"*Open*",CFIdb!$R$2:'CFIdb'!$R$2000,"",CFIdb!$E$2:'CFIdb'!$E$2000,"*3PAR*")</f>
        <v>0</v>
      </c>
      <c r="N91" s="14">
        <f>COUNTIFS(CFIdb!$Z$2:'CFIdb'!$Z$2000,"*"&amp;$B91,CFIdb!$C$2:'CFIdb'!$C$2000,"*Emerging",CFIdb!$S$2:'CFIdb'!$S$2000,"*"&amp;N$84&amp;"*",CFIdb!$E$2:'CFIdb'!$E$2000,"*3PAR*")
+COUNTIFS(CFIdb!$Z$2:'CFIdb'!$Z$2000,"*"&amp;$B91,CFIdb!$C$2:'CFIdb'!$C$2000,"*Open*",CFIdb!$S$2:'CFIdb'!$S$2000,"*"&amp;N$84&amp;"*",CFIdb!$E$2:'CFIdb'!$E$2000,"*3PAR*")</f>
        <v>0</v>
      </c>
      <c r="O91" t="str">
        <f t="shared" si="26"/>
        <v>16/16</v>
      </c>
    </row>
    <row r="92" spans="2:16" ht="30" x14ac:dyDescent="0.25">
      <c r="B92" s="12" t="s">
        <v>2529</v>
      </c>
      <c r="C92">
        <f>COUNTIFS(CFIdb!$Z$2:'CFIdb'!$Z$2000,"*"&amp;B92,CFIdb!$C$2:'CFIdb'!$C$2000,"*Emerging",CFIdb!$E$2:'CFIdb'!$E$2000,"*3PAR*")
+COUNTIFS(CFIdb!$Z$2:'CFIdb'!$Z$2000,"*"&amp;B92,CFIdb!$C$2:'CFIdb'!$C$2000,"*Open*",CFIdb!$E$2:'CFIdb'!$E$2000,"*3PAR*")</f>
        <v>0</v>
      </c>
      <c r="D92" s="13">
        <f t="shared" si="24"/>
        <v>0</v>
      </c>
      <c r="E92" s="14">
        <f t="shared" si="25"/>
        <v>0</v>
      </c>
      <c r="F92" s="13">
        <f>COUNTIFS(CFIdb!$Z$2:'CFIdb'!$Z$2000,"*"&amp;$B92,CFIdb!$C$2:'CFIdb'!$C$2000,"*Emerging",CFIdb!$R$2:'CFIdb'!$R$2000,"*"&amp;F$84&amp;"*",CFIdb!$E$2:'CFIdb'!$E$2000,"*3PAR*")
+COUNTIFS(CFIdb!$Z$2:'CFIdb'!$Z$2000,"*"&amp;$B92,CFIdb!$C$2:'CFIdb'!$C$2000,"*Open*",CFIdb!$R$2:'CFIdb'!$R$2000,"*"&amp;F$84&amp;"*",CFIdb!$E$2:'CFIdb'!$E$2000,"*3PAR*")</f>
        <v>0</v>
      </c>
      <c r="G92" s="13">
        <f>COUNTIFS(CFIdb!$Z$2:'CFIdb'!$Z$2000,"*"&amp;$B92,CFIdb!$C$2:'CFIdb'!$C$2000,"*Emerging",CFIdb!$R$2:'CFIdb'!$R$2000,"*"&amp;G$84&amp;"*",CFIdb!$E$2:'CFIdb'!$E$2000,"*3PAR*")
+COUNTIFS(CFIdb!$Z$2:'CFIdb'!$Z$2000,"*"&amp;$B92,CFIdb!$C$2:'CFIdb'!$C$2000,"*Open*",CFIdb!$R$2:'CFIdb'!$R$2000,"*"&amp;G$84&amp;"*",CFIdb!$E$2:'CFIdb'!$E$2000,"*3PAR*")</f>
        <v>0</v>
      </c>
      <c r="H92" s="14">
        <f>COUNTIFS(CFIdb!$Z$2:'CFIdb'!$Z$2000,"*"&amp;$B92,CFIdb!$C$2:'CFIdb'!$C$2000,"*Emerging",CFIdb!$S$2:'CFIdb'!$S$2000,"*"&amp;H$84&amp;"*",CFIdb!$E$2:'CFIdb'!$E$2000,"*3PAR*")
+COUNTIFS(CFIdb!$Z$2:'CFIdb'!$Z$2000,"*"&amp;$B92,CFIdb!$C$2:'CFIdb'!$C$2000,"*Open*",CFIdb!$S$2:'CFIdb'!$S$2000,"*"&amp;H$84&amp;"*",CFIdb!$E$2:'CFIdb'!$E$2000,"*3PAR*")</f>
        <v>0</v>
      </c>
      <c r="I92" s="14">
        <f>COUNTIFS(CFIdb!$Z$2:'CFIdb'!$Z$2000,"*"&amp;$B92,CFIdb!$C$2:'CFIdb'!$C$2000,"*Emerging",CFIdb!$S$2:'CFIdb'!$S$2000,"*"&amp;I$84&amp;"*",CFIdb!$E$2:'CFIdb'!$E$2000,"*3PAR*")
+COUNTIFS(CFIdb!$Z$2:'CFIdb'!$Z$2000,"*"&amp;$B92,CFIdb!$C$2:'CFIdb'!$C$2000,"*Open*",CFIdb!$S$2:'CFIdb'!$S$2000,"*"&amp;I$84&amp;"*",CFIdb!$E$2:'CFIdb'!$E$2000,"*3PAR*")</f>
        <v>0</v>
      </c>
      <c r="J92" s="14">
        <f>COUNTIFS(CFIdb!$Z$2:'CFIdb'!$Z$2000,"*"&amp;$B92,CFIdb!$C$2:'CFIdb'!$C$2000,"*Emerging",CFIdb!$S$2:'CFIdb'!$S$2000,"*"&amp;J$84&amp;"*",CFIdb!$E$2:'CFIdb'!$E$2000,"*3PAR*")
+COUNTIFS(CFIdb!$Z$2:'CFIdb'!$Z$2000,"*"&amp;$B92,CFIdb!$C$2:'CFIdb'!$C$2000,"*Open*",CFIdb!$S$2:'CFIdb'!$S$2000,"*"&amp;J$84&amp;"*",CFIdb!$E$2:'CFIdb'!$E$2000,"*3PAR*")</f>
        <v>0</v>
      </c>
      <c r="K92" s="14">
        <f>COUNTIFS(CFIdb!$Z$2:'CFIdb'!$Z$2000,"*"&amp;$B92,CFIdb!$C$2:'CFIdb'!$C$2000,"*Emerging",CFIdb!$S$2:'CFIdb'!$S$2000,"*"&amp;K$84&amp;"*",CFIdb!$E$2:'CFIdb'!$E$2000,"*3PAR*")
+COUNTIFS(CFIdb!$Z$2:'CFIdb'!$Z$2000,"*"&amp;$B92,CFIdb!$C$2:'CFIdb'!$C$2000,"*Open*",CFIdb!$S$2:'CFIdb'!$S$2000,"*"&amp;K$84&amp;"*",CFIdb!$E$2:'CFIdb'!$E$2000,"*3PAR*")</f>
        <v>0</v>
      </c>
      <c r="L92" s="14">
        <f>COUNTIFS(CFIdb!$Z$2:'CFIdb'!$Z$2000,"*"&amp;$B92,CFIdb!$C$2:'CFIdb'!$C$2000,"*Emerging",CFIdb!$R$2:'CFIdb'!$R$2000,"*Close*",CFIdb!$S$2:'CFIdb'!$S$2000,"",CFIdb!$E$2:'CFIdb'!$E$2000,"*3PAR*")
+COUNTIFS(CFIdb!$Z$2:'CFIdb'!$Z$2000,"*"&amp;$B92,CFIdb!$C$2:'CFIdb'!$C$2000,"*Open*",CFIdb!$R$2:'CFIdb'!$R$2000,"*Resolve*",CFIdb!$S$2:'CFIdb'!$S$2000,"",CFIdb!$E$2:'CFIdb'!$E$2000,"*3PAR*")
+COUNTIFS(CFIdb!$Z$2:'CFIdb'!$Z$2000,"*"&amp;$B92,CFIdb!$C$2:'CFIdb'!$C$2000,"*Open*",CFIdb!$R$2:'CFIdb'!$R$2000,"*Verified*",CFIdb!$S$2:'CFIdb'!$S$2000,"",CFIdb!$E$2:'CFIdb'!$E$2000,"*3PAR*")
+COUNTIFS(CFIdb!$Z$2:'CFIdb'!$Z$2000,"*"&amp;$B92,CFIdb!$C$2:'CFIdb'!$C$2000,"*Open*",CFIdb!$R$2:'CFIdb'!$R$2000,"*Close*",CFIdb!$S$2:'CFIdb'!$S$2000,"",CFIdb!$E$2:'CFIdb'!$E$2000,"*3PAR*")
+COUNTIFS(CFIdb!$Z$2:'CFIdb'!$Z$2000,"*"&amp;$B92,CFIdb!$C$2:'CFIdb'!$C$2000,"*Emerging",CFIdb!$R$2:'CFIdb'!$R$2000,"*Resolve*",CFIdb!$S$2:'CFIdb'!$S$2000,"",CFIdb!$E$2:'CFIdb'!$E$2000,"*3PAR*")
+COUNTIFS(CFIdb!$Z$2:'CFIdb'!$Z$2000,"*"&amp;$B92,CFIdb!$C$2:'CFIdb'!$C$2000,"*Emerging",CFIdb!$R$2:'CFIdb'!$R$2000,"*Verified*",CFIdb!$S$2:'CFIdb'!$S$2000,"",CFIdb!$E$2:'CFIdb'!$E$2000,"*3PAR*")</f>
        <v>0</v>
      </c>
      <c r="M92" s="14">
        <f>COUNTIFS(CFIdb!$Z$2:'CFIdb'!$Z$2000,"*"&amp;$B92,CFIdb!$C$2:'CFIdb'!$C$2000,"*Emerging",CFIdb!$R$2:'CFIdb'!$R$2000,"",CFIdb!$E$2:'CFIdb'!$E$2000,"*3PAR*")
+COUNTIFS(CFIdb!$Z$2:'CFIdb'!$Z$2000,"*"&amp;$B92,CFIdb!$C$2:'CFIdb'!$C$2000,"*Open*",CFIdb!$R$2:'CFIdb'!$R$2000,"",CFIdb!$E$2:'CFIdb'!$E$2000,"*3PAR*")</f>
        <v>0</v>
      </c>
      <c r="N92" s="14">
        <f>COUNTIFS(CFIdb!$Z$2:'CFIdb'!$Z$2000,"*"&amp;$B92,CFIdb!$C$2:'CFIdb'!$C$2000,"*Emerging",CFIdb!$S$2:'CFIdb'!$S$2000,"*"&amp;N$84&amp;"*",CFIdb!$E$2:'CFIdb'!$E$2000,"*3PAR*")
+COUNTIFS(CFIdb!$Z$2:'CFIdb'!$Z$2000,"*"&amp;$B92,CFIdb!$C$2:'CFIdb'!$C$2000,"*Open*",CFIdb!$S$2:'CFIdb'!$S$2000,"*"&amp;N$84&amp;"*",CFIdb!$E$2:'CFIdb'!$E$2000,"*3PAR*")</f>
        <v>0</v>
      </c>
      <c r="O92" t="str">
        <f t="shared" si="26"/>
        <v>0/0</v>
      </c>
    </row>
    <row r="93" spans="2:16" ht="45" x14ac:dyDescent="0.25">
      <c r="B93" s="12" t="s">
        <v>195</v>
      </c>
      <c r="C93">
        <f>COUNTIFS(CFIdb!$Z$2:'CFIdb'!$Z$2000,"*"&amp;B93,CFIdb!$C$2:'CFIdb'!$C$2000,"*Emerging",CFIdb!$E$2:'CFIdb'!$E$2000,"*3PAR*")
+COUNTIFS(CFIdb!$Z$2:'CFIdb'!$Z$2000,"*"&amp;B93,CFIdb!$C$2:'CFIdb'!$C$2000,"*Open*",CFIdb!$E$2:'CFIdb'!$E$2000,"*3PAR*")</f>
        <v>4</v>
      </c>
      <c r="D93" s="13">
        <f t="shared" si="24"/>
        <v>1</v>
      </c>
      <c r="E93" s="14">
        <f t="shared" si="25"/>
        <v>3</v>
      </c>
      <c r="F93" s="13">
        <f>COUNTIFS(CFIdb!$Z$2:'CFIdb'!$Z$2000,"*"&amp;$B93,CFIdb!$C$2:'CFIdb'!$C$2000,"*Emerging",CFIdb!$R$2:'CFIdb'!$R$2000,"*"&amp;F$84&amp;"*",CFIdb!$E$2:'CFIdb'!$E$2000,"*3PAR*")
+COUNTIFS(CFIdb!$Z$2:'CFIdb'!$Z$2000,"*"&amp;$B93,CFIdb!$C$2:'CFIdb'!$C$2000,"*Open*",CFIdb!$R$2:'CFIdb'!$R$2000,"*"&amp;F$84&amp;"*",CFIdb!$E$2:'CFIdb'!$E$2000,"*3PAR*")</f>
        <v>1</v>
      </c>
      <c r="G93" s="13">
        <f>COUNTIFS(CFIdb!$Z$2:'CFIdb'!$Z$2000,"*"&amp;$B93,CFIdb!$C$2:'CFIdb'!$C$2000,"*Emerging",CFIdb!$R$2:'CFIdb'!$R$2000,"*"&amp;G$84&amp;"*",CFIdb!$E$2:'CFIdb'!$E$2000,"*3PAR*")
+COUNTIFS(CFIdb!$Z$2:'CFIdb'!$Z$2000,"*"&amp;$B93,CFIdb!$C$2:'CFIdb'!$C$2000,"*Open*",CFIdb!$R$2:'CFIdb'!$R$2000,"*"&amp;G$84&amp;"*",CFIdb!$E$2:'CFIdb'!$E$2000,"*3PAR*")</f>
        <v>0</v>
      </c>
      <c r="H93" s="14">
        <f>COUNTIFS(CFIdb!$Z$2:'CFIdb'!$Z$2000,"*"&amp;$B93,CFIdb!$C$2:'CFIdb'!$C$2000,"*Emerging",CFIdb!$S$2:'CFIdb'!$S$2000,"*"&amp;H$84&amp;"*",CFIdb!$E$2:'CFIdb'!$E$2000,"*3PAR*")
+COUNTIFS(CFIdb!$Z$2:'CFIdb'!$Z$2000,"*"&amp;$B93,CFIdb!$C$2:'CFIdb'!$C$2000,"*Open*",CFIdb!$S$2:'CFIdb'!$S$2000,"*"&amp;H$84&amp;"*",CFIdb!$E$2:'CFIdb'!$E$2000,"*3PAR*")</f>
        <v>2</v>
      </c>
      <c r="I93" s="14">
        <f>COUNTIFS(CFIdb!$Z$2:'CFIdb'!$Z$2000,"*"&amp;$B93,CFIdb!$C$2:'CFIdb'!$C$2000,"*Emerging",CFIdb!$S$2:'CFIdb'!$S$2000,"*"&amp;I$84&amp;"*",CFIdb!$E$2:'CFIdb'!$E$2000,"*3PAR*")
+COUNTIFS(CFIdb!$Z$2:'CFIdb'!$Z$2000,"*"&amp;$B93,CFIdb!$C$2:'CFIdb'!$C$2000,"*Open*",CFIdb!$S$2:'CFIdb'!$S$2000,"*"&amp;I$84&amp;"*",CFIdb!$E$2:'CFIdb'!$E$2000,"*3PAR*")</f>
        <v>1</v>
      </c>
      <c r="J93" s="14">
        <f>COUNTIFS(CFIdb!$Z$2:'CFIdb'!$Z$2000,"*"&amp;$B93,CFIdb!$C$2:'CFIdb'!$C$2000,"*Emerging",CFIdb!$S$2:'CFIdb'!$S$2000,"*"&amp;J$84&amp;"*",CFIdb!$E$2:'CFIdb'!$E$2000,"*3PAR*")
+COUNTIFS(CFIdb!$Z$2:'CFIdb'!$Z$2000,"*"&amp;$B93,CFIdb!$C$2:'CFIdb'!$C$2000,"*Open*",CFIdb!$S$2:'CFIdb'!$S$2000,"*"&amp;J$84&amp;"*",CFIdb!$E$2:'CFIdb'!$E$2000,"*3PAR*")</f>
        <v>0</v>
      </c>
      <c r="K93" s="14">
        <f>COUNTIFS(CFIdb!$Z$2:'CFIdb'!$Z$2000,"*"&amp;$B93,CFIdb!$C$2:'CFIdb'!$C$2000,"*Emerging",CFIdb!$S$2:'CFIdb'!$S$2000,"*"&amp;K$84&amp;"*",CFIdb!$E$2:'CFIdb'!$E$2000,"*3PAR*")
+COUNTIFS(CFIdb!$Z$2:'CFIdb'!$Z$2000,"*"&amp;$B93,CFIdb!$C$2:'CFIdb'!$C$2000,"*Open*",CFIdb!$S$2:'CFIdb'!$S$2000,"*"&amp;K$84&amp;"*",CFIdb!$E$2:'CFIdb'!$E$2000,"*3PAR*")</f>
        <v>0</v>
      </c>
      <c r="L93" s="14">
        <f>COUNTIFS(CFIdb!$Z$2:'CFIdb'!$Z$2000,"*"&amp;$B93,CFIdb!$C$2:'CFIdb'!$C$2000,"*Emerging",CFIdb!$R$2:'CFIdb'!$R$2000,"*Close*",CFIdb!$S$2:'CFIdb'!$S$2000,"",CFIdb!$E$2:'CFIdb'!$E$2000,"*3PAR*")
+COUNTIFS(CFIdb!$Z$2:'CFIdb'!$Z$2000,"*"&amp;$B93,CFIdb!$C$2:'CFIdb'!$C$2000,"*Open*",CFIdb!$R$2:'CFIdb'!$R$2000,"*Resolve*",CFIdb!$S$2:'CFIdb'!$S$2000,"",CFIdb!$E$2:'CFIdb'!$E$2000,"*3PAR*")
+COUNTIFS(CFIdb!$Z$2:'CFIdb'!$Z$2000,"*"&amp;$B93,CFIdb!$C$2:'CFIdb'!$C$2000,"*Open*",CFIdb!$R$2:'CFIdb'!$R$2000,"*Verified*",CFIdb!$S$2:'CFIdb'!$S$2000,"",CFIdb!$E$2:'CFIdb'!$E$2000,"*3PAR*")
+COUNTIFS(CFIdb!$Z$2:'CFIdb'!$Z$2000,"*"&amp;$B93,CFIdb!$C$2:'CFIdb'!$C$2000,"*Open*",CFIdb!$R$2:'CFIdb'!$R$2000,"*Close*",CFIdb!$S$2:'CFIdb'!$S$2000,"",CFIdb!$E$2:'CFIdb'!$E$2000,"*3PAR*")
+COUNTIFS(CFIdb!$Z$2:'CFIdb'!$Z$2000,"*"&amp;$B93,CFIdb!$C$2:'CFIdb'!$C$2000,"*Emerging",CFIdb!$R$2:'CFIdb'!$R$2000,"*Resolve*",CFIdb!$S$2:'CFIdb'!$S$2000,"",CFIdb!$E$2:'CFIdb'!$E$2000,"*3PAR*")
+COUNTIFS(CFIdb!$Z$2:'CFIdb'!$Z$2000,"*"&amp;$B93,CFIdb!$C$2:'CFIdb'!$C$2000,"*Emerging",CFIdb!$R$2:'CFIdb'!$R$2000,"*Verified*",CFIdb!$S$2:'CFIdb'!$S$2000,"",CFIdb!$E$2:'CFIdb'!$E$2000,"*3PAR*")</f>
        <v>0</v>
      </c>
      <c r="M93" s="14">
        <f>COUNTIFS(CFIdb!$Z$2:'CFIdb'!$Z$2000,"*"&amp;$B93,CFIdb!$C$2:'CFIdb'!$C$2000,"*Emerging",CFIdb!$R$2:'CFIdb'!$R$2000,"",CFIdb!$E$2:'CFIdb'!$E$2000,"*3PAR*")
+COUNTIFS(CFIdb!$Z$2:'CFIdb'!$Z$2000,"*"&amp;$B93,CFIdb!$C$2:'CFIdb'!$C$2000,"*Open*",CFIdb!$R$2:'CFIdb'!$R$2000,"",CFIdb!$E$2:'CFIdb'!$E$2000,"*3PAR*")</f>
        <v>0</v>
      </c>
      <c r="N93" s="14">
        <f>COUNTIFS(CFIdb!$Z$2:'CFIdb'!$Z$2000,"*"&amp;$B93,CFIdb!$C$2:'CFIdb'!$C$2000,"*Emerging",CFIdb!$S$2:'CFIdb'!$S$2000,"*"&amp;N$84&amp;"*",CFIdb!$E$2:'CFIdb'!$E$2000,"*3PAR*")
+COUNTIFS(CFIdb!$Z$2:'CFIdb'!$Z$2000,"*"&amp;$B93,CFIdb!$C$2:'CFIdb'!$C$2000,"*Open*",CFIdb!$S$2:'CFIdb'!$S$2000,"*"&amp;N$84&amp;"*",CFIdb!$E$2:'CFIdb'!$E$2000,"*3PAR*")</f>
        <v>0</v>
      </c>
      <c r="O93" t="str">
        <f t="shared" si="26"/>
        <v>4/4</v>
      </c>
    </row>
    <row r="94" spans="2:16" ht="30" x14ac:dyDescent="0.25">
      <c r="B94" s="12" t="s">
        <v>4942</v>
      </c>
      <c r="C94">
        <f>COUNTIFS(CFIdb!$Z$2:'CFIdb'!$Z$2000,"*"&amp;B94,CFIdb!$C$2:'CFIdb'!$C$2000,"*Emerging",CFIdb!$E$2:'CFIdb'!$E$2000,"*3PAR*")
+COUNTIFS(CFIdb!$Z$2:'CFIdb'!$Z$2000,"*"&amp;B94,CFIdb!$C$2:'CFIdb'!$C$2000,"*Open*",CFIdb!$E$2:'CFIdb'!$E$2000,"*3PAR*")</f>
        <v>1</v>
      </c>
      <c r="D94" s="13">
        <f t="shared" ref="D94" si="27">SUM(F94:G94)</f>
        <v>1</v>
      </c>
      <c r="E94" s="14">
        <f t="shared" ref="E94" si="28">SUM(H94:N94)</f>
        <v>0</v>
      </c>
      <c r="F94" s="13">
        <f>COUNTIFS(CFIdb!$Z$2:'CFIdb'!$Z$2000,"*"&amp;$B94,CFIdb!$C$2:'CFIdb'!$C$2000,"*Emerging",CFIdb!$R$2:'CFIdb'!$R$2000,"*"&amp;F$84&amp;"*",CFIdb!$E$2:'CFIdb'!$E$2000,"*3PAR*")
+COUNTIFS(CFIdb!$Z$2:'CFIdb'!$Z$2000,"*"&amp;$B94,CFIdb!$C$2:'CFIdb'!$C$2000,"*Open*",CFIdb!$R$2:'CFIdb'!$R$2000,"*"&amp;F$84&amp;"*",CFIdb!$E$2:'CFIdb'!$E$2000,"*3PAR*")</f>
        <v>1</v>
      </c>
      <c r="G94" s="13">
        <f>COUNTIFS(CFIdb!$Z$2:'CFIdb'!$Z$2000,"*"&amp;$B94,CFIdb!$C$2:'CFIdb'!$C$2000,"*Emerging",CFIdb!$R$2:'CFIdb'!$R$2000,"*"&amp;G$84&amp;"*",CFIdb!$E$2:'CFIdb'!$E$2000,"*3PAR*")
+COUNTIFS(CFIdb!$Z$2:'CFIdb'!$Z$2000,"*"&amp;$B94,CFIdb!$C$2:'CFIdb'!$C$2000,"*Open*",CFIdb!$R$2:'CFIdb'!$R$2000,"*"&amp;G$84&amp;"*",CFIdb!$E$2:'CFIdb'!$E$2000,"*3PAR*")</f>
        <v>0</v>
      </c>
      <c r="H94" s="14">
        <f>COUNTIFS(CFIdb!$Z$2:'CFIdb'!$Z$2000,"*"&amp;$B94,CFIdb!$C$2:'CFIdb'!$C$2000,"*Emerging",CFIdb!$S$2:'CFIdb'!$S$2000,"*"&amp;H$84&amp;"*",CFIdb!$E$2:'CFIdb'!$E$2000,"*3PAR*")
+COUNTIFS(CFIdb!$Z$2:'CFIdb'!$Z$2000,"*"&amp;$B94,CFIdb!$C$2:'CFIdb'!$C$2000,"*Open*",CFIdb!$S$2:'CFIdb'!$S$2000,"*"&amp;H$84&amp;"*",CFIdb!$E$2:'CFIdb'!$E$2000,"*3PAR*")</f>
        <v>0</v>
      </c>
      <c r="I94" s="14">
        <f>COUNTIFS(CFIdb!$Z$2:'CFIdb'!$Z$2000,"*"&amp;$B94,CFIdb!$C$2:'CFIdb'!$C$2000,"*Emerging",CFIdb!$S$2:'CFIdb'!$S$2000,"*"&amp;I$84&amp;"*",CFIdb!$E$2:'CFIdb'!$E$2000,"*3PAR*")
+COUNTIFS(CFIdb!$Z$2:'CFIdb'!$Z$2000,"*"&amp;$B94,CFIdb!$C$2:'CFIdb'!$C$2000,"*Open*",CFIdb!$S$2:'CFIdb'!$S$2000,"*"&amp;I$84&amp;"*",CFIdb!$E$2:'CFIdb'!$E$2000,"*3PAR*")</f>
        <v>0</v>
      </c>
      <c r="J94" s="14">
        <f>COUNTIFS(CFIdb!$Z$2:'CFIdb'!$Z$2000,"*"&amp;$B94,CFIdb!$C$2:'CFIdb'!$C$2000,"*Emerging",CFIdb!$S$2:'CFIdb'!$S$2000,"*"&amp;J$84&amp;"*",CFIdb!$E$2:'CFIdb'!$E$2000,"*3PAR*")
+COUNTIFS(CFIdb!$Z$2:'CFIdb'!$Z$2000,"*"&amp;$B94,CFIdb!$C$2:'CFIdb'!$C$2000,"*Open*",CFIdb!$S$2:'CFIdb'!$S$2000,"*"&amp;J$84&amp;"*",CFIdb!$E$2:'CFIdb'!$E$2000,"*3PAR*")</f>
        <v>0</v>
      </c>
      <c r="K94" s="14">
        <f>COUNTIFS(CFIdb!$Z$2:'CFIdb'!$Z$2000,"*"&amp;$B94,CFIdb!$C$2:'CFIdb'!$C$2000,"*Emerging",CFIdb!$S$2:'CFIdb'!$S$2000,"*"&amp;K$84&amp;"*",CFIdb!$E$2:'CFIdb'!$E$2000,"*3PAR*")
+COUNTIFS(CFIdb!$Z$2:'CFIdb'!$Z$2000,"*"&amp;$B94,CFIdb!$C$2:'CFIdb'!$C$2000,"*Open*",CFIdb!$S$2:'CFIdb'!$S$2000,"*"&amp;K$84&amp;"*",CFIdb!$E$2:'CFIdb'!$E$2000,"*3PAR*")</f>
        <v>0</v>
      </c>
      <c r="L94" s="14">
        <f>COUNTIFS(CFIdb!$Z$2:'CFIdb'!$Z$2000,"*"&amp;$B94,CFIdb!$C$2:'CFIdb'!$C$2000,"*Emerging",CFIdb!$R$2:'CFIdb'!$R$2000,"*Close*",CFIdb!$S$2:'CFIdb'!$S$2000,"",CFIdb!$E$2:'CFIdb'!$E$2000,"*3PAR*")
+COUNTIFS(CFIdb!$Z$2:'CFIdb'!$Z$2000,"*"&amp;$B94,CFIdb!$C$2:'CFIdb'!$C$2000,"*Open*",CFIdb!$R$2:'CFIdb'!$R$2000,"*Resolve*",CFIdb!$S$2:'CFIdb'!$S$2000,"",CFIdb!$E$2:'CFIdb'!$E$2000,"*3PAR*")
+COUNTIFS(CFIdb!$Z$2:'CFIdb'!$Z$2000,"*"&amp;$B94,CFIdb!$C$2:'CFIdb'!$C$2000,"*Open*",CFIdb!$R$2:'CFIdb'!$R$2000,"*Verified*",CFIdb!$S$2:'CFIdb'!$S$2000,"",CFIdb!$E$2:'CFIdb'!$E$2000,"*3PAR*")
+COUNTIFS(CFIdb!$Z$2:'CFIdb'!$Z$2000,"*"&amp;$B94,CFIdb!$C$2:'CFIdb'!$C$2000,"*Open*",CFIdb!$R$2:'CFIdb'!$R$2000,"*Close*",CFIdb!$S$2:'CFIdb'!$S$2000,"",CFIdb!$E$2:'CFIdb'!$E$2000,"*3PAR*")
+COUNTIFS(CFIdb!$Z$2:'CFIdb'!$Z$2000,"*"&amp;$B94,CFIdb!$C$2:'CFIdb'!$C$2000,"*Emerging",CFIdb!$R$2:'CFIdb'!$R$2000,"*Resolve*",CFIdb!$S$2:'CFIdb'!$S$2000,"",CFIdb!$E$2:'CFIdb'!$E$2000,"*3PAR*")
+COUNTIFS(CFIdb!$Z$2:'CFIdb'!$Z$2000,"*"&amp;$B94,CFIdb!$C$2:'CFIdb'!$C$2000,"*Emerging",CFIdb!$R$2:'CFIdb'!$R$2000,"*Verified*",CFIdb!$S$2:'CFIdb'!$S$2000,"",CFIdb!$E$2:'CFIdb'!$E$2000,"*3PAR*")</f>
        <v>0</v>
      </c>
      <c r="M94" s="14">
        <f>COUNTIFS(CFIdb!$Z$2:'CFIdb'!$Z$2000,"*"&amp;$B94,CFIdb!$C$2:'CFIdb'!$C$2000,"*Emerging",CFIdb!$R$2:'CFIdb'!$R$2000,"",CFIdb!$E$2:'CFIdb'!$E$2000,"*3PAR*")
+COUNTIFS(CFIdb!$Z$2:'CFIdb'!$Z$2000,"*"&amp;$B94,CFIdb!$C$2:'CFIdb'!$C$2000,"*Open*",CFIdb!$R$2:'CFIdb'!$R$2000,"",CFIdb!$E$2:'CFIdb'!$E$2000,"*3PAR*")</f>
        <v>0</v>
      </c>
      <c r="N94" s="14">
        <f>COUNTIFS(CFIdb!$Z$2:'CFIdb'!$Z$2000,"*"&amp;$B94,CFIdb!$C$2:'CFIdb'!$C$2000,"*Emerging",CFIdb!$S$2:'CFIdb'!$S$2000,"*"&amp;N$84&amp;"*",CFIdb!$E$2:'CFIdb'!$E$2000,"*3PAR*")
+COUNTIFS(CFIdb!$Z$2:'CFIdb'!$Z$2000,"*"&amp;$B94,CFIdb!$C$2:'CFIdb'!$C$2000,"*Open*",CFIdb!$S$2:'CFIdb'!$S$2000,"*"&amp;N$84&amp;"*",CFIdb!$E$2:'CFIdb'!$E$2000,"*3PAR*")</f>
        <v>0</v>
      </c>
      <c r="O94" t="str">
        <f t="shared" ref="O94" si="29">CONCATENATE(C94,"/",SUM(F94:N94))</f>
        <v>1/1</v>
      </c>
    </row>
    <row r="95" spans="2:16" x14ac:dyDescent="0.25">
      <c r="B95" s="12" t="s">
        <v>408</v>
      </c>
      <c r="C95">
        <f>COUNTIFS(CFIdb!$Z$2:'CFIdb'!$Z$2000,"*"&amp;B95,CFIdb!$C$2:'CFIdb'!$C$2000,"*Emerging",CFIdb!$E$2:'CFIdb'!$E$2000,"*3PAR*")
+COUNTIFS(CFIdb!$Z$2:'CFIdb'!$Z$2000,"*"&amp;B95,CFIdb!$C$2:'CFIdb'!$C$2000,"*Open*",CFIdb!$E$2:'CFIdb'!$E$2000,"*3PAR*")</f>
        <v>1</v>
      </c>
      <c r="D95" s="13">
        <f t="shared" si="24"/>
        <v>0</v>
      </c>
      <c r="E95" s="14">
        <f t="shared" si="25"/>
        <v>1</v>
      </c>
      <c r="F95" s="13">
        <f>COUNTIFS(CFIdb!$Z$2:'CFIdb'!$Z$2000,"*"&amp;$B95,CFIdb!$C$2:'CFIdb'!$C$2000,"*Emerging",CFIdb!$R$2:'CFIdb'!$R$2000,"*"&amp;F$84&amp;"*",CFIdb!$E$2:'CFIdb'!$E$2000,"*3PAR*")
+COUNTIFS(CFIdb!$Z$2:'CFIdb'!$Z$2000,"*"&amp;$B95,CFIdb!$C$2:'CFIdb'!$C$2000,"*Open*",CFIdb!$R$2:'CFIdb'!$R$2000,"*"&amp;F$84&amp;"*",CFIdb!$E$2:'CFIdb'!$E$2000,"*3PAR*")</f>
        <v>0</v>
      </c>
      <c r="G95" s="13">
        <f>COUNTIFS(CFIdb!$Z$2:'CFIdb'!$Z$2000,"*"&amp;$B95,CFIdb!$C$2:'CFIdb'!$C$2000,"*Emerging",CFIdb!$R$2:'CFIdb'!$R$2000,"*"&amp;G$84&amp;"*",CFIdb!$E$2:'CFIdb'!$E$2000,"*3PAR*")
+COUNTIFS(CFIdb!$Z$2:'CFIdb'!$Z$2000,"*"&amp;$B95,CFIdb!$C$2:'CFIdb'!$C$2000,"*Open*",CFIdb!$R$2:'CFIdb'!$R$2000,"*"&amp;G$84&amp;"*",CFIdb!$E$2:'CFIdb'!$E$2000,"*3PAR*")</f>
        <v>0</v>
      </c>
      <c r="H95" s="14">
        <f>COUNTIFS(CFIdb!$Z$2:'CFIdb'!$Z$2000,"*"&amp;$B95,CFIdb!$C$2:'CFIdb'!$C$2000,"*Emerging",CFIdb!$S$2:'CFIdb'!$S$2000,"*"&amp;H$84&amp;"*",CFIdb!$E$2:'CFIdb'!$E$2000,"*3PAR*")
+COUNTIFS(CFIdb!$Z$2:'CFIdb'!$Z$2000,"*"&amp;$B95,CFIdb!$C$2:'CFIdb'!$C$2000,"*Open*",CFIdb!$S$2:'CFIdb'!$S$2000,"*"&amp;H$84&amp;"*",CFIdb!$E$2:'CFIdb'!$E$2000,"*3PAR*")</f>
        <v>1</v>
      </c>
      <c r="I95" s="14">
        <f>COUNTIFS(CFIdb!$Z$2:'CFIdb'!$Z$2000,"*"&amp;$B95,CFIdb!$C$2:'CFIdb'!$C$2000,"*Emerging",CFIdb!$S$2:'CFIdb'!$S$2000,"*"&amp;I$84&amp;"*",CFIdb!$E$2:'CFIdb'!$E$2000,"*3PAR*")
+COUNTIFS(CFIdb!$Z$2:'CFIdb'!$Z$2000,"*"&amp;$B95,CFIdb!$C$2:'CFIdb'!$C$2000,"*Open*",CFIdb!$S$2:'CFIdb'!$S$2000,"*"&amp;I$84&amp;"*",CFIdb!$E$2:'CFIdb'!$E$2000,"*3PAR*")</f>
        <v>0</v>
      </c>
      <c r="J95" s="14">
        <f>COUNTIFS(CFIdb!$Z$2:'CFIdb'!$Z$2000,"*"&amp;$B95,CFIdb!$C$2:'CFIdb'!$C$2000,"*Emerging",CFIdb!$S$2:'CFIdb'!$S$2000,"*"&amp;J$84&amp;"*",CFIdb!$E$2:'CFIdb'!$E$2000,"*3PAR*")
+COUNTIFS(CFIdb!$Z$2:'CFIdb'!$Z$2000,"*"&amp;$B95,CFIdb!$C$2:'CFIdb'!$C$2000,"*Open*",CFIdb!$S$2:'CFIdb'!$S$2000,"*"&amp;J$84&amp;"*",CFIdb!$E$2:'CFIdb'!$E$2000,"*3PAR*")</f>
        <v>0</v>
      </c>
      <c r="K95" s="14">
        <f>COUNTIFS(CFIdb!$Z$2:'CFIdb'!$Z$2000,"*"&amp;$B95,CFIdb!$C$2:'CFIdb'!$C$2000,"*Emerging",CFIdb!$S$2:'CFIdb'!$S$2000,"*"&amp;K$84&amp;"*",CFIdb!$E$2:'CFIdb'!$E$2000,"*3PAR*")
+COUNTIFS(CFIdb!$Z$2:'CFIdb'!$Z$2000,"*"&amp;$B95,CFIdb!$C$2:'CFIdb'!$C$2000,"*Open*",CFIdb!$S$2:'CFIdb'!$S$2000,"*"&amp;K$84&amp;"*",CFIdb!$E$2:'CFIdb'!$E$2000,"*3PAR*")</f>
        <v>0</v>
      </c>
      <c r="L95" s="14">
        <f>COUNTIFS(CFIdb!$Z$2:'CFIdb'!$Z$2000,"*"&amp;$B95,CFIdb!$C$2:'CFIdb'!$C$2000,"*Emerging",CFIdb!$R$2:'CFIdb'!$R$2000,"*Close*",CFIdb!$S$2:'CFIdb'!$S$2000,"",CFIdb!$E$2:'CFIdb'!$E$2000,"*3PAR*")
+COUNTIFS(CFIdb!$Z$2:'CFIdb'!$Z$2000,"*"&amp;$B95,CFIdb!$C$2:'CFIdb'!$C$2000,"*Open*",CFIdb!$R$2:'CFIdb'!$R$2000,"*Resolve*",CFIdb!$S$2:'CFIdb'!$S$2000,"",CFIdb!$E$2:'CFIdb'!$E$2000,"*3PAR*")
+COUNTIFS(CFIdb!$Z$2:'CFIdb'!$Z$2000,"*"&amp;$B95,CFIdb!$C$2:'CFIdb'!$C$2000,"*Open*",CFIdb!$R$2:'CFIdb'!$R$2000,"*Verified*",CFIdb!$S$2:'CFIdb'!$S$2000,"",CFIdb!$E$2:'CFIdb'!$E$2000,"*3PAR*")
+COUNTIFS(CFIdb!$Z$2:'CFIdb'!$Z$2000,"*"&amp;$B95,CFIdb!$C$2:'CFIdb'!$C$2000,"*Open*",CFIdb!$R$2:'CFIdb'!$R$2000,"*Close*",CFIdb!$S$2:'CFIdb'!$S$2000,"",CFIdb!$E$2:'CFIdb'!$E$2000,"*3PAR*")
+COUNTIFS(CFIdb!$Z$2:'CFIdb'!$Z$2000,"*"&amp;$B95,CFIdb!$C$2:'CFIdb'!$C$2000,"*Emerging",CFIdb!$R$2:'CFIdb'!$R$2000,"*Resolve*",CFIdb!$S$2:'CFIdb'!$S$2000,"",CFIdb!$E$2:'CFIdb'!$E$2000,"*3PAR*")
+COUNTIFS(CFIdb!$Z$2:'CFIdb'!$Z$2000,"*"&amp;$B95,CFIdb!$C$2:'CFIdb'!$C$2000,"*Emerging",CFIdb!$R$2:'CFIdb'!$R$2000,"*Verified*",CFIdb!$S$2:'CFIdb'!$S$2000,"",CFIdb!$E$2:'CFIdb'!$E$2000,"*3PAR*")</f>
        <v>0</v>
      </c>
      <c r="M95" s="14">
        <f>COUNTIFS(CFIdb!$Z$2:'CFIdb'!$Z$2000,"*"&amp;$B95,CFIdb!$C$2:'CFIdb'!$C$2000,"*Emerging",CFIdb!$R$2:'CFIdb'!$R$2000,"",CFIdb!$E$2:'CFIdb'!$E$2000,"*3PAR*")
+COUNTIFS(CFIdb!$Z$2:'CFIdb'!$Z$2000,"*"&amp;$B95,CFIdb!$C$2:'CFIdb'!$C$2000,"*Open*",CFIdb!$R$2:'CFIdb'!$R$2000,"",CFIdb!$E$2:'CFIdb'!$E$2000,"*3PAR*")</f>
        <v>0</v>
      </c>
      <c r="N95" s="14">
        <f>COUNTIFS(CFIdb!$Z$2:'CFIdb'!$Z$2000,"*"&amp;$B95,CFIdb!$C$2:'CFIdb'!$C$2000,"*Emerging",CFIdb!$S$2:'CFIdb'!$S$2000,"*"&amp;N$84&amp;"*",CFIdb!$E$2:'CFIdb'!$E$2000,"*3PAR*")
+COUNTIFS(CFIdb!$Z$2:'CFIdb'!$Z$2000,"*"&amp;$B95,CFIdb!$C$2:'CFIdb'!$C$2000,"*Open*",CFIdb!$S$2:'CFIdb'!$S$2000,"*"&amp;N$84&amp;"*",CFIdb!$E$2:'CFIdb'!$E$2000,"*3PAR*")</f>
        <v>0</v>
      </c>
      <c r="O95" t="str">
        <f t="shared" si="26"/>
        <v>1/1</v>
      </c>
    </row>
    <row r="96" spans="2:16" ht="30" x14ac:dyDescent="0.25">
      <c r="B96" s="12" t="s">
        <v>4741</v>
      </c>
      <c r="C96">
        <f>COUNTIFS(CFIdb!$Z$2:'CFIdb'!$Z$2000,"*"&amp;B96,CFIdb!$C$2:'CFIdb'!$C$2000,"*Emerging",CFIdb!$E$2:'CFIdb'!$E$2000,"*3PAR*")
+COUNTIFS(CFIdb!$Z$2:'CFIdb'!$Z$2000,"*"&amp;B96,CFIdb!$C$2:'CFIdb'!$C$2000,"*Open*",CFIdb!$E$2:'CFIdb'!$E$2000,"*3PAR*")</f>
        <v>1</v>
      </c>
      <c r="D96" s="13">
        <f t="shared" si="24"/>
        <v>0</v>
      </c>
      <c r="E96" s="14">
        <f t="shared" si="25"/>
        <v>1</v>
      </c>
      <c r="F96" s="13">
        <f>COUNTIFS(CFIdb!$Z$2:'CFIdb'!$Z$2000,"*"&amp;$B96,CFIdb!$C$2:'CFIdb'!$C$2000,"*Emerging",CFIdb!$R$2:'CFIdb'!$R$2000,"*"&amp;F$84&amp;"*",CFIdb!$E$2:'CFIdb'!$E$2000,"*3PAR*")
+COUNTIFS(CFIdb!$Z$2:'CFIdb'!$Z$2000,"*"&amp;$B96,CFIdb!$C$2:'CFIdb'!$C$2000,"*Open*",CFIdb!$R$2:'CFIdb'!$R$2000,"*"&amp;F$84&amp;"*",CFIdb!$E$2:'CFIdb'!$E$2000,"*3PAR*")</f>
        <v>0</v>
      </c>
      <c r="G96" s="13">
        <f>COUNTIFS(CFIdb!$Z$2:'CFIdb'!$Z$2000,"*"&amp;$B96,CFIdb!$C$2:'CFIdb'!$C$2000,"*Emerging",CFIdb!$R$2:'CFIdb'!$R$2000,"*"&amp;G$84&amp;"*",CFIdb!$E$2:'CFIdb'!$E$2000,"*3PAR*")
+COUNTIFS(CFIdb!$Z$2:'CFIdb'!$Z$2000,"*"&amp;$B96,CFIdb!$C$2:'CFIdb'!$C$2000,"*Open*",CFIdb!$R$2:'CFIdb'!$R$2000,"*"&amp;G$84&amp;"*",CFIdb!$E$2:'CFIdb'!$E$2000,"*3PAR*")</f>
        <v>0</v>
      </c>
      <c r="H96" s="14">
        <f>COUNTIFS(CFIdb!$Z$2:'CFIdb'!$Z$2000,"*"&amp;$B96,CFIdb!$C$2:'CFIdb'!$C$2000,"*Emerging",CFIdb!$S$2:'CFIdb'!$S$2000,"*"&amp;H$84&amp;"*",CFIdb!$E$2:'CFIdb'!$E$2000,"*3PAR*")
+COUNTIFS(CFIdb!$Z$2:'CFIdb'!$Z$2000,"*"&amp;$B96,CFIdb!$C$2:'CFIdb'!$C$2000,"*Open*",CFIdb!$S$2:'CFIdb'!$S$2000,"*"&amp;H$84&amp;"*",CFIdb!$E$2:'CFIdb'!$E$2000,"*3PAR*")</f>
        <v>1</v>
      </c>
      <c r="I96" s="14">
        <f>COUNTIFS(CFIdb!$Z$2:'CFIdb'!$Z$2000,"*"&amp;$B96,CFIdb!$C$2:'CFIdb'!$C$2000,"*Emerging",CFIdb!$S$2:'CFIdb'!$S$2000,"*"&amp;I$84&amp;"*",CFIdb!$E$2:'CFIdb'!$E$2000,"*3PAR*")
+COUNTIFS(CFIdb!$Z$2:'CFIdb'!$Z$2000,"*"&amp;$B96,CFIdb!$C$2:'CFIdb'!$C$2000,"*Open*",CFIdb!$S$2:'CFIdb'!$S$2000,"*"&amp;I$84&amp;"*",CFIdb!$E$2:'CFIdb'!$E$2000,"*3PAR*")</f>
        <v>0</v>
      </c>
      <c r="J96" s="14">
        <f>COUNTIFS(CFIdb!$Z$2:'CFIdb'!$Z$2000,"*"&amp;$B96,CFIdb!$C$2:'CFIdb'!$C$2000,"*Emerging",CFIdb!$S$2:'CFIdb'!$S$2000,"*"&amp;J$84&amp;"*",CFIdb!$E$2:'CFIdb'!$E$2000,"*3PAR*")
+COUNTIFS(CFIdb!$Z$2:'CFIdb'!$Z$2000,"*"&amp;$B96,CFIdb!$C$2:'CFIdb'!$C$2000,"*Open*",CFIdb!$S$2:'CFIdb'!$S$2000,"*"&amp;J$84&amp;"*",CFIdb!$E$2:'CFIdb'!$E$2000,"*3PAR*")</f>
        <v>0</v>
      </c>
      <c r="K96" s="14">
        <f>COUNTIFS(CFIdb!$Z$2:'CFIdb'!$Z$2000,"*"&amp;$B96,CFIdb!$C$2:'CFIdb'!$C$2000,"*Emerging",CFIdb!$S$2:'CFIdb'!$S$2000,"*"&amp;K$84&amp;"*",CFIdb!$E$2:'CFIdb'!$E$2000,"*3PAR*")
+COUNTIFS(CFIdb!$Z$2:'CFIdb'!$Z$2000,"*"&amp;$B96,CFIdb!$C$2:'CFIdb'!$C$2000,"*Open*",CFIdb!$S$2:'CFIdb'!$S$2000,"*"&amp;K$84&amp;"*",CFIdb!$E$2:'CFIdb'!$E$2000,"*3PAR*")</f>
        <v>0</v>
      </c>
      <c r="L96" s="14">
        <f>COUNTIFS(CFIdb!$Z$2:'CFIdb'!$Z$2000,"*"&amp;$B96,CFIdb!$C$2:'CFIdb'!$C$2000,"*Emerging",CFIdb!$R$2:'CFIdb'!$R$2000,"*Close*",CFIdb!$S$2:'CFIdb'!$S$2000,"",CFIdb!$E$2:'CFIdb'!$E$2000,"*3PAR*")
+COUNTIFS(CFIdb!$Z$2:'CFIdb'!$Z$2000,"*"&amp;$B96,CFIdb!$C$2:'CFIdb'!$C$2000,"*Open*",CFIdb!$R$2:'CFIdb'!$R$2000,"*Resolve*",CFIdb!$S$2:'CFIdb'!$S$2000,"",CFIdb!$E$2:'CFIdb'!$E$2000,"*3PAR*")
+COUNTIFS(CFIdb!$Z$2:'CFIdb'!$Z$2000,"*"&amp;$B96,CFIdb!$C$2:'CFIdb'!$C$2000,"*Open*",CFIdb!$R$2:'CFIdb'!$R$2000,"*Verified*",CFIdb!$S$2:'CFIdb'!$S$2000,"",CFIdb!$E$2:'CFIdb'!$E$2000,"*3PAR*")
+COUNTIFS(CFIdb!$Z$2:'CFIdb'!$Z$2000,"*"&amp;$B96,CFIdb!$C$2:'CFIdb'!$C$2000,"*Open*",CFIdb!$R$2:'CFIdb'!$R$2000,"*Close*",CFIdb!$S$2:'CFIdb'!$S$2000,"",CFIdb!$E$2:'CFIdb'!$E$2000,"*3PAR*")
+COUNTIFS(CFIdb!$Z$2:'CFIdb'!$Z$2000,"*"&amp;$B96,CFIdb!$C$2:'CFIdb'!$C$2000,"*Emerging",CFIdb!$R$2:'CFIdb'!$R$2000,"*Resolve*",CFIdb!$S$2:'CFIdb'!$S$2000,"",CFIdb!$E$2:'CFIdb'!$E$2000,"*3PAR*")
+COUNTIFS(CFIdb!$Z$2:'CFIdb'!$Z$2000,"*"&amp;$B96,CFIdb!$C$2:'CFIdb'!$C$2000,"*Emerging",CFIdb!$R$2:'CFIdb'!$R$2000,"*Verified*",CFIdb!$S$2:'CFIdb'!$S$2000,"",CFIdb!$E$2:'CFIdb'!$E$2000,"*3PAR*")</f>
        <v>0</v>
      </c>
      <c r="M96" s="14">
        <f>COUNTIFS(CFIdb!$Z$2:'CFIdb'!$Z$2000,"*"&amp;$B96,CFIdb!$C$2:'CFIdb'!$C$2000,"*Emerging",CFIdb!$R$2:'CFIdb'!$R$2000,"",CFIdb!$E$2:'CFIdb'!$E$2000,"*3PAR*")
+COUNTIFS(CFIdb!$Z$2:'CFIdb'!$Z$2000,"*"&amp;$B96,CFIdb!$C$2:'CFIdb'!$C$2000,"*Open*",CFIdb!$R$2:'CFIdb'!$R$2000,"",CFIdb!$E$2:'CFIdb'!$E$2000,"*3PAR*")</f>
        <v>0</v>
      </c>
      <c r="N96" s="14">
        <f>COUNTIFS(CFIdb!$Z$2:'CFIdb'!$Z$2000,"*"&amp;$B96,CFIdb!$C$2:'CFIdb'!$C$2000,"*Emerging",CFIdb!$S$2:'CFIdb'!$S$2000,"*"&amp;N$84&amp;"*",CFIdb!$E$2:'CFIdb'!$E$2000,"*3PAR*")
+COUNTIFS(CFIdb!$Z$2:'CFIdb'!$Z$2000,"*"&amp;$B96,CFIdb!$C$2:'CFIdb'!$C$2000,"*Open*",CFIdb!$S$2:'CFIdb'!$S$2000,"*"&amp;N$84&amp;"*",CFIdb!$E$2:'CFIdb'!$E$2000,"*3PAR*")</f>
        <v>0</v>
      </c>
      <c r="O96" t="str">
        <f t="shared" si="26"/>
        <v>1/1</v>
      </c>
    </row>
    <row r="97" spans="2:16" x14ac:dyDescent="0.25">
      <c r="B97" s="12" t="s">
        <v>106</v>
      </c>
      <c r="C97">
        <f>COUNTIFS(CFIdb!$Z$2:'CFIdb'!$Z$2000,"*"&amp;B97,CFIdb!$C$2:'CFIdb'!$C$2000,"*Emerging",CFIdb!$E$2:'CFIdb'!$E$2000,"*3PAR*")
+COUNTIFS(CFIdb!$Z$2:'CFIdb'!$Z$2000,"*"&amp;B97,CFIdb!$C$2:'CFIdb'!$C$2000,"*Open*",CFIdb!$E$2:'CFIdb'!$E$2000,"*3PAR*")</f>
        <v>0</v>
      </c>
      <c r="D97" s="13">
        <f t="shared" si="24"/>
        <v>0</v>
      </c>
      <c r="E97" s="14">
        <f t="shared" si="25"/>
        <v>0</v>
      </c>
      <c r="F97" s="13">
        <f>COUNTIFS(CFIdb!$Z$2:'CFIdb'!$Z$2000,"*"&amp;$B97,CFIdb!$C$2:'CFIdb'!$C$2000,"*Emerging",CFIdb!$R$2:'CFIdb'!$R$2000,"*"&amp;F$84&amp;"*",CFIdb!$E$2:'CFIdb'!$E$2000,"*3PAR*")
+COUNTIFS(CFIdb!$Z$2:'CFIdb'!$Z$2000,"*"&amp;$B97,CFIdb!$C$2:'CFIdb'!$C$2000,"*Open*",CFIdb!$R$2:'CFIdb'!$R$2000,"*"&amp;F$84&amp;"*",CFIdb!$E$2:'CFIdb'!$E$2000,"*3PAR*")</f>
        <v>0</v>
      </c>
      <c r="G97" s="13">
        <f>COUNTIFS(CFIdb!$Z$2:'CFIdb'!$Z$2000,"*"&amp;$B97,CFIdb!$C$2:'CFIdb'!$C$2000,"*Emerging",CFIdb!$R$2:'CFIdb'!$R$2000,"*"&amp;G$84&amp;"*",CFIdb!$E$2:'CFIdb'!$E$2000,"*3PAR*")
+COUNTIFS(CFIdb!$Z$2:'CFIdb'!$Z$2000,"*"&amp;$B97,CFIdb!$C$2:'CFIdb'!$C$2000,"*Open*",CFIdb!$R$2:'CFIdb'!$R$2000,"*"&amp;G$84&amp;"*",CFIdb!$E$2:'CFIdb'!$E$2000,"*3PAR*")</f>
        <v>0</v>
      </c>
      <c r="H97" s="14">
        <f>COUNTIFS(CFIdb!$Z$2:'CFIdb'!$Z$2000,"*"&amp;$B97,CFIdb!$C$2:'CFIdb'!$C$2000,"*Emerging",CFIdb!$S$2:'CFIdb'!$S$2000,"*"&amp;H$84&amp;"*",CFIdb!$E$2:'CFIdb'!$E$2000,"*3PAR*")
+COUNTIFS(CFIdb!$Z$2:'CFIdb'!$Z$2000,"*"&amp;$B97,CFIdb!$C$2:'CFIdb'!$C$2000,"*Open*",CFIdb!$S$2:'CFIdb'!$S$2000,"*"&amp;H$84&amp;"*",CFIdb!$E$2:'CFIdb'!$E$2000,"*3PAR*")</f>
        <v>0</v>
      </c>
      <c r="I97" s="14">
        <f>COUNTIFS(CFIdb!$Z$2:'CFIdb'!$Z$2000,"*"&amp;$B97,CFIdb!$C$2:'CFIdb'!$C$2000,"*Emerging",CFIdb!$S$2:'CFIdb'!$S$2000,"*"&amp;I$84&amp;"*",CFIdb!$E$2:'CFIdb'!$E$2000,"*3PAR*")
+COUNTIFS(CFIdb!$Z$2:'CFIdb'!$Z$2000,"*"&amp;$B97,CFIdb!$C$2:'CFIdb'!$C$2000,"*Open*",CFIdb!$S$2:'CFIdb'!$S$2000,"*"&amp;I$84&amp;"*",CFIdb!$E$2:'CFIdb'!$E$2000,"*3PAR*")</f>
        <v>0</v>
      </c>
      <c r="J97" s="14">
        <f>COUNTIFS(CFIdb!$Z$2:'CFIdb'!$Z$2000,"*"&amp;$B97,CFIdb!$C$2:'CFIdb'!$C$2000,"*Emerging",CFIdb!$S$2:'CFIdb'!$S$2000,"*"&amp;J$84&amp;"*",CFIdb!$E$2:'CFIdb'!$E$2000,"*3PAR*")
+COUNTIFS(CFIdb!$Z$2:'CFIdb'!$Z$2000,"*"&amp;$B97,CFIdb!$C$2:'CFIdb'!$C$2000,"*Open*",CFIdb!$S$2:'CFIdb'!$S$2000,"*"&amp;J$84&amp;"*",CFIdb!$E$2:'CFIdb'!$E$2000,"*3PAR*")</f>
        <v>0</v>
      </c>
      <c r="K97" s="14">
        <f>COUNTIFS(CFIdb!$Z$2:'CFIdb'!$Z$2000,"*"&amp;$B97,CFIdb!$C$2:'CFIdb'!$C$2000,"*Emerging",CFIdb!$S$2:'CFIdb'!$S$2000,"*"&amp;K$84&amp;"*",CFIdb!$E$2:'CFIdb'!$E$2000,"*3PAR*")
+COUNTIFS(CFIdb!$Z$2:'CFIdb'!$Z$2000,"*"&amp;$B97,CFIdb!$C$2:'CFIdb'!$C$2000,"*Open*",CFIdb!$S$2:'CFIdb'!$S$2000,"*"&amp;K$84&amp;"*",CFIdb!$E$2:'CFIdb'!$E$2000,"*3PAR*")</f>
        <v>0</v>
      </c>
      <c r="L97" s="14">
        <f>COUNTIFS(CFIdb!$Z$2:'CFIdb'!$Z$2000,"*"&amp;$B97,CFIdb!$C$2:'CFIdb'!$C$2000,"*Emerging",CFIdb!$R$2:'CFIdb'!$R$2000,"*Close*",CFIdb!$S$2:'CFIdb'!$S$2000,"",CFIdb!$E$2:'CFIdb'!$E$2000,"*3PAR*")
+COUNTIFS(CFIdb!$Z$2:'CFIdb'!$Z$2000,"*"&amp;$B97,CFIdb!$C$2:'CFIdb'!$C$2000,"*Open*",CFIdb!$R$2:'CFIdb'!$R$2000,"*Resolve*",CFIdb!$S$2:'CFIdb'!$S$2000,"",CFIdb!$E$2:'CFIdb'!$E$2000,"*3PAR*")
+COUNTIFS(CFIdb!$Z$2:'CFIdb'!$Z$2000,"*"&amp;$B97,CFIdb!$C$2:'CFIdb'!$C$2000,"*Open*",CFIdb!$R$2:'CFIdb'!$R$2000,"*Verified*",CFIdb!$S$2:'CFIdb'!$S$2000,"",CFIdb!$E$2:'CFIdb'!$E$2000,"*3PAR*")
+COUNTIFS(CFIdb!$Z$2:'CFIdb'!$Z$2000,"*"&amp;$B97,CFIdb!$C$2:'CFIdb'!$C$2000,"*Open*",CFIdb!$R$2:'CFIdb'!$R$2000,"*Close*",CFIdb!$S$2:'CFIdb'!$S$2000,"",CFIdb!$E$2:'CFIdb'!$E$2000,"*3PAR*")
+COUNTIFS(CFIdb!$Z$2:'CFIdb'!$Z$2000,"*"&amp;$B97,CFIdb!$C$2:'CFIdb'!$C$2000,"*Emerging",CFIdb!$R$2:'CFIdb'!$R$2000,"*Resolve*",CFIdb!$S$2:'CFIdb'!$S$2000,"",CFIdb!$E$2:'CFIdb'!$E$2000,"*3PAR*")
+COUNTIFS(CFIdb!$Z$2:'CFIdb'!$Z$2000,"*"&amp;$B97,CFIdb!$C$2:'CFIdb'!$C$2000,"*Emerging",CFIdb!$R$2:'CFIdb'!$R$2000,"*Verified*",CFIdb!$S$2:'CFIdb'!$S$2000,"",CFIdb!$E$2:'CFIdb'!$E$2000,"*3PAR*")</f>
        <v>0</v>
      </c>
      <c r="M97" s="14">
        <f>COUNTIFS(CFIdb!$Z$2:'CFIdb'!$Z$2000,"*"&amp;$B97,CFIdb!$C$2:'CFIdb'!$C$2000,"*Emerging",CFIdb!$R$2:'CFIdb'!$R$2000,"",CFIdb!$E$2:'CFIdb'!$E$2000,"*3PAR*")
+COUNTIFS(CFIdb!$Z$2:'CFIdb'!$Z$2000,"*"&amp;$B97,CFIdb!$C$2:'CFIdb'!$C$2000,"*Open*",CFIdb!$R$2:'CFIdb'!$R$2000,"",CFIdb!$E$2:'CFIdb'!$E$2000,"*3PAR*")</f>
        <v>0</v>
      </c>
      <c r="N97" s="14">
        <f>COUNTIFS(CFIdb!$Z$2:'CFIdb'!$Z$2000,"*"&amp;$B97,CFIdb!$C$2:'CFIdb'!$C$2000,"*Emerging",CFIdb!$S$2:'CFIdb'!$S$2000,"*"&amp;N$84&amp;"*",CFIdb!$E$2:'CFIdb'!$E$2000,"*3PAR*")
+COUNTIFS(CFIdb!$Z$2:'CFIdb'!$Z$2000,"*"&amp;$B97,CFIdb!$C$2:'CFIdb'!$C$2000,"*Open*",CFIdb!$S$2:'CFIdb'!$S$2000,"*"&amp;N$84&amp;"*",CFIdb!$E$2:'CFIdb'!$E$2000,"*3PAR*")</f>
        <v>0</v>
      </c>
      <c r="O97" t="str">
        <f t="shared" si="26"/>
        <v>0/0</v>
      </c>
    </row>
    <row r="98" spans="2:16" x14ac:dyDescent="0.25">
      <c r="B98" s="12" t="s">
        <v>5012</v>
      </c>
      <c r="C98">
        <f>COUNTIFS(CFIdb!$Z$2:'CFIdb'!$Z$2000,"",CFIdb!$C$2:'CFIdb'!$C$2000,"*Emerging",CFIdb!$E$2:'CFIdb'!$E$2000,"*3PAR*")
+COUNTIFS(CFIdb!$Z$2:'CFIdb'!$Z$2000,"",CFIdb!$C$2:'CFIdb'!$C$2000,"*Open*",CFIdb!$E$2:'CFIdb'!$E$2000,"*3PAR*")</f>
        <v>20</v>
      </c>
      <c r="D98" s="13">
        <f t="shared" si="24"/>
        <v>4</v>
      </c>
      <c r="E98" s="14">
        <f t="shared" si="25"/>
        <v>16</v>
      </c>
      <c r="F98" s="13">
        <f>COUNTIFS(CFIdb!$Z$2:'CFIdb'!$Z$2000,"",CFIdb!$C$2:'CFIdb'!$C$2000,"*Emerging",CFIdb!$R$2:'CFIdb'!$R$2000,"*"&amp;F$84&amp;"*",CFIdb!$E$2:'CFIdb'!$E$2000,"*3PAR*")
+COUNTIFS(CFIdb!$Z$2:'CFIdb'!$Z$2000,"",CFIdb!$C$2:'CFIdb'!$C$2000,"*Open*",CFIdb!$R$2:'CFIdb'!$R$2000,"*"&amp;F$84&amp;"*",CFIdb!$E$2:'CFIdb'!$E$2000,"*3PAR*")</f>
        <v>3</v>
      </c>
      <c r="G98" s="13">
        <f>COUNTIFS(CFIdb!$Z$2:'CFIdb'!$Z$2000,"",CFIdb!$C$2:'CFIdb'!$C$2000,"*Emerging",CFIdb!$R$2:'CFIdb'!$R$2000,"*"&amp;G$84&amp;"*",CFIdb!$E$2:'CFIdb'!$E$2000,"*3PAR*")
+COUNTIFS(CFIdb!$Z$2:'CFIdb'!$Z$2000,"",CFIdb!$C$2:'CFIdb'!$C$2000,"*Open*",CFIdb!$R$2:'CFIdb'!$R$2000,"*"&amp;G$84&amp;"*",CFIdb!$E$2:'CFIdb'!$E$2000,"*3PAR*")</f>
        <v>1</v>
      </c>
      <c r="H98" s="14">
        <f>COUNTIFS(CFIdb!$Z$2:'CFIdb'!$Z$2000,"",CFIdb!$C$2:'CFIdb'!$C$2000,"*Emerging",CFIdb!$S$2:'CFIdb'!$S$2000,"*"&amp;H$84&amp;"*",CFIdb!$E$2:'CFIdb'!$E$2000,"*3PAR*")
+COUNTIFS(CFIdb!$Z$2:'CFIdb'!$Z$2000,"",CFIdb!$C$2:'CFIdb'!$C$2000,"*Open*",CFIdb!$S$2:'CFIdb'!$S$2000,"*"&amp;H$84&amp;"*",CFIdb!$E$2:'CFIdb'!$E$2000,"*3PAR*")</f>
        <v>0</v>
      </c>
      <c r="I98" s="14">
        <f>COUNTIFS(CFIdb!$Z$2:'CFIdb'!$Z$2000,"",CFIdb!$C$2:'CFIdb'!$C$2000,"*Emerging",CFIdb!$S$2:'CFIdb'!$S$2000,"*"&amp;I$84&amp;"*",CFIdb!$E$2:'CFIdb'!$E$2000,"*3PAR*")
+COUNTIFS(CFIdb!$Z$2:'CFIdb'!$Z$2000,"",CFIdb!$C$2:'CFIdb'!$C$2000,"*Open*",CFIdb!$S$2:'CFIdb'!$S$2000,"*"&amp;I$84&amp;"*",CFIdb!$E$2:'CFIdb'!$E$2000,"*3PAR*")</f>
        <v>0</v>
      </c>
      <c r="J98" s="14">
        <f>COUNTIFS(CFIdb!$Z$2:'CFIdb'!$Z$2000,"",CFIdb!$C$2:'CFIdb'!$C$2000,"*Emerging",CFIdb!$S$2:'CFIdb'!$S$2000,"*"&amp;J$84&amp;"*",CFIdb!$E$2:'CFIdb'!$E$2000,"*3PAR*")
+COUNTIFS(CFIdb!$Z$2:'CFIdb'!$Z$2000,"",CFIdb!$C$2:'CFIdb'!$C$2000,"*Open*",CFIdb!$S$2:'CFIdb'!$S$2000,"*"&amp;J$84&amp;"*",CFIdb!$E$2:'CFIdb'!$E$2000,"*3PAR*")</f>
        <v>0</v>
      </c>
      <c r="K98" s="14">
        <f>COUNTIFS(CFIdb!$Z$2:'CFIdb'!$Z$2000,"",CFIdb!$C$2:'CFIdb'!$C$2000,"*Emerging",CFIdb!$S$2:'CFIdb'!$S$2000,"*"&amp;K$84&amp;"*",CFIdb!$E$2:'CFIdb'!$E$2000,"*3PAR*")
+COUNTIFS(CFIdb!$Z$2:'CFIdb'!$Z$2000,"",CFIdb!$C$2:'CFIdb'!$C$2000,"*Open*",CFIdb!$S$2:'CFIdb'!$S$2000,"*"&amp;K$84&amp;"*",CFIdb!$E$2:'CFIdb'!$E$2000,"*3PAR*")</f>
        <v>0</v>
      </c>
      <c r="L98" s="14">
        <f>COUNTIFS(CFIdb!$Z$2:'CFIdb'!$Z$2000,"",CFIdb!$C$2:'CFIdb'!$C$2000,"*Emerging",CFIdb!$R$2:'CFIdb'!$R$2000,"*Close*",CFIdb!$S$2:'CFIdb'!$S$2000,"",CFIdb!$E$2:'CFIdb'!$E$2000,"*3PAR*")
+COUNTIFS(CFIdb!$Z$2:'CFIdb'!$Z$2000,"",CFIdb!$C$2:'CFIdb'!$C$2000,"*Open*",CFIdb!$R$2:'CFIdb'!$R$2000,"*Resolve*",CFIdb!$S$2:'CFIdb'!$S$2000,"",CFIdb!$E$2:'CFIdb'!$E$2000,"*3PAR*")
+COUNTIFS(CFIdb!$Z$2:'CFIdb'!$Z$2000,"",CFIdb!$C$2:'CFIdb'!$C$2000,"*Open*",CFIdb!$R$2:'CFIdb'!$R$2000,"*Verified*",CFIdb!$S$2:'CFIdb'!$S$2000,"",CFIdb!$E$2:'CFIdb'!$E$2000,"*3PAR*")
+COUNTIFS(CFIdb!$Z$2:'CFIdb'!$Z$2000,"",CFIdb!$C$2:'CFIdb'!$C$2000,"*Open*",CFIdb!$R$2:'CFIdb'!$R$2000,"*Close*",CFIdb!$S$2:'CFIdb'!$S$2000,"",CFIdb!$E$2:'CFIdb'!$E$2000,"*3PAR*")
+COUNTIFS(CFIdb!$Z$2:'CFIdb'!$Z$2000,"",CFIdb!$C$2:'CFIdb'!$C$2000,"*Emerging",CFIdb!$R$2:'CFIdb'!$R$2000,"*Resolve*",CFIdb!$S$2:'CFIdb'!$S$2000,"",CFIdb!$E$2:'CFIdb'!$E$2000,"*3PAR*")
+COUNTIFS(CFIdb!$Z$2:'CFIdb'!$Z$2000,"",CFIdb!$C$2:'CFIdb'!$C$2000,"*Emerging",CFIdb!$R$2:'CFIdb'!$R$2000,"*Verified*",CFIdb!$S$2:'CFIdb'!$S$2000,"",CFIdb!$E$2:'CFIdb'!$E$2000,"*3PAR*")</f>
        <v>4</v>
      </c>
      <c r="M98" s="14">
        <f>COUNTIFS(CFIdb!$Z$2:'CFIdb'!$Z$2000,"",CFIdb!$C$2:'CFIdb'!$C$2000,"*Emerging",CFIdb!$R$2:'CFIdb'!$R$2000,"",CFIdb!$E$2:'CFIdb'!$E$2000,"*3PAR*")
+COUNTIFS(CFIdb!$Z$2:'CFIdb'!$Z$2000,"",CFIdb!$C$2:'CFIdb'!$C$2000,"*Open*",CFIdb!$R$2:'CFIdb'!$R$2000,"",CFIdb!$E$2:'CFIdb'!$E$2000,"*3PAR*")</f>
        <v>12</v>
      </c>
      <c r="N98" s="14">
        <f>COUNTIFS(CFIdb!$Z$2:'CFIdb'!$Z$2000,"",CFIdb!$C$2:'CFIdb'!$C$2000,"*Emerging",CFIdb!$S$2:'CFIdb'!$S$2000,"*"&amp;N$84&amp;"*",CFIdb!$E$2:'CFIdb'!$E$2000,"*3PAR*")
+COUNTIFS(CFIdb!$Z$2:'CFIdb'!$Z$2000,"",CFIdb!$C$2:'CFIdb'!$C$2000,"*Open*",CFIdb!$S$2:'CFIdb'!$S$2000,"*"&amp;N$84&amp;"*",CFIdb!$E$2:'CFIdb'!$E$2000,"*3PAR*")</f>
        <v>0</v>
      </c>
      <c r="O98" t="str">
        <f t="shared" si="26"/>
        <v>20/20</v>
      </c>
    </row>
    <row r="99" spans="2:16" x14ac:dyDescent="0.25">
      <c r="B99" s="26" t="s">
        <v>5007</v>
      </c>
      <c r="C99">
        <f>SUM(C85:C98)</f>
        <v>88</v>
      </c>
      <c r="D99" s="27">
        <f>SUM(D85:D98)</f>
        <v>35</v>
      </c>
      <c r="E99" s="27">
        <f>SUM(E85:E98)</f>
        <v>53</v>
      </c>
      <c r="F99" s="27">
        <f t="shared" ref="F99:N99" si="30">SUM(F85:F98)</f>
        <v>25</v>
      </c>
      <c r="G99" s="27">
        <f t="shared" si="30"/>
        <v>10</v>
      </c>
      <c r="H99" s="27">
        <f t="shared" si="30"/>
        <v>28</v>
      </c>
      <c r="I99" s="27">
        <f t="shared" si="30"/>
        <v>7</v>
      </c>
      <c r="J99" s="27">
        <f t="shared" si="30"/>
        <v>0</v>
      </c>
      <c r="K99" s="27">
        <f t="shared" si="30"/>
        <v>2</v>
      </c>
      <c r="L99" s="27">
        <f t="shared" si="30"/>
        <v>4</v>
      </c>
      <c r="M99" s="27">
        <f t="shared" si="30"/>
        <v>12</v>
      </c>
      <c r="N99" s="27">
        <f t="shared" si="30"/>
        <v>0</v>
      </c>
      <c r="O99">
        <f>SUM(F99:N99)</f>
        <v>88</v>
      </c>
    </row>
    <row r="103" spans="2:16" ht="60" x14ac:dyDescent="0.25">
      <c r="C103" t="s">
        <v>5007</v>
      </c>
      <c r="D103" s="13" t="s">
        <v>5008</v>
      </c>
      <c r="E103" s="17" t="s">
        <v>640</v>
      </c>
      <c r="F103" s="17" t="s">
        <v>1360</v>
      </c>
      <c r="G103" s="18" t="s">
        <v>626</v>
      </c>
      <c r="H103" s="18" t="s">
        <v>649</v>
      </c>
      <c r="I103" s="14" t="s">
        <v>5013</v>
      </c>
      <c r="J103" s="14" t="s">
        <v>5014</v>
      </c>
      <c r="K103" s="14" t="s">
        <v>4995</v>
      </c>
      <c r="L103" s="14" t="s">
        <v>5015</v>
      </c>
      <c r="M103" s="16" t="s">
        <v>5016</v>
      </c>
      <c r="N103" s="16" t="s">
        <v>5017</v>
      </c>
      <c r="O103" s="16" t="s">
        <v>2879</v>
      </c>
    </row>
    <row r="104" spans="2:16" x14ac:dyDescent="0.25">
      <c r="B104" s="12" t="str">
        <f>B85</f>
        <v>Protocols-SMB</v>
      </c>
      <c r="C104">
        <f>COUNTIFS(CFIdb!$Z$2:'CFIdb'!$Z$2000,"*"&amp;B104,CFIdb!$E$2:'CFIdb'!$E$2000,"*3PAR*")</f>
        <v>111</v>
      </c>
      <c r="D104" s="13">
        <f>COUNTIFS(CFIdb!$Z$2:'CFIdb'!$Z$2000,"*"&amp;$B104,CFIdb!$O$2:'CFIdb'!$O$2000,"*"&amp;D$103&amp;"*",CFIdb!$E$2:'CFIdb'!$E$2000,"*3PAR*")</f>
        <v>19</v>
      </c>
      <c r="E104" s="17">
        <f>COUNTIFS(CFIdb!$Z$2:'CFIdb'!$Z$2000,"*"&amp;$B104,CFIdb!$O$2:'CFIdb'!$O$2000,"*"&amp;E$103&amp;"*",CFIdb!$E$2:'CFIdb'!$E$2000,"*3PAR*")</f>
        <v>4</v>
      </c>
      <c r="F104" s="17">
        <f>COUNTIFS(CFIdb!$Z$2:'CFIdb'!$Z$2000,"*"&amp;$B104,CFIdb!$O$2:'CFIdb'!$O$2000,"*"&amp;F$103&amp;"*",CFIdb!$E$2:'CFIdb'!$E$2000,"*3PAR*")</f>
        <v>6</v>
      </c>
      <c r="G104" s="18">
        <f>COUNTIFS(CFIdb!$Z$2:'CFIdb'!$Z$2000,"*"&amp;$B104,CFIdb!$O$2:'CFIdb'!$O$2000,"*"&amp;G$103&amp;"*",CFIdb!$E$2:'CFIdb'!$E$2000,"*3PAR*")</f>
        <v>1</v>
      </c>
      <c r="H104" s="18">
        <f>COUNTIFS(CFIdb!$Z$2:'CFIdb'!$Z$2000,"*"&amp;$B104,CFIdb!$O$2:'CFIdb'!$O$2000,"*"&amp;H$103&amp;"*",CFIdb!$E$2:'CFIdb'!$E$2000,"*3PAR*")</f>
        <v>1</v>
      </c>
      <c r="I104" s="14">
        <f>COUNTIFS(CFIdb!$Z$2:'CFIdb'!$Z$2000,"*"&amp;$B104,CFIdb!$O$2:'CFIdb'!$O$2000,"*"&amp;I$103&amp;"*",CFIdb!$E$2:'CFIdb'!$E$2000,"*3PAR*")</f>
        <v>20</v>
      </c>
      <c r="J104" s="14">
        <f>COUNTIFS(CFIdb!$Z$2:'CFIdb'!$Z$2000,"*"&amp;$B104,CFIdb!$O$2:'CFIdb'!$O$2000,"*"&amp;J$103&amp;"*",CFIdb!$E$2:'CFIdb'!$E$2000,"*3PAR*")</f>
        <v>41</v>
      </c>
      <c r="K104" s="14">
        <f>COUNTIFS(CFIdb!$Z$2:'CFIdb'!$Z$2000,"*"&amp;$B104,CFIdb!$O$2:'CFIdb'!$O$2000,"*"&amp;K$103&amp;"*",CFIdb!$E$2:'CFIdb'!$E$2000,"*3PAR*")</f>
        <v>2</v>
      </c>
      <c r="L104" s="14">
        <f>COUNTIFS(CFIdb!$Z$2:'CFIdb'!$Z$2000,"*"&amp;$B104,CFIdb!$O$2:'CFIdb'!$O$2000,"*"&amp;L$103&amp;"*",CFIdb!$E$2:'CFIdb'!$E$2000,"*3PAR*")</f>
        <v>16</v>
      </c>
      <c r="M104" s="16">
        <f>COUNTIFS(CFIdb!$Z$2:'CFIdb'!$Z$2000,"*"&amp;$B104,CFIdb!$O$2:'CFIdb'!$O$2000,"*"&amp;M$103&amp;"*",CFIdb!$E$2:'CFIdb'!$E$2000,"*3PAR*")</f>
        <v>1</v>
      </c>
      <c r="N104" s="16">
        <f>COUNTIFS(CFIdb!$Z$2:'CFIdb'!$Z$2000,"*"&amp;$B104,CFIdb!$O$2:'CFIdb'!$O$2000,"*"&amp;N$103&amp;"*",CFIdb!$E$2:'CFIdb'!$E$2000,"*3PAR*")</f>
        <v>0</v>
      </c>
      <c r="O104" s="16">
        <f>COUNTIFS(CFIdb!$Z$2:'CFIdb'!$Z$2000,"*"&amp;$B104,CFIdb!$O$2:'CFIdb'!$O$2000,"*"&amp;O$103&amp;"*",CFIdb!$E$2:'CFIdb'!$E$2000,"*3PAR*")</f>
        <v>0</v>
      </c>
      <c r="P104" t="str">
        <f>CONCATENATE(COUNTIFS(CFIdb!$Z$2:'CFIdb'!$Z$2000,"*"&amp;$B104,CFIdb!$E$2:'CFIdb'!$E$2000,"*3PAR*"),"/",SUM(D104:O104))</f>
        <v>111/111</v>
      </c>
    </row>
    <row r="105" spans="2:16" ht="25.5" customHeight="1" x14ac:dyDescent="0.25">
      <c r="B105" s="12" t="str">
        <f t="shared" ref="B105:B112" si="31">B86</f>
        <v>Protocols-AAUM</v>
      </c>
      <c r="C105">
        <f>COUNTIFS(CFIdb!$Z$2:'CFIdb'!$Z$2000,"*"&amp;B105,CFIdb!$E$2:'CFIdb'!$E$2000,"*3PAR*")</f>
        <v>29</v>
      </c>
      <c r="D105" s="13">
        <f>COUNTIFS(CFIdb!$Z$2:'CFIdb'!$Z$2000,"*"&amp;$B105,CFIdb!$O$2:'CFIdb'!$O$2000,"*"&amp;D$103&amp;"*",CFIdb!$E$2:'CFIdb'!$E$2000,"*3PAR*")</f>
        <v>1</v>
      </c>
      <c r="E105" s="17">
        <f>COUNTIFS(CFIdb!$Z$2:'CFIdb'!$Z$2000,"*"&amp;$B105,CFIdb!$O$2:'CFIdb'!$O$2000,"*"&amp;$E$103&amp;"*",CFIdb!$E$2:'CFIdb'!$E$2000,"*3PAR*")</f>
        <v>5</v>
      </c>
      <c r="F105" s="17">
        <f>COUNTIFS(CFIdb!$Z$2:'CFIdb'!$Z$2000,"*"&amp;$B105,CFIdb!$O$2:'CFIdb'!$O$2000,"*"&amp;$F$103&amp;"*",CFIdb!$E$2:'CFIdb'!$E$2000,"*3PAR*")</f>
        <v>2</v>
      </c>
      <c r="G105" s="18">
        <f>COUNTIFS(CFIdb!$Z$2:'CFIdb'!$Z$2000,"*"&amp;$B105,CFIdb!$O$2:'CFIdb'!$O$2000,"*"&amp;$G$103&amp;"*",CFIdb!$E$2:'CFIdb'!$E$2000,"*3PAR*")</f>
        <v>2</v>
      </c>
      <c r="H105" s="18">
        <f>COUNTIFS(CFIdb!$Z$2:'CFIdb'!$Z$2000,"*"&amp;$B105,CFIdb!$O$2:'CFIdb'!$O$2000,"*"&amp;H$103&amp;"*",CFIdb!$E$2:'CFIdb'!$E$2000,"*3PAR*")</f>
        <v>0</v>
      </c>
      <c r="I105" s="14">
        <f>COUNTIFS(CFIdb!$Z$2:'CFIdb'!$Z$2000,"*"&amp;$B105,CFIdb!$O$2:'CFIdb'!$O$2000,"*"&amp;$I$103&amp;"*",CFIdb!$E$2:'CFIdb'!$E$2000,"*3PAR*")</f>
        <v>4</v>
      </c>
      <c r="J105" s="14">
        <f>COUNTIFS(CFIdb!$Z$2:'CFIdb'!$Z$2000,"*"&amp;$B105,CFIdb!$O$2:'CFIdb'!$O$2000,"*"&amp;$J$103&amp;"*",CFIdb!$E$2:'CFIdb'!$E$2000,"*3PAR*")</f>
        <v>15</v>
      </c>
      <c r="K105" s="14">
        <f>COUNTIFS(CFIdb!$Z$2:'CFIdb'!$Z$2000,"*"&amp;$B105,CFIdb!$O$2:'CFIdb'!$O$2000,"*"&amp;$K$103&amp;"*",CFIdb!$E$2:'CFIdb'!$E$2000,"*3PAR*")</f>
        <v>0</v>
      </c>
      <c r="L105" s="14">
        <f>COUNTIFS(CFIdb!$Z$2:'CFIdb'!$Z$2000,"*"&amp;$B105,CFIdb!$O$2:'CFIdb'!$O$2000,"*"&amp;$L$103&amp;"*",CFIdb!$E$2:'CFIdb'!$E$2000,"*3PAR*")</f>
        <v>0</v>
      </c>
      <c r="M105" s="16">
        <f>COUNTIFS(CFIdb!$Z$2:'CFIdb'!$Z$2000,"*"&amp;$B105,CFIdb!$O$2:'CFIdb'!$O$2000,"*"&amp;M$103&amp;"*",CFIdb!$E$2:'CFIdb'!$E$2000,"*3PAR*")</f>
        <v>0</v>
      </c>
      <c r="N105" s="16">
        <f>COUNTIFS(CFIdb!$Z$2:'CFIdb'!$Z$2000,"*"&amp;$B105,CFIdb!$O$2:'CFIdb'!$O$2000,"*"&amp;N$103&amp;"*",CFIdb!$E$2:'CFIdb'!$E$2000,"*3PAR*")</f>
        <v>0</v>
      </c>
      <c r="O105" s="16">
        <f>COUNTIFS(CFIdb!$Z$2:'CFIdb'!$Z$2000,"*"&amp;$B105,CFIdb!$O$2:'CFIdb'!$O$2000,"*"&amp;O$103&amp;"*",CFIdb!$E$2:'CFIdb'!$E$2000,"*3PAR*")</f>
        <v>0</v>
      </c>
      <c r="P105" t="str">
        <f>CONCATENATE(COUNTIFS(CFIdb!$Z$2:'CFIdb'!$Z$2000,"*"&amp;$B105,CFIdb!$E$2:'CFIdb'!$E$2000,"*3PAR*"),"/",SUM(D105:O105))</f>
        <v>29/29</v>
      </c>
    </row>
    <row r="106" spans="2:16" x14ac:dyDescent="0.25">
      <c r="B106" s="12" t="str">
        <f t="shared" si="31"/>
        <v>Protocols-NFS</v>
      </c>
      <c r="C106">
        <f>COUNTIFS(CFIdb!$Z$2:'CFIdb'!$Z$2000,"*"&amp;B106,CFIdb!$E$2:'CFIdb'!$E$2000,"*3PAR*")</f>
        <v>11</v>
      </c>
      <c r="D106" s="13">
        <f>COUNTIFS(CFIdb!$Z$2:'CFIdb'!$Z$2000,"*"&amp;$B106,CFIdb!$O$2:'CFIdb'!$O$2000,"*"&amp;D$103&amp;"*",CFIdb!$E$2:'CFIdb'!$E$2000,"*3PAR*")</f>
        <v>1</v>
      </c>
      <c r="E106" s="17">
        <f>COUNTIFS(CFIdb!$Z$2:'CFIdb'!$Z$2000,"*"&amp;$B106,CFIdb!$O$2:'CFIdb'!$O$2000,"*"&amp;$E$103&amp;"*",CFIdb!$E$2:'CFIdb'!$E$2000,"*3PAR*")</f>
        <v>2</v>
      </c>
      <c r="F106" s="17">
        <f>COUNTIFS(CFIdb!$Z$2:'CFIdb'!$Z$2000,"*"&amp;$B106,CFIdb!$O$2:'CFIdb'!$O$2000,"*"&amp;$F$103&amp;"*",CFIdb!$E$2:'CFIdb'!$E$2000,"*3PAR*")</f>
        <v>0</v>
      </c>
      <c r="G106" s="18">
        <f>COUNTIFS(CFIdb!$Z$2:'CFIdb'!$Z$2000,"*"&amp;$B106,CFIdb!$O$2:'CFIdb'!$O$2000,"*"&amp;$G$103&amp;"*",CFIdb!$E$2:'CFIdb'!$E$2000,"*3PAR*")</f>
        <v>1</v>
      </c>
      <c r="H106" s="18">
        <f>COUNTIFS(CFIdb!$Z$2:'CFIdb'!$Z$2000,"*"&amp;$B106,CFIdb!$O$2:'CFIdb'!$O$2000,"*"&amp;H$103&amp;"*",CFIdb!$E$2:'CFIdb'!$E$2000,"*3PAR*")</f>
        <v>0</v>
      </c>
      <c r="I106" s="14">
        <f>COUNTIFS(CFIdb!$Z$2:'CFIdb'!$Z$2000,"*"&amp;$B106,CFIdb!$O$2:'CFIdb'!$O$2000,"*"&amp;$I$103&amp;"*",CFIdb!$E$2:'CFIdb'!$E$2000,"*3PAR*")</f>
        <v>2</v>
      </c>
      <c r="J106" s="14">
        <f>COUNTIFS(CFIdb!$Z$2:'CFIdb'!$Z$2000,"*"&amp;$B106,CFIdb!$O$2:'CFIdb'!$O$2000,"*"&amp;$J$103&amp;"*",CFIdb!$E$2:'CFIdb'!$E$2000,"*3PAR*")</f>
        <v>5</v>
      </c>
      <c r="K106" s="14">
        <f>COUNTIFS(CFIdb!$Z$2:'CFIdb'!$Z$2000,"*"&amp;$B106,CFIdb!$O$2:'CFIdb'!$O$2000,"*"&amp;$K$103&amp;"*",CFIdb!$E$2:'CFIdb'!$E$2000,"*3PAR*")</f>
        <v>0</v>
      </c>
      <c r="L106" s="14">
        <f>COUNTIFS(CFIdb!$Z$2:'CFIdb'!$Z$2000,"*"&amp;$B106,CFIdb!$O$2:'CFIdb'!$O$2000,"*"&amp;$L$103&amp;"*",CFIdb!$E$2:'CFIdb'!$E$2000,"*3PAR*")</f>
        <v>0</v>
      </c>
      <c r="M106" s="16">
        <f>COUNTIFS(CFIdb!$Z$2:'CFIdb'!$Z$2000,"*"&amp;$B106,CFIdb!$O$2:'CFIdb'!$O$2000,"*"&amp;M$103&amp;"*",CFIdb!$E$2:'CFIdb'!$E$2000,"*3PAR*")</f>
        <v>0</v>
      </c>
      <c r="N106" s="16">
        <f>COUNTIFS(CFIdb!$Z$2:'CFIdb'!$Z$2000,"*"&amp;$B106,CFIdb!$O$2:'CFIdb'!$O$2000,"*"&amp;N$103&amp;"*",CFIdb!$E$2:'CFIdb'!$E$2000,"*3PAR*")</f>
        <v>0</v>
      </c>
      <c r="O106" s="16">
        <f>COUNTIFS(CFIdb!$Z$2:'CFIdb'!$Z$2000,"*"&amp;$B106,CFIdb!$O$2:'CFIdb'!$O$2000,"*"&amp;O$103&amp;"*",CFIdb!$E$2:'CFIdb'!$E$2000,"*3PAR*")</f>
        <v>0</v>
      </c>
      <c r="P106" t="str">
        <f>CONCATENATE(COUNTIFS(CFIdb!$Z$2:'CFIdb'!$Z$2000,"*"&amp;$B106,CFIdb!$E$2:'CFIdb'!$E$2000,"*3PAR*"),"/",SUM(D106:O106))</f>
        <v>11/11</v>
      </c>
    </row>
    <row r="107" spans="2:16" x14ac:dyDescent="0.25">
      <c r="B107" s="12" t="str">
        <f t="shared" si="31"/>
        <v>Protocols-HTTP</v>
      </c>
      <c r="C107">
        <f>COUNTIFS(CFIdb!$Z$2:'CFIdb'!$Z$2000,"*"&amp;B107,CFIdb!$E$2:'CFIdb'!$E$2000,"*3PAR*")</f>
        <v>1</v>
      </c>
      <c r="D107" s="13">
        <f>COUNTIFS(CFIdb!$Z$2:'CFIdb'!$Z$2000,"*"&amp;$B107,CFIdb!$O$2:'CFIdb'!$O$2000,"*"&amp;D$103&amp;"*",CFIdb!$E$2:'CFIdb'!$E$2000,"*3PAR*")</f>
        <v>0</v>
      </c>
      <c r="E107" s="17">
        <f>COUNTIFS(CFIdb!$Z$2:'CFIdb'!$Z$2000,"*"&amp;$B107,CFIdb!$O$2:'CFIdb'!$O$2000,"*"&amp;$E$103&amp;"*",CFIdb!$E$2:'CFIdb'!$E$2000,"*3PAR*")</f>
        <v>0</v>
      </c>
      <c r="F107" s="17">
        <f>COUNTIFS(CFIdb!$Z$2:'CFIdb'!$Z$2000,"*"&amp;$B107,CFIdb!$O$2:'CFIdb'!$O$2000,"*"&amp;$F$103&amp;"*",CFIdb!$E$2:'CFIdb'!$E$2000,"*3PAR*")</f>
        <v>0</v>
      </c>
      <c r="G107" s="18">
        <f>COUNTIFS(CFIdb!$Z$2:'CFIdb'!$Z$2000,"*"&amp;$B107,CFIdb!$O$2:'CFIdb'!$O$2000,"*"&amp;$G$103&amp;"*",CFIdb!$E$2:'CFIdb'!$E$2000,"*3PAR*")</f>
        <v>0</v>
      </c>
      <c r="H107" s="18">
        <f>COUNTIFS(CFIdb!$Z$2:'CFIdb'!$Z$2000,"*"&amp;$B107,CFIdb!$O$2:'CFIdb'!$O$2000,"*"&amp;H$103&amp;"*",CFIdb!$E$2:'CFIdb'!$E$2000,"*3PAR*")</f>
        <v>0</v>
      </c>
      <c r="I107" s="14">
        <f>COUNTIFS(CFIdb!$Z$2:'CFIdb'!$Z$2000,"*"&amp;$B107,CFIdb!$O$2:'CFIdb'!$O$2000,"*"&amp;$I$103&amp;"*",CFIdb!$E$2:'CFIdb'!$E$2000,"*3PAR*")</f>
        <v>0</v>
      </c>
      <c r="J107" s="14">
        <f>COUNTIFS(CFIdb!$Z$2:'CFIdb'!$Z$2000,"*"&amp;$B107,CFIdb!$O$2:'CFIdb'!$O$2000,"*"&amp;$J$103&amp;"*",CFIdb!$E$2:'CFIdb'!$E$2000,"*3PAR*")</f>
        <v>1</v>
      </c>
      <c r="K107" s="14">
        <f>COUNTIFS(CFIdb!$Z$2:'CFIdb'!$Z$2000,"*"&amp;$B107,CFIdb!$O$2:'CFIdb'!$O$2000,"*"&amp;$K$103&amp;"*",CFIdb!$E$2:'CFIdb'!$E$2000,"*3PAR*")</f>
        <v>0</v>
      </c>
      <c r="L107" s="14">
        <f>COUNTIFS(CFIdb!$Z$2:'CFIdb'!$Z$2000,"*"&amp;$B107,CFIdb!$O$2:'CFIdb'!$O$2000,"*"&amp;$L$103&amp;"*",CFIdb!$E$2:'CFIdb'!$E$2000,"*3PAR*")</f>
        <v>0</v>
      </c>
      <c r="M107" s="16">
        <f>COUNTIFS(CFIdb!$Z$2:'CFIdb'!$Z$2000,"*"&amp;$B107,CFIdb!$O$2:'CFIdb'!$O$2000,"*"&amp;M$103&amp;"*",CFIdb!$E$2:'CFIdb'!$E$2000,"*3PAR*")</f>
        <v>0</v>
      </c>
      <c r="N107" s="16">
        <f>COUNTIFS(CFIdb!$Z$2:'CFIdb'!$Z$2000,"*"&amp;$B107,CFIdb!$O$2:'CFIdb'!$O$2000,"*"&amp;N$103&amp;"*",CFIdb!$E$2:'CFIdb'!$E$2000,"*3PAR*")</f>
        <v>0</v>
      </c>
      <c r="O107" s="16">
        <f>COUNTIFS(CFIdb!$Z$2:'CFIdb'!$Z$2000,"*"&amp;$B107,CFIdb!$O$2:'CFIdb'!$O$2000,"*"&amp;O$103&amp;"*",CFIdb!$E$2:'CFIdb'!$E$2000,"*3PAR*")</f>
        <v>0</v>
      </c>
      <c r="P107" t="str">
        <f>CONCATENATE(COUNTIFS(CFIdb!$Z$2:'CFIdb'!$Z$2000,"*"&amp;$B107,CFIdb!$E$2:'CFIdb'!$E$2000,"*3PAR*"),"/",SUM(D107:O107))</f>
        <v>1/1</v>
      </c>
    </row>
    <row r="108" spans="2:16" x14ac:dyDescent="0.25">
      <c r="B108" s="12" t="str">
        <f t="shared" si="31"/>
        <v>ADE</v>
      </c>
      <c r="C108">
        <f>COUNTIFS(CFIdb!$Z$2:'CFIdb'!$Z$2000,"*"&amp;B108,CFIdb!$E$2:'CFIdb'!$E$2000,"*3PAR*")</f>
        <v>27</v>
      </c>
      <c r="D108" s="13">
        <f>COUNTIFS(CFIdb!$Z$2:'CFIdb'!$Z$2000,"*"&amp;$B108,CFIdb!$O$2:'CFIdb'!$O$2000,"*"&amp;D$103&amp;"*",CFIdb!$E$2:'CFIdb'!$E$2000,"*3PAR*")</f>
        <v>2</v>
      </c>
      <c r="E108" s="17">
        <f>COUNTIFS(CFIdb!$Z$2:'CFIdb'!$Z$2000,"*"&amp;$B108,CFIdb!$O$2:'CFIdb'!$O$2000,"*"&amp;$E$103&amp;"*",CFIdb!$E$2:'CFIdb'!$E$2000,"*3PAR*")</f>
        <v>1</v>
      </c>
      <c r="F108" s="17">
        <f>COUNTIFS(CFIdb!$Z$2:'CFIdb'!$Z$2000,"*"&amp;$B108,CFIdb!$O$2:'CFIdb'!$O$2000,"*"&amp;$F$103&amp;"*",CFIdb!$E$2:'CFIdb'!$E$2000,"*3PAR*")</f>
        <v>0</v>
      </c>
      <c r="G108" s="18">
        <f>COUNTIFS(CFIdb!$Z$2:'CFIdb'!$Z$2000,"*"&amp;$B108,CFIdb!$O$2:'CFIdb'!$O$2000,"*"&amp;$G$103&amp;"*",CFIdb!$E$2:'CFIdb'!$E$2000,"*3PAR*")</f>
        <v>1</v>
      </c>
      <c r="H108" s="18">
        <f>COUNTIFS(CFIdb!$Z$2:'CFIdb'!$Z$2000,"*"&amp;$B108,CFIdb!$O$2:'CFIdb'!$O$2000,"*"&amp;H$103&amp;"*",CFIdb!$E$2:'CFIdb'!$E$2000,"*3PAR*")</f>
        <v>0</v>
      </c>
      <c r="I108" s="14">
        <f>COUNTIFS(CFIdb!$Z$2:'CFIdb'!$Z$2000,"*"&amp;$B108,CFIdb!$O$2:'CFIdb'!$O$2000,"*"&amp;$I$103&amp;"*",CFIdb!$E$2:'CFIdb'!$E$2000,"*3PAR*")</f>
        <v>5</v>
      </c>
      <c r="J108" s="14">
        <f>COUNTIFS(CFIdb!$Z$2:'CFIdb'!$Z$2000,"*"&amp;$B108,CFIdb!$O$2:'CFIdb'!$O$2000,"*"&amp;$J$103&amp;"*",CFIdb!$E$2:'CFIdb'!$E$2000,"*3PAR*")</f>
        <v>12</v>
      </c>
      <c r="K108" s="14">
        <f>COUNTIFS(CFIdb!$Z$2:'CFIdb'!$Z$2000,"*"&amp;$B108,CFIdb!$O$2:'CFIdb'!$O$2000,"*"&amp;$K$103&amp;"*",CFIdb!$E$2:'CFIdb'!$E$2000,"*3PAR*")</f>
        <v>0</v>
      </c>
      <c r="L108" s="14">
        <f>COUNTIFS(CFIdb!$Z$2:'CFIdb'!$Z$2000,"*"&amp;$B108,CFIdb!$O$2:'CFIdb'!$O$2000,"*"&amp;$L$103&amp;"*",CFIdb!$E$2:'CFIdb'!$E$2000,"*3PAR*")</f>
        <v>6</v>
      </c>
      <c r="M108" s="16">
        <f>COUNTIFS(CFIdb!$Z$2:'CFIdb'!$Z$2000,"*"&amp;$B108,CFIdb!$O$2:'CFIdb'!$O$2000,"*"&amp;M$103&amp;"*",CFIdb!$E$2:'CFIdb'!$E$2000,"*3PAR*")</f>
        <v>0</v>
      </c>
      <c r="N108" s="16">
        <f>COUNTIFS(CFIdb!$Z$2:'CFIdb'!$Z$2000,"*"&amp;$B108,CFIdb!$O$2:'CFIdb'!$O$2000,"*"&amp;N$103&amp;"*",CFIdb!$E$2:'CFIdb'!$E$2000,"*3PAR*")</f>
        <v>0</v>
      </c>
      <c r="O108" s="16">
        <f>COUNTIFS(CFIdb!$Z$2:'CFIdb'!$Z$2000,"*"&amp;$B108,CFIdb!$O$2:'CFIdb'!$O$2000,"*"&amp;O$103&amp;"*",CFIdb!$E$2:'CFIdb'!$E$2000,"*3PAR*")</f>
        <v>0</v>
      </c>
      <c r="P108" t="str">
        <f>CONCATENATE(COUNTIFS(CFIdb!$Z$2:'CFIdb'!$Z$2000,"*"&amp;$B108,CFIdb!$E$2:'CFIdb'!$E$2000,"*3PAR*"),"/",SUM(D108:O108))</f>
        <v>27/27</v>
      </c>
    </row>
    <row r="109" spans="2:16" x14ac:dyDescent="0.25">
      <c r="B109" s="12" t="str">
        <f t="shared" si="31"/>
        <v>AvatarFS</v>
      </c>
      <c r="C109">
        <f>COUNTIFS(CFIdb!$Z$2:'CFIdb'!$Z$2000,"*"&amp;B109,CFIdb!$E$2:'CFIdb'!$E$2000,"*3PAR*")</f>
        <v>18</v>
      </c>
      <c r="D109" s="13">
        <f>COUNTIFS(CFIdb!$Z$2:'CFIdb'!$Z$2000,"*"&amp;$B109,CFIdb!$O$2:'CFIdb'!$O$2000,"*"&amp;D$103&amp;"*",CFIdb!$E$2:'CFIdb'!$E$2000,"*3PAR*")</f>
        <v>4</v>
      </c>
      <c r="E109" s="17">
        <f>COUNTIFS(CFIdb!$Z$2:'CFIdb'!$Z$2000,"*"&amp;$B109,CFIdb!$O$2:'CFIdb'!$O$2000,"*"&amp;$E$103&amp;"*",CFIdb!$E$2:'CFIdb'!$E$2000,"*3PAR*")</f>
        <v>0</v>
      </c>
      <c r="F109" s="17">
        <f>COUNTIFS(CFIdb!$Z$2:'CFIdb'!$Z$2000,"*"&amp;$B109,CFIdb!$O$2:'CFIdb'!$O$2000,"*"&amp;$F$103&amp;"*",CFIdb!$E$2:'CFIdb'!$E$2000,"*3PAR*")</f>
        <v>0</v>
      </c>
      <c r="G109" s="18">
        <f>COUNTIFS(CFIdb!$Z$2:'CFIdb'!$Z$2000,"*"&amp;$B109,CFIdb!$O$2:'CFIdb'!$O$2000,"*"&amp;$G$103&amp;"*",CFIdb!$E$2:'CFIdb'!$E$2000,"*3PAR*")</f>
        <v>0</v>
      </c>
      <c r="H109" s="18">
        <f>COUNTIFS(CFIdb!$Z$2:'CFIdb'!$Z$2000,"*"&amp;$B109,CFIdb!$O$2:'CFIdb'!$O$2000,"*"&amp;H$103&amp;"*",CFIdb!$E$2:'CFIdb'!$E$2000,"*3PAR*")</f>
        <v>0</v>
      </c>
      <c r="I109" s="14">
        <f>COUNTIFS(CFIdb!$Z$2:'CFIdb'!$Z$2000,"*"&amp;$B109,CFIdb!$O$2:'CFIdb'!$O$2000,"*"&amp;$I$103&amp;"*",CFIdb!$E$2:'CFIdb'!$E$2000,"*3PAR*")</f>
        <v>2</v>
      </c>
      <c r="J109" s="14">
        <f>COUNTIFS(CFIdb!$Z$2:'CFIdb'!$Z$2000,"*"&amp;$B109,CFIdb!$O$2:'CFIdb'!$O$2000,"*"&amp;$J$103&amp;"*",CFIdb!$E$2:'CFIdb'!$E$2000,"*3PAR*")</f>
        <v>10</v>
      </c>
      <c r="K109" s="14">
        <f>COUNTIFS(CFIdb!$Z$2:'CFIdb'!$Z$2000,"*"&amp;$B109,CFIdb!$O$2:'CFIdb'!$O$2000,"*"&amp;$K$103&amp;"*",CFIdb!$E$2:'CFIdb'!$E$2000,"*3PAR*")</f>
        <v>0</v>
      </c>
      <c r="L109" s="14">
        <f>COUNTIFS(CFIdb!$Z$2:'CFIdb'!$Z$2000,"*"&amp;$B109,CFIdb!$O$2:'CFIdb'!$O$2000,"*"&amp;$L$103&amp;"*",CFIdb!$E$2:'CFIdb'!$E$2000,"*3PAR*")</f>
        <v>2</v>
      </c>
      <c r="M109" s="16">
        <f>COUNTIFS(CFIdb!$Z$2:'CFIdb'!$Z$2000,"*"&amp;$B109,CFIdb!$O$2:'CFIdb'!$O$2000,"*"&amp;M$103&amp;"*",CFIdb!$E$2:'CFIdb'!$E$2000,"*3PAR*")</f>
        <v>0</v>
      </c>
      <c r="N109" s="16">
        <f>COUNTIFS(CFIdb!$Z$2:'CFIdb'!$Z$2000,"*"&amp;$B109,CFIdb!$O$2:'CFIdb'!$O$2000,"*"&amp;N$103&amp;"*",CFIdb!$E$2:'CFIdb'!$E$2000,"*3PAR*")</f>
        <v>0</v>
      </c>
      <c r="O109" s="16">
        <f>COUNTIFS(CFIdb!$Z$2:'CFIdb'!$Z$2000,"*"&amp;$B109,CFIdb!$O$2:'CFIdb'!$O$2000,"*"&amp;O$103&amp;"*",CFIdb!$E$2:'CFIdb'!$E$2000,"*3PAR*")</f>
        <v>0</v>
      </c>
      <c r="P109" t="str">
        <f>CONCATENATE(COUNTIFS(CFIdb!$Z$2:'CFIdb'!$Z$2000,"*"&amp;$B109,CFIdb!$E$2:'CFIdb'!$E$2000,"*3PAR*"),"/",SUM(D109:O109))</f>
        <v>18/18</v>
      </c>
    </row>
    <row r="110" spans="2:16" ht="30" x14ac:dyDescent="0.25">
      <c r="B110" s="12" t="str">
        <f t="shared" si="31"/>
        <v>Platform Software</v>
      </c>
      <c r="C110">
        <f>COUNTIFS(CFIdb!$Z$2:'CFIdb'!$Z$2000,"*"&amp;B110,CFIdb!$E$2:'CFIdb'!$E$2000,"*3PAR*")</f>
        <v>47</v>
      </c>
      <c r="D110" s="13">
        <f>COUNTIFS(CFIdb!$Z$2:'CFIdb'!$Z$2000,"*"&amp;$B110,CFIdb!$O$2:'CFIdb'!$O$2000,"*"&amp;D$103&amp;"*",CFIdb!$E$2:'CFIdb'!$E$2000,"*3PAR*")</f>
        <v>11</v>
      </c>
      <c r="E110" s="17">
        <f>COUNTIFS(CFIdb!$Z$2:'CFIdb'!$Z$2000,"*"&amp;$B110,CFIdb!$O$2:'CFIdb'!$O$2000,"*"&amp;$E$103&amp;"*",CFIdb!$E$2:'CFIdb'!$E$2000,"*3PAR*")</f>
        <v>4</v>
      </c>
      <c r="F110" s="17">
        <f>COUNTIFS(CFIdb!$Z$2:'CFIdb'!$Z$2000,"*"&amp;$B110,CFIdb!$O$2:'CFIdb'!$O$2000,"*"&amp;$F$103&amp;"*",CFIdb!$E$2:'CFIdb'!$E$2000,"*3PAR*")</f>
        <v>2</v>
      </c>
      <c r="G110" s="18">
        <f>COUNTIFS(CFIdb!$Z$2:'CFIdb'!$Z$2000,"*"&amp;$B110,CFIdb!$O$2:'CFIdb'!$O$2000,"*"&amp;$G$103&amp;"*",CFIdb!$E$2:'CFIdb'!$E$2000,"*3PAR*")</f>
        <v>0</v>
      </c>
      <c r="H110" s="18">
        <f>COUNTIFS(CFIdb!$Z$2:'CFIdb'!$Z$2000,"*"&amp;$B110,CFIdb!$O$2:'CFIdb'!$O$2000,"*"&amp;H$103&amp;"*",CFIdb!$E$2:'CFIdb'!$E$2000,"*3PAR*")</f>
        <v>0</v>
      </c>
      <c r="I110" s="14">
        <f>COUNTIFS(CFIdb!$Z$2:'CFIdb'!$Z$2000,"*"&amp;$B110,CFIdb!$O$2:'CFIdb'!$O$2000,"*"&amp;$I$103&amp;"*",CFIdb!$E$2:'CFIdb'!$E$2000,"*3PAR*")</f>
        <v>12</v>
      </c>
      <c r="J110" s="14">
        <f>COUNTIFS(CFIdb!$Z$2:'CFIdb'!$Z$2000,"*"&amp;$B110,CFIdb!$O$2:'CFIdb'!$O$2000,"*"&amp;$J$103&amp;"*",CFIdb!$E$2:'CFIdb'!$E$2000,"*3PAR*")</f>
        <v>16</v>
      </c>
      <c r="K110" s="14">
        <f>COUNTIFS(CFIdb!$Z$2:'CFIdb'!$Z$2000,"*"&amp;$B110,CFIdb!$O$2:'CFIdb'!$O$2000,"*"&amp;$K$103&amp;"*",CFIdb!$E$2:'CFIdb'!$E$2000,"*3PAR*")</f>
        <v>0</v>
      </c>
      <c r="L110" s="14">
        <f>COUNTIFS(CFIdb!$Z$2:'CFIdb'!$Z$2000,"*"&amp;$B110,CFIdb!$O$2:'CFIdb'!$O$2000,"*"&amp;$L$103&amp;"*",CFIdb!$E$2:'CFIdb'!$E$2000,"*3PAR*")</f>
        <v>2</v>
      </c>
      <c r="M110" s="16">
        <f>COUNTIFS(CFIdb!$Z$2:'CFIdb'!$Z$2000,"*"&amp;$B110,CFIdb!$O$2:'CFIdb'!$O$2000,"*"&amp;M$103&amp;"*",CFIdb!$E$2:'CFIdb'!$E$2000,"*3PAR*")</f>
        <v>0</v>
      </c>
      <c r="N110" s="16">
        <f>COUNTIFS(CFIdb!$Z$2:'CFIdb'!$Z$2000,"*"&amp;$B110,CFIdb!$O$2:'CFIdb'!$O$2000,"*"&amp;N$103&amp;"*",CFIdb!$E$2:'CFIdb'!$E$2000,"*3PAR*")</f>
        <v>0</v>
      </c>
      <c r="O110" s="16">
        <f>COUNTIFS(CFIdb!$Z$2:'CFIdb'!$Z$2000,"*"&amp;$B110,CFIdb!$O$2:'CFIdb'!$O$2000,"*"&amp;O$103&amp;"*",CFIdb!$E$2:'CFIdb'!$E$2000,"*3PAR*")</f>
        <v>0</v>
      </c>
      <c r="P110" t="str">
        <f>CONCATENATE(COUNTIFS(CFIdb!$Z$2:'CFIdb'!$Z$2000,"*"&amp;$B110,CFIdb!$E$2:'CFIdb'!$E$2000,"*3PAR*"),"/",SUM(D110:O110))</f>
        <v>47/47</v>
      </c>
    </row>
    <row r="111" spans="2:16" ht="30" x14ac:dyDescent="0.25">
      <c r="B111" s="12" t="str">
        <f t="shared" si="31"/>
        <v>PML Core Services</v>
      </c>
      <c r="C111">
        <f>COUNTIFS(CFIdb!$Z$2:'CFIdb'!$Z$2000,"*"&amp;B111,CFIdb!$E$2:'CFIdb'!$E$2000,"*3PAR*")</f>
        <v>5</v>
      </c>
      <c r="D111" s="13">
        <f>COUNTIFS(CFIdb!$Z$2:'CFIdb'!$Z$2000,"*"&amp;$B111,CFIdb!$O$2:'CFIdb'!$O$2000,"*"&amp;D$103&amp;"*",CFIdb!$E$2:'CFIdb'!$E$2000,"*3PAR*")</f>
        <v>0</v>
      </c>
      <c r="E111" s="17">
        <f>COUNTIFS(CFIdb!$Z$2:'CFIdb'!$Z$2000,"*"&amp;$B111,CFIdb!$O$2:'CFIdb'!$O$2000,"*"&amp;$E$103&amp;"*",CFIdb!$E$2:'CFIdb'!$E$2000,"*3PAR*")</f>
        <v>0</v>
      </c>
      <c r="F111" s="17">
        <f>COUNTIFS(CFIdb!$Z$2:'CFIdb'!$Z$2000,"*"&amp;$B111,CFIdb!$O$2:'CFIdb'!$O$2000,"*"&amp;$F$103&amp;"*",CFIdb!$E$2:'CFIdb'!$E$2000,"*3PAR*")</f>
        <v>0</v>
      </c>
      <c r="G111" s="18">
        <f>COUNTIFS(CFIdb!$Z$2:'CFIdb'!$Z$2000,"*"&amp;$B111,CFIdb!$O$2:'CFIdb'!$O$2000,"*"&amp;$G$103&amp;"*",CFIdb!$E$2:'CFIdb'!$E$2000,"*3PAR*")</f>
        <v>0</v>
      </c>
      <c r="H111" s="18">
        <f>COUNTIFS(CFIdb!$Z$2:'CFIdb'!$Z$2000,"*"&amp;$B111,CFIdb!$O$2:'CFIdb'!$O$2000,"*"&amp;H$103&amp;"*",CFIdb!$E$2:'CFIdb'!$E$2000,"*3PAR*")</f>
        <v>0</v>
      </c>
      <c r="I111" s="14">
        <f>COUNTIFS(CFIdb!$Z$2:'CFIdb'!$Z$2000,"*"&amp;$B111,CFIdb!$O$2:'CFIdb'!$O$2000,"*"&amp;$I$103&amp;"*",CFIdb!$E$2:'CFIdb'!$E$2000,"*3PAR*")</f>
        <v>0</v>
      </c>
      <c r="J111" s="14">
        <f>COUNTIFS(CFIdb!$Z$2:'CFIdb'!$Z$2000,"*"&amp;$B111,CFIdb!$O$2:'CFIdb'!$O$2000,"*"&amp;$J$103&amp;"*",CFIdb!$E$2:'CFIdb'!$E$2000,"*3PAR*")</f>
        <v>2</v>
      </c>
      <c r="K111" s="14">
        <f>COUNTIFS(CFIdb!$Z$2:'CFIdb'!$Z$2000,"*"&amp;$B111,CFIdb!$O$2:'CFIdb'!$O$2000,"*"&amp;$K$103&amp;"*",CFIdb!$E$2:'CFIdb'!$E$2000,"*3PAR*")</f>
        <v>0</v>
      </c>
      <c r="L111" s="14">
        <f>COUNTIFS(CFIdb!$Z$2:'CFIdb'!$Z$2000,"*"&amp;$B111,CFIdb!$O$2:'CFIdb'!$O$2000,"*"&amp;$L$103&amp;"*",CFIdb!$E$2:'CFIdb'!$E$2000,"*3PAR*")</f>
        <v>2</v>
      </c>
      <c r="M111" s="16">
        <f>COUNTIFS(CFIdb!$Z$2:'CFIdb'!$Z$2000,"*"&amp;$B111,CFIdb!$O$2:'CFIdb'!$O$2000,"*"&amp;M$103&amp;"*",CFIdb!$E$2:'CFIdb'!$E$2000,"*3PAR*")</f>
        <v>0</v>
      </c>
      <c r="N111" s="16">
        <f>COUNTIFS(CFIdb!$Z$2:'CFIdb'!$Z$2000,"*"&amp;$B111,CFIdb!$O$2:'CFIdb'!$O$2000,"*"&amp;N$103&amp;"*",CFIdb!$E$2:'CFIdb'!$E$2000,"*3PAR*")</f>
        <v>1</v>
      </c>
      <c r="O111" s="16">
        <f>COUNTIFS(CFIdb!$Z$2:'CFIdb'!$Z$2000,"*"&amp;$B111,CFIdb!$O$2:'CFIdb'!$O$2000,"*"&amp;O$103&amp;"*",CFIdb!$E$2:'CFIdb'!$E$2000,"*3PAR*")</f>
        <v>0</v>
      </c>
      <c r="P111" t="str">
        <f>CONCATENATE(COUNTIFS(CFIdb!$Z$2:'CFIdb'!$Z$2000,"*"&amp;$B111,CFIdb!$E$2:'CFIdb'!$E$2000,"*3PAR*"),"/",SUM(D111:O111))</f>
        <v>5/5</v>
      </c>
    </row>
    <row r="112" spans="2:16" ht="43.5" customHeight="1" x14ac:dyDescent="0.25">
      <c r="B112" s="12" t="str">
        <f t="shared" si="31"/>
        <v>FileSystem Management (IAS)</v>
      </c>
      <c r="C112">
        <f>COUNTIFS(CFIdb!$Z$2:'CFIdb'!$Z$2000,"*"&amp;B112,CFIdb!$E$2:'CFIdb'!$E$2000,"*3PAR*")</f>
        <v>8</v>
      </c>
      <c r="D112" s="13">
        <f>COUNTIFS(CFIdb!$Z$2:'CFIdb'!$Z$2000,"*"&amp;$B112,CFIdb!$O$2:'CFIdb'!$O$2000,"*"&amp;D$103&amp;"*",CFIdb!$E$2:'CFIdb'!$E$2000,"*3PAR*")</f>
        <v>2</v>
      </c>
      <c r="E112" s="17">
        <f>COUNTIFS(CFIdb!$Z$2:'CFIdb'!$Z$2000,"*"&amp;$B112,CFIdb!$O$2:'CFIdb'!$O$2000,"*"&amp;$E$103&amp;"*",CFIdb!$E$2:'CFIdb'!$E$2000,"*3PAR*")</f>
        <v>1</v>
      </c>
      <c r="F112" s="17">
        <f>COUNTIFS(CFIdb!$Z$2:'CFIdb'!$Z$2000,"*"&amp;$B112,CFIdb!$O$2:'CFIdb'!$O$2000,"*"&amp;$F$103&amp;"*",CFIdb!$E$2:'CFIdb'!$E$2000,"*3PAR*")</f>
        <v>1</v>
      </c>
      <c r="G112" s="18">
        <f>COUNTIFS(CFIdb!$Z$2:'CFIdb'!$Z$2000,"*"&amp;$B112,CFIdb!$O$2:'CFIdb'!$O$2000,"*"&amp;$G$103&amp;"*",CFIdb!$E$2:'CFIdb'!$E$2000,"*3PAR*")</f>
        <v>0</v>
      </c>
      <c r="H112" s="18">
        <f>COUNTIFS(CFIdb!$Z$2:'CFIdb'!$Z$2000,"*"&amp;$B112,CFIdb!$O$2:'CFIdb'!$O$2000,"*"&amp;H$103&amp;"*",CFIdb!$E$2:'CFIdb'!$E$2000,"*3PAR*")</f>
        <v>0</v>
      </c>
      <c r="I112" s="14">
        <f>COUNTIFS(CFIdb!$Z$2:'CFIdb'!$Z$2000,"*"&amp;$B112,CFIdb!$O$2:'CFIdb'!$O$2000,"*"&amp;$I$103&amp;"*",CFIdb!$E$2:'CFIdb'!$E$2000,"*3PAR*")</f>
        <v>2</v>
      </c>
      <c r="J112" s="14">
        <f>COUNTIFS(CFIdb!$Z$2:'CFIdb'!$Z$2000,"*"&amp;$B112,CFIdb!$O$2:'CFIdb'!$O$2000,"*"&amp;$J$103&amp;"*",CFIdb!$E$2:'CFIdb'!$E$2000,"*3PAR*")</f>
        <v>2</v>
      </c>
      <c r="K112" s="14">
        <f>COUNTIFS(CFIdb!$Z$2:'CFIdb'!$Z$2000,"*"&amp;$B112,CFIdb!$O$2:'CFIdb'!$O$2000,"*"&amp;$K$103&amp;"*",CFIdb!$E$2:'CFIdb'!$E$2000,"*3PAR*")</f>
        <v>0</v>
      </c>
      <c r="L112" s="14">
        <f>COUNTIFS(CFIdb!$Z$2:'CFIdb'!$Z$2000,"*"&amp;$B112,CFIdb!$O$2:'CFIdb'!$O$2000,"*"&amp;$L$103&amp;"*",CFIdb!$E$2:'CFIdb'!$E$2000,"*3PAR*")</f>
        <v>0</v>
      </c>
      <c r="M112" s="16">
        <f>COUNTIFS(CFIdb!$Z$2:'CFIdb'!$Z$2000,"*"&amp;$B112,CFIdb!$O$2:'CFIdb'!$O$2000,"*"&amp;M$103&amp;"*",CFIdb!$E$2:'CFIdb'!$E$2000,"*3PAR*")</f>
        <v>0</v>
      </c>
      <c r="N112" s="16">
        <f>COUNTIFS(CFIdb!$Z$2:'CFIdb'!$Z$2000,"*"&amp;$B112,CFIdb!$O$2:'CFIdb'!$O$2000,"*"&amp;N$103&amp;"*",CFIdb!$E$2:'CFIdb'!$E$2000,"*3PAR*")</f>
        <v>0</v>
      </c>
      <c r="O112" s="16">
        <f>COUNTIFS(CFIdb!$Z$2:'CFIdb'!$Z$2000,"*"&amp;$B112,CFIdb!$O$2:'CFIdb'!$O$2000,"*"&amp;O$103&amp;"*",CFIdb!$E$2:'CFIdb'!$E$2000,"*3PAR*")</f>
        <v>0</v>
      </c>
      <c r="P112" t="str">
        <f>CONCATENATE(COUNTIFS(CFIdb!$Z$2:'CFIdb'!$Z$2000,"*"&amp;$B112,CFIdb!$E$2:'CFIdb'!$E$2000,"*3PAR*"),"/",SUM(D112:O112))</f>
        <v>8/8</v>
      </c>
    </row>
    <row r="113" spans="2:16" ht="30.75" customHeight="1" x14ac:dyDescent="0.25">
      <c r="B113" s="12" t="s">
        <v>4942</v>
      </c>
      <c r="C113">
        <f>COUNTIFS(CFIdb!$Z$2:'CFIdb'!$Z$2000,"*"&amp;B113,CFIdb!$E$2:'CFIdb'!$E$2000,"*3PAR*")</f>
        <v>1</v>
      </c>
      <c r="D113" s="13">
        <f>COUNTIFS(CFIdb!$Z$2:'CFIdb'!$Z$2000,"*"&amp;$B113,CFIdb!$O$2:'CFIdb'!$O$2000,"*"&amp;D$103&amp;"*",CFIdb!$E$2:'CFIdb'!$E$2000,"*3PAR*")</f>
        <v>1</v>
      </c>
      <c r="E113" s="17">
        <f>COUNTIFS(CFIdb!$Z$2:'CFIdb'!$Z$2000,"*"&amp;$B113,CFIdb!$O$2:'CFIdb'!$O$2000,"*"&amp;$E$103&amp;"*",CFIdb!$E$2:'CFIdb'!$E$2000,"*3PAR*")</f>
        <v>0</v>
      </c>
      <c r="F113" s="17">
        <f>COUNTIFS(CFIdb!$Z$2:'CFIdb'!$Z$2000,"*"&amp;$B113,CFIdb!$O$2:'CFIdb'!$O$2000,"*"&amp;$F$103&amp;"*",CFIdb!$E$2:'CFIdb'!$E$2000,"*3PAR*")</f>
        <v>0</v>
      </c>
      <c r="G113" s="18">
        <f>COUNTIFS(CFIdb!$Z$2:'CFIdb'!$Z$2000,"*"&amp;$B113,CFIdb!$O$2:'CFIdb'!$O$2000,"*"&amp;$G$103&amp;"*",CFIdb!$E$2:'CFIdb'!$E$2000,"*3PAR*")</f>
        <v>0</v>
      </c>
      <c r="H113" s="18">
        <f>COUNTIFS(CFIdb!$Z$2:'CFIdb'!$Z$2000,"*"&amp;$B113,CFIdb!$O$2:'CFIdb'!$O$2000,"*"&amp;H$103&amp;"*",CFIdb!$E$2:'CFIdb'!$E$2000,"*3PAR*")</f>
        <v>0</v>
      </c>
      <c r="I113" s="14">
        <f>COUNTIFS(CFIdb!$Z$2:'CFIdb'!$Z$2000,"*"&amp;$B113,CFIdb!$O$2:'CFIdb'!$O$2000,"*"&amp;$I$103&amp;"*",CFIdb!$E$2:'CFIdb'!$E$2000,"*3PAR*")</f>
        <v>0</v>
      </c>
      <c r="J113" s="14">
        <f>COUNTIFS(CFIdb!$Z$2:'CFIdb'!$Z$2000,"*"&amp;$B113,CFIdb!$O$2:'CFIdb'!$O$2000,"*"&amp;$J$103&amp;"*",CFIdb!$E$2:'CFIdb'!$E$2000,"*3PAR*")</f>
        <v>0</v>
      </c>
      <c r="K113" s="14">
        <f>COUNTIFS(CFIdb!$Z$2:'CFIdb'!$Z$2000,"*"&amp;$B113,CFIdb!$O$2:'CFIdb'!$O$2000,"*"&amp;$K$103&amp;"*",CFIdb!$E$2:'CFIdb'!$E$2000,"*3PAR*")</f>
        <v>0</v>
      </c>
      <c r="L113" s="14">
        <f>COUNTIFS(CFIdb!$Z$2:'CFIdb'!$Z$2000,"*"&amp;$B113,CFIdb!$O$2:'CFIdb'!$O$2000,"*"&amp;$L$103&amp;"*",CFIdb!$E$2:'CFIdb'!$E$2000,"*3PAR*")</f>
        <v>0</v>
      </c>
      <c r="M113" s="16">
        <f>COUNTIFS(CFIdb!$Z$2:'CFIdb'!$Z$2000,"*"&amp;$B113,CFIdb!$O$2:'CFIdb'!$O$2000,"*"&amp;M$103&amp;"*",CFIdb!$E$2:'CFIdb'!$E$2000,"*3PAR*")</f>
        <v>0</v>
      </c>
      <c r="N113" s="16">
        <f>COUNTIFS(CFIdb!$Z$2:'CFIdb'!$Z$2000,"*"&amp;$B113,CFIdb!$O$2:'CFIdb'!$O$2000,"*"&amp;N$103&amp;"*",CFIdb!$E$2:'CFIdb'!$E$2000,"*3PAR*")</f>
        <v>0</v>
      </c>
      <c r="O113" s="16">
        <f>COUNTIFS(CFIdb!$Z$2:'CFIdb'!$Z$2000,"*"&amp;$B113,CFIdb!$O$2:'CFIdb'!$O$2000,"*"&amp;O$103&amp;"*",CFIdb!$E$2:'CFIdb'!$E$2000,"*3PAR*")</f>
        <v>0</v>
      </c>
      <c r="P113" t="str">
        <f>CONCATENATE(COUNTIFS(CFIdb!$Z$2:'CFIdb'!$Z$2000,"*"&amp;$B113,CFIdb!$E$2:'CFIdb'!$E$2000,"*3PAR*"),"/",SUM(D113:O113))</f>
        <v>1/1</v>
      </c>
    </row>
    <row r="114" spans="2:16" x14ac:dyDescent="0.25">
      <c r="B114" s="12" t="str">
        <f>B95</f>
        <v>Quotas</v>
      </c>
      <c r="C114">
        <f>COUNTIFS(CFIdb!$Z$2:'CFIdb'!$Z$2000,"*"&amp;B114,CFIdb!$E$2:'CFIdb'!$E$2000,"*3PAR*")</f>
        <v>2</v>
      </c>
      <c r="D114" s="13">
        <f>COUNTIFS(CFIdb!$Z$2:'CFIdb'!$Z$2000,"*"&amp;$B114,CFIdb!$O$2:'CFIdb'!$O$2000,"*"&amp;D$103&amp;"*",CFIdb!$E$2:'CFIdb'!$E$2000,"*3PAR*")</f>
        <v>0</v>
      </c>
      <c r="E114" s="17">
        <f>COUNTIFS(CFIdb!$Z$2:'CFIdb'!$Z$2000,"*"&amp;$B114,CFIdb!$O$2:'CFIdb'!$O$2000,"*"&amp;$E$103&amp;"*",CFIdb!$E$2:'CFIdb'!$E$2000,"*3PAR*")</f>
        <v>0</v>
      </c>
      <c r="F114" s="17">
        <f>COUNTIFS(CFIdb!$Z$2:'CFIdb'!$Z$2000,"*"&amp;$B114,CFIdb!$O$2:'CFIdb'!$O$2000,"*"&amp;$F$103&amp;"*",CFIdb!$E$2:'CFIdb'!$E$2000,"*3PAR*")</f>
        <v>1</v>
      </c>
      <c r="G114" s="18">
        <f>COUNTIFS(CFIdb!$Z$2:'CFIdb'!$Z$2000,"*"&amp;$B114,CFIdb!$O$2:'CFIdb'!$O$2000,"*"&amp;$G$103&amp;"*",CFIdb!$E$2:'CFIdb'!$E$2000,"*3PAR*")</f>
        <v>0</v>
      </c>
      <c r="H114" s="18">
        <f>COUNTIFS(CFIdb!$Z$2:'CFIdb'!$Z$2000,"*"&amp;$B114,CFIdb!$O$2:'CFIdb'!$O$2000,"*"&amp;H$103&amp;"*",CFIdb!$E$2:'CFIdb'!$E$2000,"*3PAR*")</f>
        <v>0</v>
      </c>
      <c r="I114" s="14">
        <f>COUNTIFS(CFIdb!$Z$2:'CFIdb'!$Z$2000,"*"&amp;$B114,CFIdb!$O$2:'CFIdb'!$O$2000,"*"&amp;$I$103&amp;"*",CFIdb!$E$2:'CFIdb'!$E$2000,"*3PAR*")</f>
        <v>1</v>
      </c>
      <c r="J114" s="14">
        <f>COUNTIFS(CFIdb!$Z$2:'CFIdb'!$Z$2000,"*"&amp;$B114,CFIdb!$O$2:'CFIdb'!$O$2000,"*"&amp;$J$103&amp;"*",CFIdb!$E$2:'CFIdb'!$E$2000,"*3PAR*")</f>
        <v>0</v>
      </c>
      <c r="K114" s="14">
        <f>COUNTIFS(CFIdb!$Z$2:'CFIdb'!$Z$2000,"*"&amp;$B114,CFIdb!$O$2:'CFIdb'!$O$2000,"*"&amp;$K$103&amp;"*",CFIdb!$E$2:'CFIdb'!$E$2000,"*3PAR*")</f>
        <v>0</v>
      </c>
      <c r="L114" s="14">
        <f>COUNTIFS(CFIdb!$Z$2:'CFIdb'!$Z$2000,"*"&amp;$B114,CFIdb!$O$2:'CFIdb'!$O$2000,"*"&amp;$L$103&amp;"*",CFIdb!$E$2:'CFIdb'!$E$2000,"*3PAR*")</f>
        <v>0</v>
      </c>
      <c r="M114" s="16">
        <f>COUNTIFS(CFIdb!$Z$2:'CFIdb'!$Z$2000,"*"&amp;$B114,CFIdb!$O$2:'CFIdb'!$O$2000,"*"&amp;M$103&amp;"*",CFIdb!$E$2:'CFIdb'!$E$2000,"*3PAR*")</f>
        <v>0</v>
      </c>
      <c r="N114" s="16">
        <f>COUNTIFS(CFIdb!$Z$2:'CFIdb'!$Z$2000,"*"&amp;$B114,CFIdb!$O$2:'CFIdb'!$O$2000,"*"&amp;N$103&amp;"*",CFIdb!$E$2:'CFIdb'!$E$2000,"*3PAR*")</f>
        <v>0</v>
      </c>
      <c r="O114" s="16">
        <f>COUNTIFS(CFIdb!$Z$2:'CFIdb'!$Z$2000,"*"&amp;$B114,CFIdb!$O$2:'CFIdb'!$O$2000,"*"&amp;O$103&amp;"*",CFIdb!$E$2:'CFIdb'!$E$2000,"*3PAR*")</f>
        <v>0</v>
      </c>
      <c r="P114" t="str">
        <f>CONCATENATE(COUNTIFS(CFIdb!$Z$2:'CFIdb'!$Z$2000,"*"&amp;$B114,CFIdb!$E$2:'CFIdb'!$E$2000,"*3PAR*"),"/",SUM(D114:O114))</f>
        <v>2/2</v>
      </c>
    </row>
    <row r="115" spans="2:16" ht="28.5" customHeight="1" x14ac:dyDescent="0.25">
      <c r="B115" s="12" t="str">
        <f>B96</f>
        <v>Multinode Core Utilities</v>
      </c>
      <c r="C115">
        <f>COUNTIFS(CFIdb!$Z$2:'CFIdb'!$Z$2000,"*"&amp;B115,CFIdb!$E$2:'CFIdb'!$E$2000,"*3PAR*")</f>
        <v>1</v>
      </c>
      <c r="D115" s="13">
        <f>COUNTIFS(CFIdb!$Z$2:'CFIdb'!$Z$2000,"*"&amp;$B115,CFIdb!$O$2:'CFIdb'!$O$2000,"*"&amp;D$103&amp;"*",CFIdb!$E$2:'CFIdb'!$E$2000,"*3PAR*")</f>
        <v>1</v>
      </c>
      <c r="E115" s="17">
        <f>COUNTIFS(CFIdb!$Z$2:'CFIdb'!$Z$2000,"*"&amp;$B115,CFIdb!$O$2:'CFIdb'!$O$2000,"*"&amp;$E$103&amp;"*",CFIdb!$E$2:'CFIdb'!$E$2000,"*3PAR*")</f>
        <v>0</v>
      </c>
      <c r="F115" s="17">
        <f>COUNTIFS(CFIdb!$Z$2:'CFIdb'!$Z$2000,"*"&amp;$B115,CFIdb!$O$2:'CFIdb'!$O$2000,"*"&amp;$F$103&amp;"*",CFIdb!$E$2:'CFIdb'!$E$2000,"*3PAR*")</f>
        <v>0</v>
      </c>
      <c r="G115" s="18">
        <f>COUNTIFS(CFIdb!$Z$2:'CFIdb'!$Z$2000,"*"&amp;$B115,CFIdb!$O$2:'CFIdb'!$O$2000,"*"&amp;$G$103&amp;"*",CFIdb!$E$2:'CFIdb'!$E$2000,"*3PAR*")</f>
        <v>0</v>
      </c>
      <c r="H115" s="18">
        <f>COUNTIFS(CFIdb!$Z$2:'CFIdb'!$Z$2000,"*"&amp;$B115,CFIdb!$O$2:'CFIdb'!$O$2000,"*"&amp;H$103&amp;"*",CFIdb!$E$2:'CFIdb'!$E$2000,"*3PAR*")</f>
        <v>0</v>
      </c>
      <c r="I115" s="14">
        <f>COUNTIFS(CFIdb!$Z$2:'CFIdb'!$Z$2000,"*"&amp;$B115,CFIdb!$O$2:'CFIdb'!$O$2000,"*"&amp;$I$103&amp;"*",CFIdb!$E$2:'CFIdb'!$E$2000,"*3PAR*")</f>
        <v>0</v>
      </c>
      <c r="J115" s="14">
        <f>COUNTIFS(CFIdb!$Z$2:'CFIdb'!$Z$2000,"*"&amp;$B115,CFIdb!$O$2:'CFIdb'!$O$2000,"*"&amp;$J$103&amp;"*",CFIdb!$E$2:'CFIdb'!$E$2000,"*3PAR*")</f>
        <v>0</v>
      </c>
      <c r="K115" s="14">
        <f>COUNTIFS(CFIdb!$Z$2:'CFIdb'!$Z$2000,"*"&amp;$B115,CFIdb!$O$2:'CFIdb'!$O$2000,"*"&amp;$K$103&amp;"*",CFIdb!$E$2:'CFIdb'!$E$2000,"*3PAR*")</f>
        <v>0</v>
      </c>
      <c r="L115" s="14">
        <f>COUNTIFS(CFIdb!$Z$2:'CFIdb'!$Z$2000,"*"&amp;$B115,CFIdb!$O$2:'CFIdb'!$O$2000,"*"&amp;$L$103&amp;"*",CFIdb!$E$2:'CFIdb'!$E$2000,"*3PAR*")</f>
        <v>0</v>
      </c>
      <c r="M115" s="16">
        <f>COUNTIFS(CFIdb!$Z$2:'CFIdb'!$Z$2000,"*"&amp;$B115,CFIdb!$O$2:'CFIdb'!$O$2000,"*"&amp;M$103&amp;"*",CFIdb!$E$2:'CFIdb'!$E$2000,"*3PAR*")</f>
        <v>0</v>
      </c>
      <c r="N115" s="16">
        <f>COUNTIFS(CFIdb!$Z$2:'CFIdb'!$Z$2000,"*"&amp;$B115,CFIdb!$O$2:'CFIdb'!$O$2000,"*"&amp;N$103&amp;"*",CFIdb!$E$2:'CFIdb'!$E$2000,"*3PAR*")</f>
        <v>0</v>
      </c>
      <c r="O115" s="16">
        <f>COUNTIFS(CFIdb!$Z$2:'CFIdb'!$Z$2000,"*"&amp;$B115,CFIdb!$O$2:'CFIdb'!$O$2000,"*"&amp;O$103&amp;"*",CFIdb!$E$2:'CFIdb'!$E$2000,"*3PAR*")</f>
        <v>0</v>
      </c>
      <c r="P115" t="str">
        <f>CONCATENATE(COUNTIFS(CFIdb!$Z$2:'CFIdb'!$Z$2000,"*"&amp;$B115,CFIdb!$E$2:'CFIdb'!$E$2000,"*3PAR*"),"/",SUM(D115:O115))</f>
        <v>1/1</v>
      </c>
    </row>
    <row r="116" spans="2:16" x14ac:dyDescent="0.25">
      <c r="B116" s="12" t="str">
        <f>B97</f>
        <v>Snapshots</v>
      </c>
      <c r="C116">
        <f>COUNTIFS(CFIdb!$Z$2:'CFIdb'!$Z$2000,"*"&amp;B116,CFIdb!$E$2:'CFIdb'!$E$2000,"*3PAR*")</f>
        <v>11</v>
      </c>
      <c r="D116" s="13">
        <f>COUNTIFS(CFIdb!$Z$2:'CFIdb'!$Z$2000,"*"&amp;$B116,CFIdb!$O$2:'CFIdb'!$O$2000,"*"&amp;D$103&amp;"*",CFIdb!$E$2:'CFIdb'!$E$2000,"*3PAR*")</f>
        <v>2</v>
      </c>
      <c r="E116" s="17">
        <f>COUNTIFS(CFIdb!$Z$2:'CFIdb'!$Z$2000,"*"&amp;$B116,CFIdb!$O$2:'CFIdb'!$O$2000,"*"&amp;$E$103&amp;"*",CFIdb!$E$2:'CFIdb'!$E$2000,"*3PAR*")</f>
        <v>2</v>
      </c>
      <c r="F116" s="17">
        <f>COUNTIFS(CFIdb!$Z$2:'CFIdb'!$Z$2000,"*"&amp;$B116,CFIdb!$O$2:'CFIdb'!$O$2000,"*"&amp;$F$103&amp;"*",CFIdb!$E$2:'CFIdb'!$E$2000,"*3PAR*")</f>
        <v>0</v>
      </c>
      <c r="G116" s="18">
        <f>COUNTIFS(CFIdb!$Z$2:'CFIdb'!$Z$2000,"*"&amp;$B116,CFIdb!$O$2:'CFIdb'!$O$2000,"*"&amp;$G$103&amp;"*",CFIdb!$E$2:'CFIdb'!$E$2000,"*3PAR*")</f>
        <v>0</v>
      </c>
      <c r="H116" s="18">
        <f>COUNTIFS(CFIdb!$Z$2:'CFIdb'!$Z$2000,"*"&amp;$B116,CFIdb!$O$2:'CFIdb'!$O$2000,"*"&amp;H$103&amp;"*",CFIdb!$E$2:'CFIdb'!$E$2000,"*3PAR*")</f>
        <v>0</v>
      </c>
      <c r="I116" s="14">
        <f>COUNTIFS(CFIdb!$Z$2:'CFIdb'!$Z$2000,"*"&amp;$B116,CFIdb!$O$2:'CFIdb'!$O$2000,"*"&amp;$I$103&amp;"*",CFIdb!$E$2:'CFIdb'!$E$2000,"*3PAR*")</f>
        <v>1</v>
      </c>
      <c r="J116" s="14">
        <f>COUNTIFS(CFIdb!$Z$2:'CFIdb'!$Z$2000,"*"&amp;$B116,CFIdb!$O$2:'CFIdb'!$O$2000,"*"&amp;$J$103&amp;"*",CFIdb!$E$2:'CFIdb'!$E$2000,"*3PAR*")</f>
        <v>6</v>
      </c>
      <c r="K116" s="14">
        <f>COUNTIFS(CFIdb!$Z$2:'CFIdb'!$Z$2000,"*"&amp;$B116,CFIdb!$O$2:'CFIdb'!$O$2000,"*"&amp;$K$103&amp;"*",CFIdb!$E$2:'CFIdb'!$E$2000,"*3PAR*")</f>
        <v>0</v>
      </c>
      <c r="L116" s="14">
        <f>COUNTIFS(CFIdb!$Z$2:'CFIdb'!$Z$2000,"*"&amp;$B116,CFIdb!$O$2:'CFIdb'!$O$2000,"*"&amp;$L$103&amp;"*",CFIdb!$E$2:'CFIdb'!$E$2000,"*3PAR*")</f>
        <v>0</v>
      </c>
      <c r="M116" s="16">
        <f>COUNTIFS(CFIdb!$Z$2:'CFIdb'!$Z$2000,"*"&amp;$B116,CFIdb!$O$2:'CFIdb'!$O$2000,"*"&amp;M$103&amp;"*",CFIdb!$E$2:'CFIdb'!$E$2000,"*3PAR*")</f>
        <v>0</v>
      </c>
      <c r="N116" s="16">
        <f>COUNTIFS(CFIdb!$Z$2:'CFIdb'!$Z$2000,"*"&amp;$B116,CFIdb!$O$2:'CFIdb'!$O$2000,"*"&amp;N$103&amp;"*",CFIdb!$E$2:'CFIdb'!$E$2000,"*3PAR*")</f>
        <v>0</v>
      </c>
      <c r="O116" s="16">
        <f>COUNTIFS(CFIdb!$Z$2:'CFIdb'!$Z$2000,"*"&amp;$B116,CFIdb!$O$2:'CFIdb'!$O$2000,"*"&amp;O$103&amp;"*",CFIdb!$E$2:'CFIdb'!$E$2000,"*3PAR*")</f>
        <v>0</v>
      </c>
      <c r="P116" t="str">
        <f>CONCATENATE(COUNTIFS(CFIdb!$Z$2:'CFIdb'!$Z$2000,"*"&amp;$B116,CFIdb!$E$2:'CFIdb'!$E$2000,"*3PAR*"),"/",SUM(D116:O116))</f>
        <v>11/11</v>
      </c>
    </row>
    <row r="117" spans="2:16" x14ac:dyDescent="0.25">
      <c r="B117" s="12" t="str">
        <f>B98</f>
        <v>&lt;blank&gt;</v>
      </c>
      <c r="C117">
        <f>COUNTIFS(CFIdb!$Z$2:'CFIdb'!$Z$2000,"",CFIdb!$E$2:'CFIdb'!$E$2000,"*3PAR*")</f>
        <v>46</v>
      </c>
      <c r="D117" s="13">
        <f>COUNTIFS(CFIdb!$Z$2:'CFIdb'!$Z$2000,"",CFIdb!$O$2:'CFIdb'!$O$2000,"*"&amp;D$103&amp;"*",CFIdb!$E$2:'CFIdb'!$E$2000,"*3PAR*")</f>
        <v>14</v>
      </c>
      <c r="E117" s="17">
        <f>COUNTIFS(CFIdb!$Z$2:'CFIdb'!$Z$2000,"",CFIdb!$O$2:'CFIdb'!$O$2000,"*"&amp;$E$103&amp;"*",CFIdb!$E$2:'CFIdb'!$E$2000,"*3PAR*")</f>
        <v>0</v>
      </c>
      <c r="F117" s="17">
        <f>COUNTIFS(CFIdb!$Z$2:'CFIdb'!$Z$2000,"",CFIdb!$O$2:'CFIdb'!$O$2000,"*"&amp;$F$103&amp;"*",CFIdb!$E$2:'CFIdb'!$E$2000,"*3PAR*")</f>
        <v>1</v>
      </c>
      <c r="G117" s="18">
        <f>COUNTIFS(CFIdb!$Z$2:'CFIdb'!$Z$2000,"",CFIdb!$O$2:'CFIdb'!$O$2000,"*"&amp;$G$103&amp;"*",CFIdb!$E$2:'CFIdb'!$E$2000,"*3PAR*")</f>
        <v>4</v>
      </c>
      <c r="H117" s="18">
        <f>COUNTIFS(CFIdb!$Z$2:'CFIdb'!$Z$2000,"",CFIdb!$O$2:'CFIdb'!$O$2000,"*"&amp;H$103&amp;"*",CFIdb!$E$2:'CFIdb'!$E$2000,"*3PAR*")</f>
        <v>2</v>
      </c>
      <c r="I117" s="14">
        <f>COUNTIFS(CFIdb!$Z$2:'CFIdb'!$Z$2000,"",CFIdb!$O$2:'CFIdb'!$O$2000,"*"&amp;$I$103&amp;"*",CFIdb!$E$2:'CFIdb'!$E$2000,"*3PAR*")</f>
        <v>8</v>
      </c>
      <c r="J117" s="14">
        <f>COUNTIFS(CFIdb!$Z$2:'CFIdb'!$Z$2000,"",CFIdb!$O$2:'CFIdb'!$O$2000,"*"&amp;$J$103&amp;"*",CFIdb!$E$2:'CFIdb'!$E$2000,"*3PAR*")</f>
        <v>10</v>
      </c>
      <c r="K117" s="14">
        <f>COUNTIFS(CFIdb!$Z$2:'CFIdb'!$Z$2000,"",CFIdb!$O$2:'CFIdb'!$O$2000,"*"&amp;$K$103&amp;"*",CFIdb!$E$2:'CFIdb'!$E$2000,"*3PAR*")</f>
        <v>0</v>
      </c>
      <c r="L117" s="14">
        <f>COUNTIFS(CFIdb!$Z$2:'CFIdb'!$Z$2000,"",CFIdb!$O$2:'CFIdb'!$O$2000,"*"&amp;$L$103&amp;"*",CFIdb!$E$2:'CFIdb'!$E$2000,"*3PAR*")</f>
        <v>7</v>
      </c>
      <c r="M117" s="16">
        <f>COUNTIFS(CFIdb!$Z$2:'CFIdb'!$Z$2000,"",CFIdb!$O$2:'CFIdb'!$O$2000,"*"&amp;M$103&amp;"*",CFIdb!$E$2:'CFIdb'!$E$2000,"*3PAR*")</f>
        <v>0</v>
      </c>
      <c r="N117" s="16">
        <f>COUNTIFS(CFIdb!$Z$2:'CFIdb'!$Z$2000,"",CFIdb!$O$2:'CFIdb'!$O$2000,"*"&amp;N$103&amp;"*",CFIdb!$E$2:'CFIdb'!$E$2000,"*3PAR*")</f>
        <v>0</v>
      </c>
      <c r="O117" s="16">
        <f>COUNTIFS(CFIdb!$Z$2:'CFIdb'!$Z$2000,"",CFIdb!$O$2:'CFIdb'!$O$2000,"*"&amp;O$103&amp;"*",CFIdb!$E$2:'CFIdb'!$E$2000,"*3PAR*")</f>
        <v>0</v>
      </c>
      <c r="P117" t="str">
        <f>CONCATENATE(COUNTIFS(CFIdb!$Z$2:'CFIdb'!$Z$2000,"",CFIdb!$E$2:'CFIdb'!$E$2000,"*3PAR*"),"/",SUM(D117:O117))</f>
        <v>46/46</v>
      </c>
    </row>
    <row r="118" spans="2:16" x14ac:dyDescent="0.25">
      <c r="B118" s="29" t="str">
        <f>B99</f>
        <v>Total</v>
      </c>
      <c r="C118">
        <f>SUM(C104:C117)</f>
        <v>318</v>
      </c>
      <c r="D118">
        <f t="shared" ref="D118:O118" si="32">SUM(D104:D117)</f>
        <v>58</v>
      </c>
      <c r="E118">
        <f t="shared" si="32"/>
        <v>19</v>
      </c>
      <c r="F118">
        <f t="shared" si="32"/>
        <v>13</v>
      </c>
      <c r="G118">
        <f t="shared" si="32"/>
        <v>9</v>
      </c>
      <c r="H118">
        <f t="shared" si="32"/>
        <v>3</v>
      </c>
      <c r="I118">
        <f t="shared" si="32"/>
        <v>57</v>
      </c>
      <c r="J118">
        <f t="shared" si="32"/>
        <v>120</v>
      </c>
      <c r="K118">
        <f t="shared" si="32"/>
        <v>2</v>
      </c>
      <c r="L118">
        <f t="shared" si="32"/>
        <v>35</v>
      </c>
      <c r="M118">
        <f t="shared" si="32"/>
        <v>1</v>
      </c>
      <c r="N118">
        <f t="shared" si="32"/>
        <v>1</v>
      </c>
      <c r="O118">
        <f t="shared" si="32"/>
        <v>0</v>
      </c>
      <c r="P118">
        <f>SUM(D118:O118)</f>
        <v>318</v>
      </c>
    </row>
  </sheetData>
  <conditionalFormatting sqref="B65">
    <cfRule type="expression" dxfId="22" priority="4">
      <formula>IF((T65+U65+V65)&gt;0,IF(FIND("Data",S65)&gt;0,1,0))</formula>
    </cfRule>
    <cfRule type="expression" dxfId="21" priority="5">
      <formula>IF((T65+U65+V65)&gt;0,IF(ISBLANK(S65),1,IF(FIND("--",S65),1,0)))</formula>
    </cfRule>
    <cfRule type="expression" dxfId="20" priority="6">
      <formula>IF((T65+U65+V65)=0,IF(FIND("Data",S65)&gt;0,1,0))</formula>
    </cfRule>
  </conditionalFormatting>
  <conditionalFormatting sqref="B66">
    <cfRule type="expression" dxfId="19" priority="1">
      <formula>IF((T66+U66+V66)&gt;0,IF(FIND("Data",S66)&gt;0,1,0))</formula>
    </cfRule>
    <cfRule type="expression" dxfId="18" priority="2">
      <formula>IF((T66+U66+V66)&gt;0,IF(ISBLANK(S66),1,IF(FIND("--",S66),1,0)))</formula>
    </cfRule>
    <cfRule type="expression" dxfId="17" priority="3">
      <formula>IF((T66+U66+V66)=0,IF(FIND("Data",S66)&gt;0,1,0))</formula>
    </cfRule>
  </conditionalFormatting>
  <hyperlinks>
    <hyperlink ref="B2" location="Dashboard!B70" display="3PAR File Persona specific CFI metrics"/>
    <hyperlink ref="B70" location="Dashboard!B1" display="3PAR File Persona Only"/>
    <hyperlink ref="B10" location="Dashboard!B1" display="Combined StoreOnce and 3PAR File Persona"/>
    <hyperlink ref="B1" location="Dashboard!B10" display="Combined StoreOnce and 3PAR File Persona"/>
  </hyperlinks>
  <pageMargins left="0.25" right="0.25" top="0.75" bottom="0.75" header="0.3" footer="0.3"/>
  <pageSetup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050" r:id="rId4" name="Button 2">
              <controlPr defaultSize="0" print="0" autoFill="0" autoPict="0" macro="[0]!AllDev">
                <anchor moveWithCells="1" sizeWithCells="1">
                  <from>
                    <xdr:col>3</xdr:col>
                    <xdr:colOff>47625</xdr:colOff>
                    <xdr:row>46</xdr:row>
                    <xdr:rowOff>19050</xdr:rowOff>
                  </from>
                  <to>
                    <xdr:col>3</xdr:col>
                    <xdr:colOff>485775</xdr:colOff>
                    <xdr:row>46</xdr:row>
                    <xdr:rowOff>219075</xdr:rowOff>
                  </to>
                </anchor>
              </controlPr>
            </control>
          </mc:Choice>
        </mc:AlternateContent>
        <mc:AlternateContent xmlns:mc="http://schemas.openxmlformats.org/markup-compatibility/2006">
          <mc:Choice Requires="x14">
            <control shapeId="2051" r:id="rId5" name="Button 3">
              <controlPr defaultSize="0" print="0" autoFill="0" autoPict="0" macro="[0]!EmergOpenNewAssign">
                <anchor moveWithCells="1" sizeWithCells="1">
                  <from>
                    <xdr:col>3</xdr:col>
                    <xdr:colOff>76200</xdr:colOff>
                    <xdr:row>29</xdr:row>
                    <xdr:rowOff>38100</xdr:rowOff>
                  </from>
                  <to>
                    <xdr:col>3</xdr:col>
                    <xdr:colOff>809625</xdr:colOff>
                    <xdr:row>29</xdr:row>
                    <xdr:rowOff>228600</xdr:rowOff>
                  </to>
                </anchor>
              </controlPr>
            </control>
          </mc:Choice>
        </mc:AlternateContent>
        <mc:AlternateContent xmlns:mc="http://schemas.openxmlformats.org/markup-compatibility/2006">
          <mc:Choice Requires="x14">
            <control shapeId="2052" r:id="rId6" name="Button 4">
              <controlPr defaultSize="0" print="0" autoFill="0" autoPict="0" macro="[0]!EmergeOpenDev">
                <anchor moveWithCells="1" sizeWithCells="1">
                  <from>
                    <xdr:col>3</xdr:col>
                    <xdr:colOff>66675</xdr:colOff>
                    <xdr:row>15</xdr:row>
                    <xdr:rowOff>47625</xdr:rowOff>
                  </from>
                  <to>
                    <xdr:col>3</xdr:col>
                    <xdr:colOff>866775</xdr:colOff>
                    <xdr:row>15</xdr:row>
                    <xdr:rowOff>276225</xdr:rowOff>
                  </to>
                </anchor>
              </controlPr>
            </control>
          </mc:Choice>
        </mc:AlternateContent>
        <mc:AlternateContent xmlns:mc="http://schemas.openxmlformats.org/markup-compatibility/2006">
          <mc:Choice Requires="x14">
            <control shapeId="2053" r:id="rId7" name="Button 5">
              <controlPr defaultSize="0" print="0" autoFill="0" autoPict="0" macro="[0]!AllDevActive">
                <anchor moveWithCells="1" sizeWithCells="1">
                  <from>
                    <xdr:col>0</xdr:col>
                    <xdr:colOff>0</xdr:colOff>
                    <xdr:row>20</xdr:row>
                    <xdr:rowOff>161925</xdr:rowOff>
                  </from>
                  <to>
                    <xdr:col>1</xdr:col>
                    <xdr:colOff>171450</xdr:colOff>
                    <xdr:row>20</xdr:row>
                    <xdr:rowOff>342900</xdr:rowOff>
                  </to>
                </anchor>
              </controlPr>
            </control>
          </mc:Choice>
        </mc:AlternateContent>
        <mc:AlternateContent xmlns:mc="http://schemas.openxmlformats.org/markup-compatibility/2006">
          <mc:Choice Requires="x14">
            <control shapeId="2054" r:id="rId8" name="Button 6">
              <controlPr defaultSize="0" print="0" autoFill="0" autoPict="0" macro="[0]!nonBlankDev">
                <anchor moveWithCells="1" sizeWithCells="1">
                  <from>
                    <xdr:col>3</xdr:col>
                    <xdr:colOff>66675</xdr:colOff>
                    <xdr:row>46</xdr:row>
                    <xdr:rowOff>314325</xdr:rowOff>
                  </from>
                  <to>
                    <xdr:col>3</xdr:col>
                    <xdr:colOff>571500</xdr:colOff>
                    <xdr:row>46</xdr:row>
                    <xdr:rowOff>533400</xdr:rowOff>
                  </to>
                </anchor>
              </controlPr>
            </control>
          </mc:Choice>
        </mc:AlternateContent>
        <mc:AlternateContent xmlns:mc="http://schemas.openxmlformats.org/markup-compatibility/2006">
          <mc:Choice Requires="x14">
            <control shapeId="2055" r:id="rId9" name="Button 7">
              <controlPr defaultSize="0" print="0" autoFill="0" autoPict="0" macro="[0]!SMBopen">
                <anchor moveWithCells="1" sizeWithCells="1">
                  <from>
                    <xdr:col>0</xdr:col>
                    <xdr:colOff>66675</xdr:colOff>
                    <xdr:row>30</xdr:row>
                    <xdr:rowOff>38100</xdr:rowOff>
                  </from>
                  <to>
                    <xdr:col>0</xdr:col>
                    <xdr:colOff>600075</xdr:colOff>
                    <xdr:row>30</xdr:row>
                    <xdr:rowOff>180975</xdr:rowOff>
                  </to>
                </anchor>
              </controlPr>
            </control>
          </mc:Choice>
        </mc:AlternateContent>
        <mc:AlternateContent xmlns:mc="http://schemas.openxmlformats.org/markup-compatibility/2006">
          <mc:Choice Requires="x14">
            <control shapeId="2056" r:id="rId10" name="Button 8">
              <controlPr defaultSize="0" print="0" autoFill="0" autoPict="0" macro="[0]!ProductOpen">
                <anchor moveWithCells="1" sizeWithCells="1">
                  <from>
                    <xdr:col>0</xdr:col>
                    <xdr:colOff>85725</xdr:colOff>
                    <xdr:row>29</xdr:row>
                    <xdr:rowOff>19050</xdr:rowOff>
                  </from>
                  <to>
                    <xdr:col>1</xdr:col>
                    <xdr:colOff>285750</xdr:colOff>
                    <xdr:row>29</xdr:row>
                    <xdr:rowOff>180975</xdr:rowOff>
                  </to>
                </anchor>
              </controlPr>
            </control>
          </mc:Choice>
        </mc:AlternateContent>
        <mc:AlternateContent xmlns:mc="http://schemas.openxmlformats.org/markup-compatibility/2006">
          <mc:Choice Requires="x14">
            <control shapeId="2057" r:id="rId11" name="Button 9">
              <controlPr defaultSize="0" print="0" autoFill="0" autoPict="0" macro="[0]!ProductOpen3parFP" altText="Any product 3par">
                <anchor moveWithCells="1" sizeWithCells="1">
                  <from>
                    <xdr:col>0</xdr:col>
                    <xdr:colOff>57150</xdr:colOff>
                    <xdr:row>83</xdr:row>
                    <xdr:rowOff>28575</xdr:rowOff>
                  </from>
                  <to>
                    <xdr:col>2</xdr:col>
                    <xdr:colOff>57150</xdr:colOff>
                    <xdr:row>83</xdr:row>
                    <xdr:rowOff>276225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filterMode="1"/>
  <dimension ref="A1:BM2083"/>
  <sheetViews>
    <sheetView zoomScale="91" zoomScaleNormal="91" workbookViewId="0">
      <pane ySplit="1" topLeftCell="A2" activePane="bottomLeft" state="frozen"/>
      <selection pane="bottomLeft" activeCell="A2" sqref="A2"/>
    </sheetView>
  </sheetViews>
  <sheetFormatPr defaultRowHeight="15" x14ac:dyDescent="0.25"/>
  <cols>
    <col min="1" max="1" width="10.28515625" customWidth="1"/>
    <col min="3" max="3" width="18.7109375" bestFit="1" customWidth="1"/>
    <col min="4" max="4" width="9.140625" customWidth="1"/>
    <col min="5" max="5" width="26.42578125" customWidth="1"/>
    <col min="6" max="11" width="9.140625" customWidth="1"/>
    <col min="12" max="13" width="18.140625" customWidth="1"/>
    <col min="14" max="14" width="17.85546875" customWidth="1"/>
    <col min="15" max="15" width="18" customWidth="1"/>
    <col min="16" max="16" width="14.28515625" customWidth="1"/>
    <col min="17" max="17" width="86.42578125" customWidth="1"/>
    <col min="18" max="18" width="11.7109375" customWidth="1"/>
    <col min="19" max="19" width="9.140625" customWidth="1"/>
    <col min="20" max="20" width="25.5703125" customWidth="1"/>
    <col min="21" max="21" width="28.28515625" customWidth="1"/>
    <col min="22" max="22" width="18" customWidth="1"/>
    <col min="23" max="23" width="13.28515625" customWidth="1"/>
    <col min="24" max="24" width="13.85546875" customWidth="1"/>
    <col min="25" max="25" width="11.85546875" customWidth="1"/>
    <col min="26" max="26" width="25.85546875" bestFit="1" customWidth="1"/>
  </cols>
  <sheetData>
    <row r="1" spans="1:65" x14ac:dyDescent="0.25">
      <c r="A1" s="7" t="s">
        <v>848</v>
      </c>
      <c r="B1" t="s">
        <v>604</v>
      </c>
      <c r="C1" t="s">
        <v>605</v>
      </c>
      <c r="D1" t="str">
        <f>CONCATENATE("Division   ",SUBTOTAL(3,D2:D1000))</f>
        <v>Division   55</v>
      </c>
      <c r="E1" s="2" t="str">
        <f>CONCATENATE("ProductFamily  ",SUBTOTAL(3,E2:E2000))</f>
        <v>ProductFamily  55</v>
      </c>
      <c r="F1" t="s">
        <v>607</v>
      </c>
      <c r="G1" t="s">
        <v>608</v>
      </c>
      <c r="H1" t="s">
        <v>609</v>
      </c>
      <c r="I1" t="s">
        <v>610</v>
      </c>
      <c r="J1" t="s">
        <v>611</v>
      </c>
      <c r="K1" t="s">
        <v>4095</v>
      </c>
      <c r="L1" t="s">
        <v>612</v>
      </c>
      <c r="M1" t="s">
        <v>613</v>
      </c>
      <c r="N1" t="s">
        <v>614</v>
      </c>
      <c r="O1" t="s">
        <v>615</v>
      </c>
      <c r="P1" t="s">
        <v>616</v>
      </c>
      <c r="Q1" t="s">
        <v>617</v>
      </c>
      <c r="R1" t="s">
        <v>13</v>
      </c>
      <c r="S1" t="s">
        <v>14</v>
      </c>
      <c r="T1" t="s">
        <v>4094</v>
      </c>
      <c r="U1" t="s">
        <v>4052</v>
      </c>
      <c r="V1" t="s">
        <v>4064</v>
      </c>
      <c r="W1" t="str">
        <f>CONCATENATE("DU  ",COUNTIF(W2:W2000,1))</f>
        <v>DU  292</v>
      </c>
      <c r="X1" t="str">
        <f>CONCATENATE("DL  ",COUNTIF(X2:X2000,1))</f>
        <v>DL  24</v>
      </c>
      <c r="Y1" t="str">
        <f>CONCATENATE("DI  ",COUNTIF(Y2:Y2000,1))</f>
        <v>DI  18</v>
      </c>
      <c r="Z1" t="s">
        <v>19</v>
      </c>
      <c r="BM1" s="1"/>
    </row>
    <row r="2" spans="1:65" hidden="1" x14ac:dyDescent="0.25">
      <c r="A2" s="2"/>
      <c r="B2" s="2">
        <f>HYPERLINK(URLs!B30 &amp; 21387 &amp; URLs!B32,21387)</f>
        <v>21387</v>
      </c>
      <c r="C2" t="s">
        <v>618</v>
      </c>
      <c r="D2" t="s">
        <v>619</v>
      </c>
      <c r="E2" t="s">
        <v>620</v>
      </c>
      <c r="F2" t="s">
        <v>621</v>
      </c>
      <c r="G2" t="s">
        <v>631</v>
      </c>
      <c r="H2" t="s">
        <v>632</v>
      </c>
      <c r="I2" t="s">
        <v>624</v>
      </c>
      <c r="J2" t="s">
        <v>625</v>
      </c>
      <c r="L2" s="5">
        <v>43439.172071759262</v>
      </c>
      <c r="N2" s="2">
        <f>HYPERLINK(URLs!B36 &amp; 122736,122736)</f>
        <v>122736</v>
      </c>
      <c r="O2" t="s">
        <v>626</v>
      </c>
      <c r="P2" t="s">
        <v>621</v>
      </c>
      <c r="Q2" t="s">
        <v>5113</v>
      </c>
      <c r="R2" t="s">
        <v>67</v>
      </c>
      <c r="AC2" s="2"/>
      <c r="AI2" s="2"/>
      <c r="AJ2" s="2"/>
      <c r="AR2" s="2"/>
    </row>
    <row r="3" spans="1:65" hidden="1" x14ac:dyDescent="0.25">
      <c r="A3" s="2"/>
      <c r="B3" s="2">
        <f>HYPERLINK(URLs!B30 &amp; 21385 &amp; URLs!B32,21385)</f>
        <v>21385</v>
      </c>
      <c r="C3" t="s">
        <v>618</v>
      </c>
      <c r="D3" t="s">
        <v>619</v>
      </c>
      <c r="E3" t="s">
        <v>620</v>
      </c>
      <c r="F3" t="s">
        <v>621</v>
      </c>
      <c r="G3" t="s">
        <v>631</v>
      </c>
      <c r="H3" t="s">
        <v>632</v>
      </c>
      <c r="I3" t="s">
        <v>624</v>
      </c>
      <c r="J3" t="s">
        <v>642</v>
      </c>
      <c r="L3" s="5">
        <v>43439.137256944443</v>
      </c>
      <c r="N3" s="2">
        <f>HYPERLINK(URLs!B36 &amp; 122729,122729)</f>
        <v>122729</v>
      </c>
      <c r="O3" t="s">
        <v>626</v>
      </c>
      <c r="P3" t="s">
        <v>621</v>
      </c>
      <c r="Q3" t="s">
        <v>5114</v>
      </c>
      <c r="R3" t="s">
        <v>67</v>
      </c>
      <c r="AC3" s="2"/>
      <c r="AJ3" s="2"/>
      <c r="AR3" s="2"/>
    </row>
    <row r="4" spans="1:65" hidden="1" x14ac:dyDescent="0.25">
      <c r="A4" s="2"/>
      <c r="B4" s="2">
        <f>HYPERLINK(URLs!B30 &amp; 21373 &amp; URLs!B32,21373)</f>
        <v>21373</v>
      </c>
      <c r="C4" t="s">
        <v>618</v>
      </c>
      <c r="D4" t="s">
        <v>619</v>
      </c>
      <c r="E4" t="s">
        <v>850</v>
      </c>
      <c r="F4" t="s">
        <v>621</v>
      </c>
      <c r="G4" t="s">
        <v>858</v>
      </c>
      <c r="H4" t="s">
        <v>859</v>
      </c>
      <c r="I4" t="s">
        <v>624</v>
      </c>
      <c r="J4" t="s">
        <v>642</v>
      </c>
      <c r="L4" s="5">
        <v>43438.321562500001</v>
      </c>
      <c r="N4" s="2">
        <f>HYPERLINK(URLs!B36 &amp; 119051,119051)</f>
        <v>119051</v>
      </c>
      <c r="O4" t="s">
        <v>626</v>
      </c>
      <c r="P4" t="s">
        <v>621</v>
      </c>
      <c r="Q4" t="s">
        <v>5115</v>
      </c>
      <c r="AC4" s="2"/>
      <c r="AI4" s="2"/>
      <c r="AJ4" s="2"/>
      <c r="AR4" s="2"/>
      <c r="BM4" s="1"/>
    </row>
    <row r="5" spans="1:65" hidden="1" x14ac:dyDescent="0.25">
      <c r="A5" s="2"/>
      <c r="B5" s="2">
        <f>HYPERLINK(URLs!B30 &amp; 21362 &amp; URLs!B32,21362)</f>
        <v>21362</v>
      </c>
      <c r="C5" t="s">
        <v>618</v>
      </c>
      <c r="D5" t="s">
        <v>619</v>
      </c>
      <c r="E5" t="s">
        <v>850</v>
      </c>
      <c r="F5" t="s">
        <v>621</v>
      </c>
      <c r="G5" t="s">
        <v>889</v>
      </c>
      <c r="H5" t="s">
        <v>890</v>
      </c>
      <c r="I5" t="s">
        <v>624</v>
      </c>
      <c r="J5" t="s">
        <v>629</v>
      </c>
      <c r="L5" s="5">
        <v>43434.40960648148</v>
      </c>
      <c r="N5" t="s">
        <v>621</v>
      </c>
      <c r="O5" t="s">
        <v>626</v>
      </c>
      <c r="P5" t="s">
        <v>621</v>
      </c>
      <c r="Q5" t="s">
        <v>5116</v>
      </c>
      <c r="W5">
        <v>1</v>
      </c>
      <c r="AC5" s="2"/>
      <c r="AH5" s="1"/>
      <c r="AI5" s="2"/>
      <c r="AJ5" s="2"/>
      <c r="AR5" s="2"/>
      <c r="AW5" s="1"/>
    </row>
    <row r="6" spans="1:65" hidden="1" x14ac:dyDescent="0.25">
      <c r="A6" s="2"/>
      <c r="B6" s="2">
        <f>HYPERLINK(URLs!B30 &amp; 21354 &amp; URLs!B32,21354)</f>
        <v>21354</v>
      </c>
      <c r="C6" t="s">
        <v>618</v>
      </c>
      <c r="D6" t="s">
        <v>619</v>
      </c>
      <c r="E6" t="s">
        <v>850</v>
      </c>
      <c r="F6" t="s">
        <v>621</v>
      </c>
      <c r="G6" t="s">
        <v>858</v>
      </c>
      <c r="H6" t="s">
        <v>859</v>
      </c>
      <c r="I6" t="s">
        <v>624</v>
      </c>
      <c r="J6" t="s">
        <v>625</v>
      </c>
      <c r="L6" s="5">
        <v>43433.566886574074</v>
      </c>
      <c r="N6" t="s">
        <v>621</v>
      </c>
      <c r="O6" t="s">
        <v>626</v>
      </c>
      <c r="P6" t="s">
        <v>621</v>
      </c>
      <c r="Q6" t="s">
        <v>5117</v>
      </c>
      <c r="AC6" s="2"/>
      <c r="AJ6" s="2"/>
      <c r="AR6" s="2"/>
    </row>
    <row r="7" spans="1:65" hidden="1" x14ac:dyDescent="0.25">
      <c r="A7" s="2"/>
      <c r="B7" s="2">
        <f>HYPERLINK(URLs!B30 &amp; 21352 &amp; URLs!B32,21352)</f>
        <v>21352</v>
      </c>
      <c r="C7" t="s">
        <v>618</v>
      </c>
      <c r="D7" t="s">
        <v>619</v>
      </c>
      <c r="E7" t="s">
        <v>850</v>
      </c>
      <c r="F7" t="s">
        <v>621</v>
      </c>
      <c r="G7" t="s">
        <v>875</v>
      </c>
      <c r="H7" t="s">
        <v>876</v>
      </c>
      <c r="I7" t="s">
        <v>624</v>
      </c>
      <c r="J7" t="s">
        <v>625</v>
      </c>
      <c r="L7" s="5">
        <v>43433.524895833332</v>
      </c>
      <c r="N7" s="2">
        <f>HYPERLINK(URLs!B36 &amp; 122050,122050)</f>
        <v>122050</v>
      </c>
      <c r="O7" t="s">
        <v>626</v>
      </c>
      <c r="P7" t="s">
        <v>621</v>
      </c>
      <c r="Q7" t="s">
        <v>5118</v>
      </c>
      <c r="R7" t="s">
        <v>67</v>
      </c>
      <c r="AC7" s="2"/>
      <c r="AI7" s="2"/>
      <c r="AJ7" s="2"/>
      <c r="AR7" s="2"/>
    </row>
    <row r="8" spans="1:65" hidden="1" x14ac:dyDescent="0.25">
      <c r="A8" s="2"/>
      <c r="B8" s="2">
        <f>HYPERLINK(URLs!B30 &amp; 21346 &amp; URLs!B32,21346)</f>
        <v>21346</v>
      </c>
      <c r="C8" t="s">
        <v>618</v>
      </c>
      <c r="D8" t="s">
        <v>619</v>
      </c>
      <c r="E8" t="s">
        <v>850</v>
      </c>
      <c r="F8" t="s">
        <v>621</v>
      </c>
      <c r="G8" t="s">
        <v>889</v>
      </c>
      <c r="H8" t="s">
        <v>890</v>
      </c>
      <c r="I8" t="s">
        <v>624</v>
      </c>
      <c r="J8" t="s">
        <v>625</v>
      </c>
      <c r="L8" s="5">
        <v>43432.631388888891</v>
      </c>
      <c r="N8" s="2">
        <f>HYPERLINK(URLs!B36 &amp; 122198,122198)</f>
        <v>122198</v>
      </c>
      <c r="O8" t="s">
        <v>637</v>
      </c>
      <c r="P8" t="s">
        <v>621</v>
      </c>
      <c r="Q8" t="s">
        <v>5119</v>
      </c>
      <c r="W8">
        <v>1</v>
      </c>
      <c r="AC8" s="2"/>
      <c r="AI8" s="2"/>
      <c r="AJ8" s="2"/>
      <c r="AR8" s="2"/>
    </row>
    <row r="9" spans="1:65" hidden="1" x14ac:dyDescent="0.25">
      <c r="A9" s="2"/>
      <c r="B9" s="2">
        <f>HYPERLINK(URLs!B30 &amp; 21336 &amp; URLs!B32,21336)</f>
        <v>21336</v>
      </c>
      <c r="C9" t="s">
        <v>618</v>
      </c>
      <c r="D9" t="s">
        <v>619</v>
      </c>
      <c r="E9" t="s">
        <v>620</v>
      </c>
      <c r="F9" t="s">
        <v>621</v>
      </c>
      <c r="G9" t="s">
        <v>622</v>
      </c>
      <c r="H9" t="s">
        <v>623</v>
      </c>
      <c r="I9" t="s">
        <v>624</v>
      </c>
      <c r="J9" t="s">
        <v>629</v>
      </c>
      <c r="L9" s="5">
        <v>43431.610509259262</v>
      </c>
      <c r="N9" s="2">
        <f>HYPERLINK(URLs!B36 &amp; 110370,110370)</f>
        <v>110370</v>
      </c>
      <c r="O9" t="s">
        <v>626</v>
      </c>
      <c r="P9" t="s">
        <v>621</v>
      </c>
      <c r="Q9" t="s">
        <v>5120</v>
      </c>
      <c r="AC9" s="2"/>
      <c r="AI9" s="2"/>
      <c r="AJ9" s="2"/>
      <c r="AR9" s="2"/>
    </row>
    <row r="10" spans="1:65" hidden="1" x14ac:dyDescent="0.25">
      <c r="A10" s="2"/>
      <c r="B10" s="2">
        <f>HYPERLINK(URLs!B30 &amp; 21334 &amp; URLs!B32,21334)</f>
        <v>21334</v>
      </c>
      <c r="C10" t="s">
        <v>618</v>
      </c>
      <c r="D10" t="s">
        <v>619</v>
      </c>
      <c r="E10" t="s">
        <v>620</v>
      </c>
      <c r="F10" t="s">
        <v>621</v>
      </c>
      <c r="G10" t="s">
        <v>631</v>
      </c>
      <c r="H10" t="s">
        <v>632</v>
      </c>
      <c r="I10" t="s">
        <v>624</v>
      </c>
      <c r="J10" t="s">
        <v>629</v>
      </c>
      <c r="L10" s="5">
        <v>43431.350451388891</v>
      </c>
      <c r="N10" s="2">
        <f>HYPERLINK(URLs!B36 &amp; 122490,122490)</f>
        <v>122490</v>
      </c>
      <c r="O10" t="s">
        <v>626</v>
      </c>
      <c r="P10" t="s">
        <v>621</v>
      </c>
      <c r="Q10" t="s">
        <v>5121</v>
      </c>
      <c r="AJ10" s="2"/>
    </row>
    <row r="11" spans="1:65" x14ac:dyDescent="0.25">
      <c r="A11" s="2"/>
      <c r="B11" s="2">
        <f>HYPERLINK(URLs!B30 &amp; 21330 &amp; URLs!B32,21330)</f>
        <v>21330</v>
      </c>
      <c r="C11" t="s">
        <v>618</v>
      </c>
      <c r="D11" t="s">
        <v>619</v>
      </c>
      <c r="E11" t="s">
        <v>620</v>
      </c>
      <c r="F11" t="s">
        <v>621</v>
      </c>
      <c r="G11" t="s">
        <v>631</v>
      </c>
      <c r="H11" t="s">
        <v>632</v>
      </c>
      <c r="I11" t="s">
        <v>624</v>
      </c>
      <c r="J11" t="s">
        <v>625</v>
      </c>
      <c r="L11" s="5">
        <v>43430.98474537037</v>
      </c>
      <c r="N11" s="2">
        <f>HYPERLINK(URLs!B36 &amp; 122463,122463)</f>
        <v>122463</v>
      </c>
      <c r="O11" t="s">
        <v>637</v>
      </c>
      <c r="P11" t="s">
        <v>621</v>
      </c>
      <c r="Q11" t="s">
        <v>5122</v>
      </c>
      <c r="R11" t="s">
        <v>42</v>
      </c>
      <c r="AC11" s="2"/>
      <c r="AI11" s="2"/>
      <c r="AJ11" s="2"/>
      <c r="AR11" s="2"/>
    </row>
    <row r="12" spans="1:65" hidden="1" x14ac:dyDescent="0.25">
      <c r="A12" s="2"/>
      <c r="B12" s="2">
        <f>HYPERLINK(URLs!B30 &amp; 21322 &amp; URLs!B32,21322)</f>
        <v>21322</v>
      </c>
      <c r="C12" t="s">
        <v>618</v>
      </c>
      <c r="D12" t="s">
        <v>619</v>
      </c>
      <c r="E12" t="s">
        <v>850</v>
      </c>
      <c r="F12" t="s">
        <v>621</v>
      </c>
      <c r="G12" t="s">
        <v>851</v>
      </c>
      <c r="H12" t="s">
        <v>856</v>
      </c>
      <c r="I12" t="s">
        <v>624</v>
      </c>
      <c r="J12" t="s">
        <v>625</v>
      </c>
      <c r="L12" s="5">
        <v>43426.227164351854</v>
      </c>
      <c r="N12" s="2">
        <f>HYPERLINK(URLs!B36 &amp; 121215,121215)</f>
        <v>121215</v>
      </c>
      <c r="O12" t="s">
        <v>637</v>
      </c>
      <c r="P12" t="s">
        <v>621</v>
      </c>
      <c r="Q12" t="s">
        <v>5123</v>
      </c>
      <c r="AC12" s="2"/>
      <c r="AI12" s="2"/>
      <c r="AJ12" s="2"/>
      <c r="AR12" s="2"/>
      <c r="BM12" s="1"/>
    </row>
    <row r="13" spans="1:65" hidden="1" x14ac:dyDescent="0.25">
      <c r="A13" s="2"/>
      <c r="B13" s="2">
        <f>HYPERLINK(URLs!B30 &amp; 21319 &amp; URLs!B32,21319)</f>
        <v>21319</v>
      </c>
      <c r="C13" t="s">
        <v>618</v>
      </c>
      <c r="D13" t="s">
        <v>619</v>
      </c>
      <c r="E13" t="s">
        <v>850</v>
      </c>
      <c r="F13" t="s">
        <v>621</v>
      </c>
      <c r="G13" t="s">
        <v>889</v>
      </c>
      <c r="H13" t="s">
        <v>890</v>
      </c>
      <c r="I13" t="s">
        <v>624</v>
      </c>
      <c r="J13" t="s">
        <v>629</v>
      </c>
      <c r="L13" s="5">
        <v>43425.623611111114</v>
      </c>
      <c r="N13" s="2">
        <f>HYPERLINK(URLs!B36 &amp; 121931,121931)</f>
        <v>121931</v>
      </c>
      <c r="O13" t="s">
        <v>637</v>
      </c>
      <c r="P13" t="s">
        <v>621</v>
      </c>
      <c r="Q13" t="s">
        <v>5124</v>
      </c>
      <c r="AC13" s="2"/>
      <c r="AH13" s="1"/>
      <c r="AI13" s="2"/>
      <c r="AJ13" s="2"/>
      <c r="AR13" s="2"/>
      <c r="AW13" s="1"/>
    </row>
    <row r="14" spans="1:65" hidden="1" x14ac:dyDescent="0.25">
      <c r="A14" s="2"/>
      <c r="B14" s="2">
        <f>HYPERLINK(URLs!B30 &amp; 21315 &amp; URLs!B32,21315)</f>
        <v>21315</v>
      </c>
      <c r="C14" t="s">
        <v>618</v>
      </c>
      <c r="D14" t="s">
        <v>619</v>
      </c>
      <c r="E14" t="s">
        <v>850</v>
      </c>
      <c r="F14" t="s">
        <v>621</v>
      </c>
      <c r="G14" t="s">
        <v>886</v>
      </c>
      <c r="H14" t="s">
        <v>887</v>
      </c>
      <c r="I14" t="s">
        <v>624</v>
      </c>
      <c r="J14" t="s">
        <v>625</v>
      </c>
      <c r="L14" s="5">
        <v>43425.345682870371</v>
      </c>
      <c r="N14" s="2">
        <f>HYPERLINK(URLs!B36 &amp; 122190,122190)</f>
        <v>122190</v>
      </c>
      <c r="O14" t="s">
        <v>637</v>
      </c>
      <c r="P14" t="s">
        <v>621</v>
      </c>
      <c r="Q14" t="s">
        <v>5125</v>
      </c>
      <c r="AC14" s="2"/>
      <c r="AJ14" s="2"/>
      <c r="AR14" s="2"/>
    </row>
    <row r="15" spans="1:65" x14ac:dyDescent="0.25">
      <c r="A15" s="2">
        <f>HYPERLINK(URLs!B36 &amp; 109426,109426)</f>
        <v>109426</v>
      </c>
      <c r="B15" s="2">
        <f>HYPERLINK(URLs!B30 &amp; 21299 &amp; URLs!B32,21299)</f>
        <v>21299</v>
      </c>
      <c r="C15" t="s">
        <v>641</v>
      </c>
      <c r="D15" t="s">
        <v>619</v>
      </c>
      <c r="E15" t="s">
        <v>620</v>
      </c>
      <c r="F15" t="s">
        <v>621</v>
      </c>
      <c r="G15" t="s">
        <v>622</v>
      </c>
      <c r="H15" t="s">
        <v>623</v>
      </c>
      <c r="I15" t="s">
        <v>624</v>
      </c>
      <c r="J15" t="s">
        <v>629</v>
      </c>
      <c r="K15" t="s">
        <v>68</v>
      </c>
      <c r="L15" s="5">
        <v>43420.523958333331</v>
      </c>
      <c r="N15" s="2">
        <f>HYPERLINK(URLs!B36 &amp; 109426,109426)</f>
        <v>109426</v>
      </c>
      <c r="O15" t="s">
        <v>637</v>
      </c>
      <c r="P15" t="s">
        <v>621</v>
      </c>
      <c r="Q15" t="s">
        <v>5105</v>
      </c>
      <c r="R15" t="s">
        <v>67</v>
      </c>
      <c r="T15" t="s">
        <v>4098</v>
      </c>
      <c r="U15" t="s">
        <v>35</v>
      </c>
      <c r="V15" t="s">
        <v>35</v>
      </c>
      <c r="Z15" t="s">
        <v>96</v>
      </c>
      <c r="AC15" s="2"/>
      <c r="AJ15" s="2"/>
      <c r="AR15" s="2"/>
    </row>
    <row r="16" spans="1:65" x14ac:dyDescent="0.25">
      <c r="A16" s="2">
        <f>HYPERLINK(URLs!B36 &amp; 122125,122125)</f>
        <v>122125</v>
      </c>
      <c r="B16" s="2">
        <f>HYPERLINK(URLs!B30 &amp; 21290 &amp; URLs!B32,21290)</f>
        <v>21290</v>
      </c>
      <c r="C16" t="s">
        <v>618</v>
      </c>
      <c r="D16" t="s">
        <v>619</v>
      </c>
      <c r="E16" t="s">
        <v>620</v>
      </c>
      <c r="F16" t="s">
        <v>621</v>
      </c>
      <c r="G16" t="s">
        <v>631</v>
      </c>
      <c r="H16" t="s">
        <v>632</v>
      </c>
      <c r="I16" t="s">
        <v>624</v>
      </c>
      <c r="J16" t="s">
        <v>629</v>
      </c>
      <c r="K16" t="s">
        <v>68</v>
      </c>
      <c r="L16" s="5">
        <v>43420.047002314815</v>
      </c>
      <c r="N16" s="2">
        <f>HYPERLINK(URLs!B36 &amp; 122125,122125)</f>
        <v>122125</v>
      </c>
      <c r="O16" t="s">
        <v>637</v>
      </c>
      <c r="P16" t="s">
        <v>621</v>
      </c>
      <c r="Q16" t="s">
        <v>5106</v>
      </c>
      <c r="R16" t="s">
        <v>67</v>
      </c>
      <c r="T16" t="s">
        <v>4126</v>
      </c>
      <c r="U16" t="s">
        <v>35</v>
      </c>
      <c r="V16" t="s">
        <v>35</v>
      </c>
      <c r="Z16" t="s">
        <v>45</v>
      </c>
      <c r="AC16" s="2"/>
      <c r="AI16" s="2"/>
      <c r="AJ16" s="2"/>
      <c r="AR16" s="2"/>
    </row>
    <row r="17" spans="1:65" x14ac:dyDescent="0.25">
      <c r="A17" s="2"/>
      <c r="B17" s="2">
        <f>HYPERLINK(URLs!B30 &amp; 21288 &amp; URLs!B32,21288)</f>
        <v>21288</v>
      </c>
      <c r="C17" t="s">
        <v>641</v>
      </c>
      <c r="D17" t="s">
        <v>619</v>
      </c>
      <c r="E17" t="s">
        <v>620</v>
      </c>
      <c r="F17" t="s">
        <v>621</v>
      </c>
      <c r="G17" t="s">
        <v>622</v>
      </c>
      <c r="H17" t="s">
        <v>623</v>
      </c>
      <c r="I17" t="s">
        <v>624</v>
      </c>
      <c r="J17" t="s">
        <v>625</v>
      </c>
      <c r="L17" s="5">
        <v>43419.598946759259</v>
      </c>
      <c r="N17" s="2">
        <f>HYPERLINK(URLs!B37 &amp; 253079,253079)</f>
        <v>253079</v>
      </c>
      <c r="O17" t="s">
        <v>637</v>
      </c>
      <c r="P17" t="s">
        <v>621</v>
      </c>
      <c r="Q17" t="s">
        <v>5107</v>
      </c>
      <c r="R17" t="s">
        <v>67</v>
      </c>
      <c r="W17">
        <v>1</v>
      </c>
      <c r="AC17" s="2"/>
      <c r="AJ17" s="2"/>
      <c r="AR17" s="2"/>
    </row>
    <row r="18" spans="1:65" hidden="1" x14ac:dyDescent="0.25">
      <c r="A18" s="2"/>
      <c r="B18" s="2">
        <f>HYPERLINK(URLs!B30 &amp; 21285 &amp; URLs!B32,21285)</f>
        <v>21285</v>
      </c>
      <c r="C18" t="s">
        <v>641</v>
      </c>
      <c r="D18" t="s">
        <v>619</v>
      </c>
      <c r="E18" t="s">
        <v>850</v>
      </c>
      <c r="F18" t="s">
        <v>621</v>
      </c>
      <c r="G18" t="s">
        <v>858</v>
      </c>
      <c r="H18" t="s">
        <v>859</v>
      </c>
      <c r="I18" t="s">
        <v>624</v>
      </c>
      <c r="J18" t="s">
        <v>642</v>
      </c>
      <c r="L18" s="5">
        <v>43419.399155092593</v>
      </c>
      <c r="N18" s="2">
        <f>HYPERLINK(URLs!B36 &amp; 121990,121990)</f>
        <v>121990</v>
      </c>
      <c r="O18" t="s">
        <v>637</v>
      </c>
      <c r="P18" t="s">
        <v>621</v>
      </c>
      <c r="Q18" t="s">
        <v>5126</v>
      </c>
      <c r="R18" t="s">
        <v>319</v>
      </c>
      <c r="AC18" s="2"/>
      <c r="AI18" s="2"/>
      <c r="AJ18" s="2"/>
      <c r="AR18" s="2"/>
    </row>
    <row r="19" spans="1:65" hidden="1" x14ac:dyDescent="0.25">
      <c r="A19" s="2"/>
      <c r="B19" s="2">
        <f>HYPERLINK(URLs!B30 &amp; 21268 &amp; URLs!B32,21268)</f>
        <v>21268</v>
      </c>
      <c r="C19" t="s">
        <v>641</v>
      </c>
      <c r="D19" t="s">
        <v>619</v>
      </c>
      <c r="E19" t="s">
        <v>850</v>
      </c>
      <c r="F19" t="s">
        <v>621</v>
      </c>
      <c r="G19" t="s">
        <v>855</v>
      </c>
      <c r="H19" t="s">
        <v>856</v>
      </c>
      <c r="I19" t="s">
        <v>624</v>
      </c>
      <c r="J19" t="s">
        <v>625</v>
      </c>
      <c r="L19" s="5">
        <v>43418.197337962964</v>
      </c>
      <c r="N19" s="2">
        <f>HYPERLINK(URLs!B36 &amp; 119874,119874)</f>
        <v>119874</v>
      </c>
      <c r="O19" t="s">
        <v>1360</v>
      </c>
      <c r="P19" t="s">
        <v>621</v>
      </c>
      <c r="Q19" t="s">
        <v>5084</v>
      </c>
      <c r="R19" t="s">
        <v>67</v>
      </c>
      <c r="AC19" s="2"/>
      <c r="AJ19" s="2"/>
      <c r="AR19" s="2"/>
    </row>
    <row r="20" spans="1:65" x14ac:dyDescent="0.25">
      <c r="A20" s="2">
        <f>HYPERLINK(URLs!B36 &amp; 122054,122054)</f>
        <v>122054</v>
      </c>
      <c r="B20" s="2">
        <f>HYPERLINK(URLs!B30 &amp; 21266 &amp; URLs!B32,21266)</f>
        <v>21266</v>
      </c>
      <c r="C20" t="s">
        <v>618</v>
      </c>
      <c r="D20" t="s">
        <v>619</v>
      </c>
      <c r="E20" t="s">
        <v>620</v>
      </c>
      <c r="F20" t="s">
        <v>621</v>
      </c>
      <c r="G20" t="s">
        <v>631</v>
      </c>
      <c r="H20" t="s">
        <v>632</v>
      </c>
      <c r="I20" t="s">
        <v>624</v>
      </c>
      <c r="J20" t="s">
        <v>642</v>
      </c>
      <c r="K20" t="s">
        <v>57</v>
      </c>
      <c r="L20" s="5">
        <v>43418.109432870369</v>
      </c>
      <c r="N20" s="2">
        <f>HYPERLINK(URLs!B36 &amp; 122054,122054)</f>
        <v>122054</v>
      </c>
      <c r="O20" t="s">
        <v>637</v>
      </c>
      <c r="P20" t="s">
        <v>621</v>
      </c>
      <c r="Q20" t="s">
        <v>5108</v>
      </c>
      <c r="R20" t="s">
        <v>67</v>
      </c>
      <c r="T20" t="s">
        <v>4126</v>
      </c>
      <c r="U20" t="s">
        <v>35</v>
      </c>
      <c r="V20" t="s">
        <v>35</v>
      </c>
      <c r="Z20" t="s">
        <v>34</v>
      </c>
      <c r="AC20" s="2"/>
      <c r="AJ20" s="2"/>
      <c r="AR20" s="2"/>
    </row>
    <row r="21" spans="1:65" x14ac:dyDescent="0.25">
      <c r="A21" s="2"/>
      <c r="B21" s="2">
        <f>HYPERLINK(URLs!B30 &amp; 21263 &amp; URLs!B32,21263)</f>
        <v>21263</v>
      </c>
      <c r="C21" t="s">
        <v>641</v>
      </c>
      <c r="D21" t="s">
        <v>619</v>
      </c>
      <c r="E21" t="s">
        <v>620</v>
      </c>
      <c r="F21" t="s">
        <v>621</v>
      </c>
      <c r="G21" t="s">
        <v>622</v>
      </c>
      <c r="H21" t="s">
        <v>623</v>
      </c>
      <c r="I21" t="s">
        <v>624</v>
      </c>
      <c r="J21" t="s">
        <v>625</v>
      </c>
      <c r="L21" s="5">
        <v>43417.63826388889</v>
      </c>
      <c r="N21" s="2">
        <f>HYPERLINK(URLs!B37 &amp; 252954,252954)</f>
        <v>252954</v>
      </c>
      <c r="O21" t="s">
        <v>637</v>
      </c>
      <c r="P21" t="s">
        <v>621</v>
      </c>
      <c r="Q21" t="s">
        <v>5109</v>
      </c>
      <c r="W21">
        <v>1</v>
      </c>
      <c r="AC21" s="2"/>
      <c r="AI21" s="2"/>
      <c r="AJ21" s="2"/>
      <c r="AR21" s="2"/>
    </row>
    <row r="22" spans="1:65" hidden="1" x14ac:dyDescent="0.25">
      <c r="A22" s="2"/>
      <c r="B22" s="2">
        <f>HYPERLINK(URLs!B30 &amp; 21262 &amp; URLs!B32,21262)</f>
        <v>21262</v>
      </c>
      <c r="C22" t="s">
        <v>618</v>
      </c>
      <c r="D22" t="s">
        <v>619</v>
      </c>
      <c r="E22" t="s">
        <v>850</v>
      </c>
      <c r="F22" t="s">
        <v>621</v>
      </c>
      <c r="G22" t="s">
        <v>875</v>
      </c>
      <c r="H22" t="s">
        <v>876</v>
      </c>
      <c r="I22" t="s">
        <v>624</v>
      </c>
      <c r="J22" t="s">
        <v>629</v>
      </c>
      <c r="L22" s="5">
        <v>43417.616956018515</v>
      </c>
      <c r="N22" s="2">
        <f>HYPERLINK(URLs!B36 &amp; 121719,121719)</f>
        <v>121719</v>
      </c>
      <c r="O22" t="s">
        <v>637</v>
      </c>
      <c r="P22" t="s">
        <v>621</v>
      </c>
      <c r="Q22" t="s">
        <v>5085</v>
      </c>
      <c r="R22" t="s">
        <v>67</v>
      </c>
      <c r="AC22" s="2"/>
      <c r="AJ22" s="2"/>
      <c r="AR22" s="2"/>
    </row>
    <row r="23" spans="1:65" hidden="1" x14ac:dyDescent="0.25">
      <c r="A23" s="2"/>
      <c r="B23" s="2">
        <f>HYPERLINK(URLs!B30 &amp; 21257 &amp; URLs!B32,21257)</f>
        <v>21257</v>
      </c>
      <c r="C23" t="s">
        <v>618</v>
      </c>
      <c r="D23" t="s">
        <v>619</v>
      </c>
      <c r="E23" t="s">
        <v>850</v>
      </c>
      <c r="F23" t="s">
        <v>621</v>
      </c>
      <c r="G23" t="s">
        <v>855</v>
      </c>
      <c r="H23" t="s">
        <v>856</v>
      </c>
      <c r="I23" t="s">
        <v>624</v>
      </c>
      <c r="J23" t="s">
        <v>625</v>
      </c>
      <c r="L23" s="5">
        <v>43417.399618055555</v>
      </c>
      <c r="N23" s="2">
        <f>HYPERLINK(URLs!B36 &amp; 122019,122019)</f>
        <v>122019</v>
      </c>
      <c r="O23" t="s">
        <v>637</v>
      </c>
      <c r="P23" t="s">
        <v>621</v>
      </c>
      <c r="Q23" t="s">
        <v>5086</v>
      </c>
      <c r="R23" t="s">
        <v>67</v>
      </c>
      <c r="W23">
        <v>1</v>
      </c>
      <c r="AC23" s="2"/>
      <c r="AJ23" s="2"/>
      <c r="AR23" s="2"/>
    </row>
    <row r="24" spans="1:65" x14ac:dyDescent="0.25">
      <c r="A24" s="2">
        <f>HYPERLINK(URLs!B36 &amp; 121205,121205)</f>
        <v>121205</v>
      </c>
      <c r="B24" s="2">
        <f>HYPERLINK(URLs!B30 &amp; 21244 &amp; URLs!B32,21244)</f>
        <v>21244</v>
      </c>
      <c r="C24" t="s">
        <v>618</v>
      </c>
      <c r="D24" t="s">
        <v>619</v>
      </c>
      <c r="E24" t="s">
        <v>620</v>
      </c>
      <c r="F24" t="s">
        <v>621</v>
      </c>
      <c r="G24" t="s">
        <v>622</v>
      </c>
      <c r="H24" t="s">
        <v>623</v>
      </c>
      <c r="I24" t="s">
        <v>624</v>
      </c>
      <c r="J24" t="s">
        <v>625</v>
      </c>
      <c r="K24" t="s">
        <v>31</v>
      </c>
      <c r="L24" s="5">
        <v>43412.625381944446</v>
      </c>
      <c r="N24" s="2">
        <f>HYPERLINK(URLs!B36 &amp; 121205,121205)</f>
        <v>121205</v>
      </c>
      <c r="O24" t="s">
        <v>637</v>
      </c>
      <c r="P24" t="s">
        <v>621</v>
      </c>
      <c r="Q24" t="s">
        <v>5110</v>
      </c>
      <c r="R24" t="s">
        <v>42</v>
      </c>
      <c r="T24" t="s">
        <v>4126</v>
      </c>
      <c r="U24" t="s">
        <v>35</v>
      </c>
      <c r="V24" t="s">
        <v>321</v>
      </c>
      <c r="Z24" t="s">
        <v>34</v>
      </c>
      <c r="AC24" s="2"/>
      <c r="AI24" s="2"/>
      <c r="AJ24" s="2"/>
      <c r="AR24" s="2"/>
    </row>
    <row r="25" spans="1:65" hidden="1" x14ac:dyDescent="0.25">
      <c r="A25" s="2"/>
      <c r="B25" s="2">
        <f>HYPERLINK(URLs!B30 &amp; 21238 &amp; URLs!B32,21238)</f>
        <v>21238</v>
      </c>
      <c r="C25" t="s">
        <v>618</v>
      </c>
      <c r="D25" t="s">
        <v>619</v>
      </c>
      <c r="E25" t="s">
        <v>850</v>
      </c>
      <c r="F25" t="s">
        <v>621</v>
      </c>
      <c r="G25" t="s">
        <v>855</v>
      </c>
      <c r="H25" t="s">
        <v>856</v>
      </c>
      <c r="I25" t="s">
        <v>624</v>
      </c>
      <c r="J25" t="s">
        <v>629</v>
      </c>
      <c r="L25" s="5">
        <v>43412.317164351851</v>
      </c>
      <c r="N25" s="2">
        <f>HYPERLINK(URLs!B36 &amp; 112106,112106)</f>
        <v>112106</v>
      </c>
      <c r="O25" t="s">
        <v>637</v>
      </c>
      <c r="P25" t="s">
        <v>621</v>
      </c>
      <c r="Q25" t="s">
        <v>5056</v>
      </c>
      <c r="R25" t="s">
        <v>42</v>
      </c>
      <c r="AC25" s="2"/>
      <c r="AI25" s="2"/>
      <c r="AJ25" s="2"/>
      <c r="AR25" s="2"/>
    </row>
    <row r="26" spans="1:65" hidden="1" x14ac:dyDescent="0.25">
      <c r="A26" s="2"/>
      <c r="B26" s="2">
        <f>HYPERLINK(URLs!B30 &amp; 21227 &amp; URLs!B32,21227)</f>
        <v>21227</v>
      </c>
      <c r="C26" t="s">
        <v>641</v>
      </c>
      <c r="D26" t="s">
        <v>619</v>
      </c>
      <c r="E26" t="s">
        <v>850</v>
      </c>
      <c r="F26" t="s">
        <v>621</v>
      </c>
      <c r="G26" t="s">
        <v>889</v>
      </c>
      <c r="H26" t="s">
        <v>890</v>
      </c>
      <c r="I26" t="s">
        <v>624</v>
      </c>
      <c r="J26" t="s">
        <v>642</v>
      </c>
      <c r="L26" s="5">
        <v>43410.53429398148</v>
      </c>
      <c r="N26" t="s">
        <v>621</v>
      </c>
      <c r="O26" t="s">
        <v>649</v>
      </c>
      <c r="P26" t="s">
        <v>621</v>
      </c>
      <c r="Q26" t="s">
        <v>5051</v>
      </c>
      <c r="W26">
        <v>1</v>
      </c>
      <c r="AC26" s="2"/>
      <c r="AJ26" s="2"/>
      <c r="AR26" s="2"/>
    </row>
    <row r="27" spans="1:65" hidden="1" x14ac:dyDescent="0.25">
      <c r="A27" s="2"/>
      <c r="B27" s="2">
        <f>HYPERLINK(URLs!B30 &amp; 21218 &amp; URLs!B32,21218)</f>
        <v>21218</v>
      </c>
      <c r="C27" t="s">
        <v>618</v>
      </c>
      <c r="D27" t="s">
        <v>619</v>
      </c>
      <c r="E27" t="s">
        <v>850</v>
      </c>
      <c r="F27" t="s">
        <v>621</v>
      </c>
      <c r="G27" t="s">
        <v>875</v>
      </c>
      <c r="H27" t="s">
        <v>876</v>
      </c>
      <c r="I27" t="s">
        <v>624</v>
      </c>
      <c r="J27" t="s">
        <v>642</v>
      </c>
      <c r="L27" s="5">
        <v>43409.436828703707</v>
      </c>
      <c r="N27" s="2">
        <f>HYPERLINK(URLs!B36 &amp; 121719,121719)</f>
        <v>121719</v>
      </c>
      <c r="O27" t="s">
        <v>637</v>
      </c>
      <c r="P27" t="s">
        <v>621</v>
      </c>
      <c r="Q27" t="s">
        <v>5028</v>
      </c>
      <c r="R27" t="s">
        <v>319</v>
      </c>
      <c r="AC27" s="2"/>
      <c r="AI27" s="2"/>
      <c r="AJ27" s="2"/>
      <c r="AR27" s="2"/>
      <c r="BM27" s="1"/>
    </row>
    <row r="28" spans="1:65" hidden="1" x14ac:dyDescent="0.25">
      <c r="A28" s="2"/>
      <c r="B28" s="2">
        <f>HYPERLINK(URLs!B30 &amp; 21212 &amp; URLs!B32,21212)</f>
        <v>21212</v>
      </c>
      <c r="C28" t="s">
        <v>618</v>
      </c>
      <c r="D28" t="s">
        <v>619</v>
      </c>
      <c r="E28" t="s">
        <v>850</v>
      </c>
      <c r="F28" t="s">
        <v>621</v>
      </c>
      <c r="G28" t="s">
        <v>886</v>
      </c>
      <c r="H28" t="s">
        <v>887</v>
      </c>
      <c r="I28" t="s">
        <v>624</v>
      </c>
      <c r="J28" t="s">
        <v>625</v>
      </c>
      <c r="L28" s="5">
        <v>43406.50335648148</v>
      </c>
      <c r="N28" s="2">
        <f>HYPERLINK(URLs!B36 &amp; 122283,122283)</f>
        <v>122283</v>
      </c>
      <c r="O28" t="s">
        <v>637</v>
      </c>
      <c r="P28" t="s">
        <v>621</v>
      </c>
      <c r="Q28" t="s">
        <v>5029</v>
      </c>
      <c r="AC28" s="2"/>
      <c r="AI28" s="2"/>
      <c r="AJ28" s="2"/>
      <c r="AR28" s="2"/>
    </row>
    <row r="29" spans="1:65" x14ac:dyDescent="0.25">
      <c r="A29" s="2">
        <f>HYPERLINK(URLs!B36 &amp; 114771,114771)</f>
        <v>114771</v>
      </c>
      <c r="B29" s="2">
        <f>HYPERLINK(URLs!B30 &amp; 21196 &amp; URLs!B32,21196)</f>
        <v>21196</v>
      </c>
      <c r="C29" t="s">
        <v>618</v>
      </c>
      <c r="D29" t="s">
        <v>619</v>
      </c>
      <c r="E29" t="s">
        <v>620</v>
      </c>
      <c r="F29" t="s">
        <v>621</v>
      </c>
      <c r="G29" t="s">
        <v>622</v>
      </c>
      <c r="H29" t="s">
        <v>623</v>
      </c>
      <c r="I29" t="s">
        <v>624</v>
      </c>
      <c r="J29" t="s">
        <v>629</v>
      </c>
      <c r="K29" t="s">
        <v>31</v>
      </c>
      <c r="L29" s="5">
        <v>43404.59957175926</v>
      </c>
      <c r="N29" s="2">
        <f>HYPERLINK(URLs!B36 &amp; 114771,114771)</f>
        <v>114771</v>
      </c>
      <c r="O29" t="s">
        <v>637</v>
      </c>
      <c r="P29" t="s">
        <v>621</v>
      </c>
      <c r="Q29" t="s">
        <v>5030</v>
      </c>
      <c r="R29" t="s">
        <v>67</v>
      </c>
      <c r="T29" t="s">
        <v>4175</v>
      </c>
      <c r="U29" t="s">
        <v>35</v>
      </c>
      <c r="V29" t="s">
        <v>35</v>
      </c>
      <c r="Z29" t="s">
        <v>34</v>
      </c>
      <c r="AC29" s="2"/>
      <c r="AJ29" s="2"/>
      <c r="AR29" s="2"/>
      <c r="BM29" s="1"/>
    </row>
    <row r="30" spans="1:65" x14ac:dyDescent="0.25">
      <c r="A30" s="2">
        <f>HYPERLINK(URLs!B36 &amp; 119609,119609)</f>
        <v>119609</v>
      </c>
      <c r="B30" s="2">
        <f>HYPERLINK(URLs!B30 &amp; 21195 &amp; URLs!B32,21195)</f>
        <v>21195</v>
      </c>
      <c r="C30" t="s">
        <v>618</v>
      </c>
      <c r="D30" t="s">
        <v>619</v>
      </c>
      <c r="E30" t="s">
        <v>620</v>
      </c>
      <c r="F30" t="s">
        <v>621</v>
      </c>
      <c r="G30" t="s">
        <v>622</v>
      </c>
      <c r="H30" t="s">
        <v>623</v>
      </c>
      <c r="I30" t="s">
        <v>624</v>
      </c>
      <c r="J30" t="s">
        <v>625</v>
      </c>
      <c r="K30" t="s">
        <v>31</v>
      </c>
      <c r="L30" s="5">
        <v>43404.576481481483</v>
      </c>
      <c r="N30" s="2">
        <f>HYPERLINK(URLs!B36 &amp; 119609,119609)</f>
        <v>119609</v>
      </c>
      <c r="O30" t="s">
        <v>637</v>
      </c>
      <c r="P30" t="s">
        <v>621</v>
      </c>
      <c r="Q30" t="s">
        <v>5031</v>
      </c>
      <c r="R30" t="s">
        <v>67</v>
      </c>
      <c r="T30" t="s">
        <v>4410</v>
      </c>
      <c r="U30" t="s">
        <v>35</v>
      </c>
      <c r="V30" t="s">
        <v>35</v>
      </c>
      <c r="Z30" t="s">
        <v>73</v>
      </c>
      <c r="AC30" s="2"/>
      <c r="AH30" s="1"/>
      <c r="AJ30" s="2"/>
      <c r="AR30" s="2"/>
      <c r="AW30" s="1"/>
    </row>
    <row r="31" spans="1:65" hidden="1" x14ac:dyDescent="0.25">
      <c r="A31" s="2">
        <f>HYPERLINK(URLs!B36 &amp; 121564,121564)</f>
        <v>121564</v>
      </c>
      <c r="B31" s="2">
        <f>HYPERLINK(URLs!B30 &amp; 21171 &amp; URLs!B32,21171)</f>
        <v>21171</v>
      </c>
      <c r="C31" t="s">
        <v>641</v>
      </c>
      <c r="D31" t="s">
        <v>619</v>
      </c>
      <c r="E31" t="s">
        <v>620</v>
      </c>
      <c r="F31" t="s">
        <v>621</v>
      </c>
      <c r="G31" t="s">
        <v>622</v>
      </c>
      <c r="H31" t="s">
        <v>623</v>
      </c>
      <c r="I31" t="s">
        <v>624</v>
      </c>
      <c r="J31" t="s">
        <v>625</v>
      </c>
      <c r="K31" t="s">
        <v>31</v>
      </c>
      <c r="L31" s="5">
        <v>43402.622812499998</v>
      </c>
      <c r="N31" s="2">
        <f>HYPERLINK(URLs!B36 &amp; 121564,121564)</f>
        <v>121564</v>
      </c>
      <c r="O31" t="s">
        <v>640</v>
      </c>
      <c r="P31" t="s">
        <v>621</v>
      </c>
      <c r="Q31" t="s">
        <v>5032</v>
      </c>
      <c r="R31" t="s">
        <v>319</v>
      </c>
      <c r="S31" t="s">
        <v>304</v>
      </c>
      <c r="T31" t="s">
        <v>4171</v>
      </c>
      <c r="U31" t="s">
        <v>4978</v>
      </c>
      <c r="V31" t="s">
        <v>321</v>
      </c>
      <c r="W31">
        <v>1</v>
      </c>
      <c r="Z31" t="s">
        <v>96</v>
      </c>
      <c r="AC31" s="2"/>
      <c r="AJ31" s="2"/>
      <c r="AR31" s="2"/>
    </row>
    <row r="32" spans="1:65" x14ac:dyDescent="0.25">
      <c r="A32" s="2">
        <f>HYPERLINK(URLs!B36 &amp; 120668,120668)</f>
        <v>120668</v>
      </c>
      <c r="B32" s="2">
        <f>HYPERLINK(URLs!B30 &amp; 21170 &amp; URLs!B32,21170)</f>
        <v>21170</v>
      </c>
      <c r="C32" t="s">
        <v>641</v>
      </c>
      <c r="D32" t="s">
        <v>619</v>
      </c>
      <c r="E32" t="s">
        <v>620</v>
      </c>
      <c r="F32" t="s">
        <v>621</v>
      </c>
      <c r="G32" t="s">
        <v>622</v>
      </c>
      <c r="H32" t="s">
        <v>623</v>
      </c>
      <c r="I32" t="s">
        <v>624</v>
      </c>
      <c r="J32" t="s">
        <v>629</v>
      </c>
      <c r="K32" t="s">
        <v>68</v>
      </c>
      <c r="L32" s="5">
        <v>43402.592835648145</v>
      </c>
      <c r="N32" s="2">
        <f>HYPERLINK(URLs!B36 &amp; 120668,120668)</f>
        <v>120668</v>
      </c>
      <c r="O32" t="s">
        <v>637</v>
      </c>
      <c r="P32" t="s">
        <v>621</v>
      </c>
      <c r="Q32" t="s">
        <v>4988</v>
      </c>
      <c r="R32" t="s">
        <v>67</v>
      </c>
      <c r="T32" t="s">
        <v>4098</v>
      </c>
      <c r="U32" t="s">
        <v>35</v>
      </c>
      <c r="V32" t="s">
        <v>35</v>
      </c>
      <c r="Z32" t="s">
        <v>52</v>
      </c>
      <c r="AC32" s="2"/>
      <c r="AJ32" s="2"/>
      <c r="AR32" s="2"/>
      <c r="BM32" s="1"/>
    </row>
    <row r="33" spans="1:65" hidden="1" x14ac:dyDescent="0.25">
      <c r="A33" s="2">
        <f>HYPERLINK(URLs!B36 &amp; 112706,112706)</f>
        <v>112706</v>
      </c>
      <c r="B33" s="2">
        <f>HYPERLINK(URLs!B30 &amp; 21147 &amp; URLs!B32,21147)</f>
        <v>21147</v>
      </c>
      <c r="C33" t="s">
        <v>641</v>
      </c>
      <c r="D33" t="s">
        <v>619</v>
      </c>
      <c r="E33" t="s">
        <v>620</v>
      </c>
      <c r="F33" t="s">
        <v>621</v>
      </c>
      <c r="G33" t="s">
        <v>622</v>
      </c>
      <c r="H33" t="s">
        <v>623</v>
      </c>
      <c r="I33" t="s">
        <v>624</v>
      </c>
      <c r="J33" t="s">
        <v>625</v>
      </c>
      <c r="K33" t="s">
        <v>31</v>
      </c>
      <c r="L33" s="5">
        <v>43396.674976851849</v>
      </c>
      <c r="N33" s="2">
        <f>HYPERLINK(URLs!B36 &amp; 117103,117103)</f>
        <v>117103</v>
      </c>
      <c r="O33" t="s">
        <v>1360</v>
      </c>
      <c r="P33" t="s">
        <v>621</v>
      </c>
      <c r="Q33" t="s">
        <v>5033</v>
      </c>
      <c r="R33" t="s">
        <v>319</v>
      </c>
      <c r="S33" t="s">
        <v>304</v>
      </c>
      <c r="T33" t="s">
        <v>5001</v>
      </c>
      <c r="U33" t="s">
        <v>5020</v>
      </c>
      <c r="V33" t="s">
        <v>321</v>
      </c>
      <c r="W33">
        <v>1</v>
      </c>
      <c r="Z33" t="s">
        <v>73</v>
      </c>
      <c r="AC33" s="2"/>
      <c r="AH33" s="1"/>
      <c r="AJ33" s="2"/>
      <c r="AR33" s="2"/>
      <c r="AW33" s="1"/>
      <c r="BM33" s="1"/>
    </row>
    <row r="34" spans="1:65" hidden="1" x14ac:dyDescent="0.25">
      <c r="A34" s="2"/>
      <c r="B34" s="2">
        <f>HYPERLINK(URLs!B30 &amp; 21143 &amp; URLs!B32,21143)</f>
        <v>21143</v>
      </c>
      <c r="C34" t="s">
        <v>641</v>
      </c>
      <c r="D34" t="s">
        <v>619</v>
      </c>
      <c r="E34" t="s">
        <v>850</v>
      </c>
      <c r="F34" t="s">
        <v>621</v>
      </c>
      <c r="G34" t="s">
        <v>855</v>
      </c>
      <c r="H34" t="s">
        <v>856</v>
      </c>
      <c r="I34" t="s">
        <v>624</v>
      </c>
      <c r="J34" t="s">
        <v>625</v>
      </c>
      <c r="L34" s="5">
        <v>43396.266446759262</v>
      </c>
      <c r="N34" s="2">
        <f>HYPERLINK(URLs!B36 &amp; 121313,121313)</f>
        <v>121313</v>
      </c>
      <c r="O34" t="s">
        <v>637</v>
      </c>
      <c r="P34" t="s">
        <v>621</v>
      </c>
      <c r="Q34" t="s">
        <v>4913</v>
      </c>
      <c r="W34">
        <v>1</v>
      </c>
      <c r="AC34" s="2"/>
      <c r="AH34" s="1"/>
      <c r="AI34" s="2"/>
      <c r="AJ34" s="2"/>
      <c r="AR34" s="2"/>
      <c r="AW34" s="1"/>
    </row>
    <row r="35" spans="1:65" x14ac:dyDescent="0.25">
      <c r="A35" s="2">
        <f>HYPERLINK(URLs!B36 &amp; 121204,121204)</f>
        <v>121204</v>
      </c>
      <c r="B35" s="2">
        <f>HYPERLINK(URLs!B30 &amp; 21141 &amp; URLs!B32,21141)</f>
        <v>21141</v>
      </c>
      <c r="C35" t="s">
        <v>618</v>
      </c>
      <c r="D35" t="s">
        <v>619</v>
      </c>
      <c r="E35" t="s">
        <v>620</v>
      </c>
      <c r="F35" t="s">
        <v>621</v>
      </c>
      <c r="G35" t="s">
        <v>622</v>
      </c>
      <c r="H35" t="s">
        <v>623</v>
      </c>
      <c r="I35" t="s">
        <v>624</v>
      </c>
      <c r="J35" t="s">
        <v>625</v>
      </c>
      <c r="K35" t="s">
        <v>31</v>
      </c>
      <c r="L35" s="5">
        <v>43395.652731481481</v>
      </c>
      <c r="N35" s="2">
        <f>HYPERLINK(URLs!B36 &amp; 121204,121204)</f>
        <v>121204</v>
      </c>
      <c r="O35" t="s">
        <v>637</v>
      </c>
      <c r="P35" t="s">
        <v>621</v>
      </c>
      <c r="Q35" t="s">
        <v>5034</v>
      </c>
      <c r="R35" t="s">
        <v>67</v>
      </c>
      <c r="T35" t="s">
        <v>4126</v>
      </c>
      <c r="U35" t="s">
        <v>35</v>
      </c>
      <c r="V35" t="s">
        <v>35</v>
      </c>
      <c r="Z35" t="s">
        <v>4942</v>
      </c>
      <c r="AC35" s="2"/>
      <c r="AJ35" s="2"/>
      <c r="AR35" s="2"/>
    </row>
    <row r="36" spans="1:65" x14ac:dyDescent="0.25">
      <c r="A36" s="2">
        <f>HYPERLINK(URLs!B36 &amp; 121558,121558)</f>
        <v>121558</v>
      </c>
      <c r="B36" s="2">
        <f>HYPERLINK(URLs!B30 &amp; 21111 &amp; URLs!B32,21111)</f>
        <v>21111</v>
      </c>
      <c r="C36" t="s">
        <v>618</v>
      </c>
      <c r="D36" t="s">
        <v>619</v>
      </c>
      <c r="E36" t="s">
        <v>620</v>
      </c>
      <c r="F36" t="s">
        <v>621</v>
      </c>
      <c r="G36" t="s">
        <v>631</v>
      </c>
      <c r="H36" t="s">
        <v>632</v>
      </c>
      <c r="I36" t="s">
        <v>624</v>
      </c>
      <c r="J36" t="s">
        <v>625</v>
      </c>
      <c r="K36" t="s">
        <v>31</v>
      </c>
      <c r="L36" s="5">
        <v>43390.141331018516</v>
      </c>
      <c r="N36" s="2">
        <f>HYPERLINK(URLs!B36 &amp; 121097,121097)</f>
        <v>121097</v>
      </c>
      <c r="O36" t="s">
        <v>637</v>
      </c>
      <c r="P36" t="s">
        <v>621</v>
      </c>
      <c r="Q36" t="s">
        <v>5035</v>
      </c>
      <c r="R36" t="s">
        <v>67</v>
      </c>
      <c r="T36" t="s">
        <v>5001</v>
      </c>
      <c r="U36" t="s">
        <v>5101</v>
      </c>
      <c r="V36" t="s">
        <v>321</v>
      </c>
      <c r="Z36" t="s">
        <v>380</v>
      </c>
      <c r="AC36" s="2"/>
      <c r="AI36" s="2"/>
      <c r="AJ36" s="2"/>
      <c r="AR36" s="2"/>
    </row>
    <row r="37" spans="1:65" hidden="1" x14ac:dyDescent="0.25">
      <c r="A37" s="2"/>
      <c r="B37" s="2">
        <f>HYPERLINK(URLs!B30 &amp; 21108 &amp; URLs!B32,21108)</f>
        <v>21108</v>
      </c>
      <c r="C37" t="s">
        <v>618</v>
      </c>
      <c r="D37" t="s">
        <v>619</v>
      </c>
      <c r="E37" t="s">
        <v>850</v>
      </c>
      <c r="F37" t="s">
        <v>621</v>
      </c>
      <c r="G37" t="s">
        <v>889</v>
      </c>
      <c r="H37" t="s">
        <v>890</v>
      </c>
      <c r="I37" t="s">
        <v>624</v>
      </c>
      <c r="J37" t="s">
        <v>642</v>
      </c>
      <c r="L37" s="5">
        <v>43389.694745370369</v>
      </c>
      <c r="N37" s="2">
        <f>HYPERLINK(URLs!B36 &amp; 120050,120050)</f>
        <v>120050</v>
      </c>
      <c r="O37" t="s">
        <v>637</v>
      </c>
      <c r="P37" t="s">
        <v>621</v>
      </c>
      <c r="Q37" t="s">
        <v>4914</v>
      </c>
      <c r="R37" t="s">
        <v>319</v>
      </c>
      <c r="AC37" s="2"/>
      <c r="AJ37" s="2"/>
      <c r="AR37" s="2"/>
      <c r="BM37" s="1"/>
    </row>
    <row r="38" spans="1:65" hidden="1" x14ac:dyDescent="0.25">
      <c r="A38" s="2">
        <f>HYPERLINK(URLs!B36 &amp; 120743,120743)</f>
        <v>120743</v>
      </c>
      <c r="B38" s="2">
        <f>HYPERLINK(URLs!B30 &amp; 21104 &amp; URLs!B32,21104)</f>
        <v>21104</v>
      </c>
      <c r="C38" t="s">
        <v>618</v>
      </c>
      <c r="D38" t="s">
        <v>619</v>
      </c>
      <c r="E38" t="s">
        <v>850</v>
      </c>
      <c r="F38" t="s">
        <v>621</v>
      </c>
      <c r="G38" t="s">
        <v>855</v>
      </c>
      <c r="H38" t="s">
        <v>856</v>
      </c>
      <c r="I38" t="s">
        <v>624</v>
      </c>
      <c r="J38" t="s">
        <v>625</v>
      </c>
      <c r="K38" t="s">
        <v>31</v>
      </c>
      <c r="L38" s="5">
        <v>43389.387175925927</v>
      </c>
      <c r="N38" s="2">
        <f>HYPERLINK(URLs!B36 &amp; 120743,120743)</f>
        <v>120743</v>
      </c>
      <c r="O38" t="s">
        <v>637</v>
      </c>
      <c r="P38" t="s">
        <v>621</v>
      </c>
      <c r="Q38" t="s">
        <v>4915</v>
      </c>
      <c r="R38" t="s">
        <v>42</v>
      </c>
      <c r="T38" t="s">
        <v>4126</v>
      </c>
      <c r="U38" t="s">
        <v>35</v>
      </c>
      <c r="V38" t="s">
        <v>35</v>
      </c>
      <c r="W38">
        <v>1</v>
      </c>
      <c r="Z38" t="s">
        <v>34</v>
      </c>
      <c r="AC38" s="2"/>
      <c r="AI38" s="2"/>
      <c r="AJ38" s="2"/>
      <c r="AR38" s="2"/>
      <c r="BM38" s="1"/>
    </row>
    <row r="39" spans="1:65" hidden="1" x14ac:dyDescent="0.25">
      <c r="A39" s="2"/>
      <c r="B39" s="2">
        <f>HYPERLINK(URLs!B30 &amp; 21103 &amp; URLs!B32,21103)</f>
        <v>21103</v>
      </c>
      <c r="C39" t="s">
        <v>665</v>
      </c>
      <c r="D39" t="s">
        <v>619</v>
      </c>
      <c r="E39" t="s">
        <v>850</v>
      </c>
      <c r="F39" t="s">
        <v>621</v>
      </c>
      <c r="G39" t="s">
        <v>886</v>
      </c>
      <c r="H39" t="s">
        <v>887</v>
      </c>
      <c r="I39" t="s">
        <v>624</v>
      </c>
      <c r="J39" t="s">
        <v>629</v>
      </c>
      <c r="L39" s="5">
        <v>43389.370011574072</v>
      </c>
      <c r="M39" s="5">
        <v>43398.743750000001</v>
      </c>
      <c r="N39" s="2">
        <f>HYPERLINK(URLs!B36 &amp; 116873,116873)</f>
        <v>116873</v>
      </c>
      <c r="O39" t="s">
        <v>636</v>
      </c>
      <c r="P39" t="s">
        <v>621</v>
      </c>
      <c r="Q39" t="s">
        <v>4916</v>
      </c>
      <c r="R39" t="s">
        <v>67</v>
      </c>
      <c r="AC39" s="2"/>
      <c r="AJ39" s="2"/>
      <c r="AR39" s="2"/>
      <c r="BM39" s="1"/>
    </row>
    <row r="40" spans="1:65" x14ac:dyDescent="0.25">
      <c r="A40" s="2">
        <f>HYPERLINK(URLs!B36 &amp; 121024,121024)</f>
        <v>121024</v>
      </c>
      <c r="B40" s="2">
        <f>HYPERLINK(URLs!B30 &amp; 21096 &amp; URLs!B32,21096)</f>
        <v>21096</v>
      </c>
      <c r="C40" t="s">
        <v>618</v>
      </c>
      <c r="D40" t="s">
        <v>619</v>
      </c>
      <c r="E40" t="s">
        <v>620</v>
      </c>
      <c r="F40" t="s">
        <v>621</v>
      </c>
      <c r="G40" t="s">
        <v>622</v>
      </c>
      <c r="H40" t="s">
        <v>623</v>
      </c>
      <c r="I40" t="s">
        <v>624</v>
      </c>
      <c r="J40" t="s">
        <v>629</v>
      </c>
      <c r="K40" t="s">
        <v>68</v>
      </c>
      <c r="L40" s="5">
        <v>43388.427337962959</v>
      </c>
      <c r="N40" s="2">
        <f>HYPERLINK(URLs!B36 &amp; 121024,121024)</f>
        <v>121024</v>
      </c>
      <c r="O40" t="s">
        <v>637</v>
      </c>
      <c r="P40" t="s">
        <v>621</v>
      </c>
      <c r="Q40" t="s">
        <v>5036</v>
      </c>
      <c r="R40" t="s">
        <v>319</v>
      </c>
      <c r="S40" t="s">
        <v>304</v>
      </c>
      <c r="T40" t="s">
        <v>4176</v>
      </c>
      <c r="U40" t="s">
        <v>35</v>
      </c>
      <c r="V40" t="s">
        <v>35</v>
      </c>
      <c r="Z40" t="s">
        <v>34</v>
      </c>
      <c r="AC40" s="2"/>
      <c r="AI40" s="2"/>
      <c r="AJ40" s="2"/>
      <c r="AR40" s="2"/>
      <c r="BM40" s="1"/>
    </row>
    <row r="41" spans="1:65" hidden="1" x14ac:dyDescent="0.25">
      <c r="A41" s="2"/>
      <c r="B41" s="2">
        <f>HYPERLINK(URLs!B30 &amp; 21017 &amp; URLs!B32,21017)</f>
        <v>21017</v>
      </c>
      <c r="C41" t="s">
        <v>618</v>
      </c>
      <c r="D41" t="s">
        <v>619</v>
      </c>
      <c r="E41" t="s">
        <v>850</v>
      </c>
      <c r="F41" t="s">
        <v>621</v>
      </c>
      <c r="G41" t="s">
        <v>855</v>
      </c>
      <c r="H41" t="s">
        <v>856</v>
      </c>
      <c r="I41" t="s">
        <v>624</v>
      </c>
      <c r="J41" t="s">
        <v>625</v>
      </c>
      <c r="L41" s="5">
        <v>43371.354259259257</v>
      </c>
      <c r="N41" s="2">
        <f>HYPERLINK(URLs!B36 &amp; 120267,120267)</f>
        <v>120267</v>
      </c>
      <c r="O41" t="s">
        <v>637</v>
      </c>
      <c r="P41" t="s">
        <v>621</v>
      </c>
      <c r="Q41" t="s">
        <v>4812</v>
      </c>
      <c r="W41">
        <v>1</v>
      </c>
      <c r="AC41" s="2"/>
      <c r="AJ41" s="2"/>
      <c r="AR41" s="2"/>
      <c r="BM41" s="1"/>
    </row>
    <row r="42" spans="1:65" x14ac:dyDescent="0.25">
      <c r="A42" s="2">
        <f>HYPERLINK(URLs!B36 &amp; 120218,120218)</f>
        <v>120218</v>
      </c>
      <c r="B42" s="2">
        <f>HYPERLINK(URLs!B30 &amp; 21007 &amp; URLs!B32,21007)</f>
        <v>21007</v>
      </c>
      <c r="C42" t="s">
        <v>641</v>
      </c>
      <c r="D42" t="s">
        <v>619</v>
      </c>
      <c r="E42" t="s">
        <v>620</v>
      </c>
      <c r="F42" t="s">
        <v>621</v>
      </c>
      <c r="G42" t="s">
        <v>622</v>
      </c>
      <c r="H42" t="s">
        <v>623</v>
      </c>
      <c r="I42" t="s">
        <v>624</v>
      </c>
      <c r="J42" t="s">
        <v>625</v>
      </c>
      <c r="K42" t="s">
        <v>31</v>
      </c>
      <c r="L42" s="5">
        <v>43369.618576388886</v>
      </c>
      <c r="N42" s="2">
        <f>HYPERLINK(URLs!B36 &amp; 120218,120218)</f>
        <v>120218</v>
      </c>
      <c r="O42" t="s">
        <v>637</v>
      </c>
      <c r="P42" t="s">
        <v>621</v>
      </c>
      <c r="Q42" t="s">
        <v>5037</v>
      </c>
      <c r="R42" t="s">
        <v>67</v>
      </c>
      <c r="T42" t="s">
        <v>4126</v>
      </c>
      <c r="U42" t="s">
        <v>35</v>
      </c>
      <c r="V42" t="s">
        <v>35</v>
      </c>
      <c r="Z42" t="s">
        <v>34</v>
      </c>
      <c r="AC42" s="2"/>
      <c r="AJ42" s="2"/>
      <c r="AR42" s="2"/>
      <c r="BM42" s="1"/>
    </row>
    <row r="43" spans="1:65" x14ac:dyDescent="0.25">
      <c r="A43" s="2">
        <f>HYPERLINK(URLs!B36 &amp; 120093,120093)</f>
        <v>120093</v>
      </c>
      <c r="B43" s="2">
        <f>HYPERLINK(URLs!B30 &amp; 20991 &amp; URLs!B32,20991)</f>
        <v>20991</v>
      </c>
      <c r="C43" t="s">
        <v>618</v>
      </c>
      <c r="D43" t="s">
        <v>619</v>
      </c>
      <c r="E43" t="s">
        <v>620</v>
      </c>
      <c r="F43" t="s">
        <v>621</v>
      </c>
      <c r="G43" t="s">
        <v>631</v>
      </c>
      <c r="H43" t="s">
        <v>632</v>
      </c>
      <c r="I43" t="s">
        <v>624</v>
      </c>
      <c r="J43" t="s">
        <v>629</v>
      </c>
      <c r="K43" t="s">
        <v>31</v>
      </c>
      <c r="L43" s="5">
        <v>43368.01699074074</v>
      </c>
      <c r="N43" s="2">
        <f>HYPERLINK(URLs!B36 &amp; 120093,120093)</f>
        <v>120093</v>
      </c>
      <c r="O43" t="s">
        <v>637</v>
      </c>
      <c r="P43" t="s">
        <v>621</v>
      </c>
      <c r="Q43" t="s">
        <v>5111</v>
      </c>
      <c r="R43" t="s">
        <v>42</v>
      </c>
      <c r="T43" t="s">
        <v>4126</v>
      </c>
      <c r="U43" t="s">
        <v>35</v>
      </c>
      <c r="V43" t="s">
        <v>35</v>
      </c>
      <c r="Z43" t="s">
        <v>52</v>
      </c>
      <c r="AC43" s="2"/>
      <c r="AJ43" s="2"/>
      <c r="AR43" s="2"/>
    </row>
    <row r="44" spans="1:65" hidden="1" x14ac:dyDescent="0.25">
      <c r="A44" s="2"/>
      <c r="B44" s="2">
        <f>HYPERLINK(URLs!B30 &amp; 20988 &amp; URLs!B32,20988)</f>
        <v>20988</v>
      </c>
      <c r="C44" t="s">
        <v>633</v>
      </c>
      <c r="D44" t="s">
        <v>619</v>
      </c>
      <c r="E44" t="s">
        <v>850</v>
      </c>
      <c r="F44" t="s">
        <v>621</v>
      </c>
      <c r="G44" t="s">
        <v>858</v>
      </c>
      <c r="H44" t="s">
        <v>859</v>
      </c>
      <c r="I44" t="s">
        <v>624</v>
      </c>
      <c r="J44" t="s">
        <v>642</v>
      </c>
      <c r="L44" s="5">
        <v>43367.535277777781</v>
      </c>
      <c r="M44" s="5">
        <v>43388.395891203705</v>
      </c>
      <c r="N44" t="s">
        <v>621</v>
      </c>
      <c r="O44" t="s">
        <v>666</v>
      </c>
      <c r="P44" t="s">
        <v>621</v>
      </c>
      <c r="Q44" t="s">
        <v>4793</v>
      </c>
      <c r="AC44" s="2"/>
      <c r="AJ44" s="2"/>
      <c r="AR44" s="2"/>
      <c r="BM44" s="1"/>
    </row>
    <row r="45" spans="1:65" x14ac:dyDescent="0.25">
      <c r="A45" s="2">
        <f>HYPERLINK(URLs!B36 &amp; 119897,119897)</f>
        <v>119897</v>
      </c>
      <c r="B45" s="2">
        <f>HYPERLINK(URLs!B30 &amp; 20971 &amp; URLs!B32,20971)</f>
        <v>20971</v>
      </c>
      <c r="C45" t="s">
        <v>618</v>
      </c>
      <c r="D45" t="s">
        <v>619</v>
      </c>
      <c r="E45" t="s">
        <v>620</v>
      </c>
      <c r="F45" t="s">
        <v>621</v>
      </c>
      <c r="G45" t="s">
        <v>622</v>
      </c>
      <c r="H45" t="s">
        <v>623</v>
      </c>
      <c r="I45" t="s">
        <v>624</v>
      </c>
      <c r="J45" t="s">
        <v>629</v>
      </c>
      <c r="K45" t="s">
        <v>68</v>
      </c>
      <c r="L45" s="5">
        <v>43362.547824074078</v>
      </c>
      <c r="N45" s="2">
        <f>HYPERLINK(URLs!B36 &amp; 119897,119897)</f>
        <v>119897</v>
      </c>
      <c r="O45" t="s">
        <v>637</v>
      </c>
      <c r="P45" t="s">
        <v>621</v>
      </c>
      <c r="Q45" t="s">
        <v>4794</v>
      </c>
      <c r="R45" t="s">
        <v>67</v>
      </c>
      <c r="T45" t="s">
        <v>4410</v>
      </c>
      <c r="U45" t="s">
        <v>35</v>
      </c>
      <c r="V45" t="s">
        <v>35</v>
      </c>
      <c r="Z45" t="s">
        <v>73</v>
      </c>
      <c r="AC45" s="2"/>
      <c r="AI45" s="2"/>
      <c r="AJ45" s="2"/>
      <c r="AR45" s="2"/>
    </row>
    <row r="46" spans="1:65" x14ac:dyDescent="0.25">
      <c r="A46" s="2">
        <f>HYPERLINK(URLs!B36 &amp; 119896,119896)</f>
        <v>119896</v>
      </c>
      <c r="B46" s="2">
        <f>HYPERLINK(URLs!B30 &amp; 20970 &amp; URLs!B32,20970)</f>
        <v>20970</v>
      </c>
      <c r="C46" t="s">
        <v>618</v>
      </c>
      <c r="D46" t="s">
        <v>619</v>
      </c>
      <c r="E46" t="s">
        <v>620</v>
      </c>
      <c r="F46" t="s">
        <v>621</v>
      </c>
      <c r="G46" t="s">
        <v>622</v>
      </c>
      <c r="H46" t="s">
        <v>623</v>
      </c>
      <c r="I46" t="s">
        <v>624</v>
      </c>
      <c r="J46" t="s">
        <v>625</v>
      </c>
      <c r="K46" t="s">
        <v>31</v>
      </c>
      <c r="L46" s="5">
        <v>43362.531134259261</v>
      </c>
      <c r="N46" s="2">
        <f>HYPERLINK(URLs!B36 &amp; 119896,119896)</f>
        <v>119896</v>
      </c>
      <c r="O46" t="s">
        <v>637</v>
      </c>
      <c r="P46" t="s">
        <v>621</v>
      </c>
      <c r="Q46" t="s">
        <v>5038</v>
      </c>
      <c r="R46" t="s">
        <v>67</v>
      </c>
      <c r="T46" t="s">
        <v>4410</v>
      </c>
      <c r="U46" t="s">
        <v>35</v>
      </c>
      <c r="V46" t="s">
        <v>35</v>
      </c>
      <c r="Z46" t="s">
        <v>73</v>
      </c>
      <c r="AC46" s="2"/>
      <c r="AJ46" s="2"/>
      <c r="AR46" s="2"/>
      <c r="BM46" s="1"/>
    </row>
    <row r="47" spans="1:65" hidden="1" x14ac:dyDescent="0.25">
      <c r="A47" s="2"/>
      <c r="B47" s="2">
        <f>HYPERLINK(URLs!B30 &amp; 20940 &amp; URLs!B32,20940)</f>
        <v>20940</v>
      </c>
      <c r="C47" t="s">
        <v>641</v>
      </c>
      <c r="D47" t="s">
        <v>619</v>
      </c>
      <c r="E47" t="s">
        <v>850</v>
      </c>
      <c r="F47" t="s">
        <v>621</v>
      </c>
      <c r="G47" t="s">
        <v>855</v>
      </c>
      <c r="H47" t="s">
        <v>856</v>
      </c>
      <c r="I47" t="s">
        <v>624</v>
      </c>
      <c r="J47" t="s">
        <v>625</v>
      </c>
      <c r="L47" s="5">
        <v>43357.324652777781</v>
      </c>
      <c r="N47" s="2">
        <f>HYPERLINK(URLs!B36 &amp; 116814,116814)</f>
        <v>116814</v>
      </c>
      <c r="O47" t="s">
        <v>640</v>
      </c>
      <c r="P47" t="s">
        <v>621</v>
      </c>
      <c r="Q47" t="s">
        <v>4795</v>
      </c>
      <c r="R47" t="s">
        <v>319</v>
      </c>
      <c r="W47">
        <v>1</v>
      </c>
      <c r="AC47" s="2"/>
      <c r="AH47" s="1"/>
      <c r="AI47" s="2"/>
      <c r="AJ47" s="2"/>
      <c r="AR47" s="2"/>
      <c r="AW47" s="1"/>
    </row>
    <row r="48" spans="1:65" x14ac:dyDescent="0.25">
      <c r="A48" s="2">
        <f>HYPERLINK(URLs!B36 &amp; 119665,119665)</f>
        <v>119665</v>
      </c>
      <c r="B48" s="2">
        <f>HYPERLINK(URLs!B30 &amp; 20937 &amp; URLs!B32,20937)</f>
        <v>20937</v>
      </c>
      <c r="C48" t="s">
        <v>618</v>
      </c>
      <c r="D48" t="s">
        <v>619</v>
      </c>
      <c r="E48" t="s">
        <v>620</v>
      </c>
      <c r="F48" t="s">
        <v>621</v>
      </c>
      <c r="G48" t="s">
        <v>631</v>
      </c>
      <c r="H48" t="s">
        <v>632</v>
      </c>
      <c r="I48" t="s">
        <v>624</v>
      </c>
      <c r="J48" t="s">
        <v>625</v>
      </c>
      <c r="K48" t="s">
        <v>31</v>
      </c>
      <c r="L48" s="5">
        <v>43357.065567129626</v>
      </c>
      <c r="N48" s="2">
        <f>HYPERLINK(URLs!B36 &amp; 120919,120919)</f>
        <v>120919</v>
      </c>
      <c r="O48" t="s">
        <v>637</v>
      </c>
      <c r="P48" t="s">
        <v>621</v>
      </c>
      <c r="Q48" t="s">
        <v>4796</v>
      </c>
      <c r="R48" t="s">
        <v>319</v>
      </c>
      <c r="S48" t="s">
        <v>337</v>
      </c>
      <c r="T48" t="s">
        <v>4670</v>
      </c>
      <c r="U48" t="s">
        <v>35</v>
      </c>
      <c r="V48" t="s">
        <v>321</v>
      </c>
      <c r="Z48" t="s">
        <v>52</v>
      </c>
      <c r="AC48" s="2"/>
      <c r="AI48" s="2"/>
      <c r="AJ48" s="2"/>
      <c r="AR48" s="2"/>
    </row>
    <row r="49" spans="1:65" x14ac:dyDescent="0.25">
      <c r="A49" s="2">
        <f>HYPERLINK(URLs!B36 &amp; 118939,118939)</f>
        <v>118939</v>
      </c>
      <c r="B49" s="2">
        <f>HYPERLINK(URLs!B30 &amp; 20935 &amp; URLs!B32,20935)</f>
        <v>20935</v>
      </c>
      <c r="C49" t="s">
        <v>618</v>
      </c>
      <c r="D49" t="s">
        <v>619</v>
      </c>
      <c r="E49" t="s">
        <v>620</v>
      </c>
      <c r="F49" t="s">
        <v>621</v>
      </c>
      <c r="G49" t="s">
        <v>631</v>
      </c>
      <c r="H49" t="s">
        <v>632</v>
      </c>
      <c r="I49" t="s">
        <v>624</v>
      </c>
      <c r="J49" t="s">
        <v>629</v>
      </c>
      <c r="K49" t="s">
        <v>68</v>
      </c>
      <c r="L49" s="5">
        <v>43356.985474537039</v>
      </c>
      <c r="N49" s="2">
        <f>HYPERLINK(URLs!B36 &amp; 118939,118939)</f>
        <v>118939</v>
      </c>
      <c r="O49" t="s">
        <v>637</v>
      </c>
      <c r="P49" t="s">
        <v>621</v>
      </c>
      <c r="Q49" t="s">
        <v>4797</v>
      </c>
      <c r="R49" t="s">
        <v>42</v>
      </c>
      <c r="T49" t="s">
        <v>4171</v>
      </c>
      <c r="U49" t="s">
        <v>35</v>
      </c>
      <c r="V49" t="s">
        <v>35</v>
      </c>
      <c r="Z49" t="s">
        <v>52</v>
      </c>
      <c r="AC49" s="2"/>
      <c r="AI49" s="2"/>
      <c r="AJ49" s="2"/>
      <c r="AR49" s="2"/>
    </row>
    <row r="50" spans="1:65" hidden="1" x14ac:dyDescent="0.25">
      <c r="A50" s="2">
        <f>HYPERLINK(URLs!B36 &amp; 119600,119600)</f>
        <v>119600</v>
      </c>
      <c r="B50" s="2">
        <f>HYPERLINK(URLs!B30 &amp; 20914 &amp; URLs!B32,20914)</f>
        <v>20914</v>
      </c>
      <c r="C50" t="s">
        <v>618</v>
      </c>
      <c r="D50" t="s">
        <v>619</v>
      </c>
      <c r="E50" t="s">
        <v>620</v>
      </c>
      <c r="F50" t="s">
        <v>621</v>
      </c>
      <c r="G50" t="s">
        <v>622</v>
      </c>
      <c r="H50" t="s">
        <v>623</v>
      </c>
      <c r="I50" t="s">
        <v>624</v>
      </c>
      <c r="J50" t="s">
        <v>629</v>
      </c>
      <c r="K50" t="s">
        <v>68</v>
      </c>
      <c r="L50" s="5">
        <v>43355.516145833331</v>
      </c>
      <c r="N50" s="2">
        <f>HYPERLINK(URLs!B36 &amp; 120222,120222)</f>
        <v>120222</v>
      </c>
      <c r="O50" t="s">
        <v>640</v>
      </c>
      <c r="P50" t="s">
        <v>621</v>
      </c>
      <c r="Q50" t="s">
        <v>4798</v>
      </c>
      <c r="R50" t="s">
        <v>319</v>
      </c>
      <c r="S50" t="s">
        <v>304</v>
      </c>
      <c r="T50" t="s">
        <v>4171</v>
      </c>
      <c r="U50" t="s">
        <v>4978</v>
      </c>
      <c r="V50" t="s">
        <v>35</v>
      </c>
      <c r="Z50" t="s">
        <v>73</v>
      </c>
      <c r="AC50" s="2"/>
      <c r="AI50" s="2"/>
      <c r="AJ50" s="2"/>
      <c r="AR50" s="2"/>
    </row>
    <row r="51" spans="1:65" hidden="1" x14ac:dyDescent="0.25">
      <c r="A51" s="2">
        <f>HYPERLINK(URLs!B36 &amp; 119597,119597)</f>
        <v>119597</v>
      </c>
      <c r="B51" s="2">
        <f>HYPERLINK(URLs!B30 &amp; 20912 &amp; URLs!B32,20912)</f>
        <v>20912</v>
      </c>
      <c r="C51" t="s">
        <v>633</v>
      </c>
      <c r="D51" t="s">
        <v>619</v>
      </c>
      <c r="E51" t="s">
        <v>620</v>
      </c>
      <c r="F51" t="s">
        <v>621</v>
      </c>
      <c r="G51" t="s">
        <v>622</v>
      </c>
      <c r="H51" t="s">
        <v>623</v>
      </c>
      <c r="I51" t="s">
        <v>624</v>
      </c>
      <c r="J51" t="s">
        <v>625</v>
      </c>
      <c r="K51" t="s">
        <v>31</v>
      </c>
      <c r="L51" s="5">
        <v>43355.495127314818</v>
      </c>
      <c r="M51" s="5">
        <v>43431.59715277778</v>
      </c>
      <c r="N51" s="2">
        <f>HYPERLINK(URLs!B36 &amp; 119597,119597)</f>
        <v>119597</v>
      </c>
      <c r="O51" t="s">
        <v>636</v>
      </c>
      <c r="P51" t="s">
        <v>621</v>
      </c>
      <c r="Q51" t="s">
        <v>4799</v>
      </c>
      <c r="R51" t="s">
        <v>319</v>
      </c>
      <c r="S51" t="s">
        <v>304</v>
      </c>
      <c r="T51" t="s">
        <v>4171</v>
      </c>
      <c r="U51" t="s">
        <v>4931</v>
      </c>
      <c r="V51" t="s">
        <v>35</v>
      </c>
      <c r="Z51" t="s">
        <v>73</v>
      </c>
      <c r="AC51" s="2"/>
      <c r="AI51" s="2"/>
      <c r="AJ51" s="2"/>
      <c r="AR51" s="2"/>
    </row>
    <row r="52" spans="1:65" x14ac:dyDescent="0.25">
      <c r="A52" s="2">
        <f>HYPERLINK(URLs!B36 &amp; 111866,111866)</f>
        <v>111866</v>
      </c>
      <c r="B52" s="2">
        <f>HYPERLINK(URLs!B30 &amp; 20897 &amp; URLs!B32,20897)</f>
        <v>20897</v>
      </c>
      <c r="C52" t="s">
        <v>641</v>
      </c>
      <c r="D52" t="s">
        <v>619</v>
      </c>
      <c r="E52" t="s">
        <v>620</v>
      </c>
      <c r="F52" t="s">
        <v>621</v>
      </c>
      <c r="G52" t="s">
        <v>622</v>
      </c>
      <c r="H52" t="s">
        <v>623</v>
      </c>
      <c r="I52" t="s">
        <v>624</v>
      </c>
      <c r="J52" t="s">
        <v>629</v>
      </c>
      <c r="K52" t="s">
        <v>68</v>
      </c>
      <c r="L52" s="5">
        <v>43350.589189814818</v>
      </c>
      <c r="N52" s="2">
        <f>HYPERLINK(URLs!B36 &amp; 111866,111866)</f>
        <v>111866</v>
      </c>
      <c r="O52" t="s">
        <v>637</v>
      </c>
      <c r="P52" t="s">
        <v>621</v>
      </c>
      <c r="Q52" t="s">
        <v>4800</v>
      </c>
      <c r="R52" t="s">
        <v>67</v>
      </c>
      <c r="T52" t="s">
        <v>4171</v>
      </c>
      <c r="U52" t="s">
        <v>35</v>
      </c>
      <c r="V52" t="s">
        <v>35</v>
      </c>
      <c r="Z52" t="s">
        <v>73</v>
      </c>
      <c r="AC52" s="2"/>
      <c r="AI52" s="2"/>
      <c r="AJ52" s="2"/>
      <c r="AR52" s="2"/>
    </row>
    <row r="53" spans="1:65" hidden="1" x14ac:dyDescent="0.25">
      <c r="A53" s="2"/>
      <c r="B53" s="2">
        <f>HYPERLINK(URLs!B30 &amp; 20879 &amp; URLs!B32,20879)</f>
        <v>20879</v>
      </c>
      <c r="C53" t="s">
        <v>618</v>
      </c>
      <c r="D53" t="s">
        <v>619</v>
      </c>
      <c r="E53" t="s">
        <v>850</v>
      </c>
      <c r="F53" t="s">
        <v>621</v>
      </c>
      <c r="G53" t="s">
        <v>855</v>
      </c>
      <c r="H53" t="s">
        <v>856</v>
      </c>
      <c r="I53" t="s">
        <v>624</v>
      </c>
      <c r="J53" t="s">
        <v>625</v>
      </c>
      <c r="L53" s="5">
        <v>43349.333865740744</v>
      </c>
      <c r="N53" s="2">
        <f>HYPERLINK(URLs!B36 &amp; 119890,119890)</f>
        <v>119890</v>
      </c>
      <c r="O53" t="s">
        <v>637</v>
      </c>
      <c r="P53" t="s">
        <v>621</v>
      </c>
      <c r="Q53" t="s">
        <v>4801</v>
      </c>
      <c r="R53" t="s">
        <v>319</v>
      </c>
      <c r="AC53" s="2"/>
      <c r="AI53" s="2"/>
      <c r="AJ53" s="2"/>
      <c r="AR53" s="2"/>
      <c r="BM53" s="1"/>
    </row>
    <row r="54" spans="1:65" hidden="1" x14ac:dyDescent="0.25">
      <c r="A54" s="2"/>
      <c r="B54" s="2">
        <f>HYPERLINK(URLs!B30 &amp; 20878 &amp; URLs!B32,20878)</f>
        <v>20878</v>
      </c>
      <c r="C54" t="s">
        <v>618</v>
      </c>
      <c r="D54" t="s">
        <v>619</v>
      </c>
      <c r="E54" t="s">
        <v>850</v>
      </c>
      <c r="F54" t="s">
        <v>621</v>
      </c>
      <c r="G54" t="s">
        <v>855</v>
      </c>
      <c r="H54" t="s">
        <v>856</v>
      </c>
      <c r="I54" t="s">
        <v>624</v>
      </c>
      <c r="J54" t="s">
        <v>625</v>
      </c>
      <c r="L54" s="5">
        <v>43349.138819444444</v>
      </c>
      <c r="N54" s="2">
        <f>HYPERLINK(URLs!B36 &amp; 119459,119459)</f>
        <v>119459</v>
      </c>
      <c r="O54" t="s">
        <v>637</v>
      </c>
      <c r="P54" t="s">
        <v>621</v>
      </c>
      <c r="Q54" t="s">
        <v>4802</v>
      </c>
      <c r="R54" t="s">
        <v>319</v>
      </c>
      <c r="AH54" s="1"/>
      <c r="AJ54" s="2"/>
      <c r="AW54" s="1"/>
    </row>
    <row r="55" spans="1:65" x14ac:dyDescent="0.25">
      <c r="A55" s="2">
        <f>HYPERLINK(URLs!B36 &amp; 119461,119461)</f>
        <v>119461</v>
      </c>
      <c r="B55" s="2">
        <f>HYPERLINK(URLs!B30 &amp; 20874 &amp; URLs!B32,20874)</f>
        <v>20874</v>
      </c>
      <c r="C55" t="s">
        <v>641</v>
      </c>
      <c r="D55" t="s">
        <v>619</v>
      </c>
      <c r="E55" t="s">
        <v>620</v>
      </c>
      <c r="F55" t="s">
        <v>621</v>
      </c>
      <c r="G55" t="s">
        <v>622</v>
      </c>
      <c r="H55" t="s">
        <v>623</v>
      </c>
      <c r="I55" t="s">
        <v>624</v>
      </c>
      <c r="J55" t="s">
        <v>625</v>
      </c>
      <c r="K55" t="s">
        <v>31</v>
      </c>
      <c r="L55" s="5">
        <v>43348.507523148146</v>
      </c>
      <c r="N55" s="2">
        <f>HYPERLINK(URLs!B36 &amp; 119462,119462)</f>
        <v>119462</v>
      </c>
      <c r="O55" t="s">
        <v>637</v>
      </c>
      <c r="P55" t="s">
        <v>621</v>
      </c>
      <c r="Q55" t="s">
        <v>4803</v>
      </c>
      <c r="R55" t="s">
        <v>67</v>
      </c>
      <c r="T55" t="s">
        <v>4098</v>
      </c>
      <c r="U55" t="s">
        <v>35</v>
      </c>
      <c r="V55" t="s">
        <v>35</v>
      </c>
      <c r="Z55" t="s">
        <v>73</v>
      </c>
      <c r="AC55" s="2"/>
      <c r="AI55" s="2"/>
      <c r="AJ55" s="2"/>
      <c r="AR55" s="2"/>
    </row>
    <row r="56" spans="1:65" hidden="1" x14ac:dyDescent="0.25">
      <c r="A56" s="2">
        <f>HYPERLINK(URLs!B36 &amp; 119236,119236)</f>
        <v>119236</v>
      </c>
      <c r="B56" s="2">
        <f>HYPERLINK(URLs!B30 &amp; 20871 &amp; URLs!B32,20871)</f>
        <v>20871</v>
      </c>
      <c r="C56" t="s">
        <v>633</v>
      </c>
      <c r="D56" t="s">
        <v>619</v>
      </c>
      <c r="E56" t="s">
        <v>620</v>
      </c>
      <c r="F56" t="s">
        <v>621</v>
      </c>
      <c r="G56" t="s">
        <v>622</v>
      </c>
      <c r="H56" t="s">
        <v>623</v>
      </c>
      <c r="I56" t="s">
        <v>624</v>
      </c>
      <c r="J56" t="s">
        <v>625</v>
      </c>
      <c r="K56" t="s">
        <v>31</v>
      </c>
      <c r="L56" s="5">
        <v>43348.34270833333</v>
      </c>
      <c r="M56" s="5">
        <v>43431.602037037039</v>
      </c>
      <c r="N56" s="2">
        <f>HYPERLINK(URLs!B36 &amp; 119236,119236)</f>
        <v>119236</v>
      </c>
      <c r="O56" t="s">
        <v>636</v>
      </c>
      <c r="P56" t="s">
        <v>621</v>
      </c>
      <c r="Q56" t="s">
        <v>4804</v>
      </c>
      <c r="R56" t="s">
        <v>305</v>
      </c>
      <c r="S56" t="s">
        <v>304</v>
      </c>
      <c r="T56" t="s">
        <v>4929</v>
      </c>
      <c r="U56" t="s">
        <v>4871</v>
      </c>
      <c r="V56" t="s">
        <v>35</v>
      </c>
      <c r="Z56" t="s">
        <v>73</v>
      </c>
      <c r="AC56" s="2"/>
      <c r="AI56" s="2"/>
      <c r="AJ56" s="2"/>
      <c r="AR56" s="2"/>
    </row>
    <row r="57" spans="1:65" hidden="1" x14ac:dyDescent="0.25">
      <c r="A57" s="2"/>
      <c r="B57" s="2">
        <f>HYPERLINK(URLs!B30 &amp; 20869 &amp; URLs!B32,20869)</f>
        <v>20869</v>
      </c>
      <c r="C57" t="s">
        <v>665</v>
      </c>
      <c r="D57" t="s">
        <v>619</v>
      </c>
      <c r="E57" t="s">
        <v>850</v>
      </c>
      <c r="F57" t="s">
        <v>621</v>
      </c>
      <c r="G57" t="s">
        <v>855</v>
      </c>
      <c r="H57" t="s">
        <v>856</v>
      </c>
      <c r="I57" t="s">
        <v>624</v>
      </c>
      <c r="J57" t="s">
        <v>642</v>
      </c>
      <c r="L57" s="5">
        <v>43348.10434027778</v>
      </c>
      <c r="M57" s="5">
        <v>43398.740277777775</v>
      </c>
      <c r="N57" s="2">
        <f>HYPERLINK(URLs!B36 &amp; 119104,119104)</f>
        <v>119104</v>
      </c>
      <c r="O57" t="s">
        <v>636</v>
      </c>
      <c r="P57" t="s">
        <v>621</v>
      </c>
      <c r="Q57" t="s">
        <v>4805</v>
      </c>
      <c r="AC57" s="2"/>
      <c r="AJ57" s="2"/>
      <c r="AR57" s="2"/>
    </row>
    <row r="58" spans="1:65" hidden="1" x14ac:dyDescent="0.25">
      <c r="A58" s="2">
        <f>HYPERLINK(URLs!B36 &amp; 103778,103778)</f>
        <v>103778</v>
      </c>
      <c r="B58" s="2">
        <f>HYPERLINK(URLs!B30 &amp; 20857 &amp; URLs!B32,20857)</f>
        <v>20857</v>
      </c>
      <c r="C58" t="s">
        <v>633</v>
      </c>
      <c r="D58" t="s">
        <v>619</v>
      </c>
      <c r="E58" t="s">
        <v>620</v>
      </c>
      <c r="F58" t="s">
        <v>621</v>
      </c>
      <c r="G58" t="s">
        <v>622</v>
      </c>
      <c r="H58" t="s">
        <v>623</v>
      </c>
      <c r="I58" t="s">
        <v>624</v>
      </c>
      <c r="J58" t="s">
        <v>625</v>
      </c>
      <c r="K58" t="s">
        <v>31</v>
      </c>
      <c r="L58" s="5">
        <v>43343.578043981484</v>
      </c>
      <c r="M58" s="5">
        <v>43431.610590277778</v>
      </c>
      <c r="N58" s="2">
        <f>HYPERLINK(URLs!B36 &amp; 118971,118971)</f>
        <v>118971</v>
      </c>
      <c r="O58" t="s">
        <v>636</v>
      </c>
      <c r="P58" t="s">
        <v>621</v>
      </c>
      <c r="Q58" t="s">
        <v>4806</v>
      </c>
      <c r="R58" t="s">
        <v>305</v>
      </c>
      <c r="S58" t="s">
        <v>304</v>
      </c>
      <c r="T58" t="s">
        <v>4670</v>
      </c>
      <c r="U58" t="s">
        <v>4864</v>
      </c>
      <c r="V58" t="s">
        <v>321</v>
      </c>
      <c r="Z58" t="s">
        <v>96</v>
      </c>
      <c r="AC58" s="2"/>
      <c r="AI58" s="2"/>
      <c r="AJ58" s="2"/>
      <c r="AR58" s="2"/>
    </row>
    <row r="59" spans="1:65" hidden="1" x14ac:dyDescent="0.25">
      <c r="A59" s="2">
        <f>HYPERLINK(URLs!B36 &amp; 118674,118674)</f>
        <v>118674</v>
      </c>
      <c r="B59" s="2">
        <f>HYPERLINK(URLs!B30 &amp; 20838 &amp; URLs!B32,20838)</f>
        <v>20838</v>
      </c>
      <c r="C59" t="s">
        <v>618</v>
      </c>
      <c r="D59" t="s">
        <v>619</v>
      </c>
      <c r="E59" t="s">
        <v>850</v>
      </c>
      <c r="F59" t="s">
        <v>621</v>
      </c>
      <c r="G59" t="s">
        <v>889</v>
      </c>
      <c r="H59" t="s">
        <v>890</v>
      </c>
      <c r="I59" t="s">
        <v>624</v>
      </c>
      <c r="J59" t="s">
        <v>629</v>
      </c>
      <c r="K59" t="s">
        <v>31</v>
      </c>
      <c r="L59" s="5">
        <v>43340.576736111114</v>
      </c>
      <c r="N59" s="2">
        <f>HYPERLINK(URLs!B36 &amp; 118674,118674)</f>
        <v>118674</v>
      </c>
      <c r="O59" t="s">
        <v>637</v>
      </c>
      <c r="P59" t="s">
        <v>621</v>
      </c>
      <c r="Q59" t="s">
        <v>4807</v>
      </c>
      <c r="R59" t="s">
        <v>42</v>
      </c>
      <c r="T59" t="s">
        <v>4331</v>
      </c>
      <c r="U59" t="s">
        <v>35</v>
      </c>
      <c r="V59" t="s">
        <v>35</v>
      </c>
      <c r="Z59" t="s">
        <v>73</v>
      </c>
      <c r="AC59" s="2"/>
      <c r="AI59" s="2"/>
      <c r="AJ59" s="2"/>
      <c r="AR59" s="2"/>
    </row>
    <row r="60" spans="1:65" hidden="1" x14ac:dyDescent="0.25">
      <c r="A60" s="2">
        <f>HYPERLINK(URLs!B36 &amp; 117578,117578)</f>
        <v>117578</v>
      </c>
      <c r="B60" s="2">
        <f>HYPERLINK(URLs!B30 &amp; 20831 &amp; URLs!B32,20831)</f>
        <v>20831</v>
      </c>
      <c r="C60" t="s">
        <v>641</v>
      </c>
      <c r="D60" t="s">
        <v>619</v>
      </c>
      <c r="E60" t="s">
        <v>620</v>
      </c>
      <c r="F60" t="s">
        <v>621</v>
      </c>
      <c r="G60" t="s">
        <v>631</v>
      </c>
      <c r="H60" t="s">
        <v>632</v>
      </c>
      <c r="I60" t="s">
        <v>624</v>
      </c>
      <c r="J60" t="s">
        <v>625</v>
      </c>
      <c r="K60" t="s">
        <v>31</v>
      </c>
      <c r="L60" s="5">
        <v>43340.032500000001</v>
      </c>
      <c r="N60" s="2">
        <f>HYPERLINK(URLs!B36 &amp; 117578,117578)</f>
        <v>117578</v>
      </c>
      <c r="O60" t="s">
        <v>1360</v>
      </c>
      <c r="P60" t="s">
        <v>621</v>
      </c>
      <c r="Q60" t="s">
        <v>4808</v>
      </c>
      <c r="R60" t="s">
        <v>319</v>
      </c>
      <c r="S60" t="s">
        <v>304</v>
      </c>
      <c r="T60" t="s">
        <v>4098</v>
      </c>
      <c r="U60" t="s">
        <v>5020</v>
      </c>
      <c r="V60" t="s">
        <v>35</v>
      </c>
      <c r="Z60" t="s">
        <v>34</v>
      </c>
      <c r="AC60" s="2"/>
      <c r="AJ60" s="2"/>
      <c r="AR60" s="2"/>
    </row>
    <row r="61" spans="1:65" x14ac:dyDescent="0.25">
      <c r="A61" s="2">
        <f>HYPERLINK(URLs!B36 &amp; 117632,117632)</f>
        <v>117632</v>
      </c>
      <c r="B61" s="2">
        <f>HYPERLINK(URLs!B30 &amp; 20830 &amp; URLs!B32,20830)</f>
        <v>20830</v>
      </c>
      <c r="C61" t="s">
        <v>618</v>
      </c>
      <c r="D61" t="s">
        <v>619</v>
      </c>
      <c r="E61" t="s">
        <v>620</v>
      </c>
      <c r="F61" t="s">
        <v>621</v>
      </c>
      <c r="G61" t="s">
        <v>631</v>
      </c>
      <c r="H61" t="s">
        <v>632</v>
      </c>
      <c r="I61" t="s">
        <v>624</v>
      </c>
      <c r="J61" t="s">
        <v>642</v>
      </c>
      <c r="K61" t="s">
        <v>68</v>
      </c>
      <c r="L61" s="5">
        <v>43340.025335648148</v>
      </c>
      <c r="N61" s="2">
        <f>HYPERLINK(URLs!B36 &amp; 117632,117632)</f>
        <v>117632</v>
      </c>
      <c r="O61" t="s">
        <v>637</v>
      </c>
      <c r="P61" t="s">
        <v>621</v>
      </c>
      <c r="Q61" t="s">
        <v>4809</v>
      </c>
      <c r="R61" t="s">
        <v>305</v>
      </c>
      <c r="S61" t="s">
        <v>337</v>
      </c>
      <c r="T61" t="s">
        <v>4143</v>
      </c>
      <c r="U61" t="s">
        <v>35</v>
      </c>
      <c r="V61" t="s">
        <v>35</v>
      </c>
      <c r="Z61" t="s">
        <v>34</v>
      </c>
      <c r="AC61" s="2"/>
      <c r="AJ61" s="2"/>
      <c r="AR61" s="2"/>
    </row>
    <row r="62" spans="1:65" x14ac:dyDescent="0.25">
      <c r="A62" s="2">
        <f>HYPERLINK(URLs!B36 &amp; 117638,117638)</f>
        <v>117638</v>
      </c>
      <c r="B62" s="2">
        <f>HYPERLINK(URLs!B30 &amp; 20829 &amp; URLs!B32,20829)</f>
        <v>20829</v>
      </c>
      <c r="C62" t="s">
        <v>641</v>
      </c>
      <c r="D62" t="s">
        <v>619</v>
      </c>
      <c r="E62" t="s">
        <v>620</v>
      </c>
      <c r="F62" t="s">
        <v>621</v>
      </c>
      <c r="G62" t="s">
        <v>631</v>
      </c>
      <c r="H62" t="s">
        <v>632</v>
      </c>
      <c r="I62" t="s">
        <v>624</v>
      </c>
      <c r="J62" t="s">
        <v>625</v>
      </c>
      <c r="K62" t="s">
        <v>31</v>
      </c>
      <c r="L62" s="5">
        <v>43340.016956018517</v>
      </c>
      <c r="N62" s="2">
        <f>HYPERLINK(URLs!B36 &amp; 118049,118049)</f>
        <v>118049</v>
      </c>
      <c r="O62" t="s">
        <v>637</v>
      </c>
      <c r="P62" t="s">
        <v>621</v>
      </c>
      <c r="Q62" t="s">
        <v>5039</v>
      </c>
      <c r="R62" t="s">
        <v>305</v>
      </c>
      <c r="S62" t="s">
        <v>337</v>
      </c>
      <c r="T62" t="s">
        <v>4670</v>
      </c>
      <c r="U62" t="s">
        <v>35</v>
      </c>
      <c r="V62" t="s">
        <v>321</v>
      </c>
      <c r="Z62" t="s">
        <v>34</v>
      </c>
      <c r="AC62" s="2"/>
      <c r="AI62" s="2"/>
      <c r="AJ62" s="2"/>
      <c r="AR62" s="2"/>
    </row>
    <row r="63" spans="1:65" x14ac:dyDescent="0.25">
      <c r="A63" s="2"/>
      <c r="B63" s="2">
        <f>HYPERLINK(URLs!B30 &amp; 20828 &amp; URLs!B32,20828)</f>
        <v>20828</v>
      </c>
      <c r="C63" t="s">
        <v>641</v>
      </c>
      <c r="D63" t="s">
        <v>619</v>
      </c>
      <c r="E63" t="s">
        <v>620</v>
      </c>
      <c r="F63" t="s">
        <v>621</v>
      </c>
      <c r="G63" t="s">
        <v>631</v>
      </c>
      <c r="H63" t="s">
        <v>632</v>
      </c>
      <c r="I63" t="s">
        <v>624</v>
      </c>
      <c r="J63" t="s">
        <v>625</v>
      </c>
      <c r="L63" s="5">
        <v>43340.002569444441</v>
      </c>
      <c r="N63" s="2">
        <f>HYPERLINK(URLs!B37 &amp; 243445,243445)</f>
        <v>243445</v>
      </c>
      <c r="O63" t="s">
        <v>637</v>
      </c>
      <c r="P63" t="s">
        <v>621</v>
      </c>
      <c r="Q63" t="s">
        <v>5040</v>
      </c>
      <c r="AC63" s="2"/>
      <c r="AJ63" s="2"/>
      <c r="AR63" s="2"/>
    </row>
    <row r="64" spans="1:65" x14ac:dyDescent="0.25">
      <c r="A64" s="2"/>
      <c r="B64" s="2">
        <f>HYPERLINK(URLs!B30 &amp; 20805 &amp; URLs!B32,20805)</f>
        <v>20805</v>
      </c>
      <c r="C64" t="s">
        <v>618</v>
      </c>
      <c r="D64" t="s">
        <v>619</v>
      </c>
      <c r="E64" t="s">
        <v>620</v>
      </c>
      <c r="F64" t="s">
        <v>621</v>
      </c>
      <c r="G64" t="s">
        <v>643</v>
      </c>
      <c r="H64" t="s">
        <v>644</v>
      </c>
      <c r="I64" t="s">
        <v>624</v>
      </c>
      <c r="J64" t="s">
        <v>625</v>
      </c>
      <c r="L64" s="5">
        <v>43334.412905092591</v>
      </c>
      <c r="N64" s="2">
        <f>HYPERLINK(URLs!B36 &amp; 118474,118474)</f>
        <v>118474</v>
      </c>
      <c r="O64" t="s">
        <v>637</v>
      </c>
      <c r="P64" t="s">
        <v>621</v>
      </c>
      <c r="Q64" t="s">
        <v>4791</v>
      </c>
      <c r="R64" t="s">
        <v>319</v>
      </c>
      <c r="AC64" s="2"/>
      <c r="AI64" s="2"/>
      <c r="AJ64" s="2"/>
      <c r="AR64" s="2"/>
      <c r="BM64" s="1"/>
    </row>
    <row r="65" spans="1:65" hidden="1" x14ac:dyDescent="0.25">
      <c r="A65" s="2"/>
      <c r="B65" s="2">
        <f>HYPERLINK(URLs!B30 &amp; 20792 &amp; URLs!B32,20792)</f>
        <v>20792</v>
      </c>
      <c r="C65" t="s">
        <v>618</v>
      </c>
      <c r="D65" t="s">
        <v>619</v>
      </c>
      <c r="E65" t="s">
        <v>850</v>
      </c>
      <c r="F65" t="s">
        <v>621</v>
      </c>
      <c r="G65" t="s">
        <v>855</v>
      </c>
      <c r="H65" t="s">
        <v>856</v>
      </c>
      <c r="I65" t="s">
        <v>624</v>
      </c>
      <c r="J65" t="s">
        <v>625</v>
      </c>
      <c r="L65" s="5">
        <v>43332.112696759257</v>
      </c>
      <c r="N65" s="2">
        <f>HYPERLINK(URLs!B36 &amp; 113003,113003)</f>
        <v>113003</v>
      </c>
      <c r="O65" t="s">
        <v>637</v>
      </c>
      <c r="P65" t="s">
        <v>621</v>
      </c>
      <c r="Q65" t="s">
        <v>4725</v>
      </c>
      <c r="R65" t="s">
        <v>319</v>
      </c>
      <c r="AC65" s="2"/>
      <c r="AH65" s="1"/>
      <c r="AJ65" s="2"/>
      <c r="AR65" s="2"/>
      <c r="AW65" s="1"/>
      <c r="BM65" s="1"/>
    </row>
    <row r="66" spans="1:65" hidden="1" x14ac:dyDescent="0.25">
      <c r="A66" s="2">
        <f>HYPERLINK(URLs!B36 &amp; 118257,118257)</f>
        <v>118257</v>
      </c>
      <c r="B66" s="2">
        <f>HYPERLINK(URLs!B30 &amp; 20777 &amp; URLs!B32,20777)</f>
        <v>20777</v>
      </c>
      <c r="C66" t="s">
        <v>618</v>
      </c>
      <c r="D66" t="s">
        <v>619</v>
      </c>
      <c r="E66" t="s">
        <v>620</v>
      </c>
      <c r="F66" t="s">
        <v>621</v>
      </c>
      <c r="G66" t="s">
        <v>622</v>
      </c>
      <c r="H66" t="s">
        <v>623</v>
      </c>
      <c r="I66" t="s">
        <v>624</v>
      </c>
      <c r="J66" t="s">
        <v>629</v>
      </c>
      <c r="K66" t="s">
        <v>68</v>
      </c>
      <c r="L66" s="5">
        <v>43328.392071759263</v>
      </c>
      <c r="N66" s="2">
        <f>HYPERLINK(URLs!B36 &amp; 118833,118833)</f>
        <v>118833</v>
      </c>
      <c r="O66" t="s">
        <v>640</v>
      </c>
      <c r="P66" t="s">
        <v>621</v>
      </c>
      <c r="Q66" t="s">
        <v>4810</v>
      </c>
      <c r="R66" t="s">
        <v>4919</v>
      </c>
      <c r="S66" t="s">
        <v>304</v>
      </c>
      <c r="T66" t="s">
        <v>4171</v>
      </c>
      <c r="U66" t="s">
        <v>5020</v>
      </c>
      <c r="V66" t="s">
        <v>35</v>
      </c>
      <c r="Z66" t="s">
        <v>96</v>
      </c>
      <c r="AC66" s="2"/>
      <c r="AH66" s="1"/>
      <c r="AJ66" s="2"/>
      <c r="AR66" s="2"/>
      <c r="AW66" s="1"/>
      <c r="BM66" s="1"/>
    </row>
    <row r="67" spans="1:65" hidden="1" x14ac:dyDescent="0.25">
      <c r="A67" s="2">
        <f>HYPERLINK(URLs!B36 &amp; 118098,118098)</f>
        <v>118098</v>
      </c>
      <c r="B67" s="2">
        <f>HYPERLINK(URLs!B30 &amp; 20769 &amp; URLs!B32,20769)</f>
        <v>20769</v>
      </c>
      <c r="C67" t="s">
        <v>618</v>
      </c>
      <c r="D67" t="s">
        <v>619</v>
      </c>
      <c r="E67" t="s">
        <v>620</v>
      </c>
      <c r="F67" t="s">
        <v>621</v>
      </c>
      <c r="G67" t="s">
        <v>622</v>
      </c>
      <c r="H67" t="s">
        <v>623</v>
      </c>
      <c r="I67" t="s">
        <v>624</v>
      </c>
      <c r="J67" t="s">
        <v>625</v>
      </c>
      <c r="K67" t="s">
        <v>31</v>
      </c>
      <c r="L67" s="5">
        <v>43326.56449074074</v>
      </c>
      <c r="N67" s="2">
        <f>HYPERLINK(URLs!B36 &amp; 118098,118098)</f>
        <v>118098</v>
      </c>
      <c r="O67" t="s">
        <v>640</v>
      </c>
      <c r="P67" t="s">
        <v>621</v>
      </c>
      <c r="Q67" t="s">
        <v>4792</v>
      </c>
      <c r="R67" t="s">
        <v>305</v>
      </c>
      <c r="S67" t="s">
        <v>304</v>
      </c>
      <c r="T67" t="s">
        <v>5001</v>
      </c>
      <c r="U67" t="s">
        <v>5027</v>
      </c>
      <c r="V67" t="s">
        <v>321</v>
      </c>
      <c r="Z67" t="s">
        <v>96</v>
      </c>
      <c r="AC67" s="2"/>
      <c r="AH67" s="1"/>
      <c r="AJ67" s="2"/>
      <c r="AR67" s="2"/>
      <c r="AW67" s="1"/>
    </row>
    <row r="68" spans="1:65" hidden="1" x14ac:dyDescent="0.25">
      <c r="A68" s="2"/>
      <c r="B68" s="2">
        <f>HYPERLINK(URLs!B30 &amp; 20767 &amp; URLs!B32,20767)</f>
        <v>20767</v>
      </c>
      <c r="C68" t="s">
        <v>665</v>
      </c>
      <c r="D68" t="s">
        <v>619</v>
      </c>
      <c r="E68" t="s">
        <v>850</v>
      </c>
      <c r="F68" t="s">
        <v>621</v>
      </c>
      <c r="G68" t="s">
        <v>855</v>
      </c>
      <c r="H68" t="s">
        <v>856</v>
      </c>
      <c r="I68" t="s">
        <v>624</v>
      </c>
      <c r="J68" t="s">
        <v>625</v>
      </c>
      <c r="L68" s="5">
        <v>43326.411192129628</v>
      </c>
      <c r="M68" s="5">
        <v>43398.738194444442</v>
      </c>
      <c r="N68" s="2">
        <f>HYPERLINK(URLs!B36 &amp; 118041,118041)</f>
        <v>118041</v>
      </c>
      <c r="O68" t="s">
        <v>636</v>
      </c>
      <c r="P68" t="s">
        <v>621</v>
      </c>
      <c r="Q68" t="s">
        <v>4726</v>
      </c>
      <c r="R68" t="s">
        <v>319</v>
      </c>
      <c r="W68">
        <v>1</v>
      </c>
      <c r="X68">
        <v>1</v>
      </c>
      <c r="AC68" s="2"/>
      <c r="AI68" s="2"/>
      <c r="AJ68" s="2"/>
      <c r="AR68" s="2"/>
    </row>
    <row r="69" spans="1:65" hidden="1" x14ac:dyDescent="0.25">
      <c r="A69" s="2">
        <f>HYPERLINK(URLs!B36 &amp; 118102,118102)</f>
        <v>118102</v>
      </c>
      <c r="B69" s="2">
        <f>HYPERLINK(URLs!B30 &amp; 20766 &amp; URLs!B32,20766)</f>
        <v>20766</v>
      </c>
      <c r="C69" t="s">
        <v>618</v>
      </c>
      <c r="D69" t="s">
        <v>619</v>
      </c>
      <c r="E69" t="s">
        <v>620</v>
      </c>
      <c r="F69" t="s">
        <v>621</v>
      </c>
      <c r="G69" t="s">
        <v>622</v>
      </c>
      <c r="H69" t="s">
        <v>623</v>
      </c>
      <c r="I69" t="s">
        <v>624</v>
      </c>
      <c r="J69" t="s">
        <v>629</v>
      </c>
      <c r="K69" t="s">
        <v>31</v>
      </c>
      <c r="L69" s="5">
        <v>43325.677164351851</v>
      </c>
      <c r="N69" s="2">
        <f>HYPERLINK(URLs!B36 &amp; 118102,118102)</f>
        <v>118102</v>
      </c>
      <c r="O69" t="s">
        <v>1360</v>
      </c>
      <c r="P69" t="s">
        <v>621</v>
      </c>
      <c r="Q69" t="s">
        <v>4811</v>
      </c>
      <c r="R69" t="s">
        <v>319</v>
      </c>
      <c r="S69" t="s">
        <v>304</v>
      </c>
      <c r="T69" t="s">
        <v>4171</v>
      </c>
      <c r="U69" t="s">
        <v>4853</v>
      </c>
      <c r="V69" t="s">
        <v>35</v>
      </c>
      <c r="Z69" t="s">
        <v>73</v>
      </c>
      <c r="AC69" s="2"/>
      <c r="AJ69" s="2"/>
      <c r="AR69" s="2"/>
      <c r="BL69" s="1"/>
    </row>
    <row r="70" spans="1:65" hidden="1" x14ac:dyDescent="0.25">
      <c r="A70" s="2"/>
      <c r="B70" s="2">
        <f>HYPERLINK(URLs!B30 &amp; 20745 &amp; URLs!B32,20745)</f>
        <v>20745</v>
      </c>
      <c r="C70" t="s">
        <v>618</v>
      </c>
      <c r="D70" t="s">
        <v>619</v>
      </c>
      <c r="E70" t="s">
        <v>850</v>
      </c>
      <c r="F70" t="s">
        <v>621</v>
      </c>
      <c r="G70" t="s">
        <v>855</v>
      </c>
      <c r="H70" t="s">
        <v>856</v>
      </c>
      <c r="I70" t="s">
        <v>624</v>
      </c>
      <c r="J70" t="s">
        <v>625</v>
      </c>
      <c r="L70" s="5">
        <v>43321.214479166665</v>
      </c>
      <c r="N70" s="2">
        <f>HYPERLINK(URLs!B36 &amp; 117726,117726)</f>
        <v>117726</v>
      </c>
      <c r="O70" t="s">
        <v>637</v>
      </c>
      <c r="P70" t="s">
        <v>621</v>
      </c>
      <c r="Q70" t="s">
        <v>4727</v>
      </c>
      <c r="AC70" s="2"/>
      <c r="AJ70" s="2"/>
      <c r="AR70" s="2"/>
    </row>
    <row r="71" spans="1:65" hidden="1" x14ac:dyDescent="0.25">
      <c r="A71" s="2"/>
      <c r="B71" s="2">
        <f>HYPERLINK(URLs!B30 &amp; 20730 &amp; URLs!B32,20730)</f>
        <v>20730</v>
      </c>
      <c r="C71" t="s">
        <v>641</v>
      </c>
      <c r="D71" t="s">
        <v>619</v>
      </c>
      <c r="E71" t="s">
        <v>850</v>
      </c>
      <c r="F71" t="s">
        <v>621</v>
      </c>
      <c r="G71" t="s">
        <v>855</v>
      </c>
      <c r="H71" t="s">
        <v>856</v>
      </c>
      <c r="I71" t="s">
        <v>624</v>
      </c>
      <c r="J71" t="s">
        <v>625</v>
      </c>
      <c r="L71" s="5">
        <v>43319.291226851848</v>
      </c>
      <c r="N71" s="2">
        <f>HYPERLINK(URLs!B36 &amp; 118074,118074)</f>
        <v>118074</v>
      </c>
      <c r="O71" t="s">
        <v>637</v>
      </c>
      <c r="P71" t="s">
        <v>621</v>
      </c>
      <c r="Q71" t="s">
        <v>4719</v>
      </c>
      <c r="W71">
        <v>1</v>
      </c>
      <c r="AC71" s="2"/>
      <c r="AI71" s="2"/>
      <c r="AJ71" s="2"/>
      <c r="AR71" s="2"/>
    </row>
    <row r="72" spans="1:65" x14ac:dyDescent="0.25">
      <c r="A72" s="2">
        <f>HYPERLINK(URLs!B36 &amp; 117690,117690)</f>
        <v>117690</v>
      </c>
      <c r="B72" s="2">
        <f>HYPERLINK(URLs!B30 &amp; 20705 &amp; URLs!B32,20705)</f>
        <v>20705</v>
      </c>
      <c r="C72" t="s">
        <v>618</v>
      </c>
      <c r="D72" t="s">
        <v>619</v>
      </c>
      <c r="E72" t="s">
        <v>620</v>
      </c>
      <c r="F72" t="s">
        <v>621</v>
      </c>
      <c r="G72" t="s">
        <v>622</v>
      </c>
      <c r="H72" t="s">
        <v>623</v>
      </c>
      <c r="I72" t="s">
        <v>624</v>
      </c>
      <c r="J72" t="s">
        <v>625</v>
      </c>
      <c r="K72" t="s">
        <v>31</v>
      </c>
      <c r="L72" s="5">
        <v>43315.494375000002</v>
      </c>
      <c r="N72" s="2">
        <f>HYPERLINK(URLs!B36 &amp; 117690,117690)</f>
        <v>117690</v>
      </c>
      <c r="O72" t="s">
        <v>637</v>
      </c>
      <c r="P72" t="s">
        <v>621</v>
      </c>
      <c r="Q72" t="s">
        <v>4720</v>
      </c>
      <c r="R72" t="s">
        <v>42</v>
      </c>
      <c r="T72" t="s">
        <v>4171</v>
      </c>
      <c r="U72" t="s">
        <v>35</v>
      </c>
      <c r="V72" t="s">
        <v>321</v>
      </c>
      <c r="Z72" t="s">
        <v>45</v>
      </c>
      <c r="AC72" s="2"/>
      <c r="AI72" s="2"/>
      <c r="AJ72" s="2"/>
      <c r="AR72" s="2"/>
    </row>
    <row r="73" spans="1:65" hidden="1" x14ac:dyDescent="0.25">
      <c r="A73" s="2">
        <f>HYPERLINK(URLs!B36 &amp; 117625,117625)</f>
        <v>117625</v>
      </c>
      <c r="B73" s="2">
        <f>HYPERLINK(URLs!B30 &amp; 20701 &amp; URLs!B32,20701)</f>
        <v>20701</v>
      </c>
      <c r="C73" t="s">
        <v>618</v>
      </c>
      <c r="D73" t="s">
        <v>619</v>
      </c>
      <c r="E73" t="s">
        <v>620</v>
      </c>
      <c r="F73" t="s">
        <v>621</v>
      </c>
      <c r="G73" t="s">
        <v>622</v>
      </c>
      <c r="H73" t="s">
        <v>623</v>
      </c>
      <c r="I73" t="s">
        <v>624</v>
      </c>
      <c r="J73" t="s">
        <v>625</v>
      </c>
      <c r="K73" t="s">
        <v>31</v>
      </c>
      <c r="L73" s="5">
        <v>43314.540578703702</v>
      </c>
      <c r="N73" s="2">
        <f>HYPERLINK(URLs!B36 &amp; 117625,117625)</f>
        <v>117625</v>
      </c>
      <c r="O73" t="s">
        <v>1360</v>
      </c>
      <c r="P73" t="s">
        <v>621</v>
      </c>
      <c r="Q73" t="s">
        <v>4728</v>
      </c>
      <c r="R73" t="s">
        <v>305</v>
      </c>
      <c r="S73" t="s">
        <v>304</v>
      </c>
      <c r="T73" t="s">
        <v>4436</v>
      </c>
      <c r="U73" t="s">
        <v>35</v>
      </c>
      <c r="V73" t="s">
        <v>321</v>
      </c>
      <c r="Z73" t="s">
        <v>96</v>
      </c>
      <c r="AC73" s="2"/>
      <c r="AJ73" s="2"/>
      <c r="AR73" s="2"/>
    </row>
    <row r="74" spans="1:65" hidden="1" x14ac:dyDescent="0.25">
      <c r="A74" s="2"/>
      <c r="B74" s="2">
        <f>HYPERLINK(URLs!B30 &amp; 20698 &amp; URLs!B32,20698)</f>
        <v>20698</v>
      </c>
      <c r="C74" t="s">
        <v>633</v>
      </c>
      <c r="D74" t="s">
        <v>619</v>
      </c>
      <c r="E74" t="s">
        <v>850</v>
      </c>
      <c r="F74" t="s">
        <v>621</v>
      </c>
      <c r="G74" t="s">
        <v>858</v>
      </c>
      <c r="H74" t="s">
        <v>859</v>
      </c>
      <c r="I74" t="s">
        <v>624</v>
      </c>
      <c r="J74" t="s">
        <v>642</v>
      </c>
      <c r="L74" s="5">
        <v>43314.388668981483</v>
      </c>
      <c r="M74" s="5">
        <v>43332.407754629632</v>
      </c>
      <c r="N74" s="2">
        <f>HYPERLINK(URLs!B36 &amp; 76876,76876)</f>
        <v>76876</v>
      </c>
      <c r="O74" t="s">
        <v>645</v>
      </c>
      <c r="P74" t="s">
        <v>621</v>
      </c>
      <c r="Q74" t="s">
        <v>4699</v>
      </c>
      <c r="R74" t="s">
        <v>305</v>
      </c>
      <c r="AC74" s="2"/>
      <c r="AI74" s="2"/>
      <c r="AJ74" s="2"/>
      <c r="AR74" s="2"/>
    </row>
    <row r="75" spans="1:65" x14ac:dyDescent="0.25">
      <c r="A75" s="2">
        <f>HYPERLINK(URLs!B36 &amp; 117576,117576)</f>
        <v>117576</v>
      </c>
      <c r="B75" s="2">
        <f>HYPERLINK(URLs!B30 &amp; 20695 &amp; URLs!B32,20695)</f>
        <v>20695</v>
      </c>
      <c r="C75" t="s">
        <v>618</v>
      </c>
      <c r="D75" t="s">
        <v>619</v>
      </c>
      <c r="E75" t="s">
        <v>620</v>
      </c>
      <c r="F75" t="s">
        <v>621</v>
      </c>
      <c r="G75" t="s">
        <v>622</v>
      </c>
      <c r="H75" t="s">
        <v>623</v>
      </c>
      <c r="I75" t="s">
        <v>624</v>
      </c>
      <c r="J75" t="s">
        <v>629</v>
      </c>
      <c r="K75" t="s">
        <v>68</v>
      </c>
      <c r="L75" s="5">
        <v>43313.532013888886</v>
      </c>
      <c r="N75" s="2">
        <f>HYPERLINK(URLs!B36 &amp; 117576,117576)</f>
        <v>117576</v>
      </c>
      <c r="O75" t="s">
        <v>637</v>
      </c>
      <c r="P75" t="s">
        <v>621</v>
      </c>
      <c r="Q75" t="s">
        <v>4721</v>
      </c>
      <c r="R75" t="s">
        <v>67</v>
      </c>
      <c r="T75" t="s">
        <v>4143</v>
      </c>
      <c r="U75" t="s">
        <v>35</v>
      </c>
      <c r="V75" t="s">
        <v>35</v>
      </c>
      <c r="Z75" t="s">
        <v>34</v>
      </c>
      <c r="AC75" s="2"/>
      <c r="AI75" s="2"/>
      <c r="AJ75" s="2"/>
      <c r="AR75" s="2"/>
    </row>
    <row r="76" spans="1:65" hidden="1" x14ac:dyDescent="0.25">
      <c r="A76" s="2"/>
      <c r="B76" s="2">
        <f>HYPERLINK(URLs!B30 &amp; 20678 &amp; URLs!B32,20678)</f>
        <v>20678</v>
      </c>
      <c r="C76" t="s">
        <v>633</v>
      </c>
      <c r="D76" t="s">
        <v>619</v>
      </c>
      <c r="E76" t="s">
        <v>850</v>
      </c>
      <c r="F76" t="s">
        <v>621</v>
      </c>
      <c r="G76" t="s">
        <v>855</v>
      </c>
      <c r="H76" t="s">
        <v>856</v>
      </c>
      <c r="I76" t="s">
        <v>624</v>
      </c>
      <c r="J76" t="s">
        <v>625</v>
      </c>
      <c r="L76" s="5">
        <v>43311.359629629631</v>
      </c>
      <c r="M76" s="5">
        <v>43388.397800925923</v>
      </c>
      <c r="N76" t="s">
        <v>621</v>
      </c>
      <c r="O76" t="s">
        <v>666</v>
      </c>
      <c r="P76" t="s">
        <v>621</v>
      </c>
      <c r="Q76" t="s">
        <v>4700</v>
      </c>
      <c r="R76" t="s">
        <v>305</v>
      </c>
      <c r="AC76" s="2"/>
      <c r="AI76" s="2"/>
      <c r="AJ76" s="2"/>
      <c r="AR76" s="2"/>
      <c r="BM76" s="1"/>
    </row>
    <row r="77" spans="1:65" x14ac:dyDescent="0.25">
      <c r="A77" s="2">
        <f>HYPERLINK(URLs!B36 &amp; 117416,117416)</f>
        <v>117416</v>
      </c>
      <c r="B77" s="2">
        <f>HYPERLINK(URLs!B30 &amp; 20676 &amp; URLs!B32,20676)</f>
        <v>20676</v>
      </c>
      <c r="C77" t="s">
        <v>641</v>
      </c>
      <c r="D77" t="s">
        <v>619</v>
      </c>
      <c r="E77" t="s">
        <v>620</v>
      </c>
      <c r="F77" t="s">
        <v>621</v>
      </c>
      <c r="G77" t="s">
        <v>631</v>
      </c>
      <c r="H77" t="s">
        <v>632</v>
      </c>
      <c r="I77" t="s">
        <v>624</v>
      </c>
      <c r="J77" t="s">
        <v>625</v>
      </c>
      <c r="K77" t="s">
        <v>31</v>
      </c>
      <c r="L77" s="5">
        <v>43310.981631944444</v>
      </c>
      <c r="N77" s="2">
        <f>HYPERLINK(URLs!B36 &amp; 117416,117416)</f>
        <v>117416</v>
      </c>
      <c r="O77" t="s">
        <v>637</v>
      </c>
      <c r="P77" t="s">
        <v>621</v>
      </c>
      <c r="Q77" t="s">
        <v>4729</v>
      </c>
      <c r="R77" t="s">
        <v>319</v>
      </c>
      <c r="S77" t="s">
        <v>304</v>
      </c>
      <c r="T77" t="s">
        <v>4143</v>
      </c>
      <c r="U77" t="s">
        <v>4850</v>
      </c>
      <c r="V77" t="s">
        <v>321</v>
      </c>
      <c r="Z77" t="s">
        <v>4741</v>
      </c>
      <c r="AC77" s="2"/>
      <c r="AH77" s="1"/>
      <c r="AJ77" s="2"/>
      <c r="AR77" s="2"/>
      <c r="AW77" s="1"/>
      <c r="BL77" s="1"/>
    </row>
    <row r="78" spans="1:65" hidden="1" x14ac:dyDescent="0.25">
      <c r="A78" s="2">
        <f>HYPERLINK(URLs!B36 &amp; 117351,117351)</f>
        <v>117351</v>
      </c>
      <c r="B78" s="2">
        <f>HYPERLINK(URLs!B30 &amp; 20664 &amp; URLs!B32,20664)</f>
        <v>20664</v>
      </c>
      <c r="C78" t="s">
        <v>665</v>
      </c>
      <c r="D78" t="s">
        <v>619</v>
      </c>
      <c r="E78" t="s">
        <v>620</v>
      </c>
      <c r="F78" t="s">
        <v>621</v>
      </c>
      <c r="G78" t="s">
        <v>622</v>
      </c>
      <c r="H78" t="s">
        <v>623</v>
      </c>
      <c r="I78" t="s">
        <v>624</v>
      </c>
      <c r="J78" t="s">
        <v>625</v>
      </c>
      <c r="K78" t="s">
        <v>31</v>
      </c>
      <c r="L78" s="5">
        <v>43307.589456018519</v>
      </c>
      <c r="M78" s="5">
        <v>43432.612500000003</v>
      </c>
      <c r="N78" s="2">
        <f>HYPERLINK(URLs!B36 &amp; 117351,117351)</f>
        <v>117351</v>
      </c>
      <c r="O78" t="s">
        <v>636</v>
      </c>
      <c r="P78" t="s">
        <v>621</v>
      </c>
      <c r="Q78" t="s">
        <v>4722</v>
      </c>
      <c r="R78" t="s">
        <v>319</v>
      </c>
      <c r="S78" t="s">
        <v>304</v>
      </c>
      <c r="T78" t="s">
        <v>4171</v>
      </c>
      <c r="U78" t="s">
        <v>4744</v>
      </c>
      <c r="V78" t="s">
        <v>321</v>
      </c>
      <c r="W78">
        <v>1</v>
      </c>
      <c r="Z78" t="s">
        <v>52</v>
      </c>
      <c r="AC78" s="2"/>
      <c r="AI78" s="2"/>
      <c r="AJ78" s="2"/>
      <c r="AR78" s="2"/>
    </row>
    <row r="79" spans="1:65" hidden="1" x14ac:dyDescent="0.25">
      <c r="A79" s="2"/>
      <c r="B79" s="2">
        <f>HYPERLINK(URLs!B30 &amp; 20646 &amp; URLs!B32,20646)</f>
        <v>20646</v>
      </c>
      <c r="C79" t="s">
        <v>641</v>
      </c>
      <c r="D79" t="s">
        <v>619</v>
      </c>
      <c r="E79" t="s">
        <v>850</v>
      </c>
      <c r="F79" t="s">
        <v>621</v>
      </c>
      <c r="G79" t="s">
        <v>886</v>
      </c>
      <c r="H79" t="s">
        <v>887</v>
      </c>
      <c r="I79" t="s">
        <v>624</v>
      </c>
      <c r="J79" t="s">
        <v>642</v>
      </c>
      <c r="L79" s="5">
        <v>43306.376423611109</v>
      </c>
      <c r="N79" s="2">
        <f>HYPERLINK(URLs!B36 &amp; 116301,116301)</f>
        <v>116301</v>
      </c>
      <c r="O79" t="s">
        <v>626</v>
      </c>
      <c r="P79" t="s">
        <v>621</v>
      </c>
      <c r="Q79" t="s">
        <v>4565</v>
      </c>
      <c r="AC79" s="2"/>
      <c r="AJ79" s="2"/>
      <c r="AR79" s="2"/>
      <c r="BM79" s="1"/>
    </row>
    <row r="80" spans="1:65" hidden="1" x14ac:dyDescent="0.25">
      <c r="A80" s="2"/>
      <c r="B80" s="2">
        <f>HYPERLINK(URLs!B30 &amp; 20640 &amp; URLs!B32,20640)</f>
        <v>20640</v>
      </c>
      <c r="C80" t="s">
        <v>641</v>
      </c>
      <c r="D80" t="s">
        <v>619</v>
      </c>
      <c r="E80" t="s">
        <v>850</v>
      </c>
      <c r="F80" t="s">
        <v>621</v>
      </c>
      <c r="G80" t="s">
        <v>851</v>
      </c>
      <c r="H80" t="s">
        <v>890</v>
      </c>
      <c r="I80" t="s">
        <v>624</v>
      </c>
      <c r="J80" t="s">
        <v>625</v>
      </c>
      <c r="L80" s="5">
        <v>43305.586597222224</v>
      </c>
      <c r="N80" s="2">
        <f>HYPERLINK(URLs!B36 &amp; 117387,117387)</f>
        <v>117387</v>
      </c>
      <c r="O80" t="s">
        <v>637</v>
      </c>
      <c r="P80" t="s">
        <v>621</v>
      </c>
      <c r="Q80" t="s">
        <v>4566</v>
      </c>
      <c r="W80">
        <v>1</v>
      </c>
      <c r="AC80" s="2"/>
      <c r="AH80" s="1"/>
      <c r="AJ80" s="2"/>
      <c r="AR80" s="2"/>
      <c r="AW80" s="1"/>
    </row>
    <row r="81" spans="1:65" hidden="1" x14ac:dyDescent="0.25">
      <c r="A81" s="2">
        <f>HYPERLINK(URLs!B36 &amp; 116986,116986)</f>
        <v>116986</v>
      </c>
      <c r="B81" s="2">
        <f>HYPERLINK(URLs!B30 &amp; 20632 &amp; URLs!B32,20632)</f>
        <v>20632</v>
      </c>
      <c r="C81" t="s">
        <v>633</v>
      </c>
      <c r="D81" t="s">
        <v>619</v>
      </c>
      <c r="E81" t="s">
        <v>850</v>
      </c>
      <c r="F81" t="s">
        <v>621</v>
      </c>
      <c r="G81" t="s">
        <v>886</v>
      </c>
      <c r="H81" t="s">
        <v>887</v>
      </c>
      <c r="I81" t="s">
        <v>624</v>
      </c>
      <c r="J81" t="s">
        <v>629</v>
      </c>
      <c r="K81" t="s">
        <v>68</v>
      </c>
      <c r="L81" s="5">
        <v>43304.330972222226</v>
      </c>
      <c r="M81" s="5">
        <v>43398.367175925923</v>
      </c>
      <c r="N81" s="2">
        <f>HYPERLINK(URLs!B36 &amp; 116986,116986)</f>
        <v>116986</v>
      </c>
      <c r="O81" t="s">
        <v>645</v>
      </c>
      <c r="P81" t="s">
        <v>621</v>
      </c>
      <c r="Q81" t="s">
        <v>4567</v>
      </c>
      <c r="R81" t="s">
        <v>319</v>
      </c>
      <c r="S81" t="s">
        <v>337</v>
      </c>
      <c r="T81" t="s">
        <v>4143</v>
      </c>
      <c r="U81" t="s">
        <v>35</v>
      </c>
      <c r="V81" t="s">
        <v>35</v>
      </c>
      <c r="Z81" t="s">
        <v>34</v>
      </c>
      <c r="AC81" s="2"/>
      <c r="AI81" s="2"/>
      <c r="AJ81" s="2"/>
      <c r="AR81" s="2"/>
    </row>
    <row r="82" spans="1:65" hidden="1" x14ac:dyDescent="0.25">
      <c r="A82" s="2"/>
      <c r="B82" s="2">
        <f>HYPERLINK(URLs!B30 &amp; 20622 &amp; URLs!B32,20622)</f>
        <v>20622</v>
      </c>
      <c r="C82" t="s">
        <v>641</v>
      </c>
      <c r="D82" t="s">
        <v>619</v>
      </c>
      <c r="E82" t="s">
        <v>850</v>
      </c>
      <c r="F82" t="s">
        <v>621</v>
      </c>
      <c r="G82" t="s">
        <v>855</v>
      </c>
      <c r="H82" t="s">
        <v>856</v>
      </c>
      <c r="I82" t="s">
        <v>624</v>
      </c>
      <c r="J82" t="s">
        <v>625</v>
      </c>
      <c r="L82" s="5">
        <v>43301.36041666667</v>
      </c>
      <c r="N82" s="2">
        <f>HYPERLINK(URLs!B36 &amp; 117327,117327)</f>
        <v>117327</v>
      </c>
      <c r="O82" t="s">
        <v>637</v>
      </c>
      <c r="P82" t="s">
        <v>621</v>
      </c>
      <c r="Q82" t="s">
        <v>4568</v>
      </c>
      <c r="W82">
        <v>1</v>
      </c>
      <c r="AC82" s="2"/>
      <c r="AI82" s="2"/>
      <c r="AJ82" s="2"/>
      <c r="AR82" s="2"/>
    </row>
    <row r="83" spans="1:65" hidden="1" x14ac:dyDescent="0.25">
      <c r="A83" s="2"/>
      <c r="B83" s="2">
        <f>HYPERLINK(URLs!B30 &amp; 20621 &amp; URLs!B32,20621)</f>
        <v>20621</v>
      </c>
      <c r="C83" t="s">
        <v>641</v>
      </c>
      <c r="D83" t="s">
        <v>619</v>
      </c>
      <c r="E83" t="s">
        <v>850</v>
      </c>
      <c r="F83" t="s">
        <v>621</v>
      </c>
      <c r="G83" t="s">
        <v>855</v>
      </c>
      <c r="H83" t="s">
        <v>856</v>
      </c>
      <c r="I83" t="s">
        <v>624</v>
      </c>
      <c r="J83" t="s">
        <v>625</v>
      </c>
      <c r="L83" s="5">
        <v>43301.320613425924</v>
      </c>
      <c r="N83" s="2">
        <f>HYPERLINK(URLs!B36 &amp; 117007,117007)</f>
        <v>117007</v>
      </c>
      <c r="O83" t="s">
        <v>637</v>
      </c>
      <c r="P83" t="s">
        <v>621</v>
      </c>
      <c r="Q83" t="s">
        <v>4569</v>
      </c>
      <c r="R83" t="s">
        <v>305</v>
      </c>
      <c r="W83">
        <v>1</v>
      </c>
      <c r="AC83" s="2"/>
      <c r="AI83" s="2"/>
      <c r="AJ83" s="2"/>
      <c r="AR83" s="2"/>
    </row>
    <row r="84" spans="1:65" hidden="1" x14ac:dyDescent="0.25">
      <c r="A84" s="2"/>
      <c r="B84" s="2">
        <f>HYPERLINK(URLs!B30 &amp; 20611 &amp; URLs!B32,20611)</f>
        <v>20611</v>
      </c>
      <c r="C84" t="s">
        <v>641</v>
      </c>
      <c r="D84" t="s">
        <v>619</v>
      </c>
      <c r="E84" t="s">
        <v>850</v>
      </c>
      <c r="F84" t="s">
        <v>621</v>
      </c>
      <c r="G84" t="s">
        <v>855</v>
      </c>
      <c r="H84" t="s">
        <v>856</v>
      </c>
      <c r="I84" t="s">
        <v>624</v>
      </c>
      <c r="J84" t="s">
        <v>625</v>
      </c>
      <c r="L84" s="5">
        <v>43300.333148148151</v>
      </c>
      <c r="N84" s="2">
        <f>HYPERLINK(URLs!B36 &amp; 116218,116218)</f>
        <v>116218</v>
      </c>
      <c r="O84" t="s">
        <v>640</v>
      </c>
      <c r="P84" t="s">
        <v>621</v>
      </c>
      <c r="Q84" t="s">
        <v>4570</v>
      </c>
      <c r="AC84" s="2"/>
      <c r="AI84" s="2"/>
      <c r="AJ84" s="2"/>
      <c r="AR84" s="2"/>
    </row>
    <row r="85" spans="1:65" x14ac:dyDescent="0.25">
      <c r="A85" s="2">
        <f>HYPERLINK(URLs!B36 &amp; 116987,116987)</f>
        <v>116987</v>
      </c>
      <c r="B85" s="2">
        <f>HYPERLINK(URLs!B30 &amp; 20605 &amp; URLs!B32,20605)</f>
        <v>20605</v>
      </c>
      <c r="C85" t="s">
        <v>641</v>
      </c>
      <c r="D85" t="s">
        <v>619</v>
      </c>
      <c r="E85" t="s">
        <v>620</v>
      </c>
      <c r="F85" t="s">
        <v>621</v>
      </c>
      <c r="G85" t="s">
        <v>622</v>
      </c>
      <c r="H85" t="s">
        <v>623</v>
      </c>
      <c r="I85" t="s">
        <v>624</v>
      </c>
      <c r="J85" t="s">
        <v>629</v>
      </c>
      <c r="K85" t="s">
        <v>68</v>
      </c>
      <c r="L85" s="5">
        <v>43299.545810185184</v>
      </c>
      <c r="N85" s="2">
        <f>HYPERLINK(URLs!B36 &amp; 116987,116987)</f>
        <v>116987</v>
      </c>
      <c r="O85" t="s">
        <v>637</v>
      </c>
      <c r="P85" t="s">
        <v>621</v>
      </c>
      <c r="Q85" t="s">
        <v>4571</v>
      </c>
      <c r="R85" t="s">
        <v>67</v>
      </c>
      <c r="T85" t="s">
        <v>4126</v>
      </c>
      <c r="U85" t="s">
        <v>35</v>
      </c>
      <c r="V85" t="s">
        <v>35</v>
      </c>
      <c r="Z85" t="s">
        <v>195</v>
      </c>
      <c r="AC85" s="2"/>
      <c r="AI85" s="2"/>
      <c r="AJ85" s="2"/>
      <c r="AR85" s="2"/>
      <c r="BM85" s="1"/>
    </row>
    <row r="86" spans="1:65" x14ac:dyDescent="0.25">
      <c r="A86" s="2"/>
      <c r="B86" s="2">
        <f>HYPERLINK(URLs!B30 &amp; 20604 &amp; URLs!B32,20604)</f>
        <v>20604</v>
      </c>
      <c r="C86" t="s">
        <v>618</v>
      </c>
      <c r="D86" t="s">
        <v>619</v>
      </c>
      <c r="E86" t="s">
        <v>620</v>
      </c>
      <c r="F86" t="s">
        <v>621</v>
      </c>
      <c r="G86" t="s">
        <v>622</v>
      </c>
      <c r="H86" t="s">
        <v>623</v>
      </c>
      <c r="I86" t="s">
        <v>624</v>
      </c>
      <c r="J86" t="s">
        <v>625</v>
      </c>
      <c r="L86" s="5">
        <v>43299.451307870368</v>
      </c>
      <c r="N86" s="2">
        <f>HYPERLINK(URLs!B37 &amp; 241972,241972)</f>
        <v>241972</v>
      </c>
      <c r="O86" t="s">
        <v>637</v>
      </c>
      <c r="P86" t="s">
        <v>621</v>
      </c>
      <c r="Q86" t="s">
        <v>4572</v>
      </c>
      <c r="AC86" s="2"/>
      <c r="AH86" s="1"/>
      <c r="AJ86" s="2"/>
      <c r="AR86" s="2"/>
      <c r="AW86" s="1"/>
    </row>
    <row r="87" spans="1:65" hidden="1" x14ac:dyDescent="0.25">
      <c r="A87" s="2">
        <f>HYPERLINK(URLs!B36 &amp; 116874,116874)</f>
        <v>116874</v>
      </c>
      <c r="B87" s="2">
        <f>HYPERLINK(URLs!B30 &amp; 20580 &amp; URLs!B32,20580)</f>
        <v>20580</v>
      </c>
      <c r="C87" t="s">
        <v>633</v>
      </c>
      <c r="D87" t="s">
        <v>619</v>
      </c>
      <c r="E87" t="s">
        <v>620</v>
      </c>
      <c r="F87" t="s">
        <v>621</v>
      </c>
      <c r="G87" t="s">
        <v>622</v>
      </c>
      <c r="H87" t="s">
        <v>623</v>
      </c>
      <c r="I87" t="s">
        <v>624</v>
      </c>
      <c r="J87" t="s">
        <v>625</v>
      </c>
      <c r="K87" t="s">
        <v>31</v>
      </c>
      <c r="L87" s="5">
        <v>43297.461365740739</v>
      </c>
      <c r="M87" s="5">
        <v>43431.612500000003</v>
      </c>
      <c r="N87" s="2">
        <f>HYPERLINK(URLs!B36 &amp; 116874,116874)</f>
        <v>116874</v>
      </c>
      <c r="O87" t="s">
        <v>636</v>
      </c>
      <c r="P87" t="s">
        <v>621</v>
      </c>
      <c r="Q87" t="s">
        <v>4573</v>
      </c>
      <c r="R87" t="s">
        <v>305</v>
      </c>
      <c r="S87" t="s">
        <v>304</v>
      </c>
      <c r="T87" t="s">
        <v>307</v>
      </c>
      <c r="U87" t="s">
        <v>35</v>
      </c>
      <c r="V87" t="s">
        <v>321</v>
      </c>
      <c r="Z87" t="s">
        <v>96</v>
      </c>
      <c r="AC87" s="2"/>
      <c r="AJ87" s="2"/>
      <c r="AR87" s="2"/>
    </row>
    <row r="88" spans="1:65" hidden="1" x14ac:dyDescent="0.25">
      <c r="A88" s="2"/>
      <c r="B88" s="2">
        <f>HYPERLINK(URLs!B30 &amp; 20577 &amp; URLs!B32,20577)</f>
        <v>20577</v>
      </c>
      <c r="C88" t="s">
        <v>633</v>
      </c>
      <c r="D88" t="s">
        <v>619</v>
      </c>
      <c r="E88" t="s">
        <v>850</v>
      </c>
      <c r="F88" t="s">
        <v>621</v>
      </c>
      <c r="G88" t="s">
        <v>855</v>
      </c>
      <c r="H88" t="s">
        <v>856</v>
      </c>
      <c r="I88" t="s">
        <v>624</v>
      </c>
      <c r="J88" t="s">
        <v>625</v>
      </c>
      <c r="L88" s="5">
        <v>43297.202997685185</v>
      </c>
      <c r="M88" s="5">
        <v>43398.6408912037</v>
      </c>
      <c r="N88" s="2">
        <f>HYPERLINK(URLs!B36 &amp; 114605,114605)</f>
        <v>114605</v>
      </c>
      <c r="O88" t="s">
        <v>636</v>
      </c>
      <c r="P88" t="s">
        <v>621</v>
      </c>
      <c r="Q88" t="s">
        <v>4574</v>
      </c>
      <c r="W88">
        <v>1</v>
      </c>
      <c r="AC88" s="2"/>
      <c r="AI88" s="2"/>
      <c r="AJ88" s="2"/>
      <c r="AR88" s="2"/>
      <c r="BM88" s="1"/>
    </row>
    <row r="89" spans="1:65" hidden="1" x14ac:dyDescent="0.25">
      <c r="A89" s="2">
        <f>HYPERLINK(URLs!B36 &amp; 116805,116805)</f>
        <v>116805</v>
      </c>
      <c r="B89" s="2">
        <f>HYPERLINK(URLs!B30 &amp; 20571 &amp; URLs!B32,20571)</f>
        <v>20571</v>
      </c>
      <c r="C89" t="s">
        <v>618</v>
      </c>
      <c r="D89" t="s">
        <v>619</v>
      </c>
      <c r="E89" t="s">
        <v>620</v>
      </c>
      <c r="F89" t="s">
        <v>621</v>
      </c>
      <c r="G89" t="s">
        <v>622</v>
      </c>
      <c r="H89" t="s">
        <v>623</v>
      </c>
      <c r="I89" t="s">
        <v>624</v>
      </c>
      <c r="J89" t="s">
        <v>625</v>
      </c>
      <c r="K89" t="s">
        <v>31</v>
      </c>
      <c r="L89" s="5">
        <v>43294.439259259256</v>
      </c>
      <c r="N89" s="2">
        <f>HYPERLINK(URLs!B36 &amp; 116805,116805)</f>
        <v>116805</v>
      </c>
      <c r="O89" t="s">
        <v>640</v>
      </c>
      <c r="P89" t="s">
        <v>621</v>
      </c>
      <c r="Q89" t="s">
        <v>4575</v>
      </c>
      <c r="R89" t="s">
        <v>305</v>
      </c>
      <c r="S89" t="s">
        <v>304</v>
      </c>
      <c r="T89" t="s">
        <v>4171</v>
      </c>
      <c r="U89" t="s">
        <v>4692</v>
      </c>
      <c r="V89" t="s">
        <v>321</v>
      </c>
      <c r="W89">
        <v>1</v>
      </c>
      <c r="Z89" t="s">
        <v>96</v>
      </c>
      <c r="AC89" s="2"/>
      <c r="AH89" s="1"/>
      <c r="AJ89" s="2"/>
      <c r="AR89" s="2"/>
      <c r="AW89" s="1"/>
      <c r="BM89" s="1"/>
    </row>
    <row r="90" spans="1:65" hidden="1" x14ac:dyDescent="0.25">
      <c r="A90" s="2"/>
      <c r="B90" s="2">
        <f>HYPERLINK(URLs!B30 &amp; 20569 &amp; URLs!B32,20569)</f>
        <v>20569</v>
      </c>
      <c r="C90" t="s">
        <v>633</v>
      </c>
      <c r="D90" t="s">
        <v>619</v>
      </c>
      <c r="E90" t="s">
        <v>850</v>
      </c>
      <c r="F90" t="s">
        <v>621</v>
      </c>
      <c r="G90" t="s">
        <v>855</v>
      </c>
      <c r="H90" t="s">
        <v>856</v>
      </c>
      <c r="I90" t="s">
        <v>624</v>
      </c>
      <c r="J90" t="s">
        <v>625</v>
      </c>
      <c r="L90" s="5">
        <v>43294.320543981485</v>
      </c>
      <c r="M90" s="5">
        <v>43376.612719907411</v>
      </c>
      <c r="N90" s="2">
        <f>HYPERLINK(URLs!B36 &amp; 115912,115912)</f>
        <v>115912</v>
      </c>
      <c r="O90" t="s">
        <v>636</v>
      </c>
      <c r="P90" t="s">
        <v>621</v>
      </c>
      <c r="Q90" t="s">
        <v>4576</v>
      </c>
      <c r="AC90" s="2"/>
      <c r="AH90" s="1"/>
      <c r="AI90" s="2"/>
      <c r="AJ90" s="2"/>
      <c r="AR90" s="2"/>
      <c r="AW90" s="1"/>
    </row>
    <row r="91" spans="1:65" hidden="1" x14ac:dyDescent="0.25">
      <c r="A91" s="2">
        <f>HYPERLINK(URLs!B36 &amp; 116675,116675)</f>
        <v>116675</v>
      </c>
      <c r="B91" s="2">
        <f>HYPERLINK(URLs!B30 &amp; 20553 &amp; URLs!B32,20553)</f>
        <v>20553</v>
      </c>
      <c r="C91" t="s">
        <v>618</v>
      </c>
      <c r="D91" t="s">
        <v>619</v>
      </c>
      <c r="E91" t="s">
        <v>620</v>
      </c>
      <c r="F91" t="s">
        <v>621</v>
      </c>
      <c r="G91" t="s">
        <v>631</v>
      </c>
      <c r="H91" t="s">
        <v>632</v>
      </c>
      <c r="I91" t="s">
        <v>624</v>
      </c>
      <c r="J91" t="s">
        <v>629</v>
      </c>
      <c r="K91" t="s">
        <v>68</v>
      </c>
      <c r="L91" s="5">
        <v>43293.028368055559</v>
      </c>
      <c r="N91" s="2">
        <f>HYPERLINK(URLs!B36 &amp; 116675,116675)</f>
        <v>116675</v>
      </c>
      <c r="O91" t="s">
        <v>640</v>
      </c>
      <c r="P91" t="s">
        <v>621</v>
      </c>
      <c r="Q91" t="s">
        <v>4577</v>
      </c>
      <c r="R91" t="s">
        <v>305</v>
      </c>
      <c r="S91" t="s">
        <v>304</v>
      </c>
      <c r="T91" t="s">
        <v>4171</v>
      </c>
      <c r="U91" t="s">
        <v>4724</v>
      </c>
      <c r="V91" t="s">
        <v>35</v>
      </c>
      <c r="Z91" t="s">
        <v>73</v>
      </c>
      <c r="AC91" s="2"/>
      <c r="AJ91" s="2"/>
      <c r="AR91" s="2"/>
      <c r="BM91" s="1"/>
    </row>
    <row r="92" spans="1:65" hidden="1" x14ac:dyDescent="0.25">
      <c r="A92" s="2"/>
      <c r="B92" s="2">
        <f>HYPERLINK(URLs!B30 &amp; 20520 &amp; URLs!B32,20520)</f>
        <v>20520</v>
      </c>
      <c r="C92" t="s">
        <v>665</v>
      </c>
      <c r="D92" t="s">
        <v>619</v>
      </c>
      <c r="E92" t="s">
        <v>850</v>
      </c>
      <c r="F92" t="s">
        <v>621</v>
      </c>
      <c r="G92" t="s">
        <v>858</v>
      </c>
      <c r="H92" t="s">
        <v>859</v>
      </c>
      <c r="I92" t="s">
        <v>624</v>
      </c>
      <c r="J92" t="s">
        <v>629</v>
      </c>
      <c r="L92" s="5">
        <v>43287.558749999997</v>
      </c>
      <c r="M92" s="5">
        <v>43332.489583333336</v>
      </c>
      <c r="N92" t="s">
        <v>621</v>
      </c>
      <c r="O92" t="s">
        <v>645</v>
      </c>
      <c r="P92" t="s">
        <v>621</v>
      </c>
      <c r="Q92" t="s">
        <v>4474</v>
      </c>
      <c r="AC92" s="2"/>
      <c r="AH92" s="1"/>
      <c r="AJ92" s="2"/>
      <c r="AR92" s="2"/>
      <c r="AW92" s="1"/>
      <c r="BL92" s="1"/>
    </row>
    <row r="93" spans="1:65" hidden="1" x14ac:dyDescent="0.25">
      <c r="A93" s="2"/>
      <c r="B93" s="2">
        <f>HYPERLINK(URLs!B30 &amp; 20506 &amp; URLs!B32,20506)</f>
        <v>20506</v>
      </c>
      <c r="C93" t="s">
        <v>641</v>
      </c>
      <c r="D93" t="s">
        <v>619</v>
      </c>
      <c r="E93" t="s">
        <v>850</v>
      </c>
      <c r="F93" t="s">
        <v>621</v>
      </c>
      <c r="G93" t="s">
        <v>855</v>
      </c>
      <c r="H93" t="s">
        <v>856</v>
      </c>
      <c r="I93" t="s">
        <v>624</v>
      </c>
      <c r="J93" t="s">
        <v>625</v>
      </c>
      <c r="L93" s="5">
        <v>43285.061620370368</v>
      </c>
      <c r="N93" s="2">
        <f>HYPERLINK(URLs!B36 &amp; 119604,119604)</f>
        <v>119604</v>
      </c>
      <c r="O93" t="s">
        <v>637</v>
      </c>
      <c r="P93" t="s">
        <v>621</v>
      </c>
      <c r="Q93" t="s">
        <v>4475</v>
      </c>
      <c r="W93">
        <v>1</v>
      </c>
      <c r="AC93" s="2"/>
      <c r="AI93" s="2"/>
      <c r="AJ93" s="2"/>
      <c r="AR93" s="2"/>
    </row>
    <row r="94" spans="1:65" hidden="1" x14ac:dyDescent="0.25">
      <c r="A94" s="2"/>
      <c r="B94" s="2">
        <f>HYPERLINK(URLs!B30 &amp; 20504 &amp; URLs!B32,20504)</f>
        <v>20504</v>
      </c>
      <c r="C94" t="s">
        <v>633</v>
      </c>
      <c r="D94" t="s">
        <v>619</v>
      </c>
      <c r="E94" t="s">
        <v>850</v>
      </c>
      <c r="F94" t="s">
        <v>621</v>
      </c>
      <c r="G94" t="s">
        <v>889</v>
      </c>
      <c r="H94" t="s">
        <v>890</v>
      </c>
      <c r="I94" t="s">
        <v>624</v>
      </c>
      <c r="J94" t="s">
        <v>642</v>
      </c>
      <c r="L94" s="5">
        <v>43284.68178240741</v>
      </c>
      <c r="M94" s="5">
        <v>43332.294872685183</v>
      </c>
      <c r="N94" s="2">
        <f>HYPERLINK(URLs!B36 &amp; 104930,104930)</f>
        <v>104930</v>
      </c>
      <c r="O94" t="s">
        <v>636</v>
      </c>
      <c r="P94" t="s">
        <v>621</v>
      </c>
      <c r="Q94" t="s">
        <v>4476</v>
      </c>
      <c r="AC94" s="2"/>
      <c r="AJ94" s="2"/>
      <c r="AR94" s="2"/>
    </row>
    <row r="95" spans="1:65" hidden="1" x14ac:dyDescent="0.25">
      <c r="A95" s="2"/>
      <c r="B95" s="2">
        <f>HYPERLINK(URLs!B30 &amp; 20503 &amp; URLs!B32,20503)</f>
        <v>20503</v>
      </c>
      <c r="C95" t="s">
        <v>641</v>
      </c>
      <c r="D95" t="s">
        <v>619</v>
      </c>
      <c r="E95" t="s">
        <v>850</v>
      </c>
      <c r="F95" t="s">
        <v>621</v>
      </c>
      <c r="G95" t="s">
        <v>889</v>
      </c>
      <c r="H95" t="s">
        <v>890</v>
      </c>
      <c r="I95" t="s">
        <v>624</v>
      </c>
      <c r="J95" t="s">
        <v>642</v>
      </c>
      <c r="L95" s="5">
        <v>43284.634212962963</v>
      </c>
      <c r="M95" s="5">
        <v>43364.524305555555</v>
      </c>
      <c r="N95" t="s">
        <v>621</v>
      </c>
      <c r="O95" t="s">
        <v>649</v>
      </c>
      <c r="P95" t="s">
        <v>621</v>
      </c>
      <c r="Q95" t="s">
        <v>4578</v>
      </c>
      <c r="W95">
        <v>1</v>
      </c>
      <c r="AC95" s="2"/>
      <c r="AI95" s="2"/>
      <c r="AJ95" s="2"/>
      <c r="AR95" s="2"/>
    </row>
    <row r="96" spans="1:65" hidden="1" x14ac:dyDescent="0.25">
      <c r="A96" s="2">
        <f>HYPERLINK(URLs!B36 &amp; 116320,116320)</f>
        <v>116320</v>
      </c>
      <c r="B96" s="2">
        <f>HYPERLINK(URLs!B30 &amp; 20501 &amp; URLs!B32,20501)</f>
        <v>20501</v>
      </c>
      <c r="C96" t="s">
        <v>665</v>
      </c>
      <c r="D96" t="s">
        <v>619</v>
      </c>
      <c r="E96" t="s">
        <v>620</v>
      </c>
      <c r="F96" t="s">
        <v>621</v>
      </c>
      <c r="G96" t="s">
        <v>622</v>
      </c>
      <c r="H96" t="s">
        <v>623</v>
      </c>
      <c r="I96" t="s">
        <v>624</v>
      </c>
      <c r="J96" t="s">
        <v>625</v>
      </c>
      <c r="K96" t="s">
        <v>31</v>
      </c>
      <c r="L96" s="5">
        <v>43284.565694444442</v>
      </c>
      <c r="M96" s="5">
        <v>43432.62777777778</v>
      </c>
      <c r="N96" s="2">
        <f>HYPERLINK(URLs!B36 &amp; 116735,116735)</f>
        <v>116735</v>
      </c>
      <c r="O96" t="s">
        <v>636</v>
      </c>
      <c r="P96" t="s">
        <v>621</v>
      </c>
      <c r="Q96" t="s">
        <v>4579</v>
      </c>
      <c r="R96" t="s">
        <v>305</v>
      </c>
      <c r="S96" t="s">
        <v>304</v>
      </c>
      <c r="T96" t="s">
        <v>4439</v>
      </c>
      <c r="U96" t="s">
        <v>4679</v>
      </c>
      <c r="V96" t="s">
        <v>321</v>
      </c>
      <c r="W96">
        <v>1</v>
      </c>
      <c r="Z96" t="s">
        <v>96</v>
      </c>
      <c r="AC96" s="2"/>
      <c r="AJ96" s="2"/>
      <c r="AR96" s="2"/>
    </row>
    <row r="97" spans="1:65" hidden="1" x14ac:dyDescent="0.25">
      <c r="A97" s="2"/>
      <c r="B97" s="2">
        <f>HYPERLINK(URLs!B30 &amp; 20488 &amp; URLs!B32,20488)</f>
        <v>20488</v>
      </c>
      <c r="C97" t="s">
        <v>633</v>
      </c>
      <c r="D97" t="s">
        <v>619</v>
      </c>
      <c r="E97" t="s">
        <v>850</v>
      </c>
      <c r="F97" t="s">
        <v>621</v>
      </c>
      <c r="G97" t="s">
        <v>855</v>
      </c>
      <c r="H97" t="s">
        <v>856</v>
      </c>
      <c r="I97" t="s">
        <v>624</v>
      </c>
      <c r="J97" t="s">
        <v>625</v>
      </c>
      <c r="L97" s="5">
        <v>43283.284548611111</v>
      </c>
      <c r="M97" s="5">
        <v>43332.293032407404</v>
      </c>
      <c r="N97" s="2">
        <f>HYPERLINK(URLs!B36 &amp; 100575,100575)</f>
        <v>100575</v>
      </c>
      <c r="O97" t="s">
        <v>636</v>
      </c>
      <c r="P97" t="s">
        <v>621</v>
      </c>
      <c r="Q97" t="s">
        <v>4477</v>
      </c>
      <c r="R97" t="s">
        <v>67</v>
      </c>
      <c r="AC97" s="2"/>
      <c r="AI97" s="2"/>
      <c r="AJ97" s="2"/>
      <c r="AR97" s="2"/>
    </row>
    <row r="98" spans="1:65" hidden="1" x14ac:dyDescent="0.25">
      <c r="A98" s="2"/>
      <c r="B98" s="2">
        <f>HYPERLINK(URLs!B30 &amp; 20487 &amp; URLs!B32,20487)</f>
        <v>20487</v>
      </c>
      <c r="C98" t="s">
        <v>665</v>
      </c>
      <c r="D98" t="s">
        <v>619</v>
      </c>
      <c r="E98" t="s">
        <v>850</v>
      </c>
      <c r="F98" t="s">
        <v>621</v>
      </c>
      <c r="G98" t="s">
        <v>855</v>
      </c>
      <c r="H98" t="s">
        <v>856</v>
      </c>
      <c r="I98" t="s">
        <v>624</v>
      </c>
      <c r="J98" t="s">
        <v>625</v>
      </c>
      <c r="L98" s="5">
        <v>43283.205671296295</v>
      </c>
      <c r="M98" s="5">
        <v>43332.374305555553</v>
      </c>
      <c r="N98" s="2">
        <f>HYPERLINK(URLs!B36 &amp; 110465,110465)</f>
        <v>110465</v>
      </c>
      <c r="O98" t="s">
        <v>636</v>
      </c>
      <c r="P98" t="s">
        <v>4478</v>
      </c>
      <c r="Q98" t="s">
        <v>4479</v>
      </c>
      <c r="R98" t="s">
        <v>319</v>
      </c>
      <c r="W98">
        <v>1</v>
      </c>
      <c r="AC98" s="2"/>
      <c r="AJ98" s="2"/>
      <c r="AR98" s="2"/>
      <c r="BL98" s="1"/>
      <c r="BM98" s="1"/>
    </row>
    <row r="99" spans="1:65" hidden="1" x14ac:dyDescent="0.25">
      <c r="A99" s="2"/>
      <c r="B99" s="2">
        <f>HYPERLINK(URLs!B30 &amp; 20474 &amp; URLs!B32,20474)</f>
        <v>20474</v>
      </c>
      <c r="C99" t="s">
        <v>633</v>
      </c>
      <c r="D99" t="s">
        <v>619</v>
      </c>
      <c r="E99" t="s">
        <v>850</v>
      </c>
      <c r="F99" t="s">
        <v>1234</v>
      </c>
      <c r="G99" t="s">
        <v>886</v>
      </c>
      <c r="H99" t="s">
        <v>887</v>
      </c>
      <c r="I99" t="s">
        <v>624</v>
      </c>
      <c r="J99" t="s">
        <v>625</v>
      </c>
      <c r="L99" s="5">
        <v>43279.350370370368</v>
      </c>
      <c r="M99" s="5">
        <v>43378.680555555555</v>
      </c>
      <c r="N99" s="2">
        <f>HYPERLINK(URLs!B36 &amp; 115946,115946)</f>
        <v>115946</v>
      </c>
      <c r="O99" t="s">
        <v>636</v>
      </c>
      <c r="P99" t="s">
        <v>621</v>
      </c>
      <c r="Q99" t="s">
        <v>4480</v>
      </c>
      <c r="R99" t="s">
        <v>319</v>
      </c>
      <c r="AC99" s="2"/>
      <c r="AH99" s="1"/>
      <c r="AJ99" s="2"/>
      <c r="AR99" s="2"/>
      <c r="AW99" s="1"/>
      <c r="BM99" s="1"/>
    </row>
    <row r="100" spans="1:65" x14ac:dyDescent="0.25">
      <c r="A100" s="2">
        <f>HYPERLINK(URLs!B36 &amp; 115807,115807)</f>
        <v>115807</v>
      </c>
      <c r="B100" s="2">
        <f>HYPERLINK(URLs!B30 &amp; 20446 &amp; URLs!B32,20446)</f>
        <v>20446</v>
      </c>
      <c r="C100" t="s">
        <v>618</v>
      </c>
      <c r="D100" t="s">
        <v>619</v>
      </c>
      <c r="E100" t="s">
        <v>620</v>
      </c>
      <c r="F100" t="s">
        <v>621</v>
      </c>
      <c r="G100" t="s">
        <v>631</v>
      </c>
      <c r="H100" t="s">
        <v>632</v>
      </c>
      <c r="I100" t="s">
        <v>624</v>
      </c>
      <c r="J100" t="s">
        <v>629</v>
      </c>
      <c r="K100" t="s">
        <v>68</v>
      </c>
      <c r="L100" s="5">
        <v>43276.11278935185</v>
      </c>
      <c r="N100" s="2">
        <f>HYPERLINK(URLs!B36 &amp; 115807,115807)</f>
        <v>115807</v>
      </c>
      <c r="O100" t="s">
        <v>637</v>
      </c>
      <c r="P100" t="s">
        <v>621</v>
      </c>
      <c r="Q100" t="s">
        <v>4580</v>
      </c>
      <c r="R100" t="s">
        <v>67</v>
      </c>
      <c r="T100" t="s">
        <v>4171</v>
      </c>
      <c r="U100" t="s">
        <v>35</v>
      </c>
      <c r="V100" t="s">
        <v>35</v>
      </c>
      <c r="Z100" t="s">
        <v>73</v>
      </c>
      <c r="AC100" s="2"/>
      <c r="AH100" s="1"/>
      <c r="AJ100" s="2"/>
      <c r="AR100" s="2"/>
      <c r="AW100" s="1"/>
      <c r="BM100" s="1"/>
    </row>
    <row r="101" spans="1:65" hidden="1" x14ac:dyDescent="0.25">
      <c r="A101" s="2"/>
      <c r="B101" s="2">
        <f>HYPERLINK(URLs!B30 &amp; 20434 &amp; URLs!B32,20434)</f>
        <v>20434</v>
      </c>
      <c r="C101" t="s">
        <v>641</v>
      </c>
      <c r="D101" t="s">
        <v>619</v>
      </c>
      <c r="E101" t="s">
        <v>850</v>
      </c>
      <c r="F101" t="s">
        <v>621</v>
      </c>
      <c r="G101" t="s">
        <v>886</v>
      </c>
      <c r="H101" t="s">
        <v>887</v>
      </c>
      <c r="I101" t="s">
        <v>624</v>
      </c>
      <c r="J101" t="s">
        <v>625</v>
      </c>
      <c r="L101" s="5">
        <v>43272.369675925926</v>
      </c>
      <c r="N101" s="2">
        <f>HYPERLINK(URLs!B36 &amp; 113457,113457)</f>
        <v>113457</v>
      </c>
      <c r="O101" t="s">
        <v>637</v>
      </c>
      <c r="P101" t="s">
        <v>621</v>
      </c>
      <c r="Q101" t="s">
        <v>4481</v>
      </c>
      <c r="R101" t="s">
        <v>305</v>
      </c>
      <c r="AC101" s="2"/>
      <c r="AH101" s="1"/>
      <c r="AJ101" s="2"/>
      <c r="AR101" s="2"/>
      <c r="AW101" s="1"/>
    </row>
    <row r="102" spans="1:65" hidden="1" x14ac:dyDescent="0.25">
      <c r="A102" s="2"/>
      <c r="B102" s="2">
        <f>HYPERLINK(URLs!B30 &amp; 20428 &amp; URLs!B32,20428)</f>
        <v>20428</v>
      </c>
      <c r="C102" t="s">
        <v>618</v>
      </c>
      <c r="D102" t="s">
        <v>619</v>
      </c>
      <c r="E102" t="s">
        <v>850</v>
      </c>
      <c r="F102" t="s">
        <v>621</v>
      </c>
      <c r="G102" t="s">
        <v>858</v>
      </c>
      <c r="H102" t="s">
        <v>859</v>
      </c>
      <c r="I102" t="s">
        <v>624</v>
      </c>
      <c r="J102" t="s">
        <v>642</v>
      </c>
      <c r="L102" s="5">
        <v>43271.585729166669</v>
      </c>
      <c r="N102" s="2">
        <f>HYPERLINK(URLs!B36 &amp; 115508,115508)</f>
        <v>115508</v>
      </c>
      <c r="O102" t="s">
        <v>637</v>
      </c>
      <c r="P102" t="s">
        <v>621</v>
      </c>
      <c r="Q102" t="s">
        <v>4482</v>
      </c>
      <c r="AC102" s="2"/>
      <c r="AJ102" s="2"/>
      <c r="AR102" s="2"/>
      <c r="BM102" s="1"/>
    </row>
    <row r="103" spans="1:65" hidden="1" x14ac:dyDescent="0.25">
      <c r="A103" s="2"/>
      <c r="B103" s="2">
        <f>HYPERLINK(URLs!B30 &amp; 20417 &amp; URLs!B32,20417)</f>
        <v>20417</v>
      </c>
      <c r="C103" t="s">
        <v>641</v>
      </c>
      <c r="D103" t="s">
        <v>619</v>
      </c>
      <c r="E103" t="s">
        <v>850</v>
      </c>
      <c r="F103" t="s">
        <v>621</v>
      </c>
      <c r="G103" t="s">
        <v>886</v>
      </c>
      <c r="H103" t="s">
        <v>887</v>
      </c>
      <c r="I103" t="s">
        <v>624</v>
      </c>
      <c r="J103" t="s">
        <v>625</v>
      </c>
      <c r="L103" s="5">
        <v>43270.329189814816</v>
      </c>
      <c r="N103" s="2">
        <f>HYPERLINK(URLs!B36 &amp; 119606,119606)</f>
        <v>119606</v>
      </c>
      <c r="O103" t="s">
        <v>637</v>
      </c>
      <c r="P103" t="s">
        <v>621</v>
      </c>
      <c r="Q103" t="s">
        <v>4989</v>
      </c>
      <c r="AC103" s="2"/>
      <c r="AH103" s="1"/>
      <c r="AJ103" s="2"/>
      <c r="AR103" s="2"/>
      <c r="AW103" s="1"/>
      <c r="BM103" s="1"/>
    </row>
    <row r="104" spans="1:65" hidden="1" x14ac:dyDescent="0.25">
      <c r="A104" s="2"/>
      <c r="B104" s="2">
        <f>HYPERLINK(URLs!B30 &amp; 20414 &amp; URLs!B32,20414)</f>
        <v>20414</v>
      </c>
      <c r="C104" t="s">
        <v>665</v>
      </c>
      <c r="D104" t="s">
        <v>619</v>
      </c>
      <c r="E104" t="s">
        <v>850</v>
      </c>
      <c r="F104" t="s">
        <v>621</v>
      </c>
      <c r="G104" t="s">
        <v>889</v>
      </c>
      <c r="H104" t="s">
        <v>890</v>
      </c>
      <c r="I104" t="s">
        <v>624</v>
      </c>
      <c r="J104" t="s">
        <v>629</v>
      </c>
      <c r="L104" s="5">
        <v>43269.528240740743</v>
      </c>
      <c r="M104" s="5">
        <v>43360.365972222222</v>
      </c>
      <c r="N104" t="s">
        <v>621</v>
      </c>
      <c r="O104" t="s">
        <v>636</v>
      </c>
      <c r="P104" t="s">
        <v>621</v>
      </c>
      <c r="Q104" t="s">
        <v>4483</v>
      </c>
      <c r="R104" t="s">
        <v>67</v>
      </c>
      <c r="AC104" s="2"/>
      <c r="AH104" s="1"/>
      <c r="AJ104" s="2"/>
      <c r="AR104" s="2"/>
      <c r="AW104" s="1"/>
      <c r="BM104" s="1"/>
    </row>
    <row r="105" spans="1:65" hidden="1" x14ac:dyDescent="0.25">
      <c r="A105" s="2"/>
      <c r="B105" s="2">
        <f>HYPERLINK(URLs!B30 &amp; 20407 &amp; URLs!B32,20407)</f>
        <v>20407</v>
      </c>
      <c r="C105" t="s">
        <v>641</v>
      </c>
      <c r="D105" t="s">
        <v>619</v>
      </c>
      <c r="E105" t="s">
        <v>850</v>
      </c>
      <c r="F105" t="s">
        <v>621</v>
      </c>
      <c r="G105" t="s">
        <v>858</v>
      </c>
      <c r="H105" t="s">
        <v>859</v>
      </c>
      <c r="I105" t="s">
        <v>624</v>
      </c>
      <c r="J105" t="s">
        <v>629</v>
      </c>
      <c r="L105" s="5">
        <v>43268.774965277778</v>
      </c>
      <c r="N105" s="2">
        <f>HYPERLINK(URLs!B36 &amp; 115777,115777)</f>
        <v>115777</v>
      </c>
      <c r="O105" t="s">
        <v>637</v>
      </c>
      <c r="P105" t="s">
        <v>621</v>
      </c>
      <c r="Q105" t="s">
        <v>4484</v>
      </c>
      <c r="W105">
        <v>1</v>
      </c>
      <c r="AC105" s="2"/>
      <c r="AH105" s="1"/>
      <c r="AJ105" s="2"/>
      <c r="AR105" s="2"/>
      <c r="AW105" s="1"/>
      <c r="BM105" s="1"/>
    </row>
    <row r="106" spans="1:65" hidden="1" x14ac:dyDescent="0.25">
      <c r="A106" s="2"/>
      <c r="B106" s="2">
        <f>HYPERLINK(URLs!B30 &amp; 20405 &amp; URLs!B32,20405)</f>
        <v>20405</v>
      </c>
      <c r="C106" t="s">
        <v>618</v>
      </c>
      <c r="D106" t="s">
        <v>619</v>
      </c>
      <c r="E106" t="s">
        <v>850</v>
      </c>
      <c r="F106" t="s">
        <v>892</v>
      </c>
      <c r="G106" t="s">
        <v>886</v>
      </c>
      <c r="H106" t="s">
        <v>887</v>
      </c>
      <c r="I106" t="s">
        <v>624</v>
      </c>
      <c r="J106" t="s">
        <v>625</v>
      </c>
      <c r="L106" s="5">
        <v>43266.62290509259</v>
      </c>
      <c r="N106" s="2">
        <f>HYPERLINK(URLs!B36 &amp; 114691,114691)</f>
        <v>114691</v>
      </c>
      <c r="O106" t="s">
        <v>637</v>
      </c>
      <c r="P106" t="s">
        <v>621</v>
      </c>
      <c r="Q106" t="s">
        <v>4485</v>
      </c>
      <c r="AC106" s="2"/>
      <c r="AH106" s="1"/>
      <c r="AJ106" s="2"/>
      <c r="AR106" s="2"/>
      <c r="AW106" s="1"/>
      <c r="BM106" s="1"/>
    </row>
    <row r="107" spans="1:65" hidden="1" x14ac:dyDescent="0.25">
      <c r="A107" s="2"/>
      <c r="B107" s="2">
        <f>HYPERLINK(URLs!B30 &amp; 20368 &amp; URLs!B32,20368)</f>
        <v>20368</v>
      </c>
      <c r="C107" t="s">
        <v>618</v>
      </c>
      <c r="D107" t="s">
        <v>619</v>
      </c>
      <c r="E107" t="s">
        <v>850</v>
      </c>
      <c r="F107" t="s">
        <v>621</v>
      </c>
      <c r="G107" t="s">
        <v>855</v>
      </c>
      <c r="H107" t="s">
        <v>856</v>
      </c>
      <c r="I107" t="s">
        <v>624</v>
      </c>
      <c r="J107" t="s">
        <v>625</v>
      </c>
      <c r="L107" s="5">
        <v>43262.206076388888</v>
      </c>
      <c r="N107" s="2">
        <f>HYPERLINK(URLs!B36 &amp; 115105,115105)</f>
        <v>115105</v>
      </c>
      <c r="O107" t="s">
        <v>1360</v>
      </c>
      <c r="P107" t="s">
        <v>621</v>
      </c>
      <c r="Q107" t="s">
        <v>4486</v>
      </c>
      <c r="AC107" s="2"/>
      <c r="AH107" s="1"/>
      <c r="AJ107" s="2"/>
      <c r="AR107" s="2"/>
      <c r="AW107" s="1"/>
    </row>
    <row r="108" spans="1:65" hidden="1" x14ac:dyDescent="0.25">
      <c r="A108" s="2"/>
      <c r="B108" s="2">
        <f>HYPERLINK(URLs!B30 &amp; 20364 &amp; URLs!B32,20364)</f>
        <v>20364</v>
      </c>
      <c r="C108" t="s">
        <v>633</v>
      </c>
      <c r="D108" t="s">
        <v>619</v>
      </c>
      <c r="E108" t="s">
        <v>850</v>
      </c>
      <c r="F108" t="s">
        <v>621</v>
      </c>
      <c r="G108" t="s">
        <v>889</v>
      </c>
      <c r="H108" t="s">
        <v>890</v>
      </c>
      <c r="I108" t="s">
        <v>624</v>
      </c>
      <c r="J108" t="s">
        <v>629</v>
      </c>
      <c r="L108" s="5">
        <v>43259.434907407405</v>
      </c>
      <c r="M108" s="5">
        <v>43298.087789351855</v>
      </c>
      <c r="N108" t="s">
        <v>621</v>
      </c>
      <c r="O108" t="s">
        <v>645</v>
      </c>
      <c r="P108" t="s">
        <v>621</v>
      </c>
      <c r="Q108" t="s">
        <v>4487</v>
      </c>
      <c r="R108" t="s">
        <v>305</v>
      </c>
      <c r="AC108" s="2"/>
      <c r="AJ108" s="2"/>
      <c r="AR108" s="2"/>
      <c r="BM108" s="1"/>
    </row>
    <row r="109" spans="1:65" hidden="1" x14ac:dyDescent="0.25">
      <c r="A109" s="2"/>
      <c r="B109" s="2">
        <f>HYPERLINK(URLs!B30 &amp; 20355 &amp; URLs!B32,20355)</f>
        <v>20355</v>
      </c>
      <c r="C109" t="s">
        <v>665</v>
      </c>
      <c r="D109" t="s">
        <v>619</v>
      </c>
      <c r="E109" t="s">
        <v>850</v>
      </c>
      <c r="F109" t="s">
        <v>621</v>
      </c>
      <c r="G109" t="s">
        <v>886</v>
      </c>
      <c r="H109" t="s">
        <v>887</v>
      </c>
      <c r="I109" t="s">
        <v>624</v>
      </c>
      <c r="J109" t="s">
        <v>625</v>
      </c>
      <c r="L109" s="5">
        <v>43258.394791666666</v>
      </c>
      <c r="M109" s="5">
        <v>43398.722222222219</v>
      </c>
      <c r="N109" s="2">
        <f>HYPERLINK(URLs!B36 &amp; 114963,114963)</f>
        <v>114963</v>
      </c>
      <c r="O109" t="s">
        <v>636</v>
      </c>
      <c r="P109" t="s">
        <v>621</v>
      </c>
      <c r="Q109" t="s">
        <v>4488</v>
      </c>
      <c r="R109" t="s">
        <v>42</v>
      </c>
      <c r="AC109" s="2"/>
      <c r="AH109" s="1"/>
      <c r="AJ109" s="2"/>
      <c r="AR109" s="2"/>
      <c r="AW109" s="1"/>
      <c r="BL109" s="1"/>
      <c r="BM109" s="1"/>
    </row>
    <row r="110" spans="1:65" x14ac:dyDescent="0.25">
      <c r="A110" s="2">
        <f>HYPERLINK(URLs!B36 &amp; 114788,114788)</f>
        <v>114788</v>
      </c>
      <c r="B110" s="2">
        <f>HYPERLINK(URLs!B30 &amp; 20320 &amp; URLs!B32,20320)</f>
        <v>20320</v>
      </c>
      <c r="C110" t="s">
        <v>618</v>
      </c>
      <c r="D110" t="s">
        <v>619</v>
      </c>
      <c r="E110" t="s">
        <v>620</v>
      </c>
      <c r="F110" t="s">
        <v>621</v>
      </c>
      <c r="G110" t="s">
        <v>622</v>
      </c>
      <c r="H110" t="s">
        <v>623</v>
      </c>
      <c r="I110" t="s">
        <v>624</v>
      </c>
      <c r="J110" t="s">
        <v>625</v>
      </c>
      <c r="K110" t="s">
        <v>31</v>
      </c>
      <c r="L110" s="5">
        <v>43255.617893518516</v>
      </c>
      <c r="N110" s="2">
        <f>HYPERLINK(URLs!B36 &amp; 114788,114788)</f>
        <v>114788</v>
      </c>
      <c r="O110" t="s">
        <v>637</v>
      </c>
      <c r="P110" t="s">
        <v>621</v>
      </c>
      <c r="Q110" t="s">
        <v>4581</v>
      </c>
      <c r="R110" t="s">
        <v>67</v>
      </c>
      <c r="T110" t="s">
        <v>4143</v>
      </c>
      <c r="U110" t="s">
        <v>35</v>
      </c>
      <c r="V110" t="s">
        <v>35</v>
      </c>
      <c r="Z110" t="s">
        <v>34</v>
      </c>
      <c r="AC110" s="2"/>
      <c r="AH110" s="1"/>
      <c r="AJ110" s="2"/>
      <c r="AR110" s="2"/>
      <c r="AW110" s="1"/>
      <c r="BM110" s="1"/>
    </row>
    <row r="111" spans="1:65" hidden="1" x14ac:dyDescent="0.25">
      <c r="A111" s="2">
        <f>HYPERLINK(URLs!B36 &amp; 114646,114646)</f>
        <v>114646</v>
      </c>
      <c r="B111" s="2">
        <f>HYPERLINK(URLs!B30 &amp; 20303 &amp; URLs!B32,20303)</f>
        <v>20303</v>
      </c>
      <c r="C111" t="s">
        <v>618</v>
      </c>
      <c r="D111" t="s">
        <v>619</v>
      </c>
      <c r="E111" t="s">
        <v>620</v>
      </c>
      <c r="F111" t="s">
        <v>621</v>
      </c>
      <c r="G111" t="s">
        <v>622</v>
      </c>
      <c r="H111" t="s">
        <v>623</v>
      </c>
      <c r="I111" t="s">
        <v>624</v>
      </c>
      <c r="J111" t="s">
        <v>625</v>
      </c>
      <c r="K111" t="s">
        <v>31</v>
      </c>
      <c r="L111" s="5">
        <v>43251.659768518519</v>
      </c>
      <c r="N111" s="2">
        <f>HYPERLINK(URLs!B36 &amp; 114646,114646)</f>
        <v>114646</v>
      </c>
      <c r="O111" t="s">
        <v>640</v>
      </c>
      <c r="P111" t="s">
        <v>621</v>
      </c>
      <c r="Q111" t="s">
        <v>4582</v>
      </c>
      <c r="R111" t="s">
        <v>319</v>
      </c>
      <c r="S111" t="s">
        <v>304</v>
      </c>
      <c r="T111" t="s">
        <v>4171</v>
      </c>
      <c r="U111" t="s">
        <v>4737</v>
      </c>
      <c r="V111" t="s">
        <v>321</v>
      </c>
      <c r="Z111" t="s">
        <v>380</v>
      </c>
      <c r="AC111" s="2"/>
      <c r="AH111" s="1"/>
      <c r="AJ111" s="2"/>
      <c r="AR111" s="2"/>
      <c r="AW111" s="1"/>
    </row>
    <row r="112" spans="1:65" x14ac:dyDescent="0.25">
      <c r="A112" s="2">
        <f>HYPERLINK(URLs!B36 &amp; 114642,114642)</f>
        <v>114642</v>
      </c>
      <c r="B112" s="2">
        <f>HYPERLINK(URLs!B30 &amp; 20301 &amp; URLs!B32,20301)</f>
        <v>20301</v>
      </c>
      <c r="C112" t="s">
        <v>618</v>
      </c>
      <c r="D112" t="s">
        <v>619</v>
      </c>
      <c r="E112" t="s">
        <v>620</v>
      </c>
      <c r="F112" t="s">
        <v>621</v>
      </c>
      <c r="G112" t="s">
        <v>622</v>
      </c>
      <c r="H112" t="s">
        <v>623</v>
      </c>
      <c r="I112" t="s">
        <v>624</v>
      </c>
      <c r="J112" t="s">
        <v>625</v>
      </c>
      <c r="K112" t="s">
        <v>31</v>
      </c>
      <c r="L112" s="5">
        <v>43251.566296296296</v>
      </c>
      <c r="N112" s="2">
        <f>HYPERLINK(URLs!B36 &amp; 114642,114642)</f>
        <v>114642</v>
      </c>
      <c r="O112" t="s">
        <v>637</v>
      </c>
      <c r="P112" t="s">
        <v>621</v>
      </c>
      <c r="Q112" t="s">
        <v>4583</v>
      </c>
      <c r="R112" t="s">
        <v>319</v>
      </c>
      <c r="S112" t="s">
        <v>304</v>
      </c>
      <c r="T112" t="s">
        <v>4176</v>
      </c>
      <c r="U112" t="s">
        <v>5023</v>
      </c>
      <c r="V112" t="s">
        <v>321</v>
      </c>
      <c r="Z112" t="s">
        <v>34</v>
      </c>
      <c r="AC112" s="2"/>
      <c r="AI112" s="2"/>
      <c r="AJ112" s="2"/>
      <c r="AR112" s="2"/>
    </row>
    <row r="113" spans="1:65" hidden="1" x14ac:dyDescent="0.25">
      <c r="A113" s="2"/>
      <c r="B113" s="2">
        <f>HYPERLINK(URLs!B30 &amp; 20297 &amp; URLs!B32,20297)</f>
        <v>20297</v>
      </c>
      <c r="C113" t="s">
        <v>665</v>
      </c>
      <c r="D113" t="s">
        <v>619</v>
      </c>
      <c r="E113" t="s">
        <v>850</v>
      </c>
      <c r="F113" t="s">
        <v>621</v>
      </c>
      <c r="G113" t="s">
        <v>855</v>
      </c>
      <c r="H113" t="s">
        <v>856</v>
      </c>
      <c r="I113" t="s">
        <v>624</v>
      </c>
      <c r="J113" t="s">
        <v>625</v>
      </c>
      <c r="L113" s="5">
        <v>43251.341585648152</v>
      </c>
      <c r="M113" s="5">
        <v>43398.720138888886</v>
      </c>
      <c r="N113" s="2">
        <f>HYPERLINK(URLs!B36 &amp; 116456,116456)</f>
        <v>116456</v>
      </c>
      <c r="O113" t="s">
        <v>636</v>
      </c>
      <c r="P113" t="s">
        <v>621</v>
      </c>
      <c r="Q113" t="s">
        <v>4489</v>
      </c>
      <c r="W113">
        <v>1</v>
      </c>
      <c r="X113">
        <v>1</v>
      </c>
      <c r="Y113">
        <v>1</v>
      </c>
      <c r="AC113" s="2"/>
      <c r="AI113" s="2"/>
      <c r="AJ113" s="2"/>
      <c r="AR113" s="2"/>
      <c r="BM113" s="1"/>
    </row>
    <row r="114" spans="1:65" hidden="1" x14ac:dyDescent="0.25">
      <c r="A114" s="2">
        <f>HYPERLINK(URLs!B36 &amp; 114296,114296)</f>
        <v>114296</v>
      </c>
      <c r="B114" s="2">
        <f>HYPERLINK(URLs!B30 &amp; 20257 &amp; URLs!B32,20257)</f>
        <v>20257</v>
      </c>
      <c r="C114" t="s">
        <v>665</v>
      </c>
      <c r="D114" t="s">
        <v>619</v>
      </c>
      <c r="E114" t="s">
        <v>850</v>
      </c>
      <c r="F114" t="s">
        <v>621</v>
      </c>
      <c r="G114" t="s">
        <v>875</v>
      </c>
      <c r="H114" t="s">
        <v>876</v>
      </c>
      <c r="I114" t="s">
        <v>624</v>
      </c>
      <c r="J114" t="s">
        <v>642</v>
      </c>
      <c r="K114" t="s">
        <v>31</v>
      </c>
      <c r="L114" s="5">
        <v>43244.370995370373</v>
      </c>
      <c r="M114" s="5">
        <v>43315.530289351853</v>
      </c>
      <c r="N114" s="2">
        <f>HYPERLINK(URLs!B36 &amp; 114296,114296)</f>
        <v>114296</v>
      </c>
      <c r="O114" t="s">
        <v>645</v>
      </c>
      <c r="P114" t="s">
        <v>621</v>
      </c>
      <c r="Q114" t="s">
        <v>4490</v>
      </c>
      <c r="R114" t="s">
        <v>305</v>
      </c>
      <c r="S114" t="s">
        <v>328</v>
      </c>
      <c r="T114" t="s">
        <v>4210</v>
      </c>
      <c r="U114" t="s">
        <v>35</v>
      </c>
      <c r="V114" t="s">
        <v>35</v>
      </c>
      <c r="Z114" t="s">
        <v>73</v>
      </c>
      <c r="AC114" s="2"/>
      <c r="AH114" s="1"/>
      <c r="AJ114" s="2"/>
      <c r="AR114" s="2"/>
      <c r="AW114" s="1"/>
      <c r="BM114" s="1"/>
    </row>
    <row r="115" spans="1:65" hidden="1" x14ac:dyDescent="0.25">
      <c r="A115" s="2"/>
      <c r="B115" s="2">
        <f>HYPERLINK(URLs!B30 &amp; 20256 &amp; URLs!B32,20256)</f>
        <v>20256</v>
      </c>
      <c r="C115" t="s">
        <v>633</v>
      </c>
      <c r="D115" t="s">
        <v>619</v>
      </c>
      <c r="E115" t="s">
        <v>850</v>
      </c>
      <c r="F115" t="s">
        <v>892</v>
      </c>
      <c r="G115" t="s">
        <v>886</v>
      </c>
      <c r="H115" t="s">
        <v>887</v>
      </c>
      <c r="I115" t="s">
        <v>624</v>
      </c>
      <c r="J115" t="s">
        <v>625</v>
      </c>
      <c r="L115" s="5">
        <v>43244.368842592594</v>
      </c>
      <c r="M115" s="5">
        <v>43311.344444444447</v>
      </c>
      <c r="N115" s="2">
        <f>HYPERLINK(URLs!B36 &amp; 85291,85291)</f>
        <v>85291</v>
      </c>
      <c r="O115" t="s">
        <v>645</v>
      </c>
      <c r="P115" t="s">
        <v>621</v>
      </c>
      <c r="Q115" t="s">
        <v>4491</v>
      </c>
      <c r="AC115" s="2"/>
      <c r="AH115" s="1"/>
      <c r="AJ115" s="2"/>
      <c r="AR115" s="2"/>
      <c r="AW115" s="1"/>
      <c r="BM115" s="1"/>
    </row>
    <row r="116" spans="1:65" hidden="1" x14ac:dyDescent="0.25">
      <c r="A116" s="2"/>
      <c r="B116" s="2">
        <f>HYPERLINK(URLs!B30 &amp; 20254 &amp; URLs!B32,20254)</f>
        <v>20254</v>
      </c>
      <c r="C116" t="s">
        <v>665</v>
      </c>
      <c r="D116" t="s">
        <v>619</v>
      </c>
      <c r="E116" t="s">
        <v>850</v>
      </c>
      <c r="F116" t="s">
        <v>621</v>
      </c>
      <c r="G116" t="s">
        <v>855</v>
      </c>
      <c r="H116" t="s">
        <v>856</v>
      </c>
      <c r="I116" t="s">
        <v>624</v>
      </c>
      <c r="J116" t="s">
        <v>625</v>
      </c>
      <c r="L116" s="5">
        <v>43244.078622685185</v>
      </c>
      <c r="M116" s="5">
        <v>43311.594444444447</v>
      </c>
      <c r="N116" s="2">
        <f>HYPERLINK(URLs!B36 &amp; 104706,104706)</f>
        <v>104706</v>
      </c>
      <c r="O116" t="s">
        <v>645</v>
      </c>
      <c r="P116" t="s">
        <v>621</v>
      </c>
      <c r="Q116" t="s">
        <v>4492</v>
      </c>
      <c r="W116">
        <v>1</v>
      </c>
      <c r="AC116" s="2"/>
      <c r="AH116" s="1"/>
      <c r="AI116" s="2"/>
      <c r="AJ116" s="2"/>
      <c r="AR116" s="2"/>
      <c r="AW116" s="1"/>
      <c r="BM116" s="1"/>
    </row>
    <row r="117" spans="1:65" x14ac:dyDescent="0.25">
      <c r="A117" s="2">
        <f>HYPERLINK(URLs!B36 &amp; 114279,114279)</f>
        <v>114279</v>
      </c>
      <c r="B117" s="2">
        <f>HYPERLINK(URLs!B30 &amp; 20253 &amp; URLs!B32,20253)</f>
        <v>20253</v>
      </c>
      <c r="C117" t="s">
        <v>618</v>
      </c>
      <c r="D117" t="s">
        <v>619</v>
      </c>
      <c r="E117" t="s">
        <v>620</v>
      </c>
      <c r="F117" t="s">
        <v>621</v>
      </c>
      <c r="G117" t="s">
        <v>631</v>
      </c>
      <c r="H117" t="s">
        <v>632</v>
      </c>
      <c r="I117" t="s">
        <v>624</v>
      </c>
      <c r="J117" t="s">
        <v>629</v>
      </c>
      <c r="K117" t="s">
        <v>68</v>
      </c>
      <c r="L117" s="5">
        <v>43243.946747685186</v>
      </c>
      <c r="N117" s="2">
        <f>HYPERLINK(URLs!B36 &amp; 114279,114279)</f>
        <v>114279</v>
      </c>
      <c r="O117" t="s">
        <v>637</v>
      </c>
      <c r="P117" t="s">
        <v>621</v>
      </c>
      <c r="Q117" t="s">
        <v>4493</v>
      </c>
      <c r="R117" t="s">
        <v>67</v>
      </c>
      <c r="T117" t="s">
        <v>4410</v>
      </c>
      <c r="U117" t="s">
        <v>35</v>
      </c>
      <c r="V117" t="s">
        <v>35</v>
      </c>
      <c r="Z117" t="s">
        <v>73</v>
      </c>
      <c r="AC117" s="2"/>
      <c r="AH117" s="1"/>
      <c r="AJ117" s="2"/>
      <c r="AR117" s="2"/>
      <c r="AW117" s="1"/>
    </row>
    <row r="118" spans="1:65" x14ac:dyDescent="0.25">
      <c r="A118" s="2"/>
      <c r="B118" s="2">
        <f>HYPERLINK(URLs!B30 &amp; 20249 &amp; URLs!B32,20249)</f>
        <v>20249</v>
      </c>
      <c r="C118" t="s">
        <v>641</v>
      </c>
      <c r="D118" t="s">
        <v>619</v>
      </c>
      <c r="E118" t="s">
        <v>620</v>
      </c>
      <c r="F118" t="s">
        <v>621</v>
      </c>
      <c r="G118" t="s">
        <v>4494</v>
      </c>
      <c r="H118" t="s">
        <v>4495</v>
      </c>
      <c r="I118" t="s">
        <v>624</v>
      </c>
      <c r="J118" t="s">
        <v>625</v>
      </c>
      <c r="L118" s="5">
        <v>43243.528229166666</v>
      </c>
      <c r="N118" s="2">
        <f>HYPERLINK(URLs!B37 &amp; 235603,235603)</f>
        <v>235603</v>
      </c>
      <c r="O118" t="s">
        <v>637</v>
      </c>
      <c r="P118" t="s">
        <v>621</v>
      </c>
      <c r="Q118" t="s">
        <v>4496</v>
      </c>
      <c r="AC118" s="2"/>
      <c r="AJ118" s="2"/>
      <c r="AR118" s="2"/>
    </row>
    <row r="119" spans="1:65" hidden="1" x14ac:dyDescent="0.25">
      <c r="A119" s="2"/>
      <c r="B119" s="2">
        <f>HYPERLINK(URLs!B30 &amp; 20245 &amp; URLs!B32,20245)</f>
        <v>20245</v>
      </c>
      <c r="C119" t="s">
        <v>633</v>
      </c>
      <c r="D119" t="s">
        <v>619</v>
      </c>
      <c r="E119" t="s">
        <v>850</v>
      </c>
      <c r="F119" t="s">
        <v>621</v>
      </c>
      <c r="G119" t="s">
        <v>858</v>
      </c>
      <c r="H119" t="s">
        <v>859</v>
      </c>
      <c r="I119" t="s">
        <v>624</v>
      </c>
      <c r="J119" t="s">
        <v>642</v>
      </c>
      <c r="L119" s="5">
        <v>43243.333935185183</v>
      </c>
      <c r="M119" s="5">
        <v>43398.635520833333</v>
      </c>
      <c r="N119" s="2">
        <f>HYPERLINK(URLs!B36 &amp; 113785,113785)</f>
        <v>113785</v>
      </c>
      <c r="O119" t="s">
        <v>636</v>
      </c>
      <c r="P119" t="s">
        <v>621</v>
      </c>
      <c r="Q119" t="s">
        <v>4497</v>
      </c>
      <c r="AC119" s="2"/>
      <c r="AJ119" s="2"/>
      <c r="AR119" s="2"/>
      <c r="BM119" s="1"/>
    </row>
    <row r="120" spans="1:65" hidden="1" x14ac:dyDescent="0.25">
      <c r="A120" s="2"/>
      <c r="B120" s="2">
        <f>HYPERLINK(URLs!B30 &amp; 20242 &amp; URLs!B32,20242)</f>
        <v>20242</v>
      </c>
      <c r="C120" t="s">
        <v>633</v>
      </c>
      <c r="D120" t="s">
        <v>619</v>
      </c>
      <c r="E120" t="s">
        <v>850</v>
      </c>
      <c r="F120" t="s">
        <v>621</v>
      </c>
      <c r="G120" t="s">
        <v>855</v>
      </c>
      <c r="H120" t="s">
        <v>856</v>
      </c>
      <c r="I120" t="s">
        <v>624</v>
      </c>
      <c r="J120" t="s">
        <v>625</v>
      </c>
      <c r="L120" s="5">
        <v>43242.391157407408</v>
      </c>
      <c r="M120" s="5">
        <v>43332.289907407408</v>
      </c>
      <c r="N120" s="2">
        <f>HYPERLINK(URLs!B36 &amp; 114684,114684)</f>
        <v>114684</v>
      </c>
      <c r="O120" t="s">
        <v>636</v>
      </c>
      <c r="P120" t="s">
        <v>621</v>
      </c>
      <c r="Q120" t="s">
        <v>4498</v>
      </c>
      <c r="AC120" s="2"/>
      <c r="AH120" s="1"/>
      <c r="AJ120" s="2"/>
      <c r="AR120" s="2"/>
      <c r="AW120" s="1"/>
      <c r="AX120">
        <v>84711</v>
      </c>
      <c r="BM120" s="1"/>
    </row>
    <row r="121" spans="1:65" hidden="1" x14ac:dyDescent="0.25">
      <c r="A121" s="2">
        <f>HYPERLINK(URLs!B36 &amp; 111640,111640)</f>
        <v>111640</v>
      </c>
      <c r="B121" s="2">
        <f>HYPERLINK(URLs!B30 &amp; 20227 &amp; URLs!B32,20227)</f>
        <v>20227</v>
      </c>
      <c r="C121" t="s">
        <v>618</v>
      </c>
      <c r="D121" t="s">
        <v>619</v>
      </c>
      <c r="E121" t="s">
        <v>620</v>
      </c>
      <c r="F121" t="s">
        <v>621</v>
      </c>
      <c r="G121" t="s">
        <v>622</v>
      </c>
      <c r="H121" t="s">
        <v>623</v>
      </c>
      <c r="I121" t="s">
        <v>624</v>
      </c>
      <c r="J121" t="s">
        <v>625</v>
      </c>
      <c r="K121" t="s">
        <v>31</v>
      </c>
      <c r="L121" s="5">
        <v>43238.641944444447</v>
      </c>
      <c r="N121" s="2">
        <f>HYPERLINK(URLs!B36 &amp; 111643,111643)</f>
        <v>111643</v>
      </c>
      <c r="O121" t="s">
        <v>1360</v>
      </c>
      <c r="P121" t="s">
        <v>621</v>
      </c>
      <c r="Q121" t="s">
        <v>4584</v>
      </c>
      <c r="R121" t="s">
        <v>305</v>
      </c>
      <c r="S121" t="s">
        <v>337</v>
      </c>
      <c r="T121" t="s">
        <v>307</v>
      </c>
      <c r="U121" t="s">
        <v>35</v>
      </c>
      <c r="V121" t="s">
        <v>321</v>
      </c>
      <c r="Z121" t="s">
        <v>34</v>
      </c>
      <c r="AC121" s="2"/>
      <c r="AH121" s="1"/>
      <c r="AI121" s="2"/>
      <c r="AJ121" s="2"/>
      <c r="AR121" s="2"/>
      <c r="AW121" s="1"/>
      <c r="BM121" s="1"/>
    </row>
    <row r="122" spans="1:65" hidden="1" x14ac:dyDescent="0.25">
      <c r="A122" s="2">
        <f>HYPERLINK(URLs!B36 &amp; 104132,104132)</f>
        <v>104132</v>
      </c>
      <c r="B122" s="2">
        <f>HYPERLINK(URLs!B30 &amp; 20203 &amp; URLs!B32,20203)</f>
        <v>20203</v>
      </c>
      <c r="C122" t="s">
        <v>618</v>
      </c>
      <c r="D122" t="s">
        <v>619</v>
      </c>
      <c r="E122" t="s">
        <v>850</v>
      </c>
      <c r="F122" t="s">
        <v>621</v>
      </c>
      <c r="G122" t="s">
        <v>855</v>
      </c>
      <c r="H122" t="s">
        <v>856</v>
      </c>
      <c r="I122" t="s">
        <v>624</v>
      </c>
      <c r="J122" t="s">
        <v>625</v>
      </c>
      <c r="K122" t="s">
        <v>31</v>
      </c>
      <c r="L122" s="5">
        <v>43236.143912037034</v>
      </c>
      <c r="N122" s="2">
        <f>HYPERLINK(URLs!B36 &amp; 104811,104811)</f>
        <v>104811</v>
      </c>
      <c r="O122" t="s">
        <v>637</v>
      </c>
      <c r="P122" t="s">
        <v>621</v>
      </c>
      <c r="Q122" t="s">
        <v>4499</v>
      </c>
      <c r="R122" t="s">
        <v>42</v>
      </c>
      <c r="T122" t="s">
        <v>4098</v>
      </c>
      <c r="U122" t="s">
        <v>35</v>
      </c>
      <c r="V122" t="s">
        <v>321</v>
      </c>
      <c r="Z122" t="s">
        <v>73</v>
      </c>
      <c r="AC122" s="2"/>
      <c r="AH122" s="1"/>
      <c r="AJ122" s="2"/>
      <c r="AR122" s="2"/>
      <c r="AW122" s="1"/>
      <c r="BM122" s="1"/>
    </row>
    <row r="123" spans="1:65" hidden="1" x14ac:dyDescent="0.25">
      <c r="A123" s="2">
        <f>HYPERLINK(URLs!B36 &amp; 113522,113522)</f>
        <v>113522</v>
      </c>
      <c r="B123" s="2">
        <f>HYPERLINK(URLs!B30 &amp; 20188 &amp; URLs!B32,20188)</f>
        <v>20188</v>
      </c>
      <c r="C123" t="s">
        <v>633</v>
      </c>
      <c r="D123" t="s">
        <v>619</v>
      </c>
      <c r="E123" t="s">
        <v>620</v>
      </c>
      <c r="F123" t="s">
        <v>621</v>
      </c>
      <c r="G123" t="s">
        <v>622</v>
      </c>
      <c r="H123" t="s">
        <v>623</v>
      </c>
      <c r="I123" t="s">
        <v>624</v>
      </c>
      <c r="J123" t="s">
        <v>625</v>
      </c>
      <c r="K123" t="s">
        <v>31</v>
      </c>
      <c r="L123" s="5">
        <v>43231.642060185186</v>
      </c>
      <c r="M123" s="5">
        <v>43431.619699074072</v>
      </c>
      <c r="N123" s="2">
        <f>HYPERLINK(URLs!B36 &amp; 113600,113600)</f>
        <v>113600</v>
      </c>
      <c r="O123" t="s">
        <v>636</v>
      </c>
      <c r="P123" t="s">
        <v>621</v>
      </c>
      <c r="Q123" t="s">
        <v>4585</v>
      </c>
      <c r="R123" t="s">
        <v>319</v>
      </c>
      <c r="S123" t="s">
        <v>304</v>
      </c>
      <c r="T123" t="s">
        <v>4098</v>
      </c>
      <c r="U123" t="s">
        <v>35</v>
      </c>
      <c r="V123" t="s">
        <v>321</v>
      </c>
      <c r="Z123" t="s">
        <v>96</v>
      </c>
      <c r="AC123" s="2"/>
      <c r="AH123" s="1"/>
      <c r="AJ123" s="2"/>
      <c r="AR123" s="2"/>
      <c r="AW123" s="1"/>
      <c r="AX123">
        <v>83333</v>
      </c>
    </row>
    <row r="124" spans="1:65" hidden="1" x14ac:dyDescent="0.25">
      <c r="A124" s="2">
        <f>HYPERLINK(URLs!B36 &amp; 113447,113447)</f>
        <v>113447</v>
      </c>
      <c r="B124" s="2">
        <f>HYPERLINK(URLs!B30 &amp; 20180 &amp; URLs!B32,20180)</f>
        <v>20180</v>
      </c>
      <c r="C124" t="s">
        <v>633</v>
      </c>
      <c r="D124" t="s">
        <v>619</v>
      </c>
      <c r="E124" t="s">
        <v>620</v>
      </c>
      <c r="F124" t="s">
        <v>621</v>
      </c>
      <c r="G124" t="s">
        <v>622</v>
      </c>
      <c r="H124" t="s">
        <v>623</v>
      </c>
      <c r="I124" t="s">
        <v>624</v>
      </c>
      <c r="J124" t="s">
        <v>625</v>
      </c>
      <c r="K124" t="s">
        <v>31</v>
      </c>
      <c r="L124" s="5">
        <v>43230.642337962963</v>
      </c>
      <c r="M124" s="5">
        <v>43241.473900462966</v>
      </c>
      <c r="N124" s="2">
        <f>HYPERLINK(URLs!B36 &amp; 113447,113447)</f>
        <v>113447</v>
      </c>
      <c r="O124" t="s">
        <v>645</v>
      </c>
      <c r="P124" t="s">
        <v>621</v>
      </c>
      <c r="Q124" t="s">
        <v>4586</v>
      </c>
      <c r="R124" t="s">
        <v>305</v>
      </c>
      <c r="S124" t="s">
        <v>310</v>
      </c>
      <c r="T124" t="s">
        <v>307</v>
      </c>
      <c r="U124" t="s">
        <v>35</v>
      </c>
      <c r="V124" t="s">
        <v>321</v>
      </c>
      <c r="Z124" t="s">
        <v>73</v>
      </c>
      <c r="AC124" s="2"/>
      <c r="AI124" s="2"/>
      <c r="AJ124" s="2"/>
      <c r="AR124" s="2"/>
      <c r="BM124" s="1"/>
    </row>
    <row r="125" spans="1:65" hidden="1" x14ac:dyDescent="0.25">
      <c r="A125" s="2"/>
      <c r="B125" s="2">
        <f>HYPERLINK(URLs!B30 &amp; 20171 &amp; URLs!B32,20171)</f>
        <v>20171</v>
      </c>
      <c r="C125" t="s">
        <v>633</v>
      </c>
      <c r="D125" t="s">
        <v>619</v>
      </c>
      <c r="E125" t="s">
        <v>850</v>
      </c>
      <c r="F125" t="s">
        <v>621</v>
      </c>
      <c r="G125" t="s">
        <v>867</v>
      </c>
      <c r="H125" t="s">
        <v>876</v>
      </c>
      <c r="I125" t="s">
        <v>624</v>
      </c>
      <c r="J125" t="s">
        <v>642</v>
      </c>
      <c r="L125" s="5">
        <v>43229.524444444447</v>
      </c>
      <c r="M125" s="5">
        <v>43332.288553240738</v>
      </c>
      <c r="N125" s="2">
        <f>HYPERLINK(URLs!B36 &amp; 102629,102629)</f>
        <v>102629</v>
      </c>
      <c r="O125" t="s">
        <v>636</v>
      </c>
      <c r="P125" t="s">
        <v>621</v>
      </c>
      <c r="Q125" t="s">
        <v>4500</v>
      </c>
      <c r="R125" t="s">
        <v>67</v>
      </c>
      <c r="AC125" s="2"/>
      <c r="AH125" s="1"/>
      <c r="AJ125" s="2"/>
      <c r="AR125" s="2"/>
      <c r="AW125" s="1"/>
      <c r="AX125">
        <v>97626</v>
      </c>
      <c r="BM125" s="1"/>
    </row>
    <row r="126" spans="1:65" hidden="1" x14ac:dyDescent="0.25">
      <c r="A126" s="2"/>
      <c r="B126" s="2">
        <f>HYPERLINK(URLs!B30 &amp; 20162 &amp; URLs!B32,20162)</f>
        <v>20162</v>
      </c>
      <c r="C126" t="s">
        <v>665</v>
      </c>
      <c r="D126" t="s">
        <v>619</v>
      </c>
      <c r="E126" t="s">
        <v>850</v>
      </c>
      <c r="F126" t="s">
        <v>621</v>
      </c>
      <c r="G126" t="s">
        <v>889</v>
      </c>
      <c r="H126" t="s">
        <v>890</v>
      </c>
      <c r="I126" t="s">
        <v>624</v>
      </c>
      <c r="J126" t="s">
        <v>642</v>
      </c>
      <c r="L126" s="5">
        <v>43228.629062499997</v>
      </c>
      <c r="M126" s="5">
        <v>43319.38958333333</v>
      </c>
      <c r="N126" t="s">
        <v>621</v>
      </c>
      <c r="O126" t="s">
        <v>645</v>
      </c>
      <c r="P126" t="s">
        <v>621</v>
      </c>
      <c r="Q126" t="s">
        <v>4501</v>
      </c>
      <c r="AC126" s="2"/>
      <c r="AH126" s="1"/>
      <c r="AI126" s="2"/>
      <c r="AJ126" s="2"/>
      <c r="AR126" s="2"/>
      <c r="AW126" s="1"/>
    </row>
    <row r="127" spans="1:65" hidden="1" x14ac:dyDescent="0.25">
      <c r="A127" s="2"/>
      <c r="B127" s="2">
        <f>HYPERLINK(URLs!B30 &amp; 20158 &amp; URLs!B32,20158)</f>
        <v>20158</v>
      </c>
      <c r="C127" t="s">
        <v>633</v>
      </c>
      <c r="D127" t="s">
        <v>619</v>
      </c>
      <c r="E127" t="s">
        <v>850</v>
      </c>
      <c r="F127" t="s">
        <v>621</v>
      </c>
      <c r="G127" t="s">
        <v>886</v>
      </c>
      <c r="H127" t="s">
        <v>887</v>
      </c>
      <c r="I127" t="s">
        <v>624</v>
      </c>
      <c r="J127" t="s">
        <v>625</v>
      </c>
      <c r="L127" s="5">
        <v>43228.500648148147</v>
      </c>
      <c r="M127" s="5">
        <v>43360.288124999999</v>
      </c>
      <c r="N127" s="2">
        <f>HYPERLINK(URLs!B36 &amp; 112673,112673)</f>
        <v>112673</v>
      </c>
      <c r="O127" t="s">
        <v>636</v>
      </c>
      <c r="P127" t="s">
        <v>621</v>
      </c>
      <c r="Q127" t="s">
        <v>4502</v>
      </c>
      <c r="R127" t="s">
        <v>305</v>
      </c>
      <c r="AC127" s="2"/>
      <c r="AJ127" s="2"/>
      <c r="AR127" s="2"/>
      <c r="BM127" s="1"/>
    </row>
    <row r="128" spans="1:65" x14ac:dyDescent="0.25">
      <c r="A128" s="2"/>
      <c r="B128" s="2">
        <f>HYPERLINK(URLs!B30 &amp; 20129 &amp; URLs!B32,20129)</f>
        <v>20129</v>
      </c>
      <c r="C128" t="s">
        <v>618</v>
      </c>
      <c r="D128" t="s">
        <v>619</v>
      </c>
      <c r="E128" t="s">
        <v>620</v>
      </c>
      <c r="F128" t="s">
        <v>621</v>
      </c>
      <c r="G128" t="s">
        <v>622</v>
      </c>
      <c r="H128" t="s">
        <v>623</v>
      </c>
      <c r="I128" t="s">
        <v>624</v>
      </c>
      <c r="J128" t="s">
        <v>629</v>
      </c>
      <c r="L128" s="5">
        <v>43222.618773148148</v>
      </c>
      <c r="N128" s="2">
        <f>HYPERLINK(URLs!B37 &amp; 235843,235843)</f>
        <v>235843</v>
      </c>
      <c r="O128" t="s">
        <v>637</v>
      </c>
      <c r="P128" t="s">
        <v>621</v>
      </c>
      <c r="Q128" t="s">
        <v>4503</v>
      </c>
      <c r="AC128" s="2"/>
      <c r="AH128" s="1"/>
      <c r="AJ128" s="2"/>
      <c r="AR128" s="2"/>
      <c r="AW128" s="1"/>
    </row>
    <row r="129" spans="1:65" hidden="1" x14ac:dyDescent="0.25">
      <c r="A129" s="2"/>
      <c r="B129" s="2">
        <f>HYPERLINK(URLs!B30 &amp; 20111 &amp; URLs!B32,20111)</f>
        <v>20111</v>
      </c>
      <c r="C129" t="s">
        <v>665</v>
      </c>
      <c r="D129" t="s">
        <v>619</v>
      </c>
      <c r="E129" t="s">
        <v>850</v>
      </c>
      <c r="F129" t="s">
        <v>621</v>
      </c>
      <c r="G129" t="s">
        <v>858</v>
      </c>
      <c r="H129" t="s">
        <v>859</v>
      </c>
      <c r="I129" t="s">
        <v>624</v>
      </c>
      <c r="J129" t="s">
        <v>629</v>
      </c>
      <c r="L129" s="5">
        <v>43220.452893518515</v>
      </c>
      <c r="M129" s="5">
        <v>43332.370138888888</v>
      </c>
      <c r="N129" s="2">
        <f>HYPERLINK(URLs!B36 &amp; 112227,112227)</f>
        <v>112227</v>
      </c>
      <c r="O129" t="s">
        <v>636</v>
      </c>
      <c r="P129" t="s">
        <v>621</v>
      </c>
      <c r="Q129" t="s">
        <v>4587</v>
      </c>
      <c r="R129" t="s">
        <v>319</v>
      </c>
      <c r="AC129" s="2"/>
      <c r="AJ129" s="2"/>
      <c r="AR129" s="2"/>
      <c r="BM129" s="1"/>
    </row>
    <row r="130" spans="1:65" hidden="1" x14ac:dyDescent="0.25">
      <c r="A130" s="2"/>
      <c r="B130" s="2">
        <f>HYPERLINK(URLs!B30 &amp; 20096 &amp; URLs!B32,20096)</f>
        <v>20096</v>
      </c>
      <c r="C130" t="s">
        <v>618</v>
      </c>
      <c r="D130" t="s">
        <v>619</v>
      </c>
      <c r="E130" t="s">
        <v>850</v>
      </c>
      <c r="F130" t="s">
        <v>621</v>
      </c>
      <c r="G130" t="s">
        <v>875</v>
      </c>
      <c r="H130" t="s">
        <v>876</v>
      </c>
      <c r="I130" t="s">
        <v>624</v>
      </c>
      <c r="J130" t="s">
        <v>642</v>
      </c>
      <c r="L130" s="5">
        <v>43216.493055555555</v>
      </c>
      <c r="N130" s="2">
        <f>HYPERLINK(URLs!B36 &amp; 109263,109263)</f>
        <v>109263</v>
      </c>
      <c r="O130" t="s">
        <v>637</v>
      </c>
      <c r="P130" t="s">
        <v>621</v>
      </c>
      <c r="Q130" t="s">
        <v>4504</v>
      </c>
      <c r="W130">
        <v>1</v>
      </c>
      <c r="AC130" s="2"/>
      <c r="AH130" s="1"/>
      <c r="AJ130" s="2"/>
      <c r="AR130" s="2"/>
      <c r="AW130" s="1"/>
      <c r="BM130" s="1"/>
    </row>
    <row r="131" spans="1:65" hidden="1" x14ac:dyDescent="0.25">
      <c r="A131" s="2"/>
      <c r="B131" s="2">
        <f>HYPERLINK(URLs!B30 &amp; 20087 &amp; URLs!B32,20087)</f>
        <v>20087</v>
      </c>
      <c r="C131" t="s">
        <v>665</v>
      </c>
      <c r="D131" t="s">
        <v>619</v>
      </c>
      <c r="E131" t="s">
        <v>850</v>
      </c>
      <c r="F131" t="s">
        <v>621</v>
      </c>
      <c r="G131" t="s">
        <v>889</v>
      </c>
      <c r="H131" t="s">
        <v>890</v>
      </c>
      <c r="I131" t="s">
        <v>624</v>
      </c>
      <c r="J131" t="s">
        <v>629</v>
      </c>
      <c r="L131" s="5">
        <v>43215.677997685183</v>
      </c>
      <c r="M131" s="5">
        <v>43398.71597222222</v>
      </c>
      <c r="N131" s="2">
        <f>HYPERLINK(URLs!B36 &amp; 107735,107735)</f>
        <v>107735</v>
      </c>
      <c r="O131" t="s">
        <v>636</v>
      </c>
      <c r="P131" t="s">
        <v>621</v>
      </c>
      <c r="Q131" t="s">
        <v>4505</v>
      </c>
      <c r="W131">
        <v>1</v>
      </c>
      <c r="AC131" s="2"/>
      <c r="AH131" s="1"/>
      <c r="AJ131" s="2"/>
      <c r="AR131" s="2"/>
      <c r="AW131" s="1"/>
    </row>
    <row r="132" spans="1:65" hidden="1" x14ac:dyDescent="0.25">
      <c r="A132" s="2"/>
      <c r="B132" s="2">
        <f>HYPERLINK(URLs!B30 &amp; 20079 &amp; URLs!B32,20079)</f>
        <v>20079</v>
      </c>
      <c r="C132" t="s">
        <v>633</v>
      </c>
      <c r="D132" t="s">
        <v>619</v>
      </c>
      <c r="E132" t="s">
        <v>620</v>
      </c>
      <c r="F132" t="s">
        <v>621</v>
      </c>
      <c r="G132" t="s">
        <v>622</v>
      </c>
      <c r="H132" t="s">
        <v>623</v>
      </c>
      <c r="I132" t="s">
        <v>624</v>
      </c>
      <c r="J132" t="s">
        <v>625</v>
      </c>
      <c r="L132" s="5">
        <v>43215.323680555557</v>
      </c>
      <c r="M132" s="5">
        <v>43432.446736111109</v>
      </c>
      <c r="N132" s="2">
        <f>HYPERLINK(URLs!B37 &amp; 232375,232375)</f>
        <v>232375</v>
      </c>
      <c r="O132" t="s">
        <v>636</v>
      </c>
      <c r="P132" t="s">
        <v>621</v>
      </c>
      <c r="Q132" t="s">
        <v>4506</v>
      </c>
      <c r="AC132" s="2"/>
      <c r="AJ132" s="2"/>
      <c r="AR132" s="2"/>
    </row>
    <row r="133" spans="1:65" hidden="1" x14ac:dyDescent="0.25">
      <c r="A133" s="2"/>
      <c r="B133" s="2">
        <f>HYPERLINK(URLs!B30 &amp; 20077 &amp; URLs!B32,20077)</f>
        <v>20077</v>
      </c>
      <c r="C133" t="s">
        <v>633</v>
      </c>
      <c r="D133" t="s">
        <v>619</v>
      </c>
      <c r="E133" t="s">
        <v>850</v>
      </c>
      <c r="F133" t="s">
        <v>621</v>
      </c>
      <c r="G133" t="s">
        <v>855</v>
      </c>
      <c r="H133" t="s">
        <v>856</v>
      </c>
      <c r="I133" t="s">
        <v>624</v>
      </c>
      <c r="J133" t="s">
        <v>629</v>
      </c>
      <c r="L133" s="5">
        <v>43215.036469907405</v>
      </c>
      <c r="M133" s="5">
        <v>43332.285509259258</v>
      </c>
      <c r="N133" s="2">
        <f>HYPERLINK(URLs!B36 &amp; 112702,112702)</f>
        <v>112702</v>
      </c>
      <c r="O133" t="s">
        <v>636</v>
      </c>
      <c r="P133" t="s">
        <v>621</v>
      </c>
      <c r="Q133" t="s">
        <v>4507</v>
      </c>
      <c r="AC133" s="2"/>
      <c r="AJ133" s="2"/>
      <c r="AR133" s="2"/>
      <c r="AX133">
        <v>97627</v>
      </c>
    </row>
    <row r="134" spans="1:65" hidden="1" x14ac:dyDescent="0.25">
      <c r="A134" s="2"/>
      <c r="B134" s="2">
        <f>HYPERLINK(URLs!B30 &amp; 20051 &amp; URLs!B32,20051)</f>
        <v>20051</v>
      </c>
      <c r="C134" t="s">
        <v>618</v>
      </c>
      <c r="D134" t="s">
        <v>619</v>
      </c>
      <c r="E134" t="s">
        <v>850</v>
      </c>
      <c r="F134" t="s">
        <v>621</v>
      </c>
      <c r="G134" t="s">
        <v>886</v>
      </c>
      <c r="H134" t="s">
        <v>887</v>
      </c>
      <c r="I134" t="s">
        <v>624</v>
      </c>
      <c r="J134" t="s">
        <v>629</v>
      </c>
      <c r="L134" s="5">
        <v>43210.34814814815</v>
      </c>
      <c r="N134" s="2">
        <f>HYPERLINK(URLs!B36 &amp; 112987,112987)</f>
        <v>112987</v>
      </c>
      <c r="O134" t="s">
        <v>637</v>
      </c>
      <c r="P134" t="s">
        <v>621</v>
      </c>
      <c r="Q134" t="s">
        <v>4508</v>
      </c>
      <c r="R134" t="s">
        <v>319</v>
      </c>
      <c r="AC134" s="2"/>
      <c r="AI134" s="2"/>
      <c r="AJ134" s="2"/>
      <c r="AR134" s="2"/>
      <c r="AX134">
        <v>98917</v>
      </c>
      <c r="BM134" s="1"/>
    </row>
    <row r="135" spans="1:65" hidden="1" x14ac:dyDescent="0.25">
      <c r="A135" s="2">
        <f>HYPERLINK(URLs!B36 &amp; 112560,112560)</f>
        <v>112560</v>
      </c>
      <c r="B135" s="2">
        <f>HYPERLINK(URLs!B30 &amp; 20048 &amp; URLs!B32,20048)</f>
        <v>20048</v>
      </c>
      <c r="C135" t="s">
        <v>618</v>
      </c>
      <c r="D135" t="s">
        <v>619</v>
      </c>
      <c r="E135" t="s">
        <v>620</v>
      </c>
      <c r="F135" t="s">
        <v>621</v>
      </c>
      <c r="G135" t="s">
        <v>631</v>
      </c>
      <c r="H135" t="s">
        <v>632</v>
      </c>
      <c r="I135" t="s">
        <v>624</v>
      </c>
      <c r="J135" t="s">
        <v>629</v>
      </c>
      <c r="K135" t="s">
        <v>68</v>
      </c>
      <c r="L135" s="5">
        <v>43210.047060185185</v>
      </c>
      <c r="N135" s="2">
        <f>HYPERLINK(URLs!B36 &amp; 112846,112846)</f>
        <v>112846</v>
      </c>
      <c r="O135" t="s">
        <v>640</v>
      </c>
      <c r="P135" t="s">
        <v>621</v>
      </c>
      <c r="Q135" t="s">
        <v>4588</v>
      </c>
      <c r="R135" t="s">
        <v>305</v>
      </c>
      <c r="S135" t="s">
        <v>304</v>
      </c>
      <c r="T135" t="s">
        <v>4143</v>
      </c>
      <c r="U135" t="s">
        <v>4423</v>
      </c>
      <c r="V135" t="s">
        <v>35</v>
      </c>
      <c r="Z135" t="s">
        <v>34</v>
      </c>
      <c r="AC135" s="2"/>
      <c r="AH135" s="1"/>
      <c r="AI135" s="2"/>
      <c r="AJ135" s="2"/>
      <c r="AR135" s="2"/>
      <c r="AW135" s="1"/>
      <c r="BM135" s="1"/>
    </row>
    <row r="136" spans="1:65" hidden="1" x14ac:dyDescent="0.25">
      <c r="A136" s="2"/>
      <c r="B136" s="2">
        <f>HYPERLINK(URLs!B30 &amp; 20016 &amp; URLs!B32,20016)</f>
        <v>20016</v>
      </c>
      <c r="C136" t="s">
        <v>618</v>
      </c>
      <c r="D136" t="s">
        <v>619</v>
      </c>
      <c r="E136" t="s">
        <v>850</v>
      </c>
      <c r="F136" t="s">
        <v>621</v>
      </c>
      <c r="G136" t="s">
        <v>855</v>
      </c>
      <c r="H136" t="s">
        <v>856</v>
      </c>
      <c r="I136" t="s">
        <v>624</v>
      </c>
      <c r="J136" t="s">
        <v>629</v>
      </c>
      <c r="L136" s="5">
        <v>43207.141296296293</v>
      </c>
      <c r="N136" s="2">
        <f>HYPERLINK(URLs!B36 &amp; 113818,113818)</f>
        <v>113818</v>
      </c>
      <c r="O136" t="s">
        <v>640</v>
      </c>
      <c r="P136" t="s">
        <v>621</v>
      </c>
      <c r="Q136" t="s">
        <v>4509</v>
      </c>
      <c r="R136" t="s">
        <v>305</v>
      </c>
      <c r="AC136" s="2"/>
      <c r="AH136" s="1"/>
      <c r="AJ136" s="2"/>
      <c r="AR136" s="2"/>
      <c r="AW136" s="1"/>
      <c r="BM136" s="1"/>
    </row>
    <row r="137" spans="1:65" hidden="1" x14ac:dyDescent="0.25">
      <c r="A137" s="2"/>
      <c r="B137" s="2">
        <f>HYPERLINK(URLs!B30 &amp; 20013 &amp; URLs!B32,20013)</f>
        <v>20013</v>
      </c>
      <c r="C137" t="s">
        <v>641</v>
      </c>
      <c r="D137" t="s">
        <v>619</v>
      </c>
      <c r="E137" t="s">
        <v>850</v>
      </c>
      <c r="F137" t="s">
        <v>621</v>
      </c>
      <c r="G137" t="s">
        <v>875</v>
      </c>
      <c r="H137" t="s">
        <v>876</v>
      </c>
      <c r="I137" t="s">
        <v>624</v>
      </c>
      <c r="J137" t="s">
        <v>629</v>
      </c>
      <c r="L137" s="5">
        <v>43206.445833333331</v>
      </c>
      <c r="N137" s="2">
        <f>HYPERLINK(URLs!B36 &amp; 113003,113003)</f>
        <v>113003</v>
      </c>
      <c r="O137" t="s">
        <v>637</v>
      </c>
      <c r="P137" t="s">
        <v>621</v>
      </c>
      <c r="Q137" t="s">
        <v>4701</v>
      </c>
      <c r="W137">
        <v>1</v>
      </c>
      <c r="AC137" s="2"/>
      <c r="AH137" s="1"/>
      <c r="AJ137" s="2"/>
      <c r="AR137" s="2"/>
      <c r="AW137" s="1"/>
    </row>
    <row r="138" spans="1:65" x14ac:dyDescent="0.25">
      <c r="A138" s="2">
        <f>HYPERLINK(URLs!B36 &amp; 112353,112353)</f>
        <v>112353</v>
      </c>
      <c r="B138" s="2">
        <f>HYPERLINK(URLs!B30 &amp; 20008 &amp; URLs!B32,20008)</f>
        <v>20008</v>
      </c>
      <c r="C138" t="s">
        <v>618</v>
      </c>
      <c r="D138" t="s">
        <v>619</v>
      </c>
      <c r="E138" t="s">
        <v>620</v>
      </c>
      <c r="F138" t="s">
        <v>621</v>
      </c>
      <c r="G138" t="s">
        <v>631</v>
      </c>
      <c r="H138" t="s">
        <v>632</v>
      </c>
      <c r="I138" t="s">
        <v>624</v>
      </c>
      <c r="J138" t="s">
        <v>642</v>
      </c>
      <c r="K138" t="s">
        <v>68</v>
      </c>
      <c r="L138" s="5">
        <v>43206.11409722222</v>
      </c>
      <c r="N138" s="2">
        <f>HYPERLINK(URLs!B36 &amp; 112353,112353)</f>
        <v>112353</v>
      </c>
      <c r="O138" t="s">
        <v>637</v>
      </c>
      <c r="P138" t="s">
        <v>621</v>
      </c>
      <c r="Q138" t="s">
        <v>4510</v>
      </c>
      <c r="R138" t="s">
        <v>67</v>
      </c>
      <c r="T138" t="s">
        <v>4171</v>
      </c>
      <c r="U138" t="s">
        <v>35</v>
      </c>
      <c r="V138" t="s">
        <v>35</v>
      </c>
      <c r="Z138" t="s">
        <v>73</v>
      </c>
      <c r="AC138" s="2"/>
      <c r="AJ138" s="2"/>
      <c r="AR138" s="2"/>
    </row>
    <row r="139" spans="1:65" hidden="1" x14ac:dyDescent="0.25">
      <c r="A139" s="2"/>
      <c r="B139" s="2">
        <f>HYPERLINK(URLs!B30 &amp; 19992 &amp; URLs!B32,19992)</f>
        <v>19992</v>
      </c>
      <c r="C139" t="s">
        <v>618</v>
      </c>
      <c r="D139" t="s">
        <v>619</v>
      </c>
      <c r="E139" t="s">
        <v>850</v>
      </c>
      <c r="F139" t="s">
        <v>621</v>
      </c>
      <c r="G139" t="s">
        <v>855</v>
      </c>
      <c r="H139" t="s">
        <v>856</v>
      </c>
      <c r="I139" t="s">
        <v>624</v>
      </c>
      <c r="J139" t="s">
        <v>625</v>
      </c>
      <c r="L139" s="5">
        <v>43202.123680555553</v>
      </c>
      <c r="N139" s="2">
        <f>HYPERLINK(URLs!B36 &amp; 113294,113294)</f>
        <v>113294</v>
      </c>
      <c r="O139" t="s">
        <v>637</v>
      </c>
      <c r="P139" t="s">
        <v>621</v>
      </c>
      <c r="Q139" t="s">
        <v>4511</v>
      </c>
      <c r="W139">
        <v>1</v>
      </c>
      <c r="X139">
        <v>1</v>
      </c>
      <c r="AC139" s="2"/>
      <c r="AJ139" s="2"/>
      <c r="AR139" s="2"/>
      <c r="BM139" s="1"/>
    </row>
    <row r="140" spans="1:65" x14ac:dyDescent="0.25">
      <c r="A140" s="2">
        <f>HYPERLINK(URLs!B36 &amp; 112236,112236)</f>
        <v>112236</v>
      </c>
      <c r="B140" s="2">
        <f>HYPERLINK(URLs!B30 &amp; 19991 &amp; URLs!B32,19991)</f>
        <v>19991</v>
      </c>
      <c r="C140" t="s">
        <v>618</v>
      </c>
      <c r="D140" t="s">
        <v>619</v>
      </c>
      <c r="E140" t="s">
        <v>620</v>
      </c>
      <c r="F140" t="s">
        <v>621</v>
      </c>
      <c r="G140" t="s">
        <v>622</v>
      </c>
      <c r="H140" t="s">
        <v>623</v>
      </c>
      <c r="I140" t="s">
        <v>624</v>
      </c>
      <c r="J140" t="s">
        <v>625</v>
      </c>
      <c r="K140" t="s">
        <v>31</v>
      </c>
      <c r="L140" s="5">
        <v>43201.566655092596</v>
      </c>
      <c r="N140" s="2">
        <f>HYPERLINK(URLs!B36 &amp; 112240,112240)</f>
        <v>112240</v>
      </c>
      <c r="O140" t="s">
        <v>637</v>
      </c>
      <c r="P140" t="s">
        <v>621</v>
      </c>
      <c r="Q140" t="s">
        <v>4589</v>
      </c>
      <c r="R140" t="s">
        <v>305</v>
      </c>
      <c r="S140" t="s">
        <v>337</v>
      </c>
      <c r="T140" t="s">
        <v>4670</v>
      </c>
      <c r="U140" t="s">
        <v>35</v>
      </c>
      <c r="V140" t="s">
        <v>321</v>
      </c>
      <c r="Z140" t="s">
        <v>73</v>
      </c>
      <c r="AC140" s="2"/>
      <c r="AH140" s="1"/>
      <c r="AJ140" s="2"/>
      <c r="AR140" s="2"/>
      <c r="AW140" s="1"/>
    </row>
    <row r="141" spans="1:65" hidden="1" x14ac:dyDescent="0.25">
      <c r="A141" s="2"/>
      <c r="B141" s="2">
        <f>HYPERLINK(URLs!B30 &amp; 19985 &amp; URLs!B32,19985)</f>
        <v>19985</v>
      </c>
      <c r="C141" t="s">
        <v>633</v>
      </c>
      <c r="D141" t="s">
        <v>619</v>
      </c>
      <c r="E141" t="s">
        <v>850</v>
      </c>
      <c r="F141" t="s">
        <v>892</v>
      </c>
      <c r="G141" t="s">
        <v>886</v>
      </c>
      <c r="H141" t="s">
        <v>887</v>
      </c>
      <c r="I141" t="s">
        <v>624</v>
      </c>
      <c r="J141" t="s">
        <v>642</v>
      </c>
      <c r="L141" s="5">
        <v>43200.642777777779</v>
      </c>
      <c r="M141" s="5">
        <v>43304.40184027778</v>
      </c>
      <c r="N141" s="2">
        <f>HYPERLINK(URLs!B36 &amp; 110793,110793)</f>
        <v>110793</v>
      </c>
      <c r="O141" t="s">
        <v>645</v>
      </c>
      <c r="P141" t="s">
        <v>621</v>
      </c>
      <c r="Q141" t="s">
        <v>4512</v>
      </c>
      <c r="AC141" s="2"/>
      <c r="AJ141" s="2"/>
      <c r="AR141" s="2"/>
      <c r="BM141" s="1"/>
    </row>
    <row r="142" spans="1:65" hidden="1" x14ac:dyDescent="0.25">
      <c r="A142" s="2">
        <f>HYPERLINK(URLs!B36 &amp; 112206,112206)</f>
        <v>112206</v>
      </c>
      <c r="B142" s="2">
        <f>HYPERLINK(URLs!B30 &amp; 19984 &amp; URLs!B32,19984)</f>
        <v>19984</v>
      </c>
      <c r="C142" t="s">
        <v>641</v>
      </c>
      <c r="D142" t="s">
        <v>619</v>
      </c>
      <c r="E142" t="s">
        <v>620</v>
      </c>
      <c r="F142" t="s">
        <v>621</v>
      </c>
      <c r="G142" t="s">
        <v>622</v>
      </c>
      <c r="H142" t="s">
        <v>623</v>
      </c>
      <c r="I142" t="s">
        <v>624</v>
      </c>
      <c r="J142" t="s">
        <v>629</v>
      </c>
      <c r="K142" t="s">
        <v>68</v>
      </c>
      <c r="L142" s="5">
        <v>43200.624155092592</v>
      </c>
      <c r="N142" s="2">
        <f>HYPERLINK(URLs!B36 &amp; 112206,112206)</f>
        <v>112206</v>
      </c>
      <c r="O142" t="s">
        <v>1360</v>
      </c>
      <c r="P142" t="s">
        <v>621</v>
      </c>
      <c r="Q142" t="s">
        <v>4590</v>
      </c>
      <c r="R142" t="s">
        <v>319</v>
      </c>
      <c r="S142" t="s">
        <v>304</v>
      </c>
      <c r="T142" t="s">
        <v>4171</v>
      </c>
      <c r="U142" t="s">
        <v>4830</v>
      </c>
      <c r="V142" t="s">
        <v>35</v>
      </c>
      <c r="Z142" t="s">
        <v>73</v>
      </c>
      <c r="AC142" s="2"/>
      <c r="AH142" s="1"/>
      <c r="AJ142" s="2"/>
      <c r="AR142" s="2"/>
      <c r="AW142" s="1"/>
      <c r="BM142" s="1"/>
    </row>
    <row r="143" spans="1:65" hidden="1" x14ac:dyDescent="0.25">
      <c r="A143" s="2"/>
      <c r="B143" s="2">
        <f>HYPERLINK(URLs!B30 &amp; 19976 &amp; URLs!B32,19976)</f>
        <v>19976</v>
      </c>
      <c r="C143" t="s">
        <v>665</v>
      </c>
      <c r="D143" t="s">
        <v>619</v>
      </c>
      <c r="E143" t="s">
        <v>850</v>
      </c>
      <c r="F143" t="s">
        <v>621</v>
      </c>
      <c r="G143" t="s">
        <v>858</v>
      </c>
      <c r="H143" t="s">
        <v>859</v>
      </c>
      <c r="I143" t="s">
        <v>624</v>
      </c>
      <c r="J143" t="s">
        <v>642</v>
      </c>
      <c r="L143" s="5">
        <v>43199.451631944445</v>
      </c>
      <c r="M143" s="5">
        <v>43209.626388888886</v>
      </c>
      <c r="N143" s="2">
        <f>HYPERLINK(URLs!B36 &amp; 111841,111841)</f>
        <v>111841</v>
      </c>
      <c r="O143" t="s">
        <v>636</v>
      </c>
      <c r="P143" t="s">
        <v>621</v>
      </c>
      <c r="Q143" t="s">
        <v>4513</v>
      </c>
      <c r="W143">
        <v>1</v>
      </c>
      <c r="AC143" s="2"/>
      <c r="AH143" s="1"/>
      <c r="AJ143" s="2"/>
      <c r="AR143" s="2"/>
      <c r="AW143" s="1"/>
    </row>
    <row r="144" spans="1:65" hidden="1" x14ac:dyDescent="0.25">
      <c r="A144" s="2"/>
      <c r="B144" s="2">
        <f>HYPERLINK(URLs!B30 &amp; 19973 &amp; URLs!B32,19973)</f>
        <v>19973</v>
      </c>
      <c r="C144" t="s">
        <v>641</v>
      </c>
      <c r="D144" t="s">
        <v>619</v>
      </c>
      <c r="E144" t="s">
        <v>850</v>
      </c>
      <c r="F144" t="s">
        <v>621</v>
      </c>
      <c r="G144" t="s">
        <v>886</v>
      </c>
      <c r="H144" t="s">
        <v>887</v>
      </c>
      <c r="I144" t="s">
        <v>624</v>
      </c>
      <c r="J144" t="s">
        <v>629</v>
      </c>
      <c r="L144" s="5">
        <v>43199.387349537035</v>
      </c>
      <c r="N144" s="2">
        <f>HYPERLINK(URLs!B36 &amp; 112106,112106)</f>
        <v>112106</v>
      </c>
      <c r="O144" t="s">
        <v>640</v>
      </c>
      <c r="P144" t="s">
        <v>621</v>
      </c>
      <c r="Q144" t="s">
        <v>4514</v>
      </c>
      <c r="W144">
        <v>1</v>
      </c>
      <c r="AC144" s="2"/>
      <c r="AJ144" s="2"/>
      <c r="AR144" s="2"/>
      <c r="BM144" s="1"/>
    </row>
    <row r="145" spans="1:65" hidden="1" x14ac:dyDescent="0.25">
      <c r="A145" s="2"/>
      <c r="B145" s="2">
        <f>HYPERLINK(URLs!B30 &amp; 19968 &amp; URLs!B32,19968)</f>
        <v>19968</v>
      </c>
      <c r="C145" t="s">
        <v>633</v>
      </c>
      <c r="D145" t="s">
        <v>619</v>
      </c>
      <c r="E145" t="s">
        <v>850</v>
      </c>
      <c r="F145" t="s">
        <v>621</v>
      </c>
      <c r="G145" t="s">
        <v>855</v>
      </c>
      <c r="H145" t="s">
        <v>856</v>
      </c>
      <c r="I145" t="s">
        <v>624</v>
      </c>
      <c r="J145" t="s">
        <v>642</v>
      </c>
      <c r="L145" s="5">
        <v>43199.172627314816</v>
      </c>
      <c r="M145" s="5">
        <v>43235.257465277777</v>
      </c>
      <c r="N145" s="2">
        <f>HYPERLINK(URLs!B36 &amp; 108584,108584)</f>
        <v>108584</v>
      </c>
      <c r="O145" t="s">
        <v>645</v>
      </c>
      <c r="P145" t="s">
        <v>621</v>
      </c>
      <c r="Q145" t="s">
        <v>4515</v>
      </c>
      <c r="W145">
        <v>1</v>
      </c>
      <c r="AC145" s="2"/>
      <c r="AH145" s="1"/>
      <c r="AJ145" s="2"/>
      <c r="AR145" s="2"/>
      <c r="AW145" s="1"/>
    </row>
    <row r="146" spans="1:65" hidden="1" x14ac:dyDescent="0.25">
      <c r="A146" s="2"/>
      <c r="B146" s="2">
        <f>HYPERLINK(URLs!B30 &amp; 19962 &amp; URLs!B32,19962)</f>
        <v>19962</v>
      </c>
      <c r="C146" t="s">
        <v>633</v>
      </c>
      <c r="D146" t="s">
        <v>619</v>
      </c>
      <c r="E146" t="s">
        <v>620</v>
      </c>
      <c r="F146" t="s">
        <v>621</v>
      </c>
      <c r="G146" t="s">
        <v>622</v>
      </c>
      <c r="H146" t="s">
        <v>623</v>
      </c>
      <c r="I146" t="s">
        <v>624</v>
      </c>
      <c r="J146" t="s">
        <v>625</v>
      </c>
      <c r="L146" s="5">
        <v>43196.447685185187</v>
      </c>
      <c r="M146" s="5">
        <v>43287.606168981481</v>
      </c>
      <c r="N146" s="2">
        <f>HYPERLINK(URLs!B37 &amp; 200909,200909)</f>
        <v>200909</v>
      </c>
      <c r="O146" t="s">
        <v>636</v>
      </c>
      <c r="P146" t="s">
        <v>621</v>
      </c>
      <c r="Q146" t="s">
        <v>4516</v>
      </c>
      <c r="R146" t="s">
        <v>319</v>
      </c>
      <c r="AC146" s="2"/>
      <c r="AJ146" s="2"/>
      <c r="AR146" s="2"/>
      <c r="BM146" s="1"/>
    </row>
    <row r="147" spans="1:65" hidden="1" x14ac:dyDescent="0.25">
      <c r="A147" s="2">
        <f>HYPERLINK(URLs!B36 &amp; 111958,111958)</f>
        <v>111958</v>
      </c>
      <c r="B147" s="2">
        <f>HYPERLINK(URLs!B30 &amp; 19941 &amp; URLs!B32,19941)</f>
        <v>19941</v>
      </c>
      <c r="C147" t="s">
        <v>633</v>
      </c>
      <c r="D147" t="s">
        <v>619</v>
      </c>
      <c r="E147" t="s">
        <v>620</v>
      </c>
      <c r="F147" t="s">
        <v>621</v>
      </c>
      <c r="G147" t="s">
        <v>622</v>
      </c>
      <c r="H147" t="s">
        <v>623</v>
      </c>
      <c r="I147" t="s">
        <v>624</v>
      </c>
      <c r="J147" t="s">
        <v>625</v>
      </c>
      <c r="K147" t="s">
        <v>31</v>
      </c>
      <c r="L147" s="5">
        <v>43193.461504629631</v>
      </c>
      <c r="M147" s="5">
        <v>43301.736377314817</v>
      </c>
      <c r="N147" s="2">
        <f>HYPERLINK(URLs!B36 &amp; 111958,111958)</f>
        <v>111958</v>
      </c>
      <c r="O147" t="s">
        <v>636</v>
      </c>
      <c r="P147" t="s">
        <v>621</v>
      </c>
      <c r="Q147" t="s">
        <v>4591</v>
      </c>
      <c r="R147" t="s">
        <v>319</v>
      </c>
      <c r="S147" t="s">
        <v>304</v>
      </c>
      <c r="T147" t="s">
        <v>190</v>
      </c>
      <c r="U147" t="s">
        <v>35</v>
      </c>
      <c r="V147" t="s">
        <v>321</v>
      </c>
      <c r="W147">
        <v>1</v>
      </c>
      <c r="Z147" t="s">
        <v>52</v>
      </c>
      <c r="AC147" s="2"/>
      <c r="AH147" s="1"/>
      <c r="AJ147" s="2"/>
      <c r="AR147" s="2"/>
      <c r="AW147" s="1"/>
      <c r="BM147" s="1"/>
    </row>
    <row r="148" spans="1:65" hidden="1" x14ac:dyDescent="0.25">
      <c r="A148" s="2">
        <f>HYPERLINK(URLs!B36 &amp; 111871,111871)</f>
        <v>111871</v>
      </c>
      <c r="B148" s="2">
        <f>HYPERLINK(URLs!B30 &amp; 19931 &amp; URLs!B32,19931)</f>
        <v>19931</v>
      </c>
      <c r="C148" t="s">
        <v>641</v>
      </c>
      <c r="D148" t="s">
        <v>619</v>
      </c>
      <c r="E148" t="s">
        <v>620</v>
      </c>
      <c r="F148" t="s">
        <v>621</v>
      </c>
      <c r="G148" t="s">
        <v>622</v>
      </c>
      <c r="H148" t="s">
        <v>623</v>
      </c>
      <c r="I148" t="s">
        <v>624</v>
      </c>
      <c r="J148" t="s">
        <v>625</v>
      </c>
      <c r="K148" t="s">
        <v>68</v>
      </c>
      <c r="L148" s="5">
        <v>43189.57472222222</v>
      </c>
      <c r="N148" s="2">
        <f>HYPERLINK(URLs!B36 &amp; 111875,111875)</f>
        <v>111875</v>
      </c>
      <c r="O148" t="s">
        <v>640</v>
      </c>
      <c r="P148" t="s">
        <v>621</v>
      </c>
      <c r="Q148" t="s">
        <v>4592</v>
      </c>
      <c r="R148" t="s">
        <v>305</v>
      </c>
      <c r="S148" t="s">
        <v>304</v>
      </c>
      <c r="T148" t="s">
        <v>4143</v>
      </c>
      <c r="U148" t="s">
        <v>35</v>
      </c>
      <c r="V148" t="s">
        <v>35</v>
      </c>
      <c r="Z148" t="s">
        <v>34</v>
      </c>
      <c r="AC148" s="2"/>
      <c r="AH148" s="1"/>
      <c r="AI148" s="2"/>
      <c r="AJ148" s="2"/>
      <c r="AR148" s="2"/>
      <c r="AW148" s="1"/>
      <c r="BM148" s="1"/>
    </row>
    <row r="149" spans="1:65" hidden="1" x14ac:dyDescent="0.25">
      <c r="A149" s="2">
        <f>HYPERLINK(URLs!B36 &amp; 111857,111857)</f>
        <v>111857</v>
      </c>
      <c r="B149" s="2">
        <f>HYPERLINK(URLs!B30 &amp; 19920 &amp; URLs!B32,19920)</f>
        <v>19920</v>
      </c>
      <c r="C149" t="s">
        <v>618</v>
      </c>
      <c r="D149" t="s">
        <v>619</v>
      </c>
      <c r="E149" t="s">
        <v>620</v>
      </c>
      <c r="F149" t="s">
        <v>621</v>
      </c>
      <c r="G149" t="s">
        <v>643</v>
      </c>
      <c r="H149" t="s">
        <v>644</v>
      </c>
      <c r="I149" t="s">
        <v>624</v>
      </c>
      <c r="J149" t="s">
        <v>625</v>
      </c>
      <c r="K149" t="s">
        <v>31</v>
      </c>
      <c r="L149" s="5">
        <v>43188.658680555556</v>
      </c>
      <c r="N149" s="2">
        <f>HYPERLINK(URLs!B36 &amp; 111859,111859)</f>
        <v>111859</v>
      </c>
      <c r="O149" t="s">
        <v>640</v>
      </c>
      <c r="P149" t="s">
        <v>621</v>
      </c>
      <c r="Q149" t="s">
        <v>4593</v>
      </c>
      <c r="R149" t="s">
        <v>305</v>
      </c>
      <c r="S149" t="s">
        <v>304</v>
      </c>
      <c r="T149" t="s">
        <v>4171</v>
      </c>
      <c r="U149" t="s">
        <v>4391</v>
      </c>
      <c r="V149" t="s">
        <v>35</v>
      </c>
      <c r="Z149" t="s">
        <v>380</v>
      </c>
      <c r="AC149" s="2"/>
      <c r="AH149" s="1"/>
      <c r="AJ149" s="2"/>
      <c r="AR149" s="2"/>
      <c r="AW149" s="1"/>
    </row>
    <row r="150" spans="1:65" hidden="1" x14ac:dyDescent="0.25">
      <c r="A150" s="2"/>
      <c r="B150" s="2">
        <f>HYPERLINK(URLs!B30 &amp; 19900 &amp; URLs!B32,19900)</f>
        <v>19900</v>
      </c>
      <c r="C150" t="s">
        <v>665</v>
      </c>
      <c r="D150" t="s">
        <v>619</v>
      </c>
      <c r="E150" t="s">
        <v>850</v>
      </c>
      <c r="F150" t="s">
        <v>621</v>
      </c>
      <c r="G150" t="s">
        <v>855</v>
      </c>
      <c r="H150" t="s">
        <v>856</v>
      </c>
      <c r="I150" t="s">
        <v>624</v>
      </c>
      <c r="J150" t="s">
        <v>642</v>
      </c>
      <c r="L150" s="5">
        <v>43186.207071759258</v>
      </c>
      <c r="M150" s="5">
        <v>43332.366666666669</v>
      </c>
      <c r="N150" s="2">
        <f>HYPERLINK(URLs!B36 &amp; 98789,98789)</f>
        <v>98789</v>
      </c>
      <c r="O150" t="s">
        <v>636</v>
      </c>
      <c r="P150" t="s">
        <v>621</v>
      </c>
      <c r="Q150" t="s">
        <v>4517</v>
      </c>
      <c r="AC150" s="2"/>
      <c r="AJ150" s="2"/>
      <c r="AR150" s="2"/>
      <c r="BM150" s="1"/>
    </row>
    <row r="151" spans="1:65" hidden="1" x14ac:dyDescent="0.25">
      <c r="A151" s="2">
        <f>HYPERLINK(URLs!B36 &amp; 111641,111641)</f>
        <v>111641</v>
      </c>
      <c r="B151" s="2">
        <f>HYPERLINK(URLs!B30 &amp; 19892 &amp; URLs!B32,19892)</f>
        <v>19892</v>
      </c>
      <c r="C151" t="s">
        <v>665</v>
      </c>
      <c r="D151" t="s">
        <v>619</v>
      </c>
      <c r="E151" t="s">
        <v>620</v>
      </c>
      <c r="F151" t="s">
        <v>621</v>
      </c>
      <c r="G151" t="s">
        <v>622</v>
      </c>
      <c r="H151" t="s">
        <v>623</v>
      </c>
      <c r="I151" t="s">
        <v>624</v>
      </c>
      <c r="J151" t="s">
        <v>625</v>
      </c>
      <c r="K151" t="s">
        <v>31</v>
      </c>
      <c r="L151" s="5">
        <v>43185.391284722224</v>
      </c>
      <c r="M151" s="5">
        <v>43287.68472222222</v>
      </c>
      <c r="N151" s="2">
        <f>HYPERLINK(URLs!B36 &amp; 111641,111641)</f>
        <v>111641</v>
      </c>
      <c r="O151" t="s">
        <v>636</v>
      </c>
      <c r="P151" t="s">
        <v>621</v>
      </c>
      <c r="Q151" t="s">
        <v>4594</v>
      </c>
      <c r="R151" t="s">
        <v>305</v>
      </c>
      <c r="S151" t="s">
        <v>337</v>
      </c>
      <c r="T151" t="s">
        <v>307</v>
      </c>
      <c r="U151" t="s">
        <v>35</v>
      </c>
      <c r="V151" t="s">
        <v>321</v>
      </c>
      <c r="Z151" t="s">
        <v>96</v>
      </c>
      <c r="AC151" s="2"/>
      <c r="AH151" s="1"/>
      <c r="AJ151" s="2"/>
      <c r="AR151" s="2"/>
      <c r="AW151" s="1"/>
    </row>
    <row r="152" spans="1:65" hidden="1" x14ac:dyDescent="0.25">
      <c r="A152" s="2"/>
      <c r="B152" s="2">
        <f>HYPERLINK(URLs!B30 &amp; 19870 &amp; URLs!B32,19870)</f>
        <v>19870</v>
      </c>
      <c r="C152" t="s">
        <v>665</v>
      </c>
      <c r="D152" t="s">
        <v>619</v>
      </c>
      <c r="E152" t="s">
        <v>850</v>
      </c>
      <c r="F152" t="s">
        <v>621</v>
      </c>
      <c r="G152" t="s">
        <v>886</v>
      </c>
      <c r="H152" t="s">
        <v>887</v>
      </c>
      <c r="I152" t="s">
        <v>624</v>
      </c>
      <c r="J152" t="s">
        <v>625</v>
      </c>
      <c r="L152" s="5">
        <v>43181.449074074073</v>
      </c>
      <c r="M152" s="5">
        <v>43398.710416666669</v>
      </c>
      <c r="N152" s="2">
        <f>HYPERLINK(URLs!B36 &amp; 113976,113976)</f>
        <v>113976</v>
      </c>
      <c r="O152" t="s">
        <v>636</v>
      </c>
      <c r="P152" t="s">
        <v>621</v>
      </c>
      <c r="Q152" t="s">
        <v>4518</v>
      </c>
      <c r="R152" t="s">
        <v>319</v>
      </c>
      <c r="AC152" s="2"/>
      <c r="AJ152" s="2"/>
      <c r="AR152" s="2"/>
      <c r="BM152" s="1"/>
    </row>
    <row r="153" spans="1:65" hidden="1" x14ac:dyDescent="0.25">
      <c r="A153" s="2"/>
      <c r="B153" s="2">
        <f>HYPERLINK(URLs!B30 &amp; 19868 &amp; URLs!B32,19868)</f>
        <v>19868</v>
      </c>
      <c r="C153" t="s">
        <v>633</v>
      </c>
      <c r="D153" t="s">
        <v>619</v>
      </c>
      <c r="E153" t="s">
        <v>850</v>
      </c>
      <c r="F153" t="s">
        <v>621</v>
      </c>
      <c r="G153" t="s">
        <v>889</v>
      </c>
      <c r="H153" t="s">
        <v>890</v>
      </c>
      <c r="I153" t="s">
        <v>624</v>
      </c>
      <c r="J153" t="s">
        <v>642</v>
      </c>
      <c r="L153" s="5">
        <v>43181.400520833333</v>
      </c>
      <c r="M153" s="5">
        <v>43185.629571759258</v>
      </c>
      <c r="N153" s="2">
        <f>HYPERLINK(URLs!B36 &amp; 107588,107588)</f>
        <v>107588</v>
      </c>
      <c r="O153" t="s">
        <v>636</v>
      </c>
      <c r="P153" t="s">
        <v>621</v>
      </c>
      <c r="Q153" t="s">
        <v>4519</v>
      </c>
      <c r="AC153" s="2"/>
      <c r="AH153" s="1"/>
      <c r="AJ153" s="2"/>
      <c r="AR153" s="2"/>
      <c r="AW153" s="1"/>
      <c r="BM153" s="1"/>
    </row>
    <row r="154" spans="1:65" hidden="1" x14ac:dyDescent="0.25">
      <c r="A154" s="2"/>
      <c r="B154" s="2">
        <f>HYPERLINK(URLs!B30 &amp; 19858 &amp; URLs!B32,19858)</f>
        <v>19858</v>
      </c>
      <c r="C154" t="s">
        <v>665</v>
      </c>
      <c r="D154" t="s">
        <v>619</v>
      </c>
      <c r="E154" t="s">
        <v>850</v>
      </c>
      <c r="F154" t="s">
        <v>621</v>
      </c>
      <c r="G154" t="s">
        <v>886</v>
      </c>
      <c r="H154" t="s">
        <v>887</v>
      </c>
      <c r="I154" t="s">
        <v>624</v>
      </c>
      <c r="J154" t="s">
        <v>625</v>
      </c>
      <c r="L154" s="5">
        <v>43180.331354166665</v>
      </c>
      <c r="M154" s="5">
        <v>43354.677777777775</v>
      </c>
      <c r="N154" s="2">
        <f>HYPERLINK(URLs!B36 &amp; 111525,111525)</f>
        <v>111525</v>
      </c>
      <c r="O154" t="s">
        <v>636</v>
      </c>
      <c r="P154" t="s">
        <v>621</v>
      </c>
      <c r="Q154" t="s">
        <v>4520</v>
      </c>
      <c r="AC154" s="2"/>
      <c r="AH154" s="1"/>
      <c r="AJ154" s="2"/>
      <c r="AR154" s="2"/>
      <c r="AW154" s="1"/>
      <c r="BM154" s="1"/>
    </row>
    <row r="155" spans="1:65" hidden="1" x14ac:dyDescent="0.25">
      <c r="A155" s="2">
        <f>HYPERLINK(URLs!B36 &amp; 111459,111459)</f>
        <v>111459</v>
      </c>
      <c r="B155" s="2">
        <f>HYPERLINK(URLs!B30 &amp; 19849 &amp; URLs!B32,19849)</f>
        <v>19849</v>
      </c>
      <c r="C155" t="s">
        <v>641</v>
      </c>
      <c r="D155" t="s">
        <v>619</v>
      </c>
      <c r="E155" t="s">
        <v>620</v>
      </c>
      <c r="F155" t="s">
        <v>621</v>
      </c>
      <c r="G155" t="s">
        <v>622</v>
      </c>
      <c r="H155" t="s">
        <v>623</v>
      </c>
      <c r="I155" t="s">
        <v>624</v>
      </c>
      <c r="J155" t="s">
        <v>629</v>
      </c>
      <c r="K155" t="s">
        <v>31</v>
      </c>
      <c r="L155" s="5">
        <v>43179.65865740741</v>
      </c>
      <c r="N155" s="2">
        <f>HYPERLINK(URLs!B36 &amp; 113543,113543)</f>
        <v>113543</v>
      </c>
      <c r="O155" t="s">
        <v>640</v>
      </c>
      <c r="P155" t="s">
        <v>621</v>
      </c>
      <c r="Q155" t="s">
        <v>4595</v>
      </c>
      <c r="R155" t="s">
        <v>305</v>
      </c>
      <c r="S155" t="s">
        <v>304</v>
      </c>
      <c r="T155" t="s">
        <v>4707</v>
      </c>
      <c r="U155" t="s">
        <v>4669</v>
      </c>
      <c r="V155" t="s">
        <v>321</v>
      </c>
      <c r="Z155" t="s">
        <v>73</v>
      </c>
      <c r="AC155" s="2"/>
      <c r="AH155" s="1"/>
      <c r="AJ155" s="2"/>
      <c r="AR155" s="2"/>
      <c r="AW155" s="1"/>
      <c r="BM155" s="1"/>
    </row>
    <row r="156" spans="1:65" hidden="1" x14ac:dyDescent="0.25">
      <c r="A156" s="2"/>
      <c r="B156" s="2">
        <f>HYPERLINK(URLs!B30 &amp; 19847 &amp; URLs!B32,19847)</f>
        <v>19847</v>
      </c>
      <c r="C156" t="s">
        <v>618</v>
      </c>
      <c r="D156" t="s">
        <v>619</v>
      </c>
      <c r="E156" t="s">
        <v>850</v>
      </c>
      <c r="F156" t="s">
        <v>621</v>
      </c>
      <c r="G156" t="s">
        <v>858</v>
      </c>
      <c r="H156" t="s">
        <v>859</v>
      </c>
      <c r="I156" t="s">
        <v>624</v>
      </c>
      <c r="J156" t="s">
        <v>642</v>
      </c>
      <c r="L156" s="5">
        <v>43179.536238425928</v>
      </c>
      <c r="N156" s="2">
        <f>HYPERLINK(URLs!B36 &amp; 111426,111426)</f>
        <v>111426</v>
      </c>
      <c r="O156" t="s">
        <v>637</v>
      </c>
      <c r="P156" t="s">
        <v>621</v>
      </c>
      <c r="Q156" t="s">
        <v>4521</v>
      </c>
      <c r="AC156" s="2"/>
      <c r="AH156" s="1"/>
      <c r="AJ156" s="2"/>
      <c r="AR156" s="2"/>
      <c r="AW156" s="1"/>
      <c r="BM156" s="1"/>
    </row>
    <row r="157" spans="1:65" hidden="1" x14ac:dyDescent="0.25">
      <c r="A157" s="2"/>
      <c r="B157" s="2">
        <f>HYPERLINK(URLs!B30 &amp; 19828 &amp; URLs!B32,19828)</f>
        <v>19828</v>
      </c>
      <c r="C157" t="s">
        <v>665</v>
      </c>
      <c r="D157" t="s">
        <v>619</v>
      </c>
      <c r="E157" t="s">
        <v>850</v>
      </c>
      <c r="F157" t="s">
        <v>621</v>
      </c>
      <c r="G157" t="s">
        <v>855</v>
      </c>
      <c r="H157" t="s">
        <v>856</v>
      </c>
      <c r="I157" t="s">
        <v>624</v>
      </c>
      <c r="J157" t="s">
        <v>625</v>
      </c>
      <c r="L157" s="5">
        <v>43175.316238425927</v>
      </c>
      <c r="M157" s="5">
        <v>43332.365277777775</v>
      </c>
      <c r="N157" s="2">
        <f>HYPERLINK(URLs!B36 &amp; 111245,111245)</f>
        <v>111245</v>
      </c>
      <c r="O157" t="s">
        <v>636</v>
      </c>
      <c r="P157" t="s">
        <v>621</v>
      </c>
      <c r="Q157" t="s">
        <v>4522</v>
      </c>
      <c r="AC157" s="2"/>
      <c r="AH157" s="1"/>
      <c r="AJ157" s="2"/>
      <c r="AR157" s="2"/>
      <c r="AW157" s="1"/>
    </row>
    <row r="158" spans="1:65" hidden="1" x14ac:dyDescent="0.25">
      <c r="A158" s="2"/>
      <c r="B158" s="2">
        <f>HYPERLINK(URLs!B30 &amp; 19811 &amp; URLs!B32,19811)</f>
        <v>19811</v>
      </c>
      <c r="C158" t="s">
        <v>641</v>
      </c>
      <c r="D158" t="s">
        <v>619</v>
      </c>
      <c r="E158" t="s">
        <v>850</v>
      </c>
      <c r="F158" t="s">
        <v>621</v>
      </c>
      <c r="G158" t="s">
        <v>855</v>
      </c>
      <c r="H158" t="s">
        <v>856</v>
      </c>
      <c r="I158" t="s">
        <v>624</v>
      </c>
      <c r="J158" t="s">
        <v>625</v>
      </c>
      <c r="L158" s="5">
        <v>43173.36917824074</v>
      </c>
      <c r="N158" s="2">
        <f>HYPERLINK(URLs!B36 &amp; 110037,110037)</f>
        <v>110037</v>
      </c>
      <c r="O158" t="s">
        <v>637</v>
      </c>
      <c r="P158" t="s">
        <v>621</v>
      </c>
      <c r="Q158" t="s">
        <v>4523</v>
      </c>
      <c r="W158">
        <v>1</v>
      </c>
      <c r="AC158" s="2"/>
      <c r="AJ158" s="2"/>
      <c r="AR158" s="2"/>
      <c r="BM158" s="1"/>
    </row>
    <row r="159" spans="1:65" hidden="1" x14ac:dyDescent="0.25">
      <c r="A159" s="2">
        <f>HYPERLINK(URLs!B36 &amp; 111173,111173)</f>
        <v>111173</v>
      </c>
      <c r="B159" s="2">
        <f>HYPERLINK(URLs!B30 &amp; 19803 &amp; URLs!B32,19803)</f>
        <v>19803</v>
      </c>
      <c r="C159" t="s">
        <v>618</v>
      </c>
      <c r="D159" t="s">
        <v>619</v>
      </c>
      <c r="E159" t="s">
        <v>620</v>
      </c>
      <c r="F159" t="s">
        <v>621</v>
      </c>
      <c r="G159" t="s">
        <v>622</v>
      </c>
      <c r="H159" t="s">
        <v>623</v>
      </c>
      <c r="I159" t="s">
        <v>624</v>
      </c>
      <c r="J159" t="s">
        <v>625</v>
      </c>
      <c r="K159" t="s">
        <v>31</v>
      </c>
      <c r="L159" s="5">
        <v>43171.6484375</v>
      </c>
      <c r="N159" s="2">
        <f>HYPERLINK(URLs!B36 &amp; 111173,111173)</f>
        <v>111173</v>
      </c>
      <c r="O159" t="s">
        <v>1360</v>
      </c>
      <c r="P159" t="s">
        <v>621</v>
      </c>
      <c r="Q159" t="s">
        <v>4596</v>
      </c>
      <c r="R159" t="s">
        <v>319</v>
      </c>
      <c r="S159" t="s">
        <v>304</v>
      </c>
      <c r="T159" t="s">
        <v>4171</v>
      </c>
      <c r="U159" t="s">
        <v>35</v>
      </c>
      <c r="V159" t="s">
        <v>321</v>
      </c>
      <c r="W159">
        <v>1</v>
      </c>
      <c r="Z159" t="s">
        <v>195</v>
      </c>
      <c r="AC159" s="2"/>
      <c r="AH159" s="1"/>
      <c r="AJ159" s="2"/>
      <c r="AR159" s="2"/>
      <c r="AW159" s="1"/>
      <c r="BM159" s="1"/>
    </row>
    <row r="160" spans="1:65" hidden="1" x14ac:dyDescent="0.25">
      <c r="A160" s="2"/>
      <c r="B160" s="2">
        <f>HYPERLINK(URLs!B30 &amp; 19783 &amp; URLs!B32,19783)</f>
        <v>19783</v>
      </c>
      <c r="C160" t="s">
        <v>665</v>
      </c>
      <c r="D160" t="s">
        <v>619</v>
      </c>
      <c r="E160" t="s">
        <v>850</v>
      </c>
      <c r="F160" t="s">
        <v>621</v>
      </c>
      <c r="G160" t="s">
        <v>886</v>
      </c>
      <c r="H160" t="s">
        <v>887</v>
      </c>
      <c r="I160" t="s">
        <v>624</v>
      </c>
      <c r="J160" t="s">
        <v>625</v>
      </c>
      <c r="L160" s="5">
        <v>43168.430763888886</v>
      </c>
      <c r="M160" s="5">
        <v>43398.707638888889</v>
      </c>
      <c r="N160" s="2">
        <f>HYPERLINK(URLs!B36 &amp; 106559,106559)</f>
        <v>106559</v>
      </c>
      <c r="O160" t="s">
        <v>636</v>
      </c>
      <c r="P160" t="s">
        <v>621</v>
      </c>
      <c r="Q160" t="s">
        <v>4524</v>
      </c>
      <c r="R160" t="s">
        <v>305</v>
      </c>
      <c r="W160">
        <v>1</v>
      </c>
      <c r="AC160" s="2"/>
      <c r="AH160" s="1"/>
      <c r="AJ160" s="2"/>
      <c r="AR160" s="2"/>
      <c r="AW160" s="1"/>
      <c r="BM160" s="1"/>
    </row>
    <row r="161" spans="1:65" hidden="1" x14ac:dyDescent="0.25">
      <c r="A161" s="2"/>
      <c r="B161" s="2">
        <f>HYPERLINK(URLs!B30 &amp; 19775 &amp; URLs!B32,19775)</f>
        <v>19775</v>
      </c>
      <c r="C161" t="s">
        <v>633</v>
      </c>
      <c r="D161" t="s">
        <v>619</v>
      </c>
      <c r="E161" t="s">
        <v>850</v>
      </c>
      <c r="F161" t="s">
        <v>621</v>
      </c>
      <c r="G161" t="s">
        <v>875</v>
      </c>
      <c r="H161" t="s">
        <v>876</v>
      </c>
      <c r="I161" t="s">
        <v>624</v>
      </c>
      <c r="J161" t="s">
        <v>629</v>
      </c>
      <c r="L161" s="5">
        <v>43167.494108796294</v>
      </c>
      <c r="M161" s="5">
        <v>43266.420856481483</v>
      </c>
      <c r="N161" s="2">
        <f>HYPERLINK(URLs!B36 &amp; 64715,64715)</f>
        <v>64715</v>
      </c>
      <c r="O161" t="s">
        <v>666</v>
      </c>
      <c r="P161" t="s">
        <v>621</v>
      </c>
      <c r="Q161" t="s">
        <v>4525</v>
      </c>
      <c r="AC161" s="2"/>
      <c r="AH161" s="1"/>
      <c r="AJ161" s="2"/>
      <c r="AR161" s="2"/>
      <c r="AW161" s="1"/>
      <c r="BM161" s="1"/>
    </row>
    <row r="162" spans="1:65" hidden="1" x14ac:dyDescent="0.25">
      <c r="A162" s="2"/>
      <c r="B162" s="2">
        <f>HYPERLINK(URLs!B30 &amp; 19761 &amp; URLs!B32,19761)</f>
        <v>19761</v>
      </c>
      <c r="C162" t="s">
        <v>665</v>
      </c>
      <c r="D162" t="s">
        <v>619</v>
      </c>
      <c r="E162" t="s">
        <v>850</v>
      </c>
      <c r="F162" t="s">
        <v>621</v>
      </c>
      <c r="G162" t="s">
        <v>889</v>
      </c>
      <c r="H162" t="s">
        <v>890</v>
      </c>
      <c r="I162" t="s">
        <v>624</v>
      </c>
      <c r="J162" t="s">
        <v>642</v>
      </c>
      <c r="L162" s="5">
        <v>43165.632800925923</v>
      </c>
      <c r="M162" s="5">
        <v>43332.364583333336</v>
      </c>
      <c r="N162" s="2">
        <f>HYPERLINK(URLs!B36 &amp; 111383,111383)</f>
        <v>111383</v>
      </c>
      <c r="O162" t="s">
        <v>636</v>
      </c>
      <c r="P162" t="s">
        <v>621</v>
      </c>
      <c r="Q162" t="s">
        <v>4526</v>
      </c>
      <c r="R162" t="s">
        <v>305</v>
      </c>
      <c r="W162">
        <v>1</v>
      </c>
      <c r="AC162" s="2"/>
      <c r="AH162" s="1"/>
      <c r="AJ162" s="2"/>
      <c r="AR162" s="2"/>
      <c r="AW162" s="1"/>
      <c r="BM162" s="1"/>
    </row>
    <row r="163" spans="1:65" hidden="1" x14ac:dyDescent="0.25">
      <c r="A163" s="2"/>
      <c r="B163" s="2">
        <f>HYPERLINK(URLs!B30 &amp; 19759 &amp; URLs!B32,19759)</f>
        <v>19759</v>
      </c>
      <c r="C163" t="s">
        <v>665</v>
      </c>
      <c r="D163" t="s">
        <v>619</v>
      </c>
      <c r="E163" t="s">
        <v>850</v>
      </c>
      <c r="F163" t="s">
        <v>621</v>
      </c>
      <c r="G163" t="s">
        <v>858</v>
      </c>
      <c r="H163" t="s">
        <v>859</v>
      </c>
      <c r="I163" t="s">
        <v>624</v>
      </c>
      <c r="J163" t="s">
        <v>642</v>
      </c>
      <c r="L163" s="5">
        <v>43165.353379629632</v>
      </c>
      <c r="M163" s="5">
        <v>43185.631724537037</v>
      </c>
      <c r="N163" t="s">
        <v>621</v>
      </c>
      <c r="O163" t="s">
        <v>645</v>
      </c>
      <c r="P163" t="s">
        <v>621</v>
      </c>
      <c r="Q163" t="s">
        <v>4597</v>
      </c>
      <c r="AC163" s="2"/>
      <c r="AH163" s="1"/>
      <c r="AJ163" s="2"/>
      <c r="AR163" s="2"/>
      <c r="AW163" s="1"/>
      <c r="BM163" s="1"/>
    </row>
    <row r="164" spans="1:65" hidden="1" x14ac:dyDescent="0.25">
      <c r="A164" s="2"/>
      <c r="B164" s="2">
        <f>HYPERLINK(URLs!B30 &amp; 19756 &amp; URLs!B32,19756)</f>
        <v>19756</v>
      </c>
      <c r="C164" t="s">
        <v>665</v>
      </c>
      <c r="D164" t="s">
        <v>619</v>
      </c>
      <c r="E164" t="s">
        <v>850</v>
      </c>
      <c r="F164" t="s">
        <v>621</v>
      </c>
      <c r="G164" t="s">
        <v>855</v>
      </c>
      <c r="H164" t="s">
        <v>856</v>
      </c>
      <c r="I164" t="s">
        <v>624</v>
      </c>
      <c r="J164" t="s">
        <v>642</v>
      </c>
      <c r="L164" s="5">
        <v>43165.209652777776</v>
      </c>
      <c r="M164" s="5">
        <v>43332.363194444442</v>
      </c>
      <c r="N164" s="2">
        <f>HYPERLINK(URLs!B36 &amp; 110935,110935)</f>
        <v>110935</v>
      </c>
      <c r="O164" t="s">
        <v>636</v>
      </c>
      <c r="P164" t="s">
        <v>621</v>
      </c>
      <c r="Q164" t="s">
        <v>4527</v>
      </c>
      <c r="AC164" s="2"/>
      <c r="AH164" s="1"/>
      <c r="AJ164" s="2"/>
      <c r="AR164" s="2"/>
      <c r="AW164" s="1"/>
      <c r="BM164" s="1"/>
    </row>
    <row r="165" spans="1:65" hidden="1" x14ac:dyDescent="0.25">
      <c r="A165" s="2">
        <f>HYPERLINK(URLs!B36 &amp; 110892,110892)</f>
        <v>110892</v>
      </c>
      <c r="B165" s="2">
        <f>HYPERLINK(URLs!B30 &amp; 19732 &amp; URLs!B32,19732)</f>
        <v>19732</v>
      </c>
      <c r="C165" t="s">
        <v>665</v>
      </c>
      <c r="D165" t="s">
        <v>619</v>
      </c>
      <c r="E165" t="s">
        <v>620</v>
      </c>
      <c r="F165" t="s">
        <v>621</v>
      </c>
      <c r="G165" t="s">
        <v>643</v>
      </c>
      <c r="H165" t="s">
        <v>644</v>
      </c>
      <c r="I165" t="s">
        <v>624</v>
      </c>
      <c r="J165" t="s">
        <v>625</v>
      </c>
      <c r="K165" t="s">
        <v>31</v>
      </c>
      <c r="L165" s="5">
        <v>43160.492268518516</v>
      </c>
      <c r="M165" s="5">
        <v>43287.684027777781</v>
      </c>
      <c r="N165" s="2">
        <f>HYPERLINK(URLs!B36 &amp; 110892,110892)</f>
        <v>110892</v>
      </c>
      <c r="O165" t="s">
        <v>636</v>
      </c>
      <c r="P165" t="s">
        <v>621</v>
      </c>
      <c r="Q165" t="s">
        <v>4598</v>
      </c>
      <c r="R165" t="s">
        <v>319</v>
      </c>
      <c r="S165" t="s">
        <v>304</v>
      </c>
      <c r="T165" t="s">
        <v>4158</v>
      </c>
      <c r="U165" t="s">
        <v>4361</v>
      </c>
      <c r="V165" t="s">
        <v>321</v>
      </c>
      <c r="Z165" t="s">
        <v>96</v>
      </c>
      <c r="AC165" s="2"/>
      <c r="AH165" s="1"/>
      <c r="AJ165" s="2"/>
      <c r="AR165" s="2"/>
      <c r="AW165" s="1"/>
      <c r="BM165" s="1"/>
    </row>
    <row r="166" spans="1:65" hidden="1" x14ac:dyDescent="0.25">
      <c r="A166" s="2"/>
      <c r="B166" s="2">
        <f>HYPERLINK(URLs!B30 &amp; 19699 &amp; URLs!B32,19699)</f>
        <v>19699</v>
      </c>
      <c r="C166" t="s">
        <v>633</v>
      </c>
      <c r="D166" t="s">
        <v>619</v>
      </c>
      <c r="E166" t="s">
        <v>620</v>
      </c>
      <c r="F166" t="s">
        <v>621</v>
      </c>
      <c r="G166" t="s">
        <v>622</v>
      </c>
      <c r="H166" t="s">
        <v>623</v>
      </c>
      <c r="I166" t="s">
        <v>624</v>
      </c>
      <c r="J166" t="s">
        <v>625</v>
      </c>
      <c r="L166" s="5">
        <v>43154.598055555558</v>
      </c>
      <c r="M166" s="5">
        <v>43432.653506944444</v>
      </c>
      <c r="N166" s="2">
        <f>HYPERLINK(URLs!B37 &amp; 230966,230966)</f>
        <v>230966</v>
      </c>
      <c r="O166" t="s">
        <v>636</v>
      </c>
      <c r="P166" t="s">
        <v>621</v>
      </c>
      <c r="Q166" t="s">
        <v>4528</v>
      </c>
      <c r="AC166" s="2"/>
      <c r="AH166" s="1"/>
      <c r="AJ166" s="2"/>
      <c r="AR166" s="2"/>
      <c r="AW166" s="1"/>
      <c r="BM166" s="1"/>
    </row>
    <row r="167" spans="1:65" hidden="1" x14ac:dyDescent="0.25">
      <c r="A167" s="2"/>
      <c r="B167" s="2">
        <f>HYPERLINK(URLs!B30 &amp; 19694 &amp; URLs!B32,19694)</f>
        <v>19694</v>
      </c>
      <c r="C167" t="s">
        <v>618</v>
      </c>
      <c r="D167" t="s">
        <v>619</v>
      </c>
      <c r="E167" t="s">
        <v>850</v>
      </c>
      <c r="F167" t="s">
        <v>621</v>
      </c>
      <c r="G167" t="s">
        <v>855</v>
      </c>
      <c r="H167" t="s">
        <v>856</v>
      </c>
      <c r="I167" t="s">
        <v>624</v>
      </c>
      <c r="J167" t="s">
        <v>629</v>
      </c>
      <c r="L167" s="5">
        <v>43154.425798611112</v>
      </c>
      <c r="N167" s="2">
        <f>HYPERLINK(URLs!B36 &amp; 110694,110694)</f>
        <v>110694</v>
      </c>
      <c r="O167" t="s">
        <v>637</v>
      </c>
      <c r="P167" t="s">
        <v>621</v>
      </c>
      <c r="Q167" t="s">
        <v>4529</v>
      </c>
      <c r="AC167" s="2"/>
      <c r="AH167" s="1"/>
      <c r="AJ167" s="2"/>
      <c r="AR167" s="2"/>
      <c r="AW167" s="1"/>
      <c r="BM167" s="1"/>
    </row>
    <row r="168" spans="1:65" x14ac:dyDescent="0.25">
      <c r="A168" s="2">
        <f>HYPERLINK(URLs!B36 &amp; 110692,110692)</f>
        <v>110692</v>
      </c>
      <c r="B168" s="2">
        <f>HYPERLINK(URLs!B30 &amp; 19693 &amp; URLs!B32,19693)</f>
        <v>19693</v>
      </c>
      <c r="C168" t="s">
        <v>641</v>
      </c>
      <c r="D168" t="s">
        <v>619</v>
      </c>
      <c r="E168" t="s">
        <v>620</v>
      </c>
      <c r="F168" t="s">
        <v>621</v>
      </c>
      <c r="G168" t="s">
        <v>627</v>
      </c>
      <c r="H168" t="s">
        <v>628</v>
      </c>
      <c r="I168" t="s">
        <v>624</v>
      </c>
      <c r="J168" t="s">
        <v>629</v>
      </c>
      <c r="K168" t="s">
        <v>68</v>
      </c>
      <c r="L168" s="5">
        <v>43154.415208333332</v>
      </c>
      <c r="N168" s="2">
        <f>HYPERLINK(URLs!B36 &amp; 110692,110692)</f>
        <v>110692</v>
      </c>
      <c r="O168" t="s">
        <v>637</v>
      </c>
      <c r="P168" t="s">
        <v>621</v>
      </c>
      <c r="Q168" t="s">
        <v>4599</v>
      </c>
      <c r="R168" t="s">
        <v>67</v>
      </c>
      <c r="T168" t="s">
        <v>4126</v>
      </c>
      <c r="U168" t="s">
        <v>35</v>
      </c>
      <c r="V168" t="s">
        <v>35</v>
      </c>
      <c r="Z168" t="s">
        <v>73</v>
      </c>
      <c r="AC168" s="2"/>
      <c r="AH168" s="1"/>
      <c r="AJ168" s="2"/>
      <c r="AR168" s="2"/>
      <c r="AW168" s="1"/>
      <c r="BM168" s="1"/>
    </row>
    <row r="169" spans="1:65" hidden="1" x14ac:dyDescent="0.25">
      <c r="A169" s="2"/>
      <c r="B169" s="2">
        <f>HYPERLINK(URLs!B30 &amp; 19689 &amp; URLs!B32,19689)</f>
        <v>19689</v>
      </c>
      <c r="C169" t="s">
        <v>665</v>
      </c>
      <c r="D169" t="s">
        <v>619</v>
      </c>
      <c r="E169" t="s">
        <v>850</v>
      </c>
      <c r="F169" t="s">
        <v>621</v>
      </c>
      <c r="G169" t="s">
        <v>855</v>
      </c>
      <c r="H169" t="s">
        <v>856</v>
      </c>
      <c r="I169" t="s">
        <v>624</v>
      </c>
      <c r="J169" t="s">
        <v>625</v>
      </c>
      <c r="L169" s="5">
        <v>43154.373483796298</v>
      </c>
      <c r="M169" s="5">
        <v>43179.292280092595</v>
      </c>
      <c r="N169" t="s">
        <v>621</v>
      </c>
      <c r="O169" t="s">
        <v>680</v>
      </c>
      <c r="P169" t="s">
        <v>621</v>
      </c>
      <c r="Q169" t="s">
        <v>4530</v>
      </c>
      <c r="R169" t="s">
        <v>319</v>
      </c>
      <c r="AC169" s="2"/>
      <c r="AH169" s="1"/>
      <c r="AJ169" s="2"/>
      <c r="AR169" s="2"/>
      <c r="AW169" s="1"/>
      <c r="BM169" s="1"/>
    </row>
    <row r="170" spans="1:65" hidden="1" x14ac:dyDescent="0.25">
      <c r="A170" s="2"/>
      <c r="B170" s="2">
        <f>HYPERLINK(URLs!B30 &amp; 19688 &amp; URLs!B32,19688)</f>
        <v>19688</v>
      </c>
      <c r="C170" t="s">
        <v>665</v>
      </c>
      <c r="D170" t="s">
        <v>619</v>
      </c>
      <c r="E170" t="s">
        <v>850</v>
      </c>
      <c r="F170" t="s">
        <v>621</v>
      </c>
      <c r="G170" t="s">
        <v>851</v>
      </c>
      <c r="H170" t="s">
        <v>852</v>
      </c>
      <c r="I170" t="s">
        <v>624</v>
      </c>
      <c r="J170" t="s">
        <v>625</v>
      </c>
      <c r="L170" s="5">
        <v>43154.028993055559</v>
      </c>
      <c r="M170" s="5">
        <v>43206.713194444441</v>
      </c>
      <c r="N170" t="s">
        <v>621</v>
      </c>
      <c r="O170" t="s">
        <v>636</v>
      </c>
      <c r="P170" t="s">
        <v>621</v>
      </c>
      <c r="Q170" t="s">
        <v>4531</v>
      </c>
      <c r="R170" t="s">
        <v>305</v>
      </c>
      <c r="W170">
        <v>1</v>
      </c>
      <c r="X170">
        <v>1</v>
      </c>
      <c r="Y170">
        <v>1</v>
      </c>
      <c r="AC170" s="2"/>
      <c r="AH170" s="1"/>
      <c r="AJ170" s="2"/>
      <c r="AR170" s="2"/>
      <c r="AW170" s="1"/>
      <c r="BM170" s="1"/>
    </row>
    <row r="171" spans="1:65" hidden="1" x14ac:dyDescent="0.25">
      <c r="A171" s="2"/>
      <c r="B171" s="2">
        <f>HYPERLINK(URLs!B30 &amp; 19686 &amp; URLs!B32,19686)</f>
        <v>19686</v>
      </c>
      <c r="C171" t="s">
        <v>665</v>
      </c>
      <c r="D171" t="s">
        <v>619</v>
      </c>
      <c r="E171" t="s">
        <v>850</v>
      </c>
      <c r="F171" t="s">
        <v>621</v>
      </c>
      <c r="G171" t="s">
        <v>886</v>
      </c>
      <c r="H171" t="s">
        <v>887</v>
      </c>
      <c r="I171" t="s">
        <v>624</v>
      </c>
      <c r="J171" t="s">
        <v>629</v>
      </c>
      <c r="L171" s="5">
        <v>43153.638321759259</v>
      </c>
      <c r="M171" s="5">
        <v>43185.717361111114</v>
      </c>
      <c r="N171" s="2">
        <f>HYPERLINK(URLs!B36 &amp; 110655,110655)</f>
        <v>110655</v>
      </c>
      <c r="O171" t="s">
        <v>645</v>
      </c>
      <c r="P171" t="s">
        <v>621</v>
      </c>
      <c r="Q171" t="s">
        <v>4532</v>
      </c>
      <c r="AC171" s="2"/>
      <c r="AH171" s="1"/>
      <c r="AJ171" s="2"/>
      <c r="AR171" s="2"/>
      <c r="AW171" s="1"/>
      <c r="BM171" s="1"/>
    </row>
    <row r="172" spans="1:65" hidden="1" x14ac:dyDescent="0.25">
      <c r="A172" s="2"/>
      <c r="B172" s="2">
        <f>HYPERLINK(URLs!B30 &amp; 19674 &amp; URLs!B32,19674)</f>
        <v>19674</v>
      </c>
      <c r="C172" t="s">
        <v>665</v>
      </c>
      <c r="D172" t="s">
        <v>619</v>
      </c>
      <c r="E172" t="s">
        <v>850</v>
      </c>
      <c r="F172" t="s">
        <v>621</v>
      </c>
      <c r="G172" t="s">
        <v>875</v>
      </c>
      <c r="H172" t="s">
        <v>876</v>
      </c>
      <c r="I172" t="s">
        <v>624</v>
      </c>
      <c r="J172" t="s">
        <v>625</v>
      </c>
      <c r="L172" s="5">
        <v>43152.494421296295</v>
      </c>
      <c r="M172" s="5">
        <v>43378.643055555556</v>
      </c>
      <c r="N172" s="2">
        <f>HYPERLINK(URLs!B36 &amp; 105973,105973)</f>
        <v>105973</v>
      </c>
      <c r="O172" t="s">
        <v>636</v>
      </c>
      <c r="P172" t="s">
        <v>621</v>
      </c>
      <c r="Q172" t="s">
        <v>4533</v>
      </c>
      <c r="R172" t="s">
        <v>305</v>
      </c>
      <c r="AC172" s="2"/>
      <c r="AH172" s="1"/>
      <c r="AJ172" s="2"/>
      <c r="AR172" s="2"/>
      <c r="AW172" s="1"/>
      <c r="BM172" s="1"/>
    </row>
    <row r="173" spans="1:65" hidden="1" x14ac:dyDescent="0.25">
      <c r="A173" s="2">
        <f>HYPERLINK(URLs!B36 &amp; 110690,110690)</f>
        <v>110690</v>
      </c>
      <c r="B173" s="2">
        <f>HYPERLINK(URLs!B30 &amp; 19658 &amp; URLs!B32,19658)</f>
        <v>19658</v>
      </c>
      <c r="C173" t="s">
        <v>665</v>
      </c>
      <c r="D173" t="s">
        <v>619</v>
      </c>
      <c r="E173" t="s">
        <v>850</v>
      </c>
      <c r="F173" t="s">
        <v>621</v>
      </c>
      <c r="G173" t="s">
        <v>855</v>
      </c>
      <c r="H173" t="s">
        <v>856</v>
      </c>
      <c r="I173" t="s">
        <v>624</v>
      </c>
      <c r="J173" t="s">
        <v>625</v>
      </c>
      <c r="K173" t="s">
        <v>31</v>
      </c>
      <c r="L173" s="5">
        <v>43150.247974537036</v>
      </c>
      <c r="M173" s="5">
        <v>43355.444444444445</v>
      </c>
      <c r="N173" s="2">
        <f>HYPERLINK(URLs!B36 &amp; 110690,110690)</f>
        <v>110690</v>
      </c>
      <c r="O173" t="s">
        <v>636</v>
      </c>
      <c r="P173" t="s">
        <v>621</v>
      </c>
      <c r="Q173" t="s">
        <v>4534</v>
      </c>
      <c r="R173" t="s">
        <v>305</v>
      </c>
      <c r="S173" t="s">
        <v>304</v>
      </c>
      <c r="T173" t="s">
        <v>4349</v>
      </c>
      <c r="U173" t="s">
        <v>35</v>
      </c>
      <c r="V173" t="s">
        <v>35</v>
      </c>
      <c r="Z173" t="s">
        <v>34</v>
      </c>
      <c r="AC173" s="2"/>
      <c r="AH173" s="1"/>
      <c r="AJ173" s="2"/>
      <c r="AR173" s="2"/>
      <c r="AW173" s="1"/>
      <c r="BM173" s="1"/>
    </row>
    <row r="174" spans="1:65" hidden="1" x14ac:dyDescent="0.25">
      <c r="A174" s="2"/>
      <c r="B174" s="2">
        <f>HYPERLINK(URLs!B30 &amp; 19654 &amp; URLs!B32,19654)</f>
        <v>19654</v>
      </c>
      <c r="C174" t="s">
        <v>641</v>
      </c>
      <c r="D174" t="s">
        <v>619</v>
      </c>
      <c r="E174" t="s">
        <v>850</v>
      </c>
      <c r="F174" t="s">
        <v>621</v>
      </c>
      <c r="G174" t="s">
        <v>870</v>
      </c>
      <c r="H174" t="s">
        <v>859</v>
      </c>
      <c r="I174" t="s">
        <v>624</v>
      </c>
      <c r="J174" t="s">
        <v>625</v>
      </c>
      <c r="L174" s="5">
        <v>43147.283206018517</v>
      </c>
      <c r="N174" s="2">
        <f>HYPERLINK(URLs!B36 &amp; 116218,116218)</f>
        <v>116218</v>
      </c>
      <c r="O174" t="s">
        <v>640</v>
      </c>
      <c r="P174" t="s">
        <v>621</v>
      </c>
      <c r="Q174" t="s">
        <v>4535</v>
      </c>
      <c r="W174">
        <v>1</v>
      </c>
      <c r="AC174" s="2"/>
      <c r="AH174" s="1"/>
      <c r="AJ174" s="2"/>
      <c r="AR174" s="2"/>
      <c r="AW174" s="1"/>
      <c r="BM174" s="1"/>
    </row>
    <row r="175" spans="1:65" hidden="1" x14ac:dyDescent="0.25">
      <c r="A175" s="2">
        <f>HYPERLINK(URLs!B36 &amp; 110510,110510)</f>
        <v>110510</v>
      </c>
      <c r="B175" s="2">
        <f>HYPERLINK(URLs!B30 &amp; 19653 &amp; URLs!B32,19653)</f>
        <v>19653</v>
      </c>
      <c r="C175" t="s">
        <v>665</v>
      </c>
      <c r="D175" t="s">
        <v>619</v>
      </c>
      <c r="E175" t="s">
        <v>850</v>
      </c>
      <c r="F175" t="s">
        <v>621</v>
      </c>
      <c r="G175" t="s">
        <v>855</v>
      </c>
      <c r="H175" t="s">
        <v>856</v>
      </c>
      <c r="I175" t="s">
        <v>624</v>
      </c>
      <c r="J175" t="s">
        <v>625</v>
      </c>
      <c r="K175" t="s">
        <v>31</v>
      </c>
      <c r="L175" s="5">
        <v>43147.085763888892</v>
      </c>
      <c r="M175" s="5">
        <v>43332.361111111109</v>
      </c>
      <c r="N175" s="2">
        <f>HYPERLINK(URLs!B36 &amp; 111511,111511)</f>
        <v>111511</v>
      </c>
      <c r="O175" t="s">
        <v>636</v>
      </c>
      <c r="P175" t="s">
        <v>621</v>
      </c>
      <c r="Q175" t="s">
        <v>4536</v>
      </c>
      <c r="R175" t="s">
        <v>305</v>
      </c>
      <c r="S175" t="s">
        <v>304</v>
      </c>
      <c r="T175" t="s">
        <v>4236</v>
      </c>
      <c r="U175" t="s">
        <v>35</v>
      </c>
      <c r="V175" t="s">
        <v>35</v>
      </c>
      <c r="W175">
        <v>1</v>
      </c>
      <c r="Z175" t="s">
        <v>73</v>
      </c>
      <c r="AC175" s="2"/>
      <c r="AH175" s="1"/>
      <c r="AJ175" s="2"/>
      <c r="AR175" s="2"/>
      <c r="AW175" s="1"/>
    </row>
    <row r="176" spans="1:65" hidden="1" x14ac:dyDescent="0.25">
      <c r="A176" s="2"/>
      <c r="B176" s="2">
        <f>HYPERLINK(URLs!B30 &amp; 19643 &amp; URLs!B32,19643)</f>
        <v>19643</v>
      </c>
      <c r="C176" t="s">
        <v>641</v>
      </c>
      <c r="D176" t="s">
        <v>619</v>
      </c>
      <c r="E176" t="s">
        <v>850</v>
      </c>
      <c r="F176" t="s">
        <v>621</v>
      </c>
      <c r="G176" t="s">
        <v>851</v>
      </c>
      <c r="H176" t="s">
        <v>859</v>
      </c>
      <c r="I176" t="s">
        <v>624</v>
      </c>
      <c r="J176" t="s">
        <v>625</v>
      </c>
      <c r="L176" s="5">
        <v>43146.071435185186</v>
      </c>
      <c r="N176" s="2">
        <f>HYPERLINK(URLs!B36 &amp; 112169,112169)</f>
        <v>112169</v>
      </c>
      <c r="O176" t="s">
        <v>649</v>
      </c>
      <c r="P176" t="s">
        <v>621</v>
      </c>
      <c r="Q176" t="s">
        <v>4537</v>
      </c>
      <c r="R176" t="s">
        <v>319</v>
      </c>
      <c r="W176">
        <v>1</v>
      </c>
      <c r="X176">
        <v>1</v>
      </c>
      <c r="AC176" s="2"/>
      <c r="AJ176" s="2"/>
      <c r="AR176" s="2"/>
    </row>
    <row r="177" spans="1:65" hidden="1" x14ac:dyDescent="0.25">
      <c r="A177" s="2"/>
      <c r="B177" s="2">
        <f>HYPERLINK(URLs!B30 &amp; 19634 &amp; URLs!B32,19634)</f>
        <v>19634</v>
      </c>
      <c r="C177" t="s">
        <v>633</v>
      </c>
      <c r="D177" t="s">
        <v>619</v>
      </c>
      <c r="E177" t="s">
        <v>850</v>
      </c>
      <c r="F177" t="s">
        <v>621</v>
      </c>
      <c r="G177" t="s">
        <v>855</v>
      </c>
      <c r="H177" t="s">
        <v>856</v>
      </c>
      <c r="I177" t="s">
        <v>624</v>
      </c>
      <c r="J177" t="s">
        <v>625</v>
      </c>
      <c r="L177" s="5">
        <v>43145.086875000001</v>
      </c>
      <c r="M177" s="5">
        <v>43354.589456018519</v>
      </c>
      <c r="N177" s="2">
        <f>HYPERLINK(URLs!B36 &amp; 110161,110161)</f>
        <v>110161</v>
      </c>
      <c r="O177" t="s">
        <v>636</v>
      </c>
      <c r="P177" t="s">
        <v>630</v>
      </c>
      <c r="Q177" t="s">
        <v>4538</v>
      </c>
      <c r="AC177" s="2"/>
      <c r="AJ177" s="2"/>
      <c r="AR177" s="2"/>
      <c r="BM177" s="1"/>
    </row>
    <row r="178" spans="1:65" hidden="1" x14ac:dyDescent="0.25">
      <c r="A178" s="2"/>
      <c r="B178" s="2">
        <f>HYPERLINK(URLs!B30 &amp; 19626 &amp; URLs!B32,19626)</f>
        <v>19626</v>
      </c>
      <c r="C178" t="s">
        <v>633</v>
      </c>
      <c r="D178" t="s">
        <v>619</v>
      </c>
      <c r="E178" t="s">
        <v>850</v>
      </c>
      <c r="F178" t="s">
        <v>621</v>
      </c>
      <c r="G178" t="s">
        <v>886</v>
      </c>
      <c r="H178" t="s">
        <v>887</v>
      </c>
      <c r="I178" t="s">
        <v>624</v>
      </c>
      <c r="J178" t="s">
        <v>625</v>
      </c>
      <c r="L178" s="5">
        <v>43144.399791666663</v>
      </c>
      <c r="M178" s="5">
        <v>43234.524826388886</v>
      </c>
      <c r="N178" s="2">
        <f>HYPERLINK(URLs!B36 &amp; 109616,109616)</f>
        <v>109616</v>
      </c>
      <c r="O178" t="s">
        <v>636</v>
      </c>
      <c r="P178" t="s">
        <v>621</v>
      </c>
      <c r="Q178" t="s">
        <v>4539</v>
      </c>
      <c r="AC178" s="2"/>
      <c r="AH178" s="1"/>
      <c r="AJ178" s="2"/>
      <c r="AR178" s="2"/>
      <c r="AW178" s="1"/>
      <c r="BM178" s="1"/>
    </row>
    <row r="179" spans="1:65" hidden="1" x14ac:dyDescent="0.25">
      <c r="A179" s="2"/>
      <c r="B179" s="2">
        <f>HYPERLINK(URLs!B30 &amp; 19612 &amp; URLs!B32,19612)</f>
        <v>19612</v>
      </c>
      <c r="C179" t="s">
        <v>665</v>
      </c>
      <c r="D179" t="s">
        <v>619</v>
      </c>
      <c r="E179" t="s">
        <v>850</v>
      </c>
      <c r="F179" t="s">
        <v>621</v>
      </c>
      <c r="G179" t="s">
        <v>855</v>
      </c>
      <c r="H179" t="s">
        <v>856</v>
      </c>
      <c r="I179" t="s">
        <v>624</v>
      </c>
      <c r="J179" t="s">
        <v>625</v>
      </c>
      <c r="L179" s="5">
        <v>43140.207673611112</v>
      </c>
      <c r="M179" s="5">
        <v>43332.35833333333</v>
      </c>
      <c r="N179" s="2">
        <f>HYPERLINK(URLs!B36 &amp; 108525,108525)</f>
        <v>108525</v>
      </c>
      <c r="O179" t="s">
        <v>636</v>
      </c>
      <c r="P179" t="s">
        <v>621</v>
      </c>
      <c r="Q179" t="s">
        <v>4540</v>
      </c>
      <c r="W179">
        <v>1</v>
      </c>
      <c r="AC179" s="2"/>
      <c r="AH179" s="1"/>
      <c r="AJ179" s="2"/>
      <c r="AR179" s="2"/>
      <c r="AW179" s="1"/>
      <c r="BM179" s="1"/>
    </row>
    <row r="180" spans="1:65" hidden="1" x14ac:dyDescent="0.25">
      <c r="A180" s="2"/>
      <c r="B180" s="2">
        <f>HYPERLINK(URLs!B30 &amp; 19600 &amp; URLs!B32,19600)</f>
        <v>19600</v>
      </c>
      <c r="C180" t="s">
        <v>641</v>
      </c>
      <c r="D180" t="s">
        <v>619</v>
      </c>
      <c r="E180" t="s">
        <v>850</v>
      </c>
      <c r="F180" t="s">
        <v>621</v>
      </c>
      <c r="G180" t="s">
        <v>870</v>
      </c>
      <c r="H180" t="s">
        <v>859</v>
      </c>
      <c r="I180" t="s">
        <v>624</v>
      </c>
      <c r="J180" t="s">
        <v>625</v>
      </c>
      <c r="L180" s="5">
        <v>43139.096006944441</v>
      </c>
      <c r="N180" s="2">
        <f>HYPERLINK(URLs!B36 &amp; 106203,106203)</f>
        <v>106203</v>
      </c>
      <c r="O180" t="s">
        <v>637</v>
      </c>
      <c r="P180" t="s">
        <v>621</v>
      </c>
      <c r="Q180" t="s">
        <v>4541</v>
      </c>
      <c r="AC180" s="2"/>
      <c r="AH180" s="1"/>
      <c r="AJ180" s="2"/>
      <c r="AR180" s="2"/>
      <c r="AW180" s="1"/>
      <c r="AX180">
        <v>67205</v>
      </c>
      <c r="BM180" s="1"/>
    </row>
    <row r="181" spans="1:65" x14ac:dyDescent="0.25">
      <c r="A181" s="2"/>
      <c r="B181" s="2">
        <f>HYPERLINK(URLs!B30 &amp; 19563 &amp; URLs!B32,19563)</f>
        <v>19563</v>
      </c>
      <c r="C181" t="s">
        <v>618</v>
      </c>
      <c r="D181" t="s">
        <v>619</v>
      </c>
      <c r="E181" t="s">
        <v>620</v>
      </c>
      <c r="F181" t="s">
        <v>621</v>
      </c>
      <c r="G181" t="s">
        <v>622</v>
      </c>
      <c r="H181" t="s">
        <v>623</v>
      </c>
      <c r="I181" t="s">
        <v>624</v>
      </c>
      <c r="J181" t="s">
        <v>625</v>
      </c>
      <c r="L181" s="5">
        <v>43137.383437500001</v>
      </c>
      <c r="N181" s="2">
        <f>HYPERLINK(URLs!B37 &amp; 229706,229706)</f>
        <v>229706</v>
      </c>
      <c r="O181" t="s">
        <v>637</v>
      </c>
      <c r="P181" t="s">
        <v>621</v>
      </c>
      <c r="Q181" t="s">
        <v>4542</v>
      </c>
      <c r="W181">
        <v>1</v>
      </c>
      <c r="AC181" s="2"/>
      <c r="AH181" s="1"/>
      <c r="AI181" s="2"/>
      <c r="AJ181" s="2"/>
      <c r="AR181" s="2"/>
      <c r="AW181" s="1"/>
      <c r="BM181" s="1"/>
    </row>
    <row r="182" spans="1:65" hidden="1" x14ac:dyDescent="0.25">
      <c r="A182" s="2">
        <f>HYPERLINK(URLs!B36 &amp; 102927,102927)</f>
        <v>102927</v>
      </c>
      <c r="B182" s="2">
        <f>HYPERLINK(URLs!B30 &amp; 19537 &amp; URLs!B32,19537)</f>
        <v>19537</v>
      </c>
      <c r="C182" t="s">
        <v>665</v>
      </c>
      <c r="D182" t="s">
        <v>619</v>
      </c>
      <c r="E182" t="s">
        <v>620</v>
      </c>
      <c r="F182" t="s">
        <v>621</v>
      </c>
      <c r="G182" t="s">
        <v>622</v>
      </c>
      <c r="H182" t="s">
        <v>623</v>
      </c>
      <c r="I182" t="s">
        <v>624</v>
      </c>
      <c r="J182" t="s">
        <v>625</v>
      </c>
      <c r="K182" t="s">
        <v>31</v>
      </c>
      <c r="L182" s="5">
        <v>43132.619386574072</v>
      </c>
      <c r="M182" s="5">
        <v>43287.682638888888</v>
      </c>
      <c r="N182" s="2">
        <f>HYPERLINK(URLs!B36 &amp; 102927,102927)</f>
        <v>102927</v>
      </c>
      <c r="O182" t="s">
        <v>636</v>
      </c>
      <c r="P182" t="s">
        <v>621</v>
      </c>
      <c r="Q182" t="s">
        <v>4600</v>
      </c>
      <c r="R182" t="s">
        <v>319</v>
      </c>
      <c r="S182" t="s">
        <v>304</v>
      </c>
      <c r="T182" t="s">
        <v>4172</v>
      </c>
      <c r="U182" t="s">
        <v>4249</v>
      </c>
      <c r="V182" t="s">
        <v>35</v>
      </c>
      <c r="Z182" t="s">
        <v>73</v>
      </c>
      <c r="AC182" s="2"/>
      <c r="AH182" s="1"/>
      <c r="AJ182" s="2"/>
      <c r="AR182" s="2"/>
      <c r="AW182" s="1"/>
      <c r="BM182" s="1"/>
    </row>
    <row r="183" spans="1:65" hidden="1" x14ac:dyDescent="0.25">
      <c r="A183" s="2">
        <f>HYPERLINK(URLs!B36 &amp; 110032,110032)</f>
        <v>110032</v>
      </c>
      <c r="B183" s="2">
        <f>HYPERLINK(URLs!B30 &amp; 19536 &amp; URLs!B32,19536)</f>
        <v>19536</v>
      </c>
      <c r="C183" t="s">
        <v>633</v>
      </c>
      <c r="D183" t="s">
        <v>619</v>
      </c>
      <c r="E183" t="s">
        <v>620</v>
      </c>
      <c r="F183" t="s">
        <v>621</v>
      </c>
      <c r="G183" t="s">
        <v>622</v>
      </c>
      <c r="H183" t="s">
        <v>623</v>
      </c>
      <c r="I183" t="s">
        <v>624</v>
      </c>
      <c r="J183" t="s">
        <v>625</v>
      </c>
      <c r="K183" t="s">
        <v>31</v>
      </c>
      <c r="L183" s="5">
        <v>43132.5393287037</v>
      </c>
      <c r="M183" s="5">
        <v>43301.734201388892</v>
      </c>
      <c r="N183" s="2">
        <f>HYPERLINK(URLs!B36 &amp; 110032,110032)</f>
        <v>110032</v>
      </c>
      <c r="O183" t="s">
        <v>645</v>
      </c>
      <c r="P183" t="s">
        <v>621</v>
      </c>
      <c r="Q183" t="s">
        <v>4543</v>
      </c>
      <c r="R183" t="s">
        <v>305</v>
      </c>
      <c r="S183" t="s">
        <v>328</v>
      </c>
      <c r="T183" t="s">
        <v>307</v>
      </c>
      <c r="U183" t="s">
        <v>35</v>
      </c>
      <c r="V183" t="s">
        <v>4057</v>
      </c>
      <c r="W183">
        <v>1</v>
      </c>
      <c r="Z183" t="s">
        <v>52</v>
      </c>
      <c r="AC183" s="2"/>
      <c r="AH183" s="1"/>
      <c r="AJ183" s="2"/>
      <c r="AR183" s="2"/>
      <c r="AW183" s="1"/>
    </row>
    <row r="184" spans="1:65" hidden="1" x14ac:dyDescent="0.25">
      <c r="A184" s="2"/>
      <c r="B184" s="2">
        <f>HYPERLINK(URLs!B30 &amp; 19531 &amp; URLs!B32,19531)</f>
        <v>19531</v>
      </c>
      <c r="C184" t="s">
        <v>633</v>
      </c>
      <c r="D184" t="s">
        <v>619</v>
      </c>
      <c r="E184" t="s">
        <v>850</v>
      </c>
      <c r="F184" t="s">
        <v>621</v>
      </c>
      <c r="G184" t="s">
        <v>855</v>
      </c>
      <c r="H184" t="s">
        <v>856</v>
      </c>
      <c r="I184" t="s">
        <v>624</v>
      </c>
      <c r="J184" t="s">
        <v>625</v>
      </c>
      <c r="L184" s="5">
        <v>43132.308599537035</v>
      </c>
      <c r="M184" s="5">
        <v>43398.620196759257</v>
      </c>
      <c r="N184" s="2">
        <f>HYPERLINK(URLs!B36 &amp; 114217,114217)</f>
        <v>114217</v>
      </c>
      <c r="O184" t="s">
        <v>637</v>
      </c>
      <c r="P184" t="s">
        <v>621</v>
      </c>
      <c r="Q184" t="s">
        <v>4544</v>
      </c>
      <c r="AC184" s="2"/>
      <c r="AJ184" s="2"/>
      <c r="AR184" s="2"/>
      <c r="BM184" s="1"/>
    </row>
    <row r="185" spans="1:65" hidden="1" x14ac:dyDescent="0.25">
      <c r="A185" s="2">
        <f>HYPERLINK(URLs!B36 &amp; 109907,109907)</f>
        <v>109907</v>
      </c>
      <c r="B185" s="2">
        <f>HYPERLINK(URLs!B30 &amp; 19530 &amp; URLs!B32,19530)</f>
        <v>19530</v>
      </c>
      <c r="C185" t="s">
        <v>633</v>
      </c>
      <c r="D185" t="s">
        <v>619</v>
      </c>
      <c r="E185" t="s">
        <v>850</v>
      </c>
      <c r="F185" t="s">
        <v>621</v>
      </c>
      <c r="G185" t="s">
        <v>855</v>
      </c>
      <c r="H185" t="s">
        <v>856</v>
      </c>
      <c r="I185" t="s">
        <v>624</v>
      </c>
      <c r="J185" t="s">
        <v>629</v>
      </c>
      <c r="K185" t="s">
        <v>68</v>
      </c>
      <c r="L185" s="5">
        <v>43132.299027777779</v>
      </c>
      <c r="M185" s="5">
        <v>43332.272812499999</v>
      </c>
      <c r="N185" s="2">
        <f>HYPERLINK(URLs!B36 &amp; 108525,108525)</f>
        <v>108525</v>
      </c>
      <c r="O185" t="s">
        <v>636</v>
      </c>
      <c r="P185" t="s">
        <v>621</v>
      </c>
      <c r="Q185" t="s">
        <v>4545</v>
      </c>
      <c r="R185" t="s">
        <v>305</v>
      </c>
      <c r="S185" t="s">
        <v>353</v>
      </c>
      <c r="T185" t="s">
        <v>4180</v>
      </c>
      <c r="U185" t="s">
        <v>35</v>
      </c>
      <c r="V185" t="s">
        <v>35</v>
      </c>
      <c r="W185">
        <v>1</v>
      </c>
      <c r="Z185" t="s">
        <v>73</v>
      </c>
      <c r="AC185" s="2"/>
      <c r="AH185" s="1"/>
      <c r="AJ185" s="2"/>
      <c r="AR185" s="2"/>
      <c r="AW185" s="1"/>
      <c r="BM185" s="1"/>
    </row>
    <row r="186" spans="1:65" hidden="1" x14ac:dyDescent="0.25">
      <c r="A186" s="2"/>
      <c r="B186" s="2">
        <f>HYPERLINK(URLs!B30 &amp; 19529 &amp; URLs!B32,19529)</f>
        <v>19529</v>
      </c>
      <c r="C186" t="s">
        <v>633</v>
      </c>
      <c r="D186" t="s">
        <v>619</v>
      </c>
      <c r="E186" t="s">
        <v>850</v>
      </c>
      <c r="F186" t="s">
        <v>621</v>
      </c>
      <c r="G186" t="s">
        <v>855</v>
      </c>
      <c r="H186" t="s">
        <v>856</v>
      </c>
      <c r="I186" t="s">
        <v>624</v>
      </c>
      <c r="J186" t="s">
        <v>625</v>
      </c>
      <c r="L186" s="5">
        <v>43132.290937500002</v>
      </c>
      <c r="M186" s="5">
        <v>43290.400509259256</v>
      </c>
      <c r="N186" s="2">
        <f>HYPERLINK(URLs!B36 &amp; 109905,109905)</f>
        <v>109905</v>
      </c>
      <c r="O186" t="s">
        <v>645</v>
      </c>
      <c r="P186" t="s">
        <v>621</v>
      </c>
      <c r="Q186" t="s">
        <v>4546</v>
      </c>
      <c r="R186" t="s">
        <v>67</v>
      </c>
      <c r="W186">
        <v>1</v>
      </c>
      <c r="AC186" s="2"/>
      <c r="AH186" s="1"/>
      <c r="AJ186" s="2"/>
      <c r="AR186" s="2"/>
      <c r="AW186" s="1"/>
      <c r="BM186" s="1"/>
    </row>
    <row r="187" spans="1:65" hidden="1" x14ac:dyDescent="0.25">
      <c r="A187" s="2"/>
      <c r="B187" s="2">
        <f>HYPERLINK(URLs!B30 &amp; 19517 &amp; URLs!B32,19517)</f>
        <v>19517</v>
      </c>
      <c r="C187" t="s">
        <v>641</v>
      </c>
      <c r="D187" t="s">
        <v>619</v>
      </c>
      <c r="E187" t="s">
        <v>850</v>
      </c>
      <c r="F187" t="s">
        <v>621</v>
      </c>
      <c r="G187" t="s">
        <v>851</v>
      </c>
      <c r="H187" t="s">
        <v>890</v>
      </c>
      <c r="I187" t="s">
        <v>624</v>
      </c>
      <c r="J187" t="s">
        <v>625</v>
      </c>
      <c r="L187" s="5">
        <v>43130.426736111112</v>
      </c>
      <c r="N187" s="2">
        <f>HYPERLINK(URLs!B36 &amp; 110177,110177)</f>
        <v>110177</v>
      </c>
      <c r="O187" t="s">
        <v>1360</v>
      </c>
      <c r="P187" t="s">
        <v>621</v>
      </c>
      <c r="Q187" t="s">
        <v>4547</v>
      </c>
      <c r="R187" t="s">
        <v>319</v>
      </c>
      <c r="W187">
        <v>1</v>
      </c>
      <c r="AC187" s="2"/>
      <c r="AH187" s="1"/>
      <c r="AJ187" s="2"/>
      <c r="AR187" s="2"/>
      <c r="AW187" s="1"/>
      <c r="BM187" s="1"/>
    </row>
    <row r="188" spans="1:65" x14ac:dyDescent="0.25">
      <c r="A188" s="2">
        <f>HYPERLINK(URLs!B36 &amp; 109909,109909)</f>
        <v>109909</v>
      </c>
      <c r="B188" s="2">
        <f>HYPERLINK(URLs!B30 &amp; 19515 &amp; URLs!B32,19515)</f>
        <v>19515</v>
      </c>
      <c r="C188" t="s">
        <v>618</v>
      </c>
      <c r="D188" t="s">
        <v>619</v>
      </c>
      <c r="E188" t="s">
        <v>620</v>
      </c>
      <c r="F188" t="s">
        <v>621</v>
      </c>
      <c r="G188" t="s">
        <v>622</v>
      </c>
      <c r="H188" t="s">
        <v>623</v>
      </c>
      <c r="I188" t="s">
        <v>624</v>
      </c>
      <c r="J188" t="s">
        <v>629</v>
      </c>
      <c r="K188" t="s">
        <v>68</v>
      </c>
      <c r="L188" s="5">
        <v>43130.360995370371</v>
      </c>
      <c r="N188" s="2">
        <f>HYPERLINK(URLs!B36 &amp; 109909,109909)</f>
        <v>109909</v>
      </c>
      <c r="O188" t="s">
        <v>637</v>
      </c>
      <c r="P188" t="s">
        <v>621</v>
      </c>
      <c r="Q188" t="s">
        <v>4601</v>
      </c>
      <c r="R188" t="s">
        <v>67</v>
      </c>
      <c r="T188" t="s">
        <v>4166</v>
      </c>
      <c r="U188" t="s">
        <v>35</v>
      </c>
      <c r="V188" t="s">
        <v>35</v>
      </c>
      <c r="Z188" t="s">
        <v>73</v>
      </c>
      <c r="AC188" s="2"/>
      <c r="AH188" s="1"/>
      <c r="AJ188" s="2"/>
      <c r="AR188" s="2"/>
      <c r="AW188" s="1"/>
    </row>
    <row r="189" spans="1:65" hidden="1" x14ac:dyDescent="0.25">
      <c r="A189" s="2">
        <f>HYPERLINK(URLs!B36 &amp; 109625,109625)</f>
        <v>109625</v>
      </c>
      <c r="B189" s="2">
        <f>HYPERLINK(URLs!B30 &amp; 19511 &amp; URLs!B32,19511)</f>
        <v>19511</v>
      </c>
      <c r="C189" t="s">
        <v>633</v>
      </c>
      <c r="D189" t="s">
        <v>619</v>
      </c>
      <c r="E189" t="s">
        <v>620</v>
      </c>
      <c r="F189" t="s">
        <v>621</v>
      </c>
      <c r="G189" t="s">
        <v>627</v>
      </c>
      <c r="H189" t="s">
        <v>628</v>
      </c>
      <c r="I189" t="s">
        <v>624</v>
      </c>
      <c r="J189" t="s">
        <v>629</v>
      </c>
      <c r="K189" t="s">
        <v>68</v>
      </c>
      <c r="L189" s="5">
        <v>43130.086273148147</v>
      </c>
      <c r="M189" s="5">
        <v>43287.59851851852</v>
      </c>
      <c r="N189" s="2">
        <f>HYPERLINK(URLs!B36 &amp; 109625,109625)</f>
        <v>109625</v>
      </c>
      <c r="O189" t="s">
        <v>636</v>
      </c>
      <c r="P189" t="s">
        <v>621</v>
      </c>
      <c r="Q189" t="s">
        <v>4602</v>
      </c>
      <c r="R189" t="s">
        <v>319</v>
      </c>
      <c r="S189" t="s">
        <v>304</v>
      </c>
      <c r="T189" t="s">
        <v>4098</v>
      </c>
      <c r="U189" t="s">
        <v>4277</v>
      </c>
      <c r="V189" t="s">
        <v>35</v>
      </c>
      <c r="Z189" t="s">
        <v>34</v>
      </c>
      <c r="AC189" s="2"/>
      <c r="AJ189" s="2"/>
      <c r="AR189" s="2"/>
      <c r="BM189" s="1"/>
    </row>
    <row r="190" spans="1:65" x14ac:dyDescent="0.25">
      <c r="A190" s="2"/>
      <c r="B190" s="2">
        <f>HYPERLINK(URLs!B30 &amp; 19499 &amp; URLs!B32,19499)</f>
        <v>19499</v>
      </c>
      <c r="C190" t="s">
        <v>618</v>
      </c>
      <c r="D190" t="s">
        <v>619</v>
      </c>
      <c r="E190" t="s">
        <v>620</v>
      </c>
      <c r="F190" t="s">
        <v>621</v>
      </c>
      <c r="G190" t="s">
        <v>622</v>
      </c>
      <c r="H190" t="s">
        <v>623</v>
      </c>
      <c r="I190" t="s">
        <v>624</v>
      </c>
      <c r="J190" t="s">
        <v>625</v>
      </c>
      <c r="L190" s="5">
        <v>43126.608263888891</v>
      </c>
      <c r="N190" s="2">
        <f>HYPERLINK(URLs!B37 &amp; 228909,228909)</f>
        <v>228909</v>
      </c>
      <c r="O190" t="s">
        <v>637</v>
      </c>
      <c r="P190" t="s">
        <v>621</v>
      </c>
      <c r="Q190" t="s">
        <v>4548</v>
      </c>
      <c r="AC190" s="2"/>
      <c r="AH190" s="1"/>
      <c r="AJ190" s="2"/>
      <c r="AR190" s="2"/>
      <c r="AW190" s="1"/>
      <c r="BM190" s="1"/>
    </row>
    <row r="191" spans="1:65" hidden="1" x14ac:dyDescent="0.25">
      <c r="A191" s="2"/>
      <c r="B191" s="2">
        <f>HYPERLINK(URLs!B30 &amp; 19490 &amp; URLs!B32,19490)</f>
        <v>19490</v>
      </c>
      <c r="C191" t="s">
        <v>665</v>
      </c>
      <c r="D191" t="s">
        <v>619</v>
      </c>
      <c r="E191" t="s">
        <v>850</v>
      </c>
      <c r="F191" t="s">
        <v>621</v>
      </c>
      <c r="G191" t="s">
        <v>889</v>
      </c>
      <c r="H191" t="s">
        <v>890</v>
      </c>
      <c r="I191" t="s">
        <v>624</v>
      </c>
      <c r="J191" t="s">
        <v>625</v>
      </c>
      <c r="L191" s="5">
        <v>43125.532812500001</v>
      </c>
      <c r="M191" s="5">
        <v>43395.590277777781</v>
      </c>
      <c r="N191" s="2">
        <f>HYPERLINK(URLs!B36 &amp; 94325,94325)</f>
        <v>94325</v>
      </c>
      <c r="O191" t="s">
        <v>645</v>
      </c>
      <c r="P191" t="s">
        <v>621</v>
      </c>
      <c r="Q191" t="s">
        <v>4549</v>
      </c>
      <c r="W191">
        <v>1</v>
      </c>
      <c r="X191">
        <v>1</v>
      </c>
      <c r="Y191">
        <v>1</v>
      </c>
      <c r="AC191" s="2"/>
      <c r="AH191" s="1"/>
      <c r="AJ191" s="2"/>
      <c r="AR191" s="2"/>
      <c r="AW191" s="1"/>
      <c r="BM191" s="1"/>
    </row>
    <row r="192" spans="1:65" hidden="1" x14ac:dyDescent="0.25">
      <c r="A192" s="2"/>
      <c r="B192" s="2">
        <f>HYPERLINK(URLs!B30 &amp; 19489 &amp; URLs!B32,19489)</f>
        <v>19489</v>
      </c>
      <c r="C192" t="s">
        <v>633</v>
      </c>
      <c r="D192" t="s">
        <v>619</v>
      </c>
      <c r="E192" t="s">
        <v>620</v>
      </c>
      <c r="F192" t="s">
        <v>621</v>
      </c>
      <c r="G192" t="s">
        <v>622</v>
      </c>
      <c r="H192" t="s">
        <v>623</v>
      </c>
      <c r="I192" t="s">
        <v>624</v>
      </c>
      <c r="J192" t="s">
        <v>629</v>
      </c>
      <c r="L192" s="5">
        <v>43125.390509259261</v>
      </c>
      <c r="M192" s="5">
        <v>43143.636261574073</v>
      </c>
      <c r="N192" t="s">
        <v>621</v>
      </c>
      <c r="O192" t="s">
        <v>636</v>
      </c>
      <c r="P192" t="s">
        <v>621</v>
      </c>
      <c r="Q192" t="s">
        <v>4603</v>
      </c>
      <c r="AC192" s="2"/>
      <c r="AH192" s="1"/>
      <c r="AJ192" s="2"/>
      <c r="AR192" s="2"/>
      <c r="AW192" s="1"/>
      <c r="BM192" s="1"/>
    </row>
    <row r="193" spans="1:65" hidden="1" x14ac:dyDescent="0.25">
      <c r="A193" s="2"/>
      <c r="B193" s="2">
        <f>HYPERLINK(URLs!B30 &amp; 19486 &amp; URLs!B32,19486)</f>
        <v>19486</v>
      </c>
      <c r="C193" t="s">
        <v>665</v>
      </c>
      <c r="D193" t="s">
        <v>619</v>
      </c>
      <c r="E193" t="s">
        <v>850</v>
      </c>
      <c r="F193" t="s">
        <v>621</v>
      </c>
      <c r="G193" t="s">
        <v>855</v>
      </c>
      <c r="H193" t="s">
        <v>856</v>
      </c>
      <c r="I193" t="s">
        <v>624</v>
      </c>
      <c r="J193" t="s">
        <v>625</v>
      </c>
      <c r="L193" s="5">
        <v>43125.229108796295</v>
      </c>
      <c r="M193" s="5">
        <v>43332.350694444445</v>
      </c>
      <c r="N193" s="2">
        <f>HYPERLINK(URLs!B36 &amp; 109365,109365)</f>
        <v>109365</v>
      </c>
      <c r="O193" t="s">
        <v>636</v>
      </c>
      <c r="P193" t="s">
        <v>621</v>
      </c>
      <c r="Q193" t="s">
        <v>4550</v>
      </c>
      <c r="R193" t="s">
        <v>305</v>
      </c>
      <c r="W193">
        <v>1</v>
      </c>
      <c r="AC193" s="2"/>
      <c r="AH193" s="1"/>
      <c r="AJ193" s="2"/>
      <c r="AR193" s="2"/>
      <c r="AW193" s="1"/>
      <c r="BM193" s="1"/>
    </row>
    <row r="194" spans="1:65" hidden="1" x14ac:dyDescent="0.25">
      <c r="A194" s="2"/>
      <c r="B194" s="2">
        <f>HYPERLINK(URLs!B30 &amp; 19485 &amp; URLs!B32,19485)</f>
        <v>19485</v>
      </c>
      <c r="C194" t="s">
        <v>633</v>
      </c>
      <c r="D194" t="s">
        <v>619</v>
      </c>
      <c r="E194" t="s">
        <v>850</v>
      </c>
      <c r="F194" t="s">
        <v>621</v>
      </c>
      <c r="G194" t="s">
        <v>855</v>
      </c>
      <c r="H194" t="s">
        <v>856</v>
      </c>
      <c r="I194" t="s">
        <v>624</v>
      </c>
      <c r="J194" t="s">
        <v>642</v>
      </c>
      <c r="L194" s="5">
        <v>43125.141805555555</v>
      </c>
      <c r="M194" s="5">
        <v>43235.254571759258</v>
      </c>
      <c r="N194" t="s">
        <v>621</v>
      </c>
      <c r="O194" t="s">
        <v>636</v>
      </c>
      <c r="P194" t="s">
        <v>621</v>
      </c>
      <c r="Q194" t="s">
        <v>4551</v>
      </c>
      <c r="R194" t="s">
        <v>305</v>
      </c>
      <c r="AC194" s="2"/>
      <c r="AH194" s="1"/>
      <c r="AJ194" s="2"/>
      <c r="AR194" s="2"/>
      <c r="AW194" s="1"/>
      <c r="BM194" s="1"/>
    </row>
    <row r="195" spans="1:65" hidden="1" x14ac:dyDescent="0.25">
      <c r="A195" s="2">
        <f>HYPERLINK(URLs!B36 &amp; 109739,109739)</f>
        <v>109739</v>
      </c>
      <c r="B195" s="2">
        <f>HYPERLINK(URLs!B30 &amp; 19482 &amp; URLs!B32,19482)</f>
        <v>19482</v>
      </c>
      <c r="C195" t="s">
        <v>618</v>
      </c>
      <c r="D195" t="s">
        <v>619</v>
      </c>
      <c r="E195" t="s">
        <v>620</v>
      </c>
      <c r="F195" t="s">
        <v>621</v>
      </c>
      <c r="G195" t="s">
        <v>627</v>
      </c>
      <c r="H195" t="s">
        <v>628</v>
      </c>
      <c r="I195" t="s">
        <v>624</v>
      </c>
      <c r="J195" t="s">
        <v>625</v>
      </c>
      <c r="K195" t="s">
        <v>31</v>
      </c>
      <c r="L195" s="5">
        <v>43124.419502314813</v>
      </c>
      <c r="N195" s="2">
        <f>HYPERLINK(URLs!B36 &amp; 110115,110115)</f>
        <v>110115</v>
      </c>
      <c r="O195" t="s">
        <v>1360</v>
      </c>
      <c r="P195" t="s">
        <v>621</v>
      </c>
      <c r="Q195" t="s">
        <v>4552</v>
      </c>
      <c r="R195" t="s">
        <v>319</v>
      </c>
      <c r="S195" t="s">
        <v>304</v>
      </c>
      <c r="T195" t="s">
        <v>5001</v>
      </c>
      <c r="U195" t="s">
        <v>5023</v>
      </c>
      <c r="V195" t="s">
        <v>321</v>
      </c>
      <c r="Z195" t="s">
        <v>408</v>
      </c>
      <c r="AH195" s="1"/>
      <c r="AJ195" s="2"/>
      <c r="AW195" s="1"/>
      <c r="BM195" s="1"/>
    </row>
    <row r="196" spans="1:65" hidden="1" x14ac:dyDescent="0.25">
      <c r="A196" s="2"/>
      <c r="B196" s="2">
        <f>HYPERLINK(URLs!B30 &amp; 19462 &amp; URLs!B32,19462)</f>
        <v>19462</v>
      </c>
      <c r="C196" t="s">
        <v>618</v>
      </c>
      <c r="D196" t="s">
        <v>619</v>
      </c>
      <c r="E196" t="s">
        <v>850</v>
      </c>
      <c r="F196" t="s">
        <v>621</v>
      </c>
      <c r="G196" t="s">
        <v>855</v>
      </c>
      <c r="H196" t="s">
        <v>856</v>
      </c>
      <c r="I196" t="s">
        <v>624</v>
      </c>
      <c r="J196" t="s">
        <v>625</v>
      </c>
      <c r="L196" s="5">
        <v>43123.255682870367</v>
      </c>
      <c r="N196" s="2">
        <f>HYPERLINK(URLs!B36 &amp; 109626,109626)</f>
        <v>109626</v>
      </c>
      <c r="O196" t="s">
        <v>637</v>
      </c>
      <c r="P196" t="s">
        <v>621</v>
      </c>
      <c r="Q196" t="s">
        <v>4702</v>
      </c>
      <c r="R196" t="s">
        <v>319</v>
      </c>
      <c r="AC196" s="2"/>
      <c r="AH196" s="1"/>
      <c r="AJ196" s="2"/>
      <c r="AR196" s="2"/>
      <c r="AW196" s="1"/>
    </row>
    <row r="197" spans="1:65" hidden="1" x14ac:dyDescent="0.25">
      <c r="A197" s="2"/>
      <c r="B197" s="2">
        <f>HYPERLINK(URLs!B30 &amp; 19461 &amp; URLs!B32,19461)</f>
        <v>19461</v>
      </c>
      <c r="C197" t="s">
        <v>633</v>
      </c>
      <c r="D197" t="s">
        <v>619</v>
      </c>
      <c r="E197" t="s">
        <v>850</v>
      </c>
      <c r="F197" t="s">
        <v>621</v>
      </c>
      <c r="G197" t="s">
        <v>855</v>
      </c>
      <c r="H197" t="s">
        <v>856</v>
      </c>
      <c r="I197" t="s">
        <v>624</v>
      </c>
      <c r="J197" t="s">
        <v>629</v>
      </c>
      <c r="L197" s="5">
        <v>43123.205787037034</v>
      </c>
      <c r="M197" s="5">
        <v>43332.266215277778</v>
      </c>
      <c r="N197" s="2">
        <f>HYPERLINK(URLs!B36 &amp; 109500,109500)</f>
        <v>109500</v>
      </c>
      <c r="O197" t="s">
        <v>636</v>
      </c>
      <c r="P197" t="s">
        <v>621</v>
      </c>
      <c r="Q197" t="s">
        <v>4553</v>
      </c>
      <c r="R197" t="s">
        <v>305</v>
      </c>
      <c r="AC197" s="2"/>
      <c r="AJ197" s="2"/>
      <c r="AR197" s="2"/>
      <c r="BM197" s="1"/>
    </row>
    <row r="198" spans="1:65" hidden="1" x14ac:dyDescent="0.25">
      <c r="A198" s="2">
        <f>HYPERLINK(URLs!B36 &amp; 106714,106714)</f>
        <v>106714</v>
      </c>
      <c r="B198" s="2">
        <f>HYPERLINK(URLs!B30 &amp; 19460 &amp; URLs!B32,19460)</f>
        <v>19460</v>
      </c>
      <c r="C198" t="s">
        <v>665</v>
      </c>
      <c r="D198" t="s">
        <v>619</v>
      </c>
      <c r="E198" t="s">
        <v>850</v>
      </c>
      <c r="F198" t="s">
        <v>621</v>
      </c>
      <c r="G198" t="s">
        <v>851</v>
      </c>
      <c r="H198" t="s">
        <v>859</v>
      </c>
      <c r="I198" t="s">
        <v>624</v>
      </c>
      <c r="J198" t="s">
        <v>629</v>
      </c>
      <c r="K198" t="s">
        <v>68</v>
      </c>
      <c r="L198" s="5">
        <v>43123.163773148146</v>
      </c>
      <c r="M198" s="5">
        <v>43332.347916666666</v>
      </c>
      <c r="N198" s="2">
        <f>HYPERLINK(URLs!B36 &amp; 106714,106714)</f>
        <v>106714</v>
      </c>
      <c r="O198" t="s">
        <v>636</v>
      </c>
      <c r="P198" t="s">
        <v>621</v>
      </c>
      <c r="Q198" t="s">
        <v>4554</v>
      </c>
      <c r="R198" t="s">
        <v>319</v>
      </c>
      <c r="S198" t="s">
        <v>304</v>
      </c>
      <c r="T198" t="s">
        <v>3915</v>
      </c>
      <c r="U198" t="s">
        <v>35</v>
      </c>
      <c r="V198" t="s">
        <v>35</v>
      </c>
      <c r="W198">
        <v>1</v>
      </c>
      <c r="Z198" t="s">
        <v>34</v>
      </c>
      <c r="AC198" s="2"/>
      <c r="AH198" s="1"/>
      <c r="AJ198" s="2"/>
      <c r="AR198" s="2"/>
      <c r="AW198" s="1"/>
      <c r="BM198" s="1"/>
    </row>
    <row r="199" spans="1:65" x14ac:dyDescent="0.25">
      <c r="A199" s="2">
        <f>HYPERLINK(URLs!B36 &amp; 109646,109646)</f>
        <v>109646</v>
      </c>
      <c r="B199" s="2">
        <f>HYPERLINK(URLs!B30 &amp; 19457 &amp; URLs!B32,19457)</f>
        <v>19457</v>
      </c>
      <c r="C199" t="s">
        <v>641</v>
      </c>
      <c r="D199" t="s">
        <v>619</v>
      </c>
      <c r="E199" t="s">
        <v>620</v>
      </c>
      <c r="F199" t="s">
        <v>621</v>
      </c>
      <c r="G199" t="s">
        <v>631</v>
      </c>
      <c r="H199" t="s">
        <v>632</v>
      </c>
      <c r="I199" t="s">
        <v>624</v>
      </c>
      <c r="J199" t="s">
        <v>629</v>
      </c>
      <c r="K199" t="s">
        <v>31</v>
      </c>
      <c r="L199" s="5">
        <v>43123.069374999999</v>
      </c>
      <c r="N199" s="2">
        <f>HYPERLINK(URLs!B36 &amp; 109826,109826)</f>
        <v>109826</v>
      </c>
      <c r="O199" t="s">
        <v>637</v>
      </c>
      <c r="P199" t="s">
        <v>621</v>
      </c>
      <c r="Q199" t="s">
        <v>4604</v>
      </c>
      <c r="R199" t="s">
        <v>67</v>
      </c>
      <c r="T199" t="s">
        <v>4098</v>
      </c>
      <c r="U199" t="s">
        <v>35</v>
      </c>
      <c r="V199" t="s">
        <v>35</v>
      </c>
      <c r="Z199" t="s">
        <v>73</v>
      </c>
      <c r="AC199" s="2"/>
      <c r="AH199" s="1"/>
      <c r="AJ199" s="2"/>
      <c r="AR199" s="2"/>
      <c r="AW199" s="1"/>
      <c r="BM199" s="1"/>
    </row>
    <row r="200" spans="1:65" hidden="1" x14ac:dyDescent="0.25">
      <c r="A200" s="2">
        <f>HYPERLINK(URLs!B36 &amp; 109645,109645)</f>
        <v>109645</v>
      </c>
      <c r="B200" s="2">
        <f>HYPERLINK(URLs!B30 &amp; 19456 &amp; URLs!B32,19456)</f>
        <v>19456</v>
      </c>
      <c r="C200" t="s">
        <v>618</v>
      </c>
      <c r="D200" t="s">
        <v>619</v>
      </c>
      <c r="E200" t="s">
        <v>620</v>
      </c>
      <c r="F200" t="s">
        <v>621</v>
      </c>
      <c r="G200" t="s">
        <v>631</v>
      </c>
      <c r="H200" t="s">
        <v>632</v>
      </c>
      <c r="I200" t="s">
        <v>624</v>
      </c>
      <c r="J200" t="s">
        <v>629</v>
      </c>
      <c r="K200" t="s">
        <v>31</v>
      </c>
      <c r="L200" s="5">
        <v>43123.046747685185</v>
      </c>
      <c r="N200" s="2">
        <f>HYPERLINK(URLs!B36 &amp; 109824,109824)</f>
        <v>109824</v>
      </c>
      <c r="O200" t="s">
        <v>1360</v>
      </c>
      <c r="P200" t="s">
        <v>621</v>
      </c>
      <c r="Q200" t="s">
        <v>4605</v>
      </c>
      <c r="R200" t="s">
        <v>319</v>
      </c>
      <c r="S200" t="s">
        <v>304</v>
      </c>
      <c r="T200" t="s">
        <v>4171</v>
      </c>
      <c r="U200" t="s">
        <v>35</v>
      </c>
      <c r="V200" t="s">
        <v>35</v>
      </c>
      <c r="Z200" t="s">
        <v>96</v>
      </c>
      <c r="AC200" s="2"/>
      <c r="AH200" s="1"/>
      <c r="AJ200" s="2"/>
      <c r="AR200" s="2"/>
      <c r="AW200" s="1"/>
      <c r="BM200" s="1"/>
    </row>
    <row r="201" spans="1:65" hidden="1" x14ac:dyDescent="0.25">
      <c r="A201" s="2">
        <f>HYPERLINK(URLs!B36 &amp; 109547,109547)</f>
        <v>109547</v>
      </c>
      <c r="B201" s="2">
        <f>HYPERLINK(URLs!B30 &amp; 19435 &amp; URLs!B32,19435)</f>
        <v>19435</v>
      </c>
      <c r="C201" t="s">
        <v>665</v>
      </c>
      <c r="D201" t="s">
        <v>619</v>
      </c>
      <c r="E201" t="s">
        <v>620</v>
      </c>
      <c r="F201" t="s">
        <v>621</v>
      </c>
      <c r="G201" t="s">
        <v>631</v>
      </c>
      <c r="H201" t="s">
        <v>632</v>
      </c>
      <c r="I201" t="s">
        <v>624</v>
      </c>
      <c r="J201" t="s">
        <v>629</v>
      </c>
      <c r="K201" t="s">
        <v>31</v>
      </c>
      <c r="L201" s="5">
        <v>43118.796689814815</v>
      </c>
      <c r="M201" s="5">
        <v>43287.597407407404</v>
      </c>
      <c r="N201" s="2">
        <f>HYPERLINK(URLs!B36 &amp; 98755,98755)</f>
        <v>98755</v>
      </c>
      <c r="O201" t="s">
        <v>636</v>
      </c>
      <c r="P201" t="s">
        <v>621</v>
      </c>
      <c r="Q201" t="s">
        <v>4606</v>
      </c>
      <c r="R201" t="s">
        <v>305</v>
      </c>
      <c r="S201" t="s">
        <v>353</v>
      </c>
      <c r="T201" t="s">
        <v>307</v>
      </c>
      <c r="U201" t="s">
        <v>35</v>
      </c>
      <c r="V201" t="s">
        <v>35</v>
      </c>
      <c r="Z201" t="s">
        <v>73</v>
      </c>
      <c r="AC201" s="2"/>
      <c r="AH201" s="1"/>
      <c r="AJ201" s="2"/>
      <c r="AR201" s="2"/>
      <c r="AW201" s="1"/>
      <c r="BM201" s="1"/>
    </row>
    <row r="202" spans="1:65" hidden="1" x14ac:dyDescent="0.25">
      <c r="A202" s="2"/>
      <c r="B202" s="2">
        <f>HYPERLINK(URLs!B30 &amp; 19427 &amp; URLs!B32,19427)</f>
        <v>19427</v>
      </c>
      <c r="C202" t="s">
        <v>633</v>
      </c>
      <c r="D202" t="s">
        <v>619</v>
      </c>
      <c r="E202" t="s">
        <v>850</v>
      </c>
      <c r="F202" t="s">
        <v>621</v>
      </c>
      <c r="G202" t="s">
        <v>858</v>
      </c>
      <c r="H202" t="s">
        <v>859</v>
      </c>
      <c r="I202" t="s">
        <v>624</v>
      </c>
      <c r="J202" t="s">
        <v>642</v>
      </c>
      <c r="L202" s="5">
        <v>43118.354687500003</v>
      </c>
      <c r="M202" s="5">
        <v>43377.387337962966</v>
      </c>
      <c r="N202" s="2">
        <f>HYPERLINK(URLs!B36 &amp; 109423,109423)</f>
        <v>109423</v>
      </c>
      <c r="O202" t="s">
        <v>636</v>
      </c>
      <c r="P202" t="s">
        <v>630</v>
      </c>
      <c r="Q202" t="s">
        <v>4555</v>
      </c>
      <c r="AC202" s="2"/>
      <c r="AH202" s="1"/>
      <c r="AJ202" s="2"/>
      <c r="AR202" s="2"/>
      <c r="AW202" s="1"/>
      <c r="BM202" s="1"/>
    </row>
    <row r="203" spans="1:65" hidden="1" x14ac:dyDescent="0.25">
      <c r="A203" s="2"/>
      <c r="B203" s="2">
        <f>HYPERLINK(URLs!B30 &amp; 19424 &amp; URLs!B32,19424)</f>
        <v>19424</v>
      </c>
      <c r="C203" t="s">
        <v>641</v>
      </c>
      <c r="D203" t="s">
        <v>619</v>
      </c>
      <c r="E203" t="s">
        <v>620</v>
      </c>
      <c r="F203" t="s">
        <v>621</v>
      </c>
      <c r="G203" t="s">
        <v>627</v>
      </c>
      <c r="H203" t="s">
        <v>628</v>
      </c>
      <c r="I203" t="s">
        <v>624</v>
      </c>
      <c r="J203" t="s">
        <v>625</v>
      </c>
      <c r="L203" s="5">
        <v>43118.147094907406</v>
      </c>
      <c r="N203" s="2">
        <f>HYPERLINK(URLs!B37 &amp; 228736,228736)</f>
        <v>228736</v>
      </c>
      <c r="O203" t="s">
        <v>1360</v>
      </c>
      <c r="P203" t="s">
        <v>621</v>
      </c>
      <c r="Q203" t="s">
        <v>4556</v>
      </c>
      <c r="R203" t="s">
        <v>319</v>
      </c>
      <c r="AC203" s="2"/>
      <c r="AH203" s="1"/>
      <c r="AJ203" s="2"/>
      <c r="AR203" s="2"/>
      <c r="AW203" s="1"/>
      <c r="BM203" s="1"/>
    </row>
    <row r="204" spans="1:65" hidden="1" x14ac:dyDescent="0.25">
      <c r="A204" s="2"/>
      <c r="B204" s="2">
        <f>HYPERLINK(URLs!B30 &amp; 19421 &amp; URLs!B32,19421)</f>
        <v>19421</v>
      </c>
      <c r="C204" t="s">
        <v>633</v>
      </c>
      <c r="D204" t="s">
        <v>619</v>
      </c>
      <c r="E204" t="s">
        <v>620</v>
      </c>
      <c r="F204" t="s">
        <v>621</v>
      </c>
      <c r="G204" t="s">
        <v>622</v>
      </c>
      <c r="H204" t="s">
        <v>623</v>
      </c>
      <c r="I204" t="s">
        <v>624</v>
      </c>
      <c r="J204" t="s">
        <v>625</v>
      </c>
      <c r="L204" s="5">
        <v>43117.417731481481</v>
      </c>
      <c r="M204" s="5">
        <v>43287.586215277777</v>
      </c>
      <c r="N204" s="2">
        <f>HYPERLINK(URLs!B37 &amp; 228008,228008)</f>
        <v>228008</v>
      </c>
      <c r="O204" t="s">
        <v>636</v>
      </c>
      <c r="P204" t="s">
        <v>621</v>
      </c>
      <c r="Q204" t="s">
        <v>4607</v>
      </c>
      <c r="R204" t="s">
        <v>305</v>
      </c>
      <c r="AC204" s="2"/>
      <c r="AH204" s="1"/>
      <c r="AJ204" s="2"/>
      <c r="AR204" s="2"/>
      <c r="AW204" s="1"/>
      <c r="BM204" s="1"/>
    </row>
    <row r="205" spans="1:65" hidden="1" x14ac:dyDescent="0.25">
      <c r="A205" s="2"/>
      <c r="B205" s="2">
        <f>HYPERLINK(URLs!B30 &amp; 19420 &amp; URLs!B32,19420)</f>
        <v>19420</v>
      </c>
      <c r="C205" t="s">
        <v>665</v>
      </c>
      <c r="D205" t="s">
        <v>619</v>
      </c>
      <c r="E205" t="s">
        <v>850</v>
      </c>
      <c r="F205" t="s">
        <v>621</v>
      </c>
      <c r="G205" t="s">
        <v>853</v>
      </c>
      <c r="H205" t="s">
        <v>876</v>
      </c>
      <c r="I205" t="s">
        <v>624</v>
      </c>
      <c r="J205" t="s">
        <v>625</v>
      </c>
      <c r="L205" s="5">
        <v>43117.282986111109</v>
      </c>
      <c r="M205" s="5">
        <v>43398.70208333333</v>
      </c>
      <c r="N205" s="2">
        <f>HYPERLINK(URLs!B36 &amp; 106559,106559)</f>
        <v>106559</v>
      </c>
      <c r="O205" t="s">
        <v>636</v>
      </c>
      <c r="P205" t="s">
        <v>621</v>
      </c>
      <c r="Q205" t="s">
        <v>4557</v>
      </c>
      <c r="R205" t="s">
        <v>42</v>
      </c>
      <c r="W205">
        <v>1</v>
      </c>
      <c r="X205">
        <v>1</v>
      </c>
      <c r="Y205">
        <v>1</v>
      </c>
      <c r="AC205" s="2"/>
      <c r="AH205" s="1"/>
      <c r="AJ205" s="2"/>
      <c r="AR205" s="2"/>
      <c r="AW205" s="1"/>
      <c r="BM205" s="1"/>
    </row>
    <row r="206" spans="1:65" hidden="1" x14ac:dyDescent="0.25">
      <c r="A206" s="2">
        <f>HYPERLINK(URLs!B36 &amp; 109589,109589)</f>
        <v>109589</v>
      </c>
      <c r="B206" s="2">
        <f>HYPERLINK(URLs!B30 &amp; 19419 &amp; URLs!B32,19419)</f>
        <v>19419</v>
      </c>
      <c r="C206" t="s">
        <v>665</v>
      </c>
      <c r="D206" t="s">
        <v>619</v>
      </c>
      <c r="E206" t="s">
        <v>620</v>
      </c>
      <c r="F206" t="s">
        <v>621</v>
      </c>
      <c r="G206" t="s">
        <v>627</v>
      </c>
      <c r="H206" t="s">
        <v>628</v>
      </c>
      <c r="I206" t="s">
        <v>624</v>
      </c>
      <c r="J206" t="s">
        <v>625</v>
      </c>
      <c r="K206" t="s">
        <v>31</v>
      </c>
      <c r="L206" s="5">
        <v>43117.1955787037</v>
      </c>
      <c r="M206" s="5">
        <v>43287.654166666667</v>
      </c>
      <c r="N206" s="2">
        <f>HYPERLINK(URLs!B36 &amp; 109590,109590)</f>
        <v>109590</v>
      </c>
      <c r="O206" t="s">
        <v>636</v>
      </c>
      <c r="P206" t="s">
        <v>621</v>
      </c>
      <c r="Q206" t="s">
        <v>4608</v>
      </c>
      <c r="R206" t="s">
        <v>305</v>
      </c>
      <c r="S206" t="s">
        <v>304</v>
      </c>
      <c r="T206" t="s">
        <v>4176</v>
      </c>
      <c r="U206" t="s">
        <v>4249</v>
      </c>
      <c r="V206" t="s">
        <v>321</v>
      </c>
      <c r="Z206" t="s">
        <v>34</v>
      </c>
      <c r="AC206" s="2"/>
      <c r="AH206" s="1"/>
      <c r="AJ206" s="2"/>
      <c r="AR206" s="2"/>
      <c r="AW206" s="1"/>
      <c r="BM206" s="1"/>
    </row>
    <row r="207" spans="1:65" x14ac:dyDescent="0.25">
      <c r="A207" s="2">
        <f>HYPERLINK(URLs!B36 &amp; 109478,109478)</f>
        <v>109478</v>
      </c>
      <c r="B207" s="2">
        <f>HYPERLINK(URLs!B30 &amp; 19418 &amp; URLs!B32,19418)</f>
        <v>19418</v>
      </c>
      <c r="C207" t="s">
        <v>618</v>
      </c>
      <c r="D207" t="s">
        <v>619</v>
      </c>
      <c r="E207" t="s">
        <v>620</v>
      </c>
      <c r="F207" t="s">
        <v>621</v>
      </c>
      <c r="G207" t="s">
        <v>627</v>
      </c>
      <c r="H207" t="s">
        <v>628</v>
      </c>
      <c r="I207" t="s">
        <v>624</v>
      </c>
      <c r="J207" t="s">
        <v>642</v>
      </c>
      <c r="K207" t="s">
        <v>31</v>
      </c>
      <c r="L207" s="5">
        <v>43117.184004629627</v>
      </c>
      <c r="N207" s="2">
        <f>HYPERLINK(URLs!B36 &amp; 109624,109624)</f>
        <v>109624</v>
      </c>
      <c r="O207" t="s">
        <v>637</v>
      </c>
      <c r="P207" t="s">
        <v>621</v>
      </c>
      <c r="Q207" t="s">
        <v>4609</v>
      </c>
      <c r="R207" t="s">
        <v>305</v>
      </c>
      <c r="S207" t="s">
        <v>337</v>
      </c>
      <c r="T207" t="s">
        <v>307</v>
      </c>
      <c r="U207" t="s">
        <v>35</v>
      </c>
      <c r="V207" t="s">
        <v>35</v>
      </c>
      <c r="Z207" t="s">
        <v>195</v>
      </c>
      <c r="AC207" s="2"/>
      <c r="AH207" s="1"/>
      <c r="AJ207" s="2"/>
      <c r="AR207" s="2"/>
      <c r="AW207" s="1"/>
      <c r="BM207" s="1"/>
    </row>
    <row r="208" spans="1:65" hidden="1" x14ac:dyDescent="0.25">
      <c r="A208" s="2">
        <f>HYPERLINK(URLs!B36 &amp; 100520,100520)</f>
        <v>100520</v>
      </c>
      <c r="B208" s="2">
        <f>HYPERLINK(URLs!B30 &amp; 19411 &amp; URLs!B32,19411)</f>
        <v>19411</v>
      </c>
      <c r="C208" t="s">
        <v>633</v>
      </c>
      <c r="D208" t="s">
        <v>619</v>
      </c>
      <c r="E208" t="s">
        <v>620</v>
      </c>
      <c r="F208" t="s">
        <v>621</v>
      </c>
      <c r="G208" t="s">
        <v>627</v>
      </c>
      <c r="H208" t="s">
        <v>628</v>
      </c>
      <c r="I208" t="s">
        <v>624</v>
      </c>
      <c r="J208" t="s">
        <v>642</v>
      </c>
      <c r="K208" t="s">
        <v>68</v>
      </c>
      <c r="L208" s="5">
        <v>43115.486967592595</v>
      </c>
      <c r="M208" s="5">
        <v>43287.436932870369</v>
      </c>
      <c r="N208" s="2">
        <f>HYPERLINK(URLs!B36 &amp; 109378,109378)</f>
        <v>109378</v>
      </c>
      <c r="O208" t="s">
        <v>636</v>
      </c>
      <c r="P208" t="s">
        <v>621</v>
      </c>
      <c r="Q208" t="s">
        <v>4610</v>
      </c>
      <c r="R208" t="s">
        <v>305</v>
      </c>
      <c r="S208" t="s">
        <v>304</v>
      </c>
      <c r="T208" t="s">
        <v>4143</v>
      </c>
      <c r="U208" t="s">
        <v>4284</v>
      </c>
      <c r="V208" t="s">
        <v>35</v>
      </c>
      <c r="Z208" t="s">
        <v>34</v>
      </c>
      <c r="AC208" s="2"/>
      <c r="AH208" s="1"/>
      <c r="AJ208" s="2"/>
      <c r="AR208" s="2"/>
      <c r="AW208" s="1"/>
      <c r="BM208" s="1"/>
    </row>
    <row r="209" spans="1:65" hidden="1" x14ac:dyDescent="0.25">
      <c r="A209" s="2">
        <f>HYPERLINK(URLs!B36 &amp; 109405,109405)</f>
        <v>109405</v>
      </c>
      <c r="B209" s="2">
        <f>HYPERLINK(URLs!B30 &amp; 19402 &amp; URLs!B32,19402)</f>
        <v>19402</v>
      </c>
      <c r="C209" t="s">
        <v>633</v>
      </c>
      <c r="D209" t="s">
        <v>619</v>
      </c>
      <c r="E209" t="s">
        <v>620</v>
      </c>
      <c r="F209" t="s">
        <v>621</v>
      </c>
      <c r="G209" t="s">
        <v>643</v>
      </c>
      <c r="H209" t="s">
        <v>644</v>
      </c>
      <c r="I209" t="s">
        <v>624</v>
      </c>
      <c r="J209" t="s">
        <v>625</v>
      </c>
      <c r="K209" t="s">
        <v>31</v>
      </c>
      <c r="L209" s="5">
        <v>43114.837083333332</v>
      </c>
      <c r="M209" s="5">
        <v>43287.435937499999</v>
      </c>
      <c r="N209" s="2">
        <f>HYPERLINK(URLs!B36 &amp; 102927,102927)</f>
        <v>102927</v>
      </c>
      <c r="O209" t="s">
        <v>636</v>
      </c>
      <c r="P209" t="s">
        <v>621</v>
      </c>
      <c r="Q209" t="s">
        <v>4611</v>
      </c>
      <c r="R209" t="s">
        <v>319</v>
      </c>
      <c r="S209" t="s">
        <v>304</v>
      </c>
      <c r="T209" t="s">
        <v>4098</v>
      </c>
      <c r="U209" t="s">
        <v>35</v>
      </c>
      <c r="V209" t="s">
        <v>321</v>
      </c>
      <c r="W209">
        <v>1</v>
      </c>
      <c r="Z209" t="s">
        <v>73</v>
      </c>
      <c r="AC209" s="2"/>
      <c r="AH209" s="1"/>
      <c r="AJ209" s="2"/>
      <c r="AR209" s="2"/>
      <c r="AW209" s="1"/>
      <c r="BM209" s="1"/>
    </row>
    <row r="210" spans="1:65" hidden="1" x14ac:dyDescent="0.25">
      <c r="A210" s="2">
        <f>HYPERLINK(URLs!B36 &amp; 93776,93776)</f>
        <v>93776</v>
      </c>
      <c r="B210" s="2">
        <f>HYPERLINK(URLs!B30 &amp; 19399 &amp; URLs!B32,19399)</f>
        <v>19399</v>
      </c>
      <c r="C210" t="s">
        <v>633</v>
      </c>
      <c r="D210" t="s">
        <v>619</v>
      </c>
      <c r="E210" t="s">
        <v>620</v>
      </c>
      <c r="F210" t="s">
        <v>621</v>
      </c>
      <c r="G210" t="s">
        <v>622</v>
      </c>
      <c r="H210" t="s">
        <v>623</v>
      </c>
      <c r="I210" t="s">
        <v>624</v>
      </c>
      <c r="J210" t="s">
        <v>625</v>
      </c>
      <c r="K210" t="s">
        <v>31</v>
      </c>
      <c r="L210" s="5">
        <v>43112.598530092589</v>
      </c>
      <c r="M210" s="5">
        <v>43255.729143518518</v>
      </c>
      <c r="N210" s="2">
        <f>HYPERLINK(URLs!B36 &amp; 110910,110910)</f>
        <v>110910</v>
      </c>
      <c r="O210" t="s">
        <v>636</v>
      </c>
      <c r="P210" t="s">
        <v>621</v>
      </c>
      <c r="Q210" t="s">
        <v>4612</v>
      </c>
      <c r="R210" t="s">
        <v>305</v>
      </c>
      <c r="S210" t="s">
        <v>337</v>
      </c>
      <c r="T210" t="s">
        <v>4156</v>
      </c>
      <c r="U210" t="s">
        <v>35</v>
      </c>
      <c r="V210" t="s">
        <v>321</v>
      </c>
      <c r="W210">
        <v>1</v>
      </c>
      <c r="Z210" t="s">
        <v>34</v>
      </c>
      <c r="AC210" s="2"/>
      <c r="AH210" s="1"/>
      <c r="AJ210" s="2"/>
      <c r="AR210" s="2"/>
      <c r="AW210" s="1"/>
      <c r="BM210" s="1"/>
    </row>
    <row r="211" spans="1:65" x14ac:dyDescent="0.25">
      <c r="A211" s="2">
        <f>HYPERLINK(URLs!B36 &amp; 109333,109333)</f>
        <v>109333</v>
      </c>
      <c r="B211" s="2">
        <f>HYPERLINK(URLs!B30 &amp; 19390 &amp; URLs!B32,19390)</f>
        <v>19390</v>
      </c>
      <c r="C211" t="s">
        <v>618</v>
      </c>
      <c r="D211" t="s">
        <v>619</v>
      </c>
      <c r="E211" t="s">
        <v>620</v>
      </c>
      <c r="F211" t="s">
        <v>621</v>
      </c>
      <c r="G211" t="s">
        <v>622</v>
      </c>
      <c r="H211" t="s">
        <v>623</v>
      </c>
      <c r="I211" t="s">
        <v>624</v>
      </c>
      <c r="J211" t="s">
        <v>625</v>
      </c>
      <c r="K211" t="s">
        <v>31</v>
      </c>
      <c r="L211" s="5">
        <v>43111.379189814812</v>
      </c>
      <c r="N211" s="2">
        <f>HYPERLINK(URLs!B36 &amp; 113462,113462)</f>
        <v>113462</v>
      </c>
      <c r="O211" t="s">
        <v>637</v>
      </c>
      <c r="P211" t="s">
        <v>621</v>
      </c>
      <c r="Q211" t="s">
        <v>4613</v>
      </c>
      <c r="R211" t="s">
        <v>42</v>
      </c>
      <c r="T211" t="s">
        <v>4098</v>
      </c>
      <c r="U211" t="s">
        <v>35</v>
      </c>
      <c r="V211" t="s">
        <v>35</v>
      </c>
      <c r="Z211" t="s">
        <v>73</v>
      </c>
      <c r="AC211" s="2"/>
      <c r="AH211" s="1"/>
      <c r="AJ211" s="2"/>
      <c r="AR211" s="2"/>
      <c r="AW211" s="1"/>
      <c r="BM211" s="1"/>
    </row>
    <row r="212" spans="1:65" hidden="1" x14ac:dyDescent="0.25">
      <c r="A212" s="2">
        <f>HYPERLINK(URLs!B36 &amp; 99851,99851)</f>
        <v>99851</v>
      </c>
      <c r="B212" s="2">
        <f>HYPERLINK(URLs!B30 &amp; 19381 &amp; URLs!B32,19381)</f>
        <v>19381</v>
      </c>
      <c r="C212" t="s">
        <v>665</v>
      </c>
      <c r="D212" t="s">
        <v>619</v>
      </c>
      <c r="E212" t="s">
        <v>620</v>
      </c>
      <c r="F212" t="s">
        <v>621</v>
      </c>
      <c r="G212" t="s">
        <v>622</v>
      </c>
      <c r="H212" t="s">
        <v>623</v>
      </c>
      <c r="I212" t="s">
        <v>624</v>
      </c>
      <c r="J212" t="s">
        <v>625</v>
      </c>
      <c r="K212" t="s">
        <v>31</v>
      </c>
      <c r="L212" s="5">
        <v>43109.565034722225</v>
      </c>
      <c r="M212" s="5">
        <v>43287.434965277775</v>
      </c>
      <c r="N212" s="2">
        <f>HYPERLINK(URLs!B36 &amp; 99851,99851)</f>
        <v>99851</v>
      </c>
      <c r="O212" t="s">
        <v>636</v>
      </c>
      <c r="P212" t="s">
        <v>621</v>
      </c>
      <c r="Q212" t="s">
        <v>4614</v>
      </c>
      <c r="R212" t="s">
        <v>319</v>
      </c>
      <c r="S212" t="s">
        <v>304</v>
      </c>
      <c r="T212" t="s">
        <v>69</v>
      </c>
      <c r="U212" t="s">
        <v>4014</v>
      </c>
      <c r="V212" t="s">
        <v>321</v>
      </c>
      <c r="Z212" t="s">
        <v>45</v>
      </c>
      <c r="AC212" s="2"/>
      <c r="AH212" s="1"/>
      <c r="AJ212" s="2"/>
      <c r="AR212" s="2"/>
      <c r="AW212" s="1"/>
      <c r="BM212" s="1"/>
    </row>
    <row r="213" spans="1:65" hidden="1" x14ac:dyDescent="0.25">
      <c r="A213" s="2"/>
      <c r="B213" s="2">
        <f>HYPERLINK(URLs!B30 &amp; 19369 &amp; URLs!B32,19369)</f>
        <v>19369</v>
      </c>
      <c r="C213" t="s">
        <v>665</v>
      </c>
      <c r="D213" t="s">
        <v>619</v>
      </c>
      <c r="E213" t="s">
        <v>850</v>
      </c>
      <c r="F213" t="s">
        <v>621</v>
      </c>
      <c r="G213" t="s">
        <v>875</v>
      </c>
      <c r="H213" t="s">
        <v>876</v>
      </c>
      <c r="I213" t="s">
        <v>624</v>
      </c>
      <c r="J213" t="s">
        <v>642</v>
      </c>
      <c r="L213" s="5">
        <v>43108.503923611112</v>
      </c>
      <c r="M213" s="5">
        <v>43234.718055555553</v>
      </c>
      <c r="N213" s="2">
        <f>HYPERLINK(URLs!B36 &amp; 109158,109158)</f>
        <v>109158</v>
      </c>
      <c r="O213" t="s">
        <v>636</v>
      </c>
      <c r="P213" t="s">
        <v>621</v>
      </c>
      <c r="Q213" t="s">
        <v>4558</v>
      </c>
      <c r="R213" t="s">
        <v>305</v>
      </c>
      <c r="AC213" s="2"/>
      <c r="AH213" s="1"/>
      <c r="AJ213" s="2"/>
      <c r="AR213" s="2"/>
      <c r="AW213" s="1"/>
      <c r="BM213" s="1"/>
    </row>
    <row r="214" spans="1:65" hidden="1" x14ac:dyDescent="0.25">
      <c r="A214" s="2"/>
      <c r="B214" s="2">
        <f>HYPERLINK(URLs!B30 &amp; 19364 &amp; URLs!B32,19364)</f>
        <v>19364</v>
      </c>
      <c r="C214" t="s">
        <v>665</v>
      </c>
      <c r="D214" t="s">
        <v>619</v>
      </c>
      <c r="E214" t="s">
        <v>850</v>
      </c>
      <c r="F214" t="s">
        <v>621</v>
      </c>
      <c r="G214" t="s">
        <v>889</v>
      </c>
      <c r="H214" t="s">
        <v>890</v>
      </c>
      <c r="I214" t="s">
        <v>624</v>
      </c>
      <c r="J214" t="s">
        <v>629</v>
      </c>
      <c r="L214" s="5">
        <v>43105.412291666667</v>
      </c>
      <c r="M214" s="5">
        <v>43266.506249999999</v>
      </c>
      <c r="N214" t="s">
        <v>621</v>
      </c>
      <c r="O214" t="s">
        <v>666</v>
      </c>
      <c r="P214" t="s">
        <v>630</v>
      </c>
      <c r="Q214" t="s">
        <v>4077</v>
      </c>
      <c r="AC214" s="2"/>
      <c r="AH214" s="1"/>
      <c r="AJ214" s="2"/>
      <c r="AR214" s="2"/>
      <c r="AW214" s="1"/>
      <c r="BM214" s="1"/>
    </row>
    <row r="215" spans="1:65" hidden="1" x14ac:dyDescent="0.25">
      <c r="A215" s="2"/>
      <c r="B215" s="2">
        <f>HYPERLINK(URLs!B30 &amp; 19362 &amp; URLs!B32,19362)</f>
        <v>19362</v>
      </c>
      <c r="C215" t="s">
        <v>633</v>
      </c>
      <c r="D215" t="s">
        <v>619</v>
      </c>
      <c r="E215" t="s">
        <v>850</v>
      </c>
      <c r="F215" t="s">
        <v>621</v>
      </c>
      <c r="G215" t="s">
        <v>889</v>
      </c>
      <c r="H215" t="s">
        <v>890</v>
      </c>
      <c r="I215" t="s">
        <v>624</v>
      </c>
      <c r="J215" t="s">
        <v>625</v>
      </c>
      <c r="L215" s="5">
        <v>43105.378946759258</v>
      </c>
      <c r="M215" s="5">
        <v>43234.416921296295</v>
      </c>
      <c r="N215" s="2">
        <f>HYPERLINK(URLs!B36 &amp; 104951,104951)</f>
        <v>104951</v>
      </c>
      <c r="O215" t="s">
        <v>636</v>
      </c>
      <c r="P215" t="s">
        <v>621</v>
      </c>
      <c r="Q215" t="s">
        <v>4078</v>
      </c>
      <c r="R215" t="s">
        <v>42</v>
      </c>
      <c r="AC215" s="2"/>
      <c r="AH215" s="1"/>
      <c r="AJ215" s="2"/>
      <c r="AR215" s="2"/>
      <c r="AW215" s="1"/>
      <c r="BM215" s="1"/>
    </row>
    <row r="216" spans="1:65" hidden="1" x14ac:dyDescent="0.25">
      <c r="A216" s="2">
        <f>HYPERLINK(URLs!B36 &amp; 109065,109065)</f>
        <v>109065</v>
      </c>
      <c r="B216" s="2">
        <f>HYPERLINK(URLs!B30 &amp; 19341 &amp; URLs!B32,19341)</f>
        <v>19341</v>
      </c>
      <c r="C216" t="s">
        <v>665</v>
      </c>
      <c r="D216" t="s">
        <v>619</v>
      </c>
      <c r="E216" t="s">
        <v>620</v>
      </c>
      <c r="F216" t="s">
        <v>621</v>
      </c>
      <c r="G216" t="s">
        <v>622</v>
      </c>
      <c r="H216" t="s">
        <v>623</v>
      </c>
      <c r="I216" t="s">
        <v>624</v>
      </c>
      <c r="J216" t="s">
        <v>625</v>
      </c>
      <c r="K216" t="s">
        <v>31</v>
      </c>
      <c r="L216" s="5">
        <v>43103.472511574073</v>
      </c>
      <c r="M216" s="5">
        <v>43287.509027777778</v>
      </c>
      <c r="N216" s="2">
        <f>HYPERLINK(URLs!B36 &amp; 109769,109769)</f>
        <v>109769</v>
      </c>
      <c r="O216" t="s">
        <v>636</v>
      </c>
      <c r="P216" t="s">
        <v>621</v>
      </c>
      <c r="Q216" t="s">
        <v>4615</v>
      </c>
      <c r="R216" t="s">
        <v>319</v>
      </c>
      <c r="S216" t="s">
        <v>304</v>
      </c>
      <c r="T216" t="s">
        <v>4171</v>
      </c>
      <c r="U216" t="s">
        <v>4277</v>
      </c>
      <c r="V216" t="s">
        <v>35</v>
      </c>
      <c r="Z216" t="s">
        <v>45</v>
      </c>
      <c r="AC216" s="2"/>
      <c r="AH216" s="1"/>
      <c r="AJ216" s="2"/>
      <c r="AR216" s="2"/>
      <c r="AW216" s="1"/>
    </row>
    <row r="217" spans="1:65" hidden="1" x14ac:dyDescent="0.25">
      <c r="A217" s="2">
        <f>HYPERLINK(URLs!B36 &amp; 108931,108931)</f>
        <v>108931</v>
      </c>
      <c r="B217" s="2">
        <f>HYPERLINK(URLs!B30 &amp; 19300 &amp; URLs!B32,19300)</f>
        <v>19300</v>
      </c>
      <c r="C217" t="s">
        <v>633</v>
      </c>
      <c r="D217" t="s">
        <v>619</v>
      </c>
      <c r="E217" t="s">
        <v>620</v>
      </c>
      <c r="F217" t="s">
        <v>621</v>
      </c>
      <c r="G217" t="s">
        <v>627</v>
      </c>
      <c r="H217" t="s">
        <v>628</v>
      </c>
      <c r="I217" t="s">
        <v>624</v>
      </c>
      <c r="J217" t="s">
        <v>629</v>
      </c>
      <c r="K217" t="s">
        <v>31</v>
      </c>
      <c r="L217" s="5">
        <v>43088.181909722225</v>
      </c>
      <c r="M217" s="5">
        <v>43287.424849537034</v>
      </c>
      <c r="N217" s="2">
        <f>HYPERLINK(URLs!B36 &amp; 109148,109148)</f>
        <v>109148</v>
      </c>
      <c r="O217" t="s">
        <v>636</v>
      </c>
      <c r="P217" t="s">
        <v>621</v>
      </c>
      <c r="Q217" t="s">
        <v>4616</v>
      </c>
      <c r="R217" t="s">
        <v>305</v>
      </c>
      <c r="S217" t="s">
        <v>304</v>
      </c>
      <c r="T217" t="s">
        <v>4171</v>
      </c>
      <c r="U217" t="s">
        <v>4058</v>
      </c>
      <c r="V217" t="s">
        <v>321</v>
      </c>
      <c r="Z217" t="s">
        <v>380</v>
      </c>
    </row>
    <row r="218" spans="1:65" hidden="1" x14ac:dyDescent="0.25">
      <c r="A218" s="2">
        <f>HYPERLINK(URLs!B36 &amp; 108810,108810)</f>
        <v>108810</v>
      </c>
      <c r="B218" s="2">
        <f>HYPERLINK(URLs!B30 &amp; 19291 &amp; URLs!B32,19291)</f>
        <v>19291</v>
      </c>
      <c r="C218" t="s">
        <v>618</v>
      </c>
      <c r="D218" t="s">
        <v>619</v>
      </c>
      <c r="E218" t="s">
        <v>620</v>
      </c>
      <c r="F218" t="s">
        <v>621</v>
      </c>
      <c r="G218" t="s">
        <v>631</v>
      </c>
      <c r="H218" t="s">
        <v>632</v>
      </c>
      <c r="I218" t="s">
        <v>624</v>
      </c>
      <c r="J218" t="s">
        <v>629</v>
      </c>
      <c r="K218" t="s">
        <v>31</v>
      </c>
      <c r="L218" s="5">
        <v>43086.763506944444</v>
      </c>
      <c r="N218" s="2">
        <f>HYPERLINK(URLs!B36 &amp; 108840,108840)</f>
        <v>108840</v>
      </c>
      <c r="O218" t="s">
        <v>1360</v>
      </c>
      <c r="P218" t="s">
        <v>621</v>
      </c>
      <c r="Q218" t="s">
        <v>4617</v>
      </c>
      <c r="R218" t="s">
        <v>42</v>
      </c>
      <c r="T218" t="s">
        <v>4098</v>
      </c>
      <c r="U218" t="s">
        <v>35</v>
      </c>
      <c r="V218" t="s">
        <v>35</v>
      </c>
      <c r="Z218" t="s">
        <v>73</v>
      </c>
      <c r="AI218" s="2"/>
    </row>
    <row r="219" spans="1:65" hidden="1" x14ac:dyDescent="0.25">
      <c r="A219" s="2"/>
      <c r="B219" s="2">
        <f>HYPERLINK(URLs!B30 &amp; 19272 &amp; URLs!B32,19272)</f>
        <v>19272</v>
      </c>
      <c r="C219" t="s">
        <v>665</v>
      </c>
      <c r="D219" t="s">
        <v>619</v>
      </c>
      <c r="E219" t="s">
        <v>850</v>
      </c>
      <c r="F219" t="s">
        <v>621</v>
      </c>
      <c r="G219" t="s">
        <v>886</v>
      </c>
      <c r="H219" t="s">
        <v>887</v>
      </c>
      <c r="I219" t="s">
        <v>624</v>
      </c>
      <c r="J219" t="s">
        <v>629</v>
      </c>
      <c r="L219" s="5">
        <v>43083.367812500001</v>
      </c>
      <c r="M219" s="5">
        <v>43354.680555555555</v>
      </c>
      <c r="N219" s="2">
        <f>HYPERLINK(URLs!B36 &amp; 108618,108618)</f>
        <v>108618</v>
      </c>
      <c r="O219" t="s">
        <v>636</v>
      </c>
      <c r="P219" t="s">
        <v>621</v>
      </c>
      <c r="Q219" t="s">
        <v>4046</v>
      </c>
    </row>
    <row r="220" spans="1:65" hidden="1" x14ac:dyDescent="0.25">
      <c r="A220" s="2">
        <f>HYPERLINK(URLs!B36 &amp; 108638,108638)</f>
        <v>108638</v>
      </c>
      <c r="B220" s="2">
        <f>HYPERLINK(URLs!B30 &amp; 19262 &amp; URLs!B32,19262)</f>
        <v>19262</v>
      </c>
      <c r="C220" t="s">
        <v>633</v>
      </c>
      <c r="D220" t="s">
        <v>619</v>
      </c>
      <c r="E220" t="s">
        <v>620</v>
      </c>
      <c r="F220" t="s">
        <v>621</v>
      </c>
      <c r="G220" t="s">
        <v>631</v>
      </c>
      <c r="H220" t="s">
        <v>632</v>
      </c>
      <c r="I220" t="s">
        <v>624</v>
      </c>
      <c r="J220" t="s">
        <v>629</v>
      </c>
      <c r="K220" t="s">
        <v>31</v>
      </c>
      <c r="L220" s="5">
        <v>43081.827997685185</v>
      </c>
      <c r="M220" s="5">
        <v>43287.421909722223</v>
      </c>
      <c r="N220" s="2">
        <f>HYPERLINK(URLs!B36 &amp; 108742,108742)</f>
        <v>108742</v>
      </c>
      <c r="O220" t="s">
        <v>636</v>
      </c>
      <c r="P220" t="s">
        <v>621</v>
      </c>
      <c r="Q220" t="s">
        <v>4618</v>
      </c>
      <c r="R220" t="s">
        <v>319</v>
      </c>
      <c r="S220" t="s">
        <v>304</v>
      </c>
      <c r="T220" t="s">
        <v>4172</v>
      </c>
      <c r="U220" t="s">
        <v>4071</v>
      </c>
      <c r="V220" t="s">
        <v>35</v>
      </c>
      <c r="Z220" t="s">
        <v>73</v>
      </c>
    </row>
    <row r="221" spans="1:65" hidden="1" x14ac:dyDescent="0.25">
      <c r="A221" s="2">
        <f>HYPERLINK(URLs!B36 &amp; 108640,108640)</f>
        <v>108640</v>
      </c>
      <c r="B221" s="2">
        <f>HYPERLINK(URLs!B30 &amp; 19261 &amp; URLs!B32,19261)</f>
        <v>19261</v>
      </c>
      <c r="C221" t="s">
        <v>633</v>
      </c>
      <c r="D221" t="s">
        <v>619</v>
      </c>
      <c r="E221" t="s">
        <v>620</v>
      </c>
      <c r="F221" t="s">
        <v>621</v>
      </c>
      <c r="G221" t="s">
        <v>631</v>
      </c>
      <c r="H221" t="s">
        <v>632</v>
      </c>
      <c r="I221" t="s">
        <v>624</v>
      </c>
      <c r="J221" t="s">
        <v>629</v>
      </c>
      <c r="K221" t="s">
        <v>31</v>
      </c>
      <c r="L221" s="5">
        <v>43081.824490740742</v>
      </c>
      <c r="M221" s="5">
        <v>43287.420405092591</v>
      </c>
      <c r="N221" s="2">
        <f>HYPERLINK(URLs!B36 &amp; 108792,108792)</f>
        <v>108792</v>
      </c>
      <c r="O221" t="s">
        <v>636</v>
      </c>
      <c r="P221" t="s">
        <v>621</v>
      </c>
      <c r="Q221" t="s">
        <v>4619</v>
      </c>
      <c r="R221" t="s">
        <v>319</v>
      </c>
      <c r="S221" t="s">
        <v>304</v>
      </c>
      <c r="T221" t="s">
        <v>4171</v>
      </c>
      <c r="U221" t="s">
        <v>4072</v>
      </c>
      <c r="V221" t="s">
        <v>35</v>
      </c>
      <c r="Z221" t="s">
        <v>73</v>
      </c>
    </row>
    <row r="222" spans="1:65" x14ac:dyDescent="0.25">
      <c r="A222" s="2">
        <f>HYPERLINK(URLs!B36 &amp; 108603,108603)</f>
        <v>108603</v>
      </c>
      <c r="B222" s="2">
        <f>HYPERLINK(URLs!B30 &amp; 19256 &amp; URLs!B32,19256)</f>
        <v>19256</v>
      </c>
      <c r="C222" t="s">
        <v>618</v>
      </c>
      <c r="D222" t="s">
        <v>619</v>
      </c>
      <c r="E222" t="s">
        <v>620</v>
      </c>
      <c r="F222" t="s">
        <v>621</v>
      </c>
      <c r="G222" t="s">
        <v>631</v>
      </c>
      <c r="H222" t="s">
        <v>632</v>
      </c>
      <c r="I222" t="s">
        <v>624</v>
      </c>
      <c r="J222" t="s">
        <v>629</v>
      </c>
      <c r="K222" t="s">
        <v>68</v>
      </c>
      <c r="L222" s="5">
        <v>43081.104432870372</v>
      </c>
      <c r="N222" s="2">
        <f>HYPERLINK(URLs!B36 &amp; 109014,109014)</f>
        <v>109014</v>
      </c>
      <c r="O222" t="s">
        <v>637</v>
      </c>
      <c r="P222" t="s">
        <v>621</v>
      </c>
      <c r="Q222" t="s">
        <v>4620</v>
      </c>
      <c r="R222" t="s">
        <v>42</v>
      </c>
      <c r="T222" t="s">
        <v>4098</v>
      </c>
      <c r="U222" t="s">
        <v>35</v>
      </c>
      <c r="V222" t="s">
        <v>35</v>
      </c>
      <c r="Z222" t="s">
        <v>73</v>
      </c>
    </row>
    <row r="223" spans="1:65" hidden="1" x14ac:dyDescent="0.25">
      <c r="A223" s="2">
        <f>HYPERLINK(URLs!B36 &amp; 98774,98774)</f>
        <v>98774</v>
      </c>
      <c r="B223" s="2">
        <f>HYPERLINK(URLs!B30 &amp; 19240 &amp; URLs!B32,19240)</f>
        <v>19240</v>
      </c>
      <c r="C223" t="s">
        <v>665</v>
      </c>
      <c r="D223" t="s">
        <v>619</v>
      </c>
      <c r="E223" t="s">
        <v>620</v>
      </c>
      <c r="F223" t="s">
        <v>621</v>
      </c>
      <c r="G223" t="s">
        <v>631</v>
      </c>
      <c r="H223" t="s">
        <v>632</v>
      </c>
      <c r="I223" t="s">
        <v>624</v>
      </c>
      <c r="J223" t="s">
        <v>625</v>
      </c>
      <c r="K223" t="s">
        <v>68</v>
      </c>
      <c r="L223" s="5">
        <v>43080.062777777777</v>
      </c>
      <c r="M223" s="5">
        <v>43287.494444444441</v>
      </c>
      <c r="N223" s="2">
        <f>HYPERLINK(URLs!B36 &amp; 98874,98874)</f>
        <v>98874</v>
      </c>
      <c r="O223" t="s">
        <v>636</v>
      </c>
      <c r="P223" t="s">
        <v>621</v>
      </c>
      <c r="Q223" t="s">
        <v>4621</v>
      </c>
      <c r="R223" t="s">
        <v>319</v>
      </c>
      <c r="S223" t="s">
        <v>304</v>
      </c>
      <c r="T223" t="s">
        <v>4172</v>
      </c>
      <c r="U223" t="s">
        <v>4239</v>
      </c>
      <c r="V223" t="s">
        <v>321</v>
      </c>
      <c r="Z223" t="s">
        <v>73</v>
      </c>
    </row>
    <row r="224" spans="1:65" hidden="1" x14ac:dyDescent="0.25">
      <c r="A224" s="2"/>
      <c r="B224" s="2">
        <f>HYPERLINK(URLs!B30 &amp; 19213 &amp; URLs!B32,19213)</f>
        <v>19213</v>
      </c>
      <c r="C224" t="s">
        <v>665</v>
      </c>
      <c r="D224" t="s">
        <v>619</v>
      </c>
      <c r="E224" t="s">
        <v>850</v>
      </c>
      <c r="F224" t="s">
        <v>621</v>
      </c>
      <c r="G224" t="s">
        <v>870</v>
      </c>
      <c r="H224" t="s">
        <v>871</v>
      </c>
      <c r="I224" t="s">
        <v>624</v>
      </c>
      <c r="J224" t="s">
        <v>625</v>
      </c>
      <c r="L224" s="5">
        <v>43074.179571759261</v>
      </c>
      <c r="M224" s="5">
        <v>43119.323564814818</v>
      </c>
      <c r="N224" s="2">
        <f>HYPERLINK(URLs!B36 &amp; 105065,105065)</f>
        <v>105065</v>
      </c>
      <c r="O224" t="s">
        <v>636</v>
      </c>
      <c r="P224" t="s">
        <v>621</v>
      </c>
      <c r="Q224" t="s">
        <v>1508</v>
      </c>
      <c r="W224">
        <v>1</v>
      </c>
    </row>
    <row r="225" spans="1:26" hidden="1" x14ac:dyDescent="0.25">
      <c r="A225" s="2"/>
      <c r="B225" s="2">
        <f>HYPERLINK(URLs!B30 &amp; 19212 &amp; URLs!B32,19212)</f>
        <v>19212</v>
      </c>
      <c r="C225" t="s">
        <v>665</v>
      </c>
      <c r="D225" t="s">
        <v>619</v>
      </c>
      <c r="E225" t="s">
        <v>850</v>
      </c>
      <c r="F225" t="s">
        <v>621</v>
      </c>
      <c r="G225" t="s">
        <v>851</v>
      </c>
      <c r="H225" t="s">
        <v>859</v>
      </c>
      <c r="I225" t="s">
        <v>624</v>
      </c>
      <c r="J225" t="s">
        <v>625</v>
      </c>
      <c r="L225" s="5">
        <v>43074.116249999999</v>
      </c>
      <c r="M225" s="5">
        <v>43276.331944444442</v>
      </c>
      <c r="N225" s="2">
        <f>HYPERLINK(URLs!B36 &amp; 106081,106081)</f>
        <v>106081</v>
      </c>
      <c r="O225" t="s">
        <v>636</v>
      </c>
      <c r="P225" t="s">
        <v>621</v>
      </c>
      <c r="Q225" t="s">
        <v>1509</v>
      </c>
      <c r="R225" t="s">
        <v>319</v>
      </c>
      <c r="W225">
        <v>1</v>
      </c>
    </row>
    <row r="226" spans="1:26" hidden="1" x14ac:dyDescent="0.25">
      <c r="A226" s="2">
        <f>HYPERLINK(URLs!B36 &amp; 108199,108199)</f>
        <v>108199</v>
      </c>
      <c r="B226" s="2">
        <f>HYPERLINK(URLs!B30 &amp; 19188 &amp; URLs!B32,19188)</f>
        <v>19188</v>
      </c>
      <c r="C226" t="s">
        <v>633</v>
      </c>
      <c r="D226" t="s">
        <v>619</v>
      </c>
      <c r="E226" t="s">
        <v>620</v>
      </c>
      <c r="F226" t="s">
        <v>621</v>
      </c>
      <c r="G226" t="s">
        <v>634</v>
      </c>
      <c r="H226" t="s">
        <v>635</v>
      </c>
      <c r="I226" t="s">
        <v>624</v>
      </c>
      <c r="J226" t="s">
        <v>629</v>
      </c>
      <c r="K226" t="s">
        <v>31</v>
      </c>
      <c r="L226" s="5">
        <v>43070.638287037036</v>
      </c>
      <c r="M226" s="5">
        <v>43111.357812499999</v>
      </c>
      <c r="N226" s="2">
        <f>HYPERLINK(URLs!B37 &amp; 213490,213490)</f>
        <v>213490</v>
      </c>
      <c r="O226" t="s">
        <v>636</v>
      </c>
      <c r="P226" t="s">
        <v>621</v>
      </c>
      <c r="Q226" t="s">
        <v>4622</v>
      </c>
      <c r="R226" t="s">
        <v>305</v>
      </c>
      <c r="S226" t="s">
        <v>1621</v>
      </c>
      <c r="T226" t="s">
        <v>4163</v>
      </c>
      <c r="U226" t="s">
        <v>35</v>
      </c>
      <c r="V226" t="s">
        <v>321</v>
      </c>
      <c r="Z226" t="s">
        <v>45</v>
      </c>
    </row>
    <row r="227" spans="1:26" hidden="1" x14ac:dyDescent="0.25">
      <c r="A227" s="2"/>
      <c r="B227" s="2">
        <f>HYPERLINK(URLs!B30 &amp; 19173 &amp; URLs!B32,19173)</f>
        <v>19173</v>
      </c>
      <c r="C227" t="s">
        <v>633</v>
      </c>
      <c r="D227" t="s">
        <v>619</v>
      </c>
      <c r="E227" t="s">
        <v>850</v>
      </c>
      <c r="F227" t="s">
        <v>621</v>
      </c>
      <c r="G227" t="s">
        <v>851</v>
      </c>
      <c r="H227" t="s">
        <v>876</v>
      </c>
      <c r="I227" t="s">
        <v>624</v>
      </c>
      <c r="J227" t="s">
        <v>629</v>
      </c>
      <c r="L227" s="5">
        <v>43069.091874999998</v>
      </c>
      <c r="M227" s="5">
        <v>43355.354004629633</v>
      </c>
      <c r="N227" s="2">
        <f>HYPERLINK(URLs!B36 &amp; 107732,107732)</f>
        <v>107732</v>
      </c>
      <c r="O227" t="s">
        <v>636</v>
      </c>
      <c r="P227" t="s">
        <v>621</v>
      </c>
      <c r="Q227" t="s">
        <v>4623</v>
      </c>
    </row>
    <row r="228" spans="1:26" hidden="1" x14ac:dyDescent="0.25">
      <c r="A228" s="2">
        <f>HYPERLINK(URLs!B36 &amp; 107325,107325)</f>
        <v>107325</v>
      </c>
      <c r="B228" s="2">
        <f>HYPERLINK(URLs!B30 &amp; 19164 &amp; URLs!B32,19164)</f>
        <v>19164</v>
      </c>
      <c r="C228" t="s">
        <v>633</v>
      </c>
      <c r="D228" t="s">
        <v>619</v>
      </c>
      <c r="E228" t="s">
        <v>850</v>
      </c>
      <c r="F228" t="s">
        <v>621</v>
      </c>
      <c r="G228" t="s">
        <v>853</v>
      </c>
      <c r="H228" t="s">
        <v>876</v>
      </c>
      <c r="I228" t="s">
        <v>624</v>
      </c>
      <c r="J228" t="s">
        <v>629</v>
      </c>
      <c r="K228" t="s">
        <v>68</v>
      </c>
      <c r="L228" s="5">
        <v>43068.384386574071</v>
      </c>
      <c r="M228" s="5">
        <v>43430.429479166669</v>
      </c>
      <c r="N228" s="2">
        <f>HYPERLINK(URLs!B36 &amp; 112414,112414)</f>
        <v>112414</v>
      </c>
      <c r="O228" t="s">
        <v>645</v>
      </c>
      <c r="P228" t="s">
        <v>621</v>
      </c>
      <c r="Q228" t="s">
        <v>854</v>
      </c>
      <c r="R228" t="s">
        <v>42</v>
      </c>
      <c r="T228" t="s">
        <v>4098</v>
      </c>
      <c r="U228" t="s">
        <v>35</v>
      </c>
      <c r="V228" t="s">
        <v>35</v>
      </c>
      <c r="Z228" t="s">
        <v>73</v>
      </c>
    </row>
    <row r="229" spans="1:26" hidden="1" x14ac:dyDescent="0.25">
      <c r="A229" s="2"/>
      <c r="B229" s="2">
        <f>HYPERLINK(URLs!B30 &amp; 19151 &amp; URLs!B32,19151)</f>
        <v>19151</v>
      </c>
      <c r="C229" t="s">
        <v>665</v>
      </c>
      <c r="D229" t="s">
        <v>619</v>
      </c>
      <c r="E229" t="s">
        <v>850</v>
      </c>
      <c r="F229" t="s">
        <v>621</v>
      </c>
      <c r="G229" t="s">
        <v>855</v>
      </c>
      <c r="H229" t="s">
        <v>856</v>
      </c>
      <c r="I229" t="s">
        <v>624</v>
      </c>
      <c r="J229" t="s">
        <v>625</v>
      </c>
      <c r="L229" s="5">
        <v>43067.340312499997</v>
      </c>
      <c r="M229" s="5">
        <v>43332.345833333333</v>
      </c>
      <c r="N229" s="2">
        <f>HYPERLINK(URLs!B36 &amp; 107924,107924)</f>
        <v>107924</v>
      </c>
      <c r="O229" t="s">
        <v>636</v>
      </c>
      <c r="P229" t="s">
        <v>621</v>
      </c>
      <c r="Q229" t="s">
        <v>857</v>
      </c>
      <c r="R229" t="s">
        <v>305</v>
      </c>
      <c r="W229">
        <v>1</v>
      </c>
    </row>
    <row r="230" spans="1:26" hidden="1" x14ac:dyDescent="0.25">
      <c r="A230" s="2">
        <f>HYPERLINK(URLs!B36 &amp; 107941,107941)</f>
        <v>107941</v>
      </c>
      <c r="B230" s="2">
        <f>HYPERLINK(URLs!B30 &amp; 19139 &amp; URLs!B32,19139)</f>
        <v>19139</v>
      </c>
      <c r="C230" t="s">
        <v>665</v>
      </c>
      <c r="D230" t="s">
        <v>619</v>
      </c>
      <c r="E230" t="s">
        <v>620</v>
      </c>
      <c r="F230" t="s">
        <v>621</v>
      </c>
      <c r="G230" t="s">
        <v>622</v>
      </c>
      <c r="H230" t="s">
        <v>623</v>
      </c>
      <c r="I230" t="s">
        <v>624</v>
      </c>
      <c r="J230" t="s">
        <v>625</v>
      </c>
      <c r="K230" t="s">
        <v>31</v>
      </c>
      <c r="L230" s="5">
        <v>43066.460173611114</v>
      </c>
      <c r="M230" s="5">
        <v>43255.845138888886</v>
      </c>
      <c r="N230" s="2">
        <f>HYPERLINK(URLs!B36 &amp; 109433,109433)</f>
        <v>109433</v>
      </c>
      <c r="O230" t="s">
        <v>636</v>
      </c>
      <c r="P230" t="s">
        <v>621</v>
      </c>
      <c r="Q230" t="s">
        <v>4624</v>
      </c>
      <c r="R230" t="s">
        <v>305</v>
      </c>
      <c r="S230" t="s">
        <v>304</v>
      </c>
      <c r="T230" t="s">
        <v>69</v>
      </c>
      <c r="U230" t="s">
        <v>35</v>
      </c>
      <c r="V230" t="s">
        <v>35</v>
      </c>
      <c r="Z230" t="s">
        <v>106</v>
      </c>
    </row>
    <row r="231" spans="1:26" hidden="1" x14ac:dyDescent="0.25">
      <c r="A231" s="2"/>
      <c r="B231" s="2">
        <f>HYPERLINK(URLs!B30 &amp; 19138 &amp; URLs!B32,19138)</f>
        <v>19138</v>
      </c>
      <c r="C231" t="s">
        <v>665</v>
      </c>
      <c r="D231" t="s">
        <v>619</v>
      </c>
      <c r="E231" t="s">
        <v>850</v>
      </c>
      <c r="F231" t="s">
        <v>621</v>
      </c>
      <c r="G231" t="s">
        <v>858</v>
      </c>
      <c r="H231" t="s">
        <v>859</v>
      </c>
      <c r="I231" t="s">
        <v>624</v>
      </c>
      <c r="J231" t="s">
        <v>625</v>
      </c>
      <c r="L231" s="5">
        <v>43066.358946759261</v>
      </c>
      <c r="M231" s="5">
        <v>43332.344444444447</v>
      </c>
      <c r="N231" s="2">
        <f>HYPERLINK(URLs!B36 &amp; 107667,107667)</f>
        <v>107667</v>
      </c>
      <c r="O231" t="s">
        <v>636</v>
      </c>
      <c r="P231" t="s">
        <v>621</v>
      </c>
      <c r="Q231" t="s">
        <v>860</v>
      </c>
      <c r="W231">
        <v>1</v>
      </c>
    </row>
    <row r="232" spans="1:26" hidden="1" x14ac:dyDescent="0.25">
      <c r="A232" s="2"/>
      <c r="B232" s="2">
        <f>HYPERLINK(URLs!B30 &amp; 19137 &amp; URLs!B32,19137)</f>
        <v>19137</v>
      </c>
      <c r="C232" t="s">
        <v>665</v>
      </c>
      <c r="D232" t="s">
        <v>619</v>
      </c>
      <c r="E232" t="s">
        <v>850</v>
      </c>
      <c r="F232" t="s">
        <v>621</v>
      </c>
      <c r="G232" t="s">
        <v>855</v>
      </c>
      <c r="H232" t="s">
        <v>856</v>
      </c>
      <c r="I232" t="s">
        <v>624</v>
      </c>
      <c r="J232" t="s">
        <v>625</v>
      </c>
      <c r="L232" s="5">
        <v>43066.357789351852</v>
      </c>
      <c r="M232" s="5">
        <v>43073.760416666664</v>
      </c>
      <c r="N232" s="2">
        <f>HYPERLINK(URLs!B36 &amp; 94650,94650)</f>
        <v>94650</v>
      </c>
      <c r="O232" t="s">
        <v>636</v>
      </c>
      <c r="P232" t="s">
        <v>621</v>
      </c>
      <c r="Q232" t="s">
        <v>861</v>
      </c>
      <c r="R232" t="s">
        <v>319</v>
      </c>
    </row>
    <row r="233" spans="1:26" hidden="1" x14ac:dyDescent="0.25">
      <c r="A233" s="2"/>
      <c r="B233" s="2">
        <f>HYPERLINK(URLs!B30 &amp; 19134 &amp; URLs!B32,19134)</f>
        <v>19134</v>
      </c>
      <c r="C233" t="s">
        <v>633</v>
      </c>
      <c r="D233" t="s">
        <v>619</v>
      </c>
      <c r="E233" t="s">
        <v>850</v>
      </c>
      <c r="F233" t="s">
        <v>621</v>
      </c>
      <c r="G233" t="s">
        <v>855</v>
      </c>
      <c r="H233" t="s">
        <v>856</v>
      </c>
      <c r="I233" t="s">
        <v>624</v>
      </c>
      <c r="J233" t="s">
        <v>625</v>
      </c>
      <c r="L233" s="5">
        <v>43063.176342592589</v>
      </c>
      <c r="M233" s="5">
        <v>43118.351550925923</v>
      </c>
      <c r="N233" s="2">
        <f>HYPERLINK(URLs!B36 &amp; 105967,105967)</f>
        <v>105967</v>
      </c>
      <c r="O233" t="s">
        <v>636</v>
      </c>
      <c r="P233" t="s">
        <v>621</v>
      </c>
      <c r="Q233" t="s">
        <v>862</v>
      </c>
    </row>
    <row r="234" spans="1:26" hidden="1" x14ac:dyDescent="0.25">
      <c r="A234" s="2"/>
      <c r="B234" s="2">
        <f>HYPERLINK(URLs!B30 &amp; 19131 &amp; URLs!B32,19131)</f>
        <v>19131</v>
      </c>
      <c r="C234" t="s">
        <v>665</v>
      </c>
      <c r="D234" t="s">
        <v>619</v>
      </c>
      <c r="E234" t="s">
        <v>850</v>
      </c>
      <c r="F234" t="s">
        <v>621</v>
      </c>
      <c r="G234" t="s">
        <v>863</v>
      </c>
      <c r="H234" t="s">
        <v>890</v>
      </c>
      <c r="I234" t="s">
        <v>624</v>
      </c>
      <c r="J234" t="s">
        <v>642</v>
      </c>
      <c r="L234" s="5">
        <v>43062.655347222222</v>
      </c>
      <c r="M234" s="5">
        <v>43332.343055555553</v>
      </c>
      <c r="N234" s="2">
        <f>HYPERLINK(URLs!B36 &amp; 107961,107961)</f>
        <v>107961</v>
      </c>
      <c r="O234" t="s">
        <v>636</v>
      </c>
      <c r="P234" t="s">
        <v>621</v>
      </c>
      <c r="Q234" t="s">
        <v>865</v>
      </c>
      <c r="R234" t="s">
        <v>305</v>
      </c>
    </row>
    <row r="235" spans="1:26" hidden="1" x14ac:dyDescent="0.25">
      <c r="A235" s="2"/>
      <c r="B235" s="2">
        <f>HYPERLINK(URLs!B30 &amp; 19129 &amp; URLs!B32,19129)</f>
        <v>19129</v>
      </c>
      <c r="C235" t="s">
        <v>633</v>
      </c>
      <c r="D235" t="s">
        <v>619</v>
      </c>
      <c r="E235" t="s">
        <v>850</v>
      </c>
      <c r="F235" t="s">
        <v>621</v>
      </c>
      <c r="G235" t="s">
        <v>855</v>
      </c>
      <c r="H235" t="s">
        <v>856</v>
      </c>
      <c r="I235" t="s">
        <v>624</v>
      </c>
      <c r="J235" t="s">
        <v>642</v>
      </c>
      <c r="L235" s="5">
        <v>43062.161863425928</v>
      </c>
      <c r="M235" s="5">
        <v>43206.581863425927</v>
      </c>
      <c r="N235" s="2">
        <f>HYPERLINK(URLs!B36 &amp; 107809,107809)</f>
        <v>107809</v>
      </c>
      <c r="O235" t="s">
        <v>645</v>
      </c>
      <c r="P235" t="s">
        <v>621</v>
      </c>
      <c r="Q235" t="s">
        <v>866</v>
      </c>
    </row>
    <row r="236" spans="1:26" hidden="1" x14ac:dyDescent="0.25">
      <c r="A236" s="2"/>
      <c r="B236" s="2">
        <f>HYPERLINK(URLs!B30 &amp; 19090 &amp; URLs!B32,19090)</f>
        <v>19090</v>
      </c>
      <c r="C236" t="s">
        <v>633</v>
      </c>
      <c r="D236" t="s">
        <v>619</v>
      </c>
      <c r="E236" t="s">
        <v>850</v>
      </c>
      <c r="F236" t="s">
        <v>621</v>
      </c>
      <c r="G236" t="s">
        <v>855</v>
      </c>
      <c r="H236" t="s">
        <v>856</v>
      </c>
      <c r="I236" t="s">
        <v>624</v>
      </c>
      <c r="J236" t="s">
        <v>625</v>
      </c>
      <c r="L236" s="5">
        <v>43059.234606481485</v>
      </c>
      <c r="M236" s="5">
        <v>43178.533796296295</v>
      </c>
      <c r="N236" s="2">
        <f>HYPERLINK(URLs!B36 &amp; 107944,107944)</f>
        <v>107944</v>
      </c>
      <c r="O236" t="s">
        <v>645</v>
      </c>
      <c r="P236" t="s">
        <v>621</v>
      </c>
      <c r="Q236" t="s">
        <v>4559</v>
      </c>
      <c r="R236" t="s">
        <v>319</v>
      </c>
    </row>
    <row r="237" spans="1:26" hidden="1" x14ac:dyDescent="0.25">
      <c r="A237" s="2"/>
      <c r="B237" s="2">
        <f>HYPERLINK(URLs!B30 &amp; 19073 &amp; URLs!B32,19073)</f>
        <v>19073</v>
      </c>
      <c r="C237" t="s">
        <v>665</v>
      </c>
      <c r="D237" t="s">
        <v>619</v>
      </c>
      <c r="E237" t="s">
        <v>850</v>
      </c>
      <c r="F237" t="s">
        <v>621</v>
      </c>
      <c r="G237" t="s">
        <v>867</v>
      </c>
      <c r="H237" t="s">
        <v>890</v>
      </c>
      <c r="I237" t="s">
        <v>624</v>
      </c>
      <c r="J237" t="s">
        <v>629</v>
      </c>
      <c r="L237" s="5">
        <v>43055.382453703707</v>
      </c>
      <c r="M237" s="5">
        <v>43332.341666666667</v>
      </c>
      <c r="N237" s="2">
        <f>HYPERLINK(URLs!B36 &amp; 101472,101472)</f>
        <v>101472</v>
      </c>
      <c r="O237" t="s">
        <v>636</v>
      </c>
      <c r="P237" t="s">
        <v>621</v>
      </c>
      <c r="Q237" t="s">
        <v>869</v>
      </c>
    </row>
    <row r="238" spans="1:26" hidden="1" x14ac:dyDescent="0.25">
      <c r="A238" s="2">
        <f>HYPERLINK(URLs!B36 &amp; 106586,106586)</f>
        <v>106586</v>
      </c>
      <c r="B238" s="2">
        <f>HYPERLINK(URLs!B30 &amp; 19047 &amp; URLs!B32,19047)</f>
        <v>19047</v>
      </c>
      <c r="C238" t="s">
        <v>633</v>
      </c>
      <c r="D238" t="s">
        <v>619</v>
      </c>
      <c r="E238" t="s">
        <v>620</v>
      </c>
      <c r="F238" t="s">
        <v>621</v>
      </c>
      <c r="G238" t="s">
        <v>627</v>
      </c>
      <c r="H238" t="s">
        <v>628</v>
      </c>
      <c r="I238" t="s">
        <v>624</v>
      </c>
      <c r="J238" t="s">
        <v>629</v>
      </c>
      <c r="K238" t="s">
        <v>68</v>
      </c>
      <c r="L238" s="5">
        <v>43053.537430555552</v>
      </c>
      <c r="M238" s="5">
        <v>43111.360046296293</v>
      </c>
      <c r="N238" s="2">
        <f>HYPERLINK(URLs!B36 &amp; 106586,106586)</f>
        <v>106586</v>
      </c>
      <c r="O238" t="s">
        <v>636</v>
      </c>
      <c r="P238" t="s">
        <v>630</v>
      </c>
      <c r="Q238" t="s">
        <v>4625</v>
      </c>
      <c r="R238" t="s">
        <v>319</v>
      </c>
      <c r="S238" t="s">
        <v>304</v>
      </c>
      <c r="T238" t="s">
        <v>4163</v>
      </c>
      <c r="U238" t="s">
        <v>35</v>
      </c>
      <c r="V238" t="s">
        <v>35</v>
      </c>
      <c r="Z238" t="s">
        <v>106</v>
      </c>
    </row>
    <row r="239" spans="1:26" hidden="1" x14ac:dyDescent="0.25">
      <c r="A239" s="2"/>
      <c r="B239" s="2">
        <f>HYPERLINK(URLs!B30 &amp; 19044 &amp; URLs!B32,19044)</f>
        <v>19044</v>
      </c>
      <c r="C239" t="s">
        <v>633</v>
      </c>
      <c r="D239" t="s">
        <v>619</v>
      </c>
      <c r="E239" t="s">
        <v>850</v>
      </c>
      <c r="F239" t="s">
        <v>621</v>
      </c>
      <c r="G239" t="s">
        <v>870</v>
      </c>
      <c r="H239" t="s">
        <v>871</v>
      </c>
      <c r="I239" t="s">
        <v>624</v>
      </c>
      <c r="J239" t="s">
        <v>629</v>
      </c>
      <c r="L239" s="5">
        <v>43053.371087962965</v>
      </c>
      <c r="M239" s="5">
        <v>43234.531643518516</v>
      </c>
      <c r="N239" s="2">
        <f>HYPERLINK(URLs!B36 &amp; 107415,107415)</f>
        <v>107415</v>
      </c>
      <c r="O239" t="s">
        <v>636</v>
      </c>
      <c r="P239" t="s">
        <v>621</v>
      </c>
      <c r="Q239" t="s">
        <v>872</v>
      </c>
      <c r="R239" t="s">
        <v>305</v>
      </c>
    </row>
    <row r="240" spans="1:26" hidden="1" x14ac:dyDescent="0.25">
      <c r="A240" s="2"/>
      <c r="B240" s="2">
        <f>HYPERLINK(URLs!B30 &amp; 19042 &amp; URLs!B32,19042)</f>
        <v>19042</v>
      </c>
      <c r="C240" t="s">
        <v>633</v>
      </c>
      <c r="D240" t="s">
        <v>619</v>
      </c>
      <c r="E240" t="s">
        <v>850</v>
      </c>
      <c r="F240" t="s">
        <v>621</v>
      </c>
      <c r="G240" t="s">
        <v>851</v>
      </c>
      <c r="H240" t="s">
        <v>852</v>
      </c>
      <c r="I240" t="s">
        <v>624</v>
      </c>
      <c r="J240" t="s">
        <v>625</v>
      </c>
      <c r="L240" s="5">
        <v>43053.296064814815</v>
      </c>
      <c r="M240" s="5">
        <v>43105.286296296297</v>
      </c>
      <c r="N240" t="s">
        <v>621</v>
      </c>
      <c r="O240" t="s">
        <v>645</v>
      </c>
      <c r="P240" t="s">
        <v>621</v>
      </c>
      <c r="Q240" t="s">
        <v>873</v>
      </c>
    </row>
    <row r="241" spans="1:26" hidden="1" x14ac:dyDescent="0.25">
      <c r="A241" s="2"/>
      <c r="B241" s="2">
        <f>HYPERLINK(URLs!B30 &amp; 19037 &amp; URLs!B32,19037)</f>
        <v>19037</v>
      </c>
      <c r="C241" t="s">
        <v>633</v>
      </c>
      <c r="D241" t="s">
        <v>619</v>
      </c>
      <c r="E241" t="s">
        <v>850</v>
      </c>
      <c r="F241" t="s">
        <v>621</v>
      </c>
      <c r="G241" t="s">
        <v>867</v>
      </c>
      <c r="H241" t="s">
        <v>868</v>
      </c>
      <c r="I241" t="s">
        <v>624</v>
      </c>
      <c r="J241" t="s">
        <v>642</v>
      </c>
      <c r="L241" s="5">
        <v>43052.650081018517</v>
      </c>
      <c r="M241" s="5">
        <v>43122.581192129626</v>
      </c>
      <c r="N241" t="s">
        <v>621</v>
      </c>
      <c r="O241" t="s">
        <v>645</v>
      </c>
      <c r="P241" t="s">
        <v>621</v>
      </c>
      <c r="Q241" t="s">
        <v>874</v>
      </c>
    </row>
    <row r="242" spans="1:26" hidden="1" x14ac:dyDescent="0.25">
      <c r="A242" s="2">
        <f>HYPERLINK(URLs!B36 &amp; 107269,107269)</f>
        <v>107269</v>
      </c>
      <c r="B242" s="2">
        <f>HYPERLINK(URLs!B30 &amp; 19024 &amp; URLs!B32,19024)</f>
        <v>19024</v>
      </c>
      <c r="C242" t="s">
        <v>633</v>
      </c>
      <c r="D242" t="s">
        <v>619</v>
      </c>
      <c r="E242" t="s">
        <v>620</v>
      </c>
      <c r="F242" t="s">
        <v>621</v>
      </c>
      <c r="G242" t="s">
        <v>631</v>
      </c>
      <c r="H242" t="s">
        <v>632</v>
      </c>
      <c r="I242" t="s">
        <v>624</v>
      </c>
      <c r="J242" t="s">
        <v>625</v>
      </c>
      <c r="K242" t="s">
        <v>31</v>
      </c>
      <c r="L242" s="5">
        <v>43051.010324074072</v>
      </c>
      <c r="M242" s="5">
        <v>43287.410104166665</v>
      </c>
      <c r="N242" s="2">
        <f>HYPERLINK(URLs!B36 &amp; 107555,107555)</f>
        <v>107555</v>
      </c>
      <c r="O242" t="s">
        <v>636</v>
      </c>
      <c r="P242" t="s">
        <v>621</v>
      </c>
      <c r="Q242" t="s">
        <v>4626</v>
      </c>
      <c r="R242" t="s">
        <v>305</v>
      </c>
      <c r="S242" t="s">
        <v>304</v>
      </c>
      <c r="T242" t="s">
        <v>4171</v>
      </c>
      <c r="U242" t="s">
        <v>4037</v>
      </c>
      <c r="V242" t="s">
        <v>35</v>
      </c>
      <c r="Z242" t="s">
        <v>52</v>
      </c>
    </row>
    <row r="243" spans="1:26" hidden="1" x14ac:dyDescent="0.25">
      <c r="A243" s="2">
        <f>HYPERLINK(URLs!B36 &amp; 106778,106778)</f>
        <v>106778</v>
      </c>
      <c r="B243" s="2">
        <f>HYPERLINK(URLs!B30 &amp; 18960 &amp; URLs!B32,18960)</f>
        <v>18960</v>
      </c>
      <c r="C243" t="s">
        <v>665</v>
      </c>
      <c r="D243" t="s">
        <v>619</v>
      </c>
      <c r="E243" t="s">
        <v>850</v>
      </c>
      <c r="F243" t="s">
        <v>621</v>
      </c>
      <c r="G243" t="s">
        <v>875</v>
      </c>
      <c r="H243" t="s">
        <v>876</v>
      </c>
      <c r="I243" t="s">
        <v>624</v>
      </c>
      <c r="J243" t="s">
        <v>625</v>
      </c>
      <c r="K243" t="s">
        <v>31</v>
      </c>
      <c r="L243" s="5">
        <v>43042.633611111109</v>
      </c>
      <c r="M243" s="5">
        <v>43332.326388888891</v>
      </c>
      <c r="N243" s="2">
        <f>HYPERLINK(URLs!B36 &amp; 110384,110384)</f>
        <v>110384</v>
      </c>
      <c r="O243" t="s">
        <v>636</v>
      </c>
      <c r="P243" t="s">
        <v>621</v>
      </c>
      <c r="Q243" t="s">
        <v>877</v>
      </c>
      <c r="R243" t="s">
        <v>305</v>
      </c>
      <c r="S243" t="s">
        <v>304</v>
      </c>
      <c r="T243" t="s">
        <v>4236</v>
      </c>
      <c r="U243" t="s">
        <v>4284</v>
      </c>
      <c r="V243" t="s">
        <v>35</v>
      </c>
      <c r="W243">
        <v>1</v>
      </c>
      <c r="Z243" t="s">
        <v>73</v>
      </c>
    </row>
    <row r="244" spans="1:26" hidden="1" x14ac:dyDescent="0.25">
      <c r="A244" s="2"/>
      <c r="B244" s="2">
        <f>HYPERLINK(URLs!B30 &amp; 18953 &amp; URLs!B32,18953)</f>
        <v>18953</v>
      </c>
      <c r="C244" t="s">
        <v>665</v>
      </c>
      <c r="D244" t="s">
        <v>619</v>
      </c>
      <c r="E244" t="s">
        <v>850</v>
      </c>
      <c r="F244" t="s">
        <v>621</v>
      </c>
      <c r="G244" t="s">
        <v>851</v>
      </c>
      <c r="H244" t="s">
        <v>852</v>
      </c>
      <c r="I244" t="s">
        <v>624</v>
      </c>
      <c r="J244" t="s">
        <v>625</v>
      </c>
      <c r="L244" s="5">
        <v>43041.300011574072</v>
      </c>
      <c r="M244" s="5">
        <v>43123.318749999999</v>
      </c>
      <c r="N244" t="s">
        <v>621</v>
      </c>
      <c r="O244" t="s">
        <v>636</v>
      </c>
      <c r="P244" t="s">
        <v>621</v>
      </c>
      <c r="Q244" t="s">
        <v>878</v>
      </c>
      <c r="X244">
        <v>1</v>
      </c>
      <c r="Y244">
        <v>1</v>
      </c>
    </row>
    <row r="245" spans="1:26" hidden="1" x14ac:dyDescent="0.25">
      <c r="A245" s="2">
        <f>HYPERLINK(URLs!B36 &amp; 73287,73287)</f>
        <v>73287</v>
      </c>
      <c r="B245" s="2">
        <f>HYPERLINK(URLs!B30 &amp; 18930 &amp; URLs!B32,18930)</f>
        <v>18930</v>
      </c>
      <c r="C245" t="s">
        <v>633</v>
      </c>
      <c r="D245" t="s">
        <v>619</v>
      </c>
      <c r="E245" t="s">
        <v>620</v>
      </c>
      <c r="F245" t="s">
        <v>621</v>
      </c>
      <c r="G245" t="s">
        <v>634</v>
      </c>
      <c r="H245" t="s">
        <v>635</v>
      </c>
      <c r="I245" t="s">
        <v>624</v>
      </c>
      <c r="J245" t="s">
        <v>625</v>
      </c>
      <c r="K245" t="s">
        <v>31</v>
      </c>
      <c r="L245" s="5">
        <v>43039.362083333333</v>
      </c>
      <c r="M245" s="5">
        <v>43053.558472222219</v>
      </c>
      <c r="N245" s="2">
        <f>HYPERLINK(URLs!B36 &amp; 73287,73287)</f>
        <v>73287</v>
      </c>
      <c r="O245" t="s">
        <v>636</v>
      </c>
      <c r="P245" t="s">
        <v>621</v>
      </c>
      <c r="Q245" t="s">
        <v>4627</v>
      </c>
      <c r="R245" t="s">
        <v>319</v>
      </c>
      <c r="S245" t="s">
        <v>304</v>
      </c>
      <c r="T245" t="s">
        <v>4178</v>
      </c>
      <c r="U245" t="s">
        <v>35</v>
      </c>
      <c r="V245" t="s">
        <v>35</v>
      </c>
      <c r="W245">
        <v>1</v>
      </c>
      <c r="Z245" t="s">
        <v>96</v>
      </c>
    </row>
    <row r="246" spans="1:26" hidden="1" x14ac:dyDescent="0.25">
      <c r="A246" s="2"/>
      <c r="B246" s="2">
        <f>HYPERLINK(URLs!B30 &amp; 18928 &amp; URLs!B32,18928)</f>
        <v>18928</v>
      </c>
      <c r="C246" t="s">
        <v>641</v>
      </c>
      <c r="D246" t="s">
        <v>619</v>
      </c>
      <c r="E246" t="s">
        <v>850</v>
      </c>
      <c r="F246" t="s">
        <v>621</v>
      </c>
      <c r="G246" t="s">
        <v>851</v>
      </c>
      <c r="H246" t="s">
        <v>859</v>
      </c>
      <c r="I246" t="s">
        <v>624</v>
      </c>
      <c r="J246" t="s">
        <v>625</v>
      </c>
      <c r="L246" s="5">
        <v>43039.335150462961</v>
      </c>
      <c r="N246" s="2">
        <f>HYPERLINK(URLs!B36 &amp; 106187,106187)</f>
        <v>106187</v>
      </c>
      <c r="O246" t="s">
        <v>649</v>
      </c>
      <c r="P246" t="s">
        <v>621</v>
      </c>
      <c r="Q246" t="s">
        <v>879</v>
      </c>
      <c r="W246">
        <v>1</v>
      </c>
    </row>
    <row r="247" spans="1:26" x14ac:dyDescent="0.25">
      <c r="A247" s="2">
        <f>HYPERLINK(URLs!B36 &amp; 106662,106662)</f>
        <v>106662</v>
      </c>
      <c r="B247" s="2">
        <f>HYPERLINK(URLs!B30 &amp; 18911 &amp; URLs!B32,18911)</f>
        <v>18911</v>
      </c>
      <c r="C247" t="s">
        <v>618</v>
      </c>
      <c r="D247" t="s">
        <v>619</v>
      </c>
      <c r="E247" t="s">
        <v>620</v>
      </c>
      <c r="F247" t="s">
        <v>621</v>
      </c>
      <c r="G247" t="s">
        <v>622</v>
      </c>
      <c r="H247" t="s">
        <v>623</v>
      </c>
      <c r="I247" t="s">
        <v>624</v>
      </c>
      <c r="J247" t="s">
        <v>625</v>
      </c>
      <c r="K247" t="s">
        <v>31</v>
      </c>
      <c r="L247" s="5">
        <v>43035.604768518519</v>
      </c>
      <c r="N247" s="2">
        <f>HYPERLINK(URLs!B36 &amp; 106447,106447)</f>
        <v>106447</v>
      </c>
      <c r="O247" t="s">
        <v>637</v>
      </c>
      <c r="P247" t="s">
        <v>621</v>
      </c>
      <c r="Q247" t="s">
        <v>4628</v>
      </c>
      <c r="R247" t="s">
        <v>305</v>
      </c>
      <c r="S247" t="s">
        <v>353</v>
      </c>
      <c r="T247" t="s">
        <v>307</v>
      </c>
      <c r="U247" t="s">
        <v>35</v>
      </c>
      <c r="V247" t="s">
        <v>321</v>
      </c>
      <c r="Z247" t="s">
        <v>73</v>
      </c>
    </row>
    <row r="248" spans="1:26" hidden="1" x14ac:dyDescent="0.25">
      <c r="A248" s="2"/>
      <c r="B248" s="2">
        <f>HYPERLINK(URLs!B30 &amp; 18894 &amp; URLs!B32,18894)</f>
        <v>18894</v>
      </c>
      <c r="C248" t="s">
        <v>665</v>
      </c>
      <c r="D248" t="s">
        <v>619</v>
      </c>
      <c r="E248" t="s">
        <v>850</v>
      </c>
      <c r="F248" t="s">
        <v>621</v>
      </c>
      <c r="G248" t="s">
        <v>870</v>
      </c>
      <c r="H248" t="s">
        <v>871</v>
      </c>
      <c r="I248" t="s">
        <v>624</v>
      </c>
      <c r="J248" t="s">
        <v>625</v>
      </c>
      <c r="L248" s="5">
        <v>43034.421516203707</v>
      </c>
      <c r="M248" s="5">
        <v>43105.543749999997</v>
      </c>
      <c r="N248" t="s">
        <v>621</v>
      </c>
      <c r="O248" t="s">
        <v>636</v>
      </c>
      <c r="P248" t="s">
        <v>621</v>
      </c>
      <c r="Q248" t="s">
        <v>880</v>
      </c>
      <c r="R248" t="s">
        <v>305</v>
      </c>
      <c r="W248">
        <v>1</v>
      </c>
    </row>
    <row r="249" spans="1:26" hidden="1" x14ac:dyDescent="0.25">
      <c r="A249" s="2">
        <f>HYPERLINK(URLs!B36 &amp; 106868,106868)</f>
        <v>106868</v>
      </c>
      <c r="B249" s="2">
        <f>HYPERLINK(URLs!B30 &amp; 18888 &amp; URLs!B32,18888)</f>
        <v>18888</v>
      </c>
      <c r="C249" t="s">
        <v>665</v>
      </c>
      <c r="D249" t="s">
        <v>619</v>
      </c>
      <c r="E249" t="s">
        <v>620</v>
      </c>
      <c r="F249" t="s">
        <v>621</v>
      </c>
      <c r="G249" t="s">
        <v>622</v>
      </c>
      <c r="H249" t="s">
        <v>623</v>
      </c>
      <c r="I249" t="s">
        <v>624</v>
      </c>
      <c r="J249" t="s">
        <v>625</v>
      </c>
      <c r="K249" t="s">
        <v>31</v>
      </c>
      <c r="L249" s="5">
        <v>43033.659305555557</v>
      </c>
      <c r="M249" s="5">
        <v>43111.467361111114</v>
      </c>
      <c r="N249" s="2">
        <f>HYPERLINK(URLs!B36 &amp; 94906,94906)</f>
        <v>94906</v>
      </c>
      <c r="O249" t="s">
        <v>636</v>
      </c>
      <c r="P249" t="s">
        <v>621</v>
      </c>
      <c r="Q249" t="s">
        <v>638</v>
      </c>
      <c r="R249" t="s">
        <v>319</v>
      </c>
      <c r="S249" t="s">
        <v>353</v>
      </c>
      <c r="T249" t="s">
        <v>4098</v>
      </c>
      <c r="U249" t="s">
        <v>35</v>
      </c>
      <c r="V249" t="s">
        <v>321</v>
      </c>
      <c r="W249">
        <v>1</v>
      </c>
      <c r="Z249" t="s">
        <v>73</v>
      </c>
    </row>
    <row r="250" spans="1:26" hidden="1" x14ac:dyDescent="0.25">
      <c r="A250" s="2"/>
      <c r="B250" s="2">
        <f>HYPERLINK(URLs!B30 &amp; 18886 &amp; URLs!B32,18886)</f>
        <v>18886</v>
      </c>
      <c r="C250" t="s">
        <v>665</v>
      </c>
      <c r="D250" t="s">
        <v>619</v>
      </c>
      <c r="E250" t="s">
        <v>850</v>
      </c>
      <c r="F250" t="s">
        <v>621</v>
      </c>
      <c r="G250" t="s">
        <v>855</v>
      </c>
      <c r="H250" t="s">
        <v>856</v>
      </c>
      <c r="I250" t="s">
        <v>624</v>
      </c>
      <c r="J250" t="s">
        <v>625</v>
      </c>
      <c r="L250" s="5">
        <v>43033.489699074074</v>
      </c>
      <c r="M250" s="5">
        <v>43119.405555555553</v>
      </c>
      <c r="N250" s="2">
        <f>HYPERLINK(URLs!B36 &amp; 105063,105063)</f>
        <v>105063</v>
      </c>
      <c r="O250" t="s">
        <v>636</v>
      </c>
      <c r="P250" t="s">
        <v>621</v>
      </c>
      <c r="Q250" t="s">
        <v>881</v>
      </c>
      <c r="W250">
        <v>1</v>
      </c>
    </row>
    <row r="251" spans="1:26" hidden="1" x14ac:dyDescent="0.25">
      <c r="A251" s="2"/>
      <c r="B251" s="2">
        <f>HYPERLINK(URLs!B30 &amp; 18884 &amp; URLs!B32,18884)</f>
        <v>18884</v>
      </c>
      <c r="C251" t="s">
        <v>633</v>
      </c>
      <c r="D251" t="s">
        <v>619</v>
      </c>
      <c r="E251" t="s">
        <v>850</v>
      </c>
      <c r="F251" t="s">
        <v>621</v>
      </c>
      <c r="G251" t="s">
        <v>851</v>
      </c>
      <c r="H251" t="s">
        <v>852</v>
      </c>
      <c r="I251" t="s">
        <v>624</v>
      </c>
      <c r="J251" t="s">
        <v>642</v>
      </c>
      <c r="L251" s="5">
        <v>43033.162824074076</v>
      </c>
      <c r="M251" s="5">
        <v>43105.349953703706</v>
      </c>
      <c r="N251" t="s">
        <v>621</v>
      </c>
      <c r="O251" t="s">
        <v>645</v>
      </c>
      <c r="P251" t="s">
        <v>621</v>
      </c>
      <c r="Q251" t="s">
        <v>882</v>
      </c>
      <c r="R251" t="s">
        <v>42</v>
      </c>
    </row>
    <row r="252" spans="1:26" hidden="1" x14ac:dyDescent="0.25">
      <c r="A252" s="2">
        <f>HYPERLINK(URLs!B36 &amp; 106484,106484)</f>
        <v>106484</v>
      </c>
      <c r="B252" s="2">
        <f>HYPERLINK(URLs!B30 &amp; 18879 &amp; URLs!B32,18879)</f>
        <v>18879</v>
      </c>
      <c r="C252" t="s">
        <v>665</v>
      </c>
      <c r="D252" t="s">
        <v>619</v>
      </c>
      <c r="E252" t="s">
        <v>620</v>
      </c>
      <c r="F252" t="s">
        <v>621</v>
      </c>
      <c r="G252" t="s">
        <v>622</v>
      </c>
      <c r="H252" t="s">
        <v>623</v>
      </c>
      <c r="I252" t="s">
        <v>624</v>
      </c>
      <c r="J252" t="s">
        <v>625</v>
      </c>
      <c r="K252" t="s">
        <v>31</v>
      </c>
      <c r="L252" s="5">
        <v>43032.60765046296</v>
      </c>
      <c r="M252" s="5">
        <v>43287.408796296295</v>
      </c>
      <c r="N252" s="2">
        <f>HYPERLINK(URLs!B36 &amp; 106597,106597)</f>
        <v>106597</v>
      </c>
      <c r="O252" t="s">
        <v>636</v>
      </c>
      <c r="P252" t="s">
        <v>621</v>
      </c>
      <c r="Q252" t="s">
        <v>4629</v>
      </c>
      <c r="R252" t="s">
        <v>305</v>
      </c>
      <c r="S252" t="s">
        <v>304</v>
      </c>
      <c r="T252" t="s">
        <v>307</v>
      </c>
      <c r="U252" t="s">
        <v>3993</v>
      </c>
      <c r="V252" t="s">
        <v>321</v>
      </c>
      <c r="W252">
        <v>1</v>
      </c>
      <c r="Z252" t="s">
        <v>195</v>
      </c>
    </row>
    <row r="253" spans="1:26" hidden="1" x14ac:dyDescent="0.25">
      <c r="A253" s="2"/>
      <c r="B253" s="2">
        <f>HYPERLINK(URLs!B30 &amp; 18872 &amp; URLs!B32,18872)</f>
        <v>18872</v>
      </c>
      <c r="C253" t="s">
        <v>633</v>
      </c>
      <c r="D253" t="s">
        <v>619</v>
      </c>
      <c r="E253" t="s">
        <v>850</v>
      </c>
      <c r="F253" t="s">
        <v>621</v>
      </c>
      <c r="G253" t="s">
        <v>867</v>
      </c>
      <c r="H253" t="s">
        <v>868</v>
      </c>
      <c r="I253" t="s">
        <v>624</v>
      </c>
      <c r="J253" t="s">
        <v>625</v>
      </c>
      <c r="L253" s="5">
        <v>43032.393692129626</v>
      </c>
      <c r="M253" s="5">
        <v>43234.428935185184</v>
      </c>
      <c r="N253" s="2">
        <f>HYPERLINK(URLs!B36 &amp; 106517,106517)</f>
        <v>106517</v>
      </c>
      <c r="O253" t="s">
        <v>636</v>
      </c>
      <c r="P253" t="s">
        <v>621</v>
      </c>
      <c r="Q253" t="s">
        <v>883</v>
      </c>
      <c r="R253" t="s">
        <v>305</v>
      </c>
      <c r="W253">
        <v>1</v>
      </c>
    </row>
    <row r="254" spans="1:26" hidden="1" x14ac:dyDescent="0.25">
      <c r="A254" s="2"/>
      <c r="B254" s="2">
        <f>HYPERLINK(URLs!B30 &amp; 18852 &amp; URLs!B32,18852)</f>
        <v>18852</v>
      </c>
      <c r="C254" t="s">
        <v>665</v>
      </c>
      <c r="D254" t="s">
        <v>619</v>
      </c>
      <c r="E254" t="s">
        <v>850</v>
      </c>
      <c r="F254" t="s">
        <v>621</v>
      </c>
      <c r="G254" t="s">
        <v>875</v>
      </c>
      <c r="H254" t="s">
        <v>876</v>
      </c>
      <c r="I254" t="s">
        <v>624</v>
      </c>
      <c r="J254" t="s">
        <v>642</v>
      </c>
      <c r="L254" s="5">
        <v>43027.581736111111</v>
      </c>
      <c r="M254" s="5">
        <v>43332.324305555558</v>
      </c>
      <c r="N254" s="2">
        <f>HYPERLINK(URLs!B36 &amp; 106154,106154)</f>
        <v>106154</v>
      </c>
      <c r="O254" t="s">
        <v>636</v>
      </c>
      <c r="P254" t="s">
        <v>621</v>
      </c>
      <c r="Q254" t="s">
        <v>884</v>
      </c>
    </row>
    <row r="255" spans="1:26" hidden="1" x14ac:dyDescent="0.25">
      <c r="A255" s="2">
        <f>HYPERLINK(URLs!B36 &amp; 106089,106089)</f>
        <v>106089</v>
      </c>
      <c r="B255" s="2">
        <f>HYPERLINK(URLs!B30 &amp; 18827 &amp; URLs!B32,18827)</f>
        <v>18827</v>
      </c>
      <c r="C255" t="s">
        <v>665</v>
      </c>
      <c r="D255" t="s">
        <v>619</v>
      </c>
      <c r="E255" t="s">
        <v>620</v>
      </c>
      <c r="F255" t="s">
        <v>621</v>
      </c>
      <c r="G255" t="s">
        <v>622</v>
      </c>
      <c r="H255" t="s">
        <v>623</v>
      </c>
      <c r="I255" t="s">
        <v>624</v>
      </c>
      <c r="J255" t="s">
        <v>625</v>
      </c>
      <c r="K255" t="s">
        <v>31</v>
      </c>
      <c r="L255" s="5">
        <v>43024.455266203702</v>
      </c>
      <c r="M255" s="5">
        <v>43287.490277777775</v>
      </c>
      <c r="N255" s="2">
        <f>HYPERLINK(URLs!B36 &amp; 106099,106099)</f>
        <v>106099</v>
      </c>
      <c r="O255" t="s">
        <v>636</v>
      </c>
      <c r="P255" t="s">
        <v>621</v>
      </c>
      <c r="Q255" t="s">
        <v>4630</v>
      </c>
      <c r="R255" t="s">
        <v>305</v>
      </c>
      <c r="S255" t="s">
        <v>304</v>
      </c>
      <c r="T255" t="s">
        <v>4171</v>
      </c>
      <c r="U255" t="s">
        <v>4219</v>
      </c>
      <c r="V255" t="s">
        <v>321</v>
      </c>
      <c r="Z255" t="s">
        <v>52</v>
      </c>
    </row>
    <row r="256" spans="1:26" hidden="1" x14ac:dyDescent="0.25">
      <c r="A256" s="2"/>
      <c r="B256" s="2">
        <f>HYPERLINK(URLs!B30 &amp; 18825 &amp; URLs!B32,18825)</f>
        <v>18825</v>
      </c>
      <c r="C256" t="s">
        <v>633</v>
      </c>
      <c r="D256" t="s">
        <v>619</v>
      </c>
      <c r="E256" t="s">
        <v>850</v>
      </c>
      <c r="F256" t="s">
        <v>621</v>
      </c>
      <c r="G256" t="s">
        <v>851</v>
      </c>
      <c r="H256" t="s">
        <v>876</v>
      </c>
      <c r="I256" t="s">
        <v>624</v>
      </c>
      <c r="J256" t="s">
        <v>625</v>
      </c>
      <c r="L256" s="5">
        <v>43024.058356481481</v>
      </c>
      <c r="M256" s="5">
        <v>43332.239803240744</v>
      </c>
      <c r="N256" s="2">
        <f>HYPERLINK(URLs!B36 &amp; 105963,105963)</f>
        <v>105963</v>
      </c>
      <c r="O256" t="s">
        <v>636</v>
      </c>
      <c r="P256" t="s">
        <v>621</v>
      </c>
      <c r="Q256" t="s">
        <v>885</v>
      </c>
    </row>
    <row r="257" spans="1:26" hidden="1" x14ac:dyDescent="0.25">
      <c r="A257" s="2"/>
      <c r="B257" s="2">
        <f>HYPERLINK(URLs!B30 &amp; 18818 &amp; URLs!B32,18818)</f>
        <v>18818</v>
      </c>
      <c r="C257" t="s">
        <v>618</v>
      </c>
      <c r="D257" t="s">
        <v>619</v>
      </c>
      <c r="E257" t="s">
        <v>620</v>
      </c>
      <c r="F257" t="s">
        <v>621</v>
      </c>
      <c r="G257" t="s">
        <v>622</v>
      </c>
      <c r="H257" t="s">
        <v>623</v>
      </c>
      <c r="I257" t="s">
        <v>624</v>
      </c>
      <c r="J257" t="s">
        <v>629</v>
      </c>
      <c r="L257" s="5">
        <v>43021.611689814818</v>
      </c>
      <c r="N257" t="s">
        <v>621</v>
      </c>
      <c r="O257" t="s">
        <v>649</v>
      </c>
      <c r="P257" t="s">
        <v>621</v>
      </c>
      <c r="Q257" t="s">
        <v>4631</v>
      </c>
      <c r="R257" t="s">
        <v>319</v>
      </c>
    </row>
    <row r="258" spans="1:26" hidden="1" x14ac:dyDescent="0.25">
      <c r="A258" s="2">
        <f>HYPERLINK(URLs!B36 &amp; 106032,106032)</f>
        <v>106032</v>
      </c>
      <c r="B258" s="2">
        <f>HYPERLINK(URLs!B30 &amp; 18817 &amp; URLs!B32,18817)</f>
        <v>18817</v>
      </c>
      <c r="C258" t="s">
        <v>618</v>
      </c>
      <c r="D258" t="s">
        <v>619</v>
      </c>
      <c r="E258" t="s">
        <v>620</v>
      </c>
      <c r="F258" t="s">
        <v>621</v>
      </c>
      <c r="G258" t="s">
        <v>622</v>
      </c>
      <c r="H258" t="s">
        <v>623</v>
      </c>
      <c r="I258" t="s">
        <v>624</v>
      </c>
      <c r="J258" t="s">
        <v>625</v>
      </c>
      <c r="K258" t="s">
        <v>31</v>
      </c>
      <c r="L258" s="5">
        <v>43021.602361111109</v>
      </c>
      <c r="N258" s="2">
        <f>HYPERLINK(URLs!B36 &amp; 106095,106095)</f>
        <v>106095</v>
      </c>
      <c r="O258" t="s">
        <v>1360</v>
      </c>
      <c r="P258" t="s">
        <v>621</v>
      </c>
      <c r="Q258" t="s">
        <v>4632</v>
      </c>
      <c r="R258" t="s">
        <v>319</v>
      </c>
      <c r="S258" t="s">
        <v>304</v>
      </c>
      <c r="T258" t="s">
        <v>4171</v>
      </c>
      <c r="U258" t="s">
        <v>4217</v>
      </c>
      <c r="V258" t="s">
        <v>321</v>
      </c>
      <c r="W258">
        <v>1</v>
      </c>
      <c r="Z258" t="s">
        <v>73</v>
      </c>
    </row>
    <row r="259" spans="1:26" hidden="1" x14ac:dyDescent="0.25">
      <c r="A259" s="2"/>
      <c r="B259" s="2">
        <f>HYPERLINK(URLs!B30 &amp; 18796 &amp; URLs!B32,18796)</f>
        <v>18796</v>
      </c>
      <c r="C259" t="s">
        <v>665</v>
      </c>
      <c r="D259" t="s">
        <v>619</v>
      </c>
      <c r="E259" t="s">
        <v>850</v>
      </c>
      <c r="F259" t="s">
        <v>621</v>
      </c>
      <c r="G259" t="s">
        <v>886</v>
      </c>
      <c r="H259" t="s">
        <v>887</v>
      </c>
      <c r="I259" t="s">
        <v>624</v>
      </c>
      <c r="J259" t="s">
        <v>625</v>
      </c>
      <c r="L259" s="5">
        <v>43019.352523148147</v>
      </c>
      <c r="M259" s="5">
        <v>43332.321527777778</v>
      </c>
      <c r="N259" s="2">
        <f>HYPERLINK(URLs!B36 &amp; 104782,104782)</f>
        <v>104782</v>
      </c>
      <c r="O259" t="s">
        <v>636</v>
      </c>
      <c r="P259" t="s">
        <v>621</v>
      </c>
      <c r="Q259" t="s">
        <v>4730</v>
      </c>
      <c r="W259">
        <v>1</v>
      </c>
    </row>
    <row r="260" spans="1:26" hidden="1" x14ac:dyDescent="0.25">
      <c r="A260" s="2"/>
      <c r="B260" s="2">
        <f>HYPERLINK(URLs!B30 &amp; 18794 &amp; URLs!B32,18794)</f>
        <v>18794</v>
      </c>
      <c r="C260" t="s">
        <v>665</v>
      </c>
      <c r="D260" t="s">
        <v>619</v>
      </c>
      <c r="E260" t="s">
        <v>850</v>
      </c>
      <c r="F260" t="s">
        <v>621</v>
      </c>
      <c r="G260" t="s">
        <v>855</v>
      </c>
      <c r="H260" t="s">
        <v>856</v>
      </c>
      <c r="I260" t="s">
        <v>624</v>
      </c>
      <c r="J260" t="s">
        <v>625</v>
      </c>
      <c r="L260" s="5">
        <v>43019.153171296297</v>
      </c>
      <c r="M260" s="5">
        <v>43122.679166666669</v>
      </c>
      <c r="N260" s="2">
        <f>HYPERLINK(URLs!B36 &amp; 105935,105935)</f>
        <v>105935</v>
      </c>
      <c r="O260" t="s">
        <v>636</v>
      </c>
      <c r="P260" t="s">
        <v>621</v>
      </c>
      <c r="Q260" t="s">
        <v>888</v>
      </c>
      <c r="R260" t="s">
        <v>319</v>
      </c>
    </row>
    <row r="261" spans="1:26" hidden="1" x14ac:dyDescent="0.25">
      <c r="A261" s="2">
        <f>HYPERLINK(URLs!B36 &amp; 105751,105751)</f>
        <v>105751</v>
      </c>
      <c r="B261" s="2">
        <f>HYPERLINK(URLs!B30 &amp; 18783 &amp; URLs!B32,18783)</f>
        <v>18783</v>
      </c>
      <c r="C261" t="s">
        <v>633</v>
      </c>
      <c r="D261" t="s">
        <v>619</v>
      </c>
      <c r="E261" t="s">
        <v>620</v>
      </c>
      <c r="F261" t="s">
        <v>621</v>
      </c>
      <c r="G261" t="s">
        <v>622</v>
      </c>
      <c r="H261" t="s">
        <v>623</v>
      </c>
      <c r="I261" t="s">
        <v>624</v>
      </c>
      <c r="J261" t="s">
        <v>625</v>
      </c>
      <c r="K261" t="s">
        <v>31</v>
      </c>
      <c r="L261" s="5">
        <v>43017.606157407405</v>
      </c>
      <c r="M261" s="5">
        <v>43287.4065625</v>
      </c>
      <c r="N261" s="2">
        <f>HYPERLINK(URLs!B36 &amp; 105799,105799)</f>
        <v>105799</v>
      </c>
      <c r="O261" t="s">
        <v>636</v>
      </c>
      <c r="P261" t="s">
        <v>621</v>
      </c>
      <c r="Q261" t="s">
        <v>4633</v>
      </c>
      <c r="R261" t="s">
        <v>305</v>
      </c>
      <c r="S261" t="s">
        <v>304</v>
      </c>
      <c r="T261" t="s">
        <v>4171</v>
      </c>
      <c r="U261" t="s">
        <v>4033</v>
      </c>
      <c r="V261" t="s">
        <v>321</v>
      </c>
      <c r="Z261" t="s">
        <v>52</v>
      </c>
    </row>
    <row r="262" spans="1:26" hidden="1" x14ac:dyDescent="0.25">
      <c r="A262" s="2"/>
      <c r="B262" s="2">
        <f>HYPERLINK(URLs!B30 &amp; 18782 &amp; URLs!B32,18782)</f>
        <v>18782</v>
      </c>
      <c r="C262" t="s">
        <v>633</v>
      </c>
      <c r="D262" t="s">
        <v>619</v>
      </c>
      <c r="E262" t="s">
        <v>850</v>
      </c>
      <c r="F262" t="s">
        <v>621</v>
      </c>
      <c r="G262" t="s">
        <v>889</v>
      </c>
      <c r="H262" t="s">
        <v>890</v>
      </c>
      <c r="I262" t="s">
        <v>624</v>
      </c>
      <c r="J262" t="s">
        <v>642</v>
      </c>
      <c r="L262" s="5">
        <v>43017.598414351851</v>
      </c>
      <c r="M262" s="5">
        <v>43290.401678240742</v>
      </c>
      <c r="N262" t="s">
        <v>621</v>
      </c>
      <c r="O262" t="s">
        <v>645</v>
      </c>
      <c r="P262" t="s">
        <v>621</v>
      </c>
      <c r="Q262" t="s">
        <v>891</v>
      </c>
    </row>
    <row r="263" spans="1:26" hidden="1" x14ac:dyDescent="0.25">
      <c r="A263" s="2"/>
      <c r="B263" s="2">
        <f>HYPERLINK(URLs!B30 &amp; 18776 &amp; URLs!B32,18776)</f>
        <v>18776</v>
      </c>
      <c r="C263" t="s">
        <v>633</v>
      </c>
      <c r="D263" t="s">
        <v>619</v>
      </c>
      <c r="E263" t="s">
        <v>850</v>
      </c>
      <c r="F263" t="s">
        <v>892</v>
      </c>
      <c r="G263" t="s">
        <v>886</v>
      </c>
      <c r="H263" t="s">
        <v>887</v>
      </c>
      <c r="I263" t="s">
        <v>624</v>
      </c>
      <c r="J263" t="s">
        <v>629</v>
      </c>
      <c r="L263" s="5">
        <v>43017.32540509259</v>
      </c>
      <c r="M263" s="5">
        <v>43378.591851851852</v>
      </c>
      <c r="N263" s="2">
        <f>HYPERLINK(URLs!B36 &amp; 105710,105710)</f>
        <v>105710</v>
      </c>
      <c r="O263" t="s">
        <v>636</v>
      </c>
      <c r="P263" t="s">
        <v>621</v>
      </c>
      <c r="Q263" t="s">
        <v>893</v>
      </c>
    </row>
    <row r="264" spans="1:26" hidden="1" x14ac:dyDescent="0.25">
      <c r="A264" s="2">
        <f>HYPERLINK(URLs!B36 &amp; 105692,105692)</f>
        <v>105692</v>
      </c>
      <c r="B264" s="2">
        <f>HYPERLINK(URLs!B30 &amp; 18773 &amp; URLs!B32,18773)</f>
        <v>18773</v>
      </c>
      <c r="C264" t="s">
        <v>633</v>
      </c>
      <c r="D264" t="s">
        <v>619</v>
      </c>
      <c r="E264" t="s">
        <v>620</v>
      </c>
      <c r="F264" t="s">
        <v>621</v>
      </c>
      <c r="G264" t="s">
        <v>634</v>
      </c>
      <c r="H264" t="s">
        <v>635</v>
      </c>
      <c r="I264" t="s">
        <v>624</v>
      </c>
      <c r="J264" t="s">
        <v>629</v>
      </c>
      <c r="K264" t="s">
        <v>68</v>
      </c>
      <c r="L264" s="5">
        <v>43014.593877314815</v>
      </c>
      <c r="M264" s="5">
        <v>43027.360995370371</v>
      </c>
      <c r="N264" s="2">
        <f>HYPERLINK(URLs!B36 &amp; 105692,105692)</f>
        <v>105692</v>
      </c>
      <c r="O264" t="s">
        <v>626</v>
      </c>
      <c r="P264" t="s">
        <v>621</v>
      </c>
      <c r="Q264" t="s">
        <v>4634</v>
      </c>
      <c r="R264" t="s">
        <v>42</v>
      </c>
      <c r="T264" t="s">
        <v>4098</v>
      </c>
      <c r="U264" t="s">
        <v>35</v>
      </c>
      <c r="V264" t="s">
        <v>35</v>
      </c>
      <c r="Z264" t="s">
        <v>73</v>
      </c>
    </row>
    <row r="265" spans="1:26" x14ac:dyDescent="0.25">
      <c r="A265" s="2"/>
      <c r="B265" s="2">
        <f>HYPERLINK(URLs!B30 &amp; 18761 &amp; URLs!B32,18761)</f>
        <v>18761</v>
      </c>
      <c r="C265" t="s">
        <v>618</v>
      </c>
      <c r="D265" t="s">
        <v>619</v>
      </c>
      <c r="E265" t="s">
        <v>620</v>
      </c>
      <c r="F265" t="s">
        <v>621</v>
      </c>
      <c r="G265" t="s">
        <v>634</v>
      </c>
      <c r="H265" t="s">
        <v>635</v>
      </c>
      <c r="I265" t="s">
        <v>624</v>
      </c>
      <c r="J265" t="s">
        <v>629</v>
      </c>
      <c r="L265" s="5">
        <v>43013.568229166667</v>
      </c>
      <c r="N265" s="2">
        <f>HYPERLINK(URLs!B37 &amp; 219996,219996)</f>
        <v>219996</v>
      </c>
      <c r="O265" t="s">
        <v>637</v>
      </c>
      <c r="P265" t="s">
        <v>621</v>
      </c>
      <c r="Q265" t="s">
        <v>4560</v>
      </c>
    </row>
    <row r="266" spans="1:26" hidden="1" x14ac:dyDescent="0.25">
      <c r="A266" s="2">
        <f>HYPERLINK(URLs!B36 &amp; 105631,105631)</f>
        <v>105631</v>
      </c>
      <c r="B266" s="2">
        <f>HYPERLINK(URLs!B30 &amp; 18760 &amp; URLs!B32,18760)</f>
        <v>18760</v>
      </c>
      <c r="C266" t="s">
        <v>665</v>
      </c>
      <c r="D266" t="s">
        <v>619</v>
      </c>
      <c r="E266" t="s">
        <v>620</v>
      </c>
      <c r="F266" t="s">
        <v>621</v>
      </c>
      <c r="G266" t="s">
        <v>634</v>
      </c>
      <c r="H266" t="s">
        <v>635</v>
      </c>
      <c r="I266" t="s">
        <v>624</v>
      </c>
      <c r="J266" t="s">
        <v>629</v>
      </c>
      <c r="K266" t="s">
        <v>68</v>
      </c>
      <c r="L266" s="5">
        <v>43013.553587962961</v>
      </c>
      <c r="M266" s="5">
        <v>43287.487500000003</v>
      </c>
      <c r="N266" s="2">
        <f>HYPERLINK(URLs!B36 &amp; 105631,105631)</f>
        <v>105631</v>
      </c>
      <c r="O266" t="s">
        <v>636</v>
      </c>
      <c r="P266" t="s">
        <v>621</v>
      </c>
      <c r="Q266" t="s">
        <v>4635</v>
      </c>
      <c r="R266" t="s">
        <v>305</v>
      </c>
      <c r="S266" t="s">
        <v>304</v>
      </c>
      <c r="T266" t="s">
        <v>4176</v>
      </c>
      <c r="U266" t="s">
        <v>4037</v>
      </c>
      <c r="V266" t="s">
        <v>35</v>
      </c>
      <c r="Z266" t="s">
        <v>34</v>
      </c>
    </row>
    <row r="267" spans="1:26" hidden="1" x14ac:dyDescent="0.25">
      <c r="A267" s="2"/>
      <c r="B267" s="2">
        <f>HYPERLINK(URLs!B30 &amp; 18756 &amp; URLs!B32,18756)</f>
        <v>18756</v>
      </c>
      <c r="C267" t="s">
        <v>665</v>
      </c>
      <c r="D267" t="s">
        <v>619</v>
      </c>
      <c r="E267" t="s">
        <v>850</v>
      </c>
      <c r="F267" t="s">
        <v>621</v>
      </c>
      <c r="G267" t="s">
        <v>870</v>
      </c>
      <c r="H267" t="s">
        <v>876</v>
      </c>
      <c r="I267" t="s">
        <v>624</v>
      </c>
      <c r="J267" t="s">
        <v>625</v>
      </c>
      <c r="L267" s="5">
        <v>43013.102939814817</v>
      </c>
      <c r="M267" s="5">
        <v>43360.633333333331</v>
      </c>
      <c r="N267" s="2">
        <f>HYPERLINK(URLs!B36 &amp; 105411,105411)</f>
        <v>105411</v>
      </c>
      <c r="O267" t="s">
        <v>645</v>
      </c>
      <c r="P267" t="s">
        <v>621</v>
      </c>
      <c r="Q267" t="s">
        <v>894</v>
      </c>
      <c r="R267" t="s">
        <v>319</v>
      </c>
      <c r="W267">
        <v>1</v>
      </c>
    </row>
    <row r="268" spans="1:26" hidden="1" x14ac:dyDescent="0.25">
      <c r="A268" s="2"/>
      <c r="B268" s="2">
        <f>HYPERLINK(URLs!B30 &amp; 18735 &amp; URLs!B32,18735)</f>
        <v>18735</v>
      </c>
      <c r="C268" t="s">
        <v>665</v>
      </c>
      <c r="D268" t="s">
        <v>619</v>
      </c>
      <c r="E268" t="s">
        <v>850</v>
      </c>
      <c r="F268" t="s">
        <v>621</v>
      </c>
      <c r="G268" t="s">
        <v>855</v>
      </c>
      <c r="H268" t="s">
        <v>856</v>
      </c>
      <c r="I268" t="s">
        <v>624</v>
      </c>
      <c r="J268" t="s">
        <v>629</v>
      </c>
      <c r="L268" s="5">
        <v>43011.31958333333</v>
      </c>
      <c r="M268" s="5">
        <v>43332.319444444445</v>
      </c>
      <c r="N268" s="2">
        <f>HYPERLINK(URLs!B36 &amp; 104098,104098)</f>
        <v>104098</v>
      </c>
      <c r="O268" t="s">
        <v>636</v>
      </c>
      <c r="P268" t="s">
        <v>621</v>
      </c>
      <c r="Q268" t="s">
        <v>895</v>
      </c>
      <c r="R268" t="s">
        <v>319</v>
      </c>
    </row>
    <row r="269" spans="1:26" hidden="1" x14ac:dyDescent="0.25">
      <c r="A269" s="2"/>
      <c r="B269" s="2">
        <f>HYPERLINK(URLs!B30 &amp; 18728 &amp; URLs!B32,18728)</f>
        <v>18728</v>
      </c>
      <c r="C269" t="s">
        <v>633</v>
      </c>
      <c r="D269" t="s">
        <v>619</v>
      </c>
      <c r="E269" t="s">
        <v>850</v>
      </c>
      <c r="F269" t="s">
        <v>621</v>
      </c>
      <c r="G269" t="s">
        <v>855</v>
      </c>
      <c r="H269" t="s">
        <v>856</v>
      </c>
      <c r="I269" t="s">
        <v>624</v>
      </c>
      <c r="J269" t="s">
        <v>625</v>
      </c>
      <c r="L269" s="5">
        <v>43010.365856481483</v>
      </c>
      <c r="M269" s="5">
        <v>43039.241574074076</v>
      </c>
      <c r="N269" s="2">
        <f>HYPERLINK(URLs!B36 &amp; 100887,100887)</f>
        <v>100887</v>
      </c>
      <c r="O269" t="s">
        <v>636</v>
      </c>
      <c r="P269" t="s">
        <v>621</v>
      </c>
      <c r="Q269" t="s">
        <v>896</v>
      </c>
    </row>
    <row r="270" spans="1:26" hidden="1" x14ac:dyDescent="0.25">
      <c r="A270" s="2">
        <f>HYPERLINK(URLs!B36 &amp; 105408,105408)</f>
        <v>105408</v>
      </c>
      <c r="B270" s="2">
        <f>HYPERLINK(URLs!B30 &amp; 18723 &amp; URLs!B32,18723)</f>
        <v>18723</v>
      </c>
      <c r="C270" t="s">
        <v>665</v>
      </c>
      <c r="D270" t="s">
        <v>619</v>
      </c>
      <c r="E270" t="s">
        <v>620</v>
      </c>
      <c r="F270" t="s">
        <v>621</v>
      </c>
      <c r="G270" t="s">
        <v>622</v>
      </c>
      <c r="H270" t="s">
        <v>623</v>
      </c>
      <c r="I270" t="s">
        <v>624</v>
      </c>
      <c r="J270" t="s">
        <v>625</v>
      </c>
      <c r="K270" t="s">
        <v>31</v>
      </c>
      <c r="L270" s="5">
        <v>43007.349351851852</v>
      </c>
      <c r="M270" s="5">
        <v>43111.470833333333</v>
      </c>
      <c r="N270" s="2">
        <f>HYPERLINK(URLs!B36 &amp; 105408,105408)</f>
        <v>105408</v>
      </c>
      <c r="O270" t="s">
        <v>636</v>
      </c>
      <c r="P270" t="s">
        <v>621</v>
      </c>
      <c r="Q270" t="s">
        <v>4636</v>
      </c>
      <c r="R270" t="s">
        <v>319</v>
      </c>
      <c r="S270" t="s">
        <v>304</v>
      </c>
      <c r="T270" t="s">
        <v>4172</v>
      </c>
      <c r="U270" t="s">
        <v>4026</v>
      </c>
      <c r="V270" t="s">
        <v>35</v>
      </c>
      <c r="Z270" t="s">
        <v>45</v>
      </c>
    </row>
    <row r="271" spans="1:26" hidden="1" x14ac:dyDescent="0.25">
      <c r="A271" s="2">
        <f>HYPERLINK(URLs!B36 &amp; 105392,105392)</f>
        <v>105392</v>
      </c>
      <c r="B271" s="2">
        <f>HYPERLINK(URLs!B30 &amp; 18720 &amp; URLs!B32,18720)</f>
        <v>18720</v>
      </c>
      <c r="C271" t="s">
        <v>633</v>
      </c>
      <c r="D271" t="s">
        <v>619</v>
      </c>
      <c r="E271" t="s">
        <v>620</v>
      </c>
      <c r="F271" t="s">
        <v>621</v>
      </c>
      <c r="G271" t="s">
        <v>631</v>
      </c>
      <c r="H271" t="s">
        <v>632</v>
      </c>
      <c r="I271" t="s">
        <v>624</v>
      </c>
      <c r="J271" t="s">
        <v>642</v>
      </c>
      <c r="K271" t="s">
        <v>68</v>
      </c>
      <c r="L271" s="5">
        <v>43007.010717592595</v>
      </c>
      <c r="M271" s="5">
        <v>43287.403715277775</v>
      </c>
      <c r="N271" s="2">
        <f>HYPERLINK(URLs!B36 &amp; 105392,105392)</f>
        <v>105392</v>
      </c>
      <c r="O271" t="s">
        <v>636</v>
      </c>
      <c r="P271" t="s">
        <v>621</v>
      </c>
      <c r="Q271" t="s">
        <v>4637</v>
      </c>
      <c r="R271" t="s">
        <v>305</v>
      </c>
      <c r="S271" t="s">
        <v>304</v>
      </c>
      <c r="T271" t="s">
        <v>307</v>
      </c>
      <c r="U271" t="s">
        <v>3993</v>
      </c>
      <c r="V271" t="s">
        <v>35</v>
      </c>
      <c r="Z271" t="s">
        <v>380</v>
      </c>
    </row>
    <row r="272" spans="1:26" hidden="1" x14ac:dyDescent="0.25">
      <c r="A272" s="2"/>
      <c r="B272" s="2">
        <f>HYPERLINK(URLs!B30 &amp; 18702 &amp; URLs!B32,18702)</f>
        <v>18702</v>
      </c>
      <c r="C272" t="s">
        <v>665</v>
      </c>
      <c r="D272" t="s">
        <v>619</v>
      </c>
      <c r="E272" t="s">
        <v>850</v>
      </c>
      <c r="F272" t="s">
        <v>621</v>
      </c>
      <c r="G272" t="s">
        <v>889</v>
      </c>
      <c r="H272" t="s">
        <v>890</v>
      </c>
      <c r="I272" t="s">
        <v>624</v>
      </c>
      <c r="J272" t="s">
        <v>629</v>
      </c>
      <c r="L272" s="5">
        <v>43004.684178240743</v>
      </c>
      <c r="M272" s="5">
        <v>43332.316666666666</v>
      </c>
      <c r="N272" s="2">
        <f>HYPERLINK(URLs!B36 &amp; 99542,99542)</f>
        <v>99542</v>
      </c>
      <c r="O272" t="s">
        <v>636</v>
      </c>
      <c r="P272" t="s">
        <v>621</v>
      </c>
      <c r="Q272" t="s">
        <v>897</v>
      </c>
      <c r="W272">
        <v>1</v>
      </c>
    </row>
    <row r="273" spans="1:26" hidden="1" x14ac:dyDescent="0.25">
      <c r="A273" s="2">
        <f>HYPERLINK(URLs!B36 &amp; 105276,105276)</f>
        <v>105276</v>
      </c>
      <c r="B273" s="2">
        <f>HYPERLINK(URLs!B30 &amp; 18701 &amp; URLs!B32,18701)</f>
        <v>18701</v>
      </c>
      <c r="C273" t="s">
        <v>665</v>
      </c>
      <c r="D273" t="s">
        <v>619</v>
      </c>
      <c r="E273" t="s">
        <v>620</v>
      </c>
      <c r="F273" t="s">
        <v>621</v>
      </c>
      <c r="G273" t="s">
        <v>622</v>
      </c>
      <c r="H273" t="s">
        <v>623</v>
      </c>
      <c r="I273" t="s">
        <v>624</v>
      </c>
      <c r="J273" t="s">
        <v>625</v>
      </c>
      <c r="K273" t="s">
        <v>31</v>
      </c>
      <c r="L273" s="5">
        <v>43004.566655092596</v>
      </c>
      <c r="M273" s="5">
        <v>43111.474999999999</v>
      </c>
      <c r="N273" s="2">
        <f>HYPERLINK(URLs!B36 &amp; 105418,105418)</f>
        <v>105418</v>
      </c>
      <c r="O273" t="s">
        <v>636</v>
      </c>
      <c r="P273" t="s">
        <v>621</v>
      </c>
      <c r="Q273" t="s">
        <v>4638</v>
      </c>
      <c r="R273" t="s">
        <v>319</v>
      </c>
      <c r="S273" t="s">
        <v>304</v>
      </c>
      <c r="T273" t="s">
        <v>4172</v>
      </c>
      <c r="U273" t="s">
        <v>4026</v>
      </c>
      <c r="V273" t="s">
        <v>4057</v>
      </c>
      <c r="W273">
        <v>1</v>
      </c>
      <c r="Z273" t="s">
        <v>45</v>
      </c>
    </row>
    <row r="274" spans="1:26" hidden="1" x14ac:dyDescent="0.25">
      <c r="A274" s="2"/>
      <c r="B274" s="2">
        <f>HYPERLINK(URLs!B30 &amp; 18695 &amp; URLs!B32,18695)</f>
        <v>18695</v>
      </c>
      <c r="C274" t="s">
        <v>633</v>
      </c>
      <c r="D274" t="s">
        <v>619</v>
      </c>
      <c r="E274" t="s">
        <v>850</v>
      </c>
      <c r="F274" t="s">
        <v>621</v>
      </c>
      <c r="G274" t="s">
        <v>870</v>
      </c>
      <c r="H274" t="s">
        <v>871</v>
      </c>
      <c r="I274" t="s">
        <v>624</v>
      </c>
      <c r="J274" t="s">
        <v>625</v>
      </c>
      <c r="L274" s="5">
        <v>43004.004560185182</v>
      </c>
      <c r="M274" s="5">
        <v>43234.437916666669</v>
      </c>
      <c r="N274" s="2">
        <f>HYPERLINK(URLs!B36 &amp; 106693,106693)</f>
        <v>106693</v>
      </c>
      <c r="O274" t="s">
        <v>636</v>
      </c>
      <c r="P274" t="s">
        <v>621</v>
      </c>
      <c r="Q274" t="s">
        <v>898</v>
      </c>
    </row>
    <row r="275" spans="1:26" hidden="1" x14ac:dyDescent="0.25">
      <c r="A275" s="2"/>
      <c r="B275" s="2">
        <f>HYPERLINK(URLs!B30 &amp; 18668 &amp; URLs!B32,18668)</f>
        <v>18668</v>
      </c>
      <c r="C275" t="s">
        <v>633</v>
      </c>
      <c r="D275" t="s">
        <v>619</v>
      </c>
      <c r="E275" t="s">
        <v>850</v>
      </c>
      <c r="F275" t="s">
        <v>621</v>
      </c>
      <c r="G275" t="s">
        <v>875</v>
      </c>
      <c r="H275" t="s">
        <v>876</v>
      </c>
      <c r="I275" t="s">
        <v>624</v>
      </c>
      <c r="J275" t="s">
        <v>642</v>
      </c>
      <c r="L275" s="5">
        <v>42999.485150462962</v>
      </c>
      <c r="M275" s="5">
        <v>43108.143576388888</v>
      </c>
      <c r="N275" s="2">
        <f>HYPERLINK(URLs!B36 &amp; 105164,105164)</f>
        <v>105164</v>
      </c>
      <c r="O275" t="s">
        <v>636</v>
      </c>
      <c r="P275" t="s">
        <v>621</v>
      </c>
      <c r="Q275" t="s">
        <v>899</v>
      </c>
    </row>
    <row r="276" spans="1:26" hidden="1" x14ac:dyDescent="0.25">
      <c r="A276" s="2"/>
      <c r="B276" s="2">
        <f>HYPERLINK(URLs!B30 &amp; 18665 &amp; URLs!B32,18665)</f>
        <v>18665</v>
      </c>
      <c r="C276" t="s">
        <v>633</v>
      </c>
      <c r="D276" t="s">
        <v>619</v>
      </c>
      <c r="E276" t="s">
        <v>850</v>
      </c>
      <c r="F276" t="s">
        <v>621</v>
      </c>
      <c r="G276" t="s">
        <v>870</v>
      </c>
      <c r="H276" t="s">
        <v>859</v>
      </c>
      <c r="I276" t="s">
        <v>624</v>
      </c>
      <c r="J276" t="s">
        <v>625</v>
      </c>
      <c r="L276" s="5">
        <v>42999.052997685183</v>
      </c>
      <c r="M276" s="5">
        <v>43332.232106481482</v>
      </c>
      <c r="N276" s="2">
        <f>HYPERLINK(URLs!B36 &amp; 104949,104949)</f>
        <v>104949</v>
      </c>
      <c r="O276" t="s">
        <v>636</v>
      </c>
      <c r="P276" t="s">
        <v>621</v>
      </c>
      <c r="Q276" t="s">
        <v>4639</v>
      </c>
      <c r="R276" t="s">
        <v>305</v>
      </c>
    </row>
    <row r="277" spans="1:26" hidden="1" x14ac:dyDescent="0.25">
      <c r="A277" s="2"/>
      <c r="B277" s="2">
        <f>HYPERLINK(URLs!B30 &amp; 18657 &amp; URLs!B32,18657)</f>
        <v>18657</v>
      </c>
      <c r="C277" t="s">
        <v>665</v>
      </c>
      <c r="D277" t="s">
        <v>619</v>
      </c>
      <c r="E277" t="s">
        <v>850</v>
      </c>
      <c r="F277" t="s">
        <v>621</v>
      </c>
      <c r="G277" t="s">
        <v>867</v>
      </c>
      <c r="H277" t="s">
        <v>868</v>
      </c>
      <c r="I277" t="s">
        <v>624</v>
      </c>
      <c r="J277" t="s">
        <v>629</v>
      </c>
      <c r="L277" s="5">
        <v>42998.361006944448</v>
      </c>
      <c r="M277" s="5">
        <v>43119.399305555555</v>
      </c>
      <c r="N277" s="2">
        <f>HYPERLINK(URLs!B36 &amp; 103284,103284)</f>
        <v>103284</v>
      </c>
      <c r="O277" t="s">
        <v>636</v>
      </c>
      <c r="P277" t="s">
        <v>621</v>
      </c>
      <c r="Q277" t="s">
        <v>900</v>
      </c>
    </row>
    <row r="278" spans="1:26" x14ac:dyDescent="0.25">
      <c r="A278" s="2"/>
      <c r="B278" s="2">
        <f>HYPERLINK(URLs!B30 &amp; 18652 &amp; URLs!B32,18652)</f>
        <v>18652</v>
      </c>
      <c r="C278" t="s">
        <v>618</v>
      </c>
      <c r="D278" t="s">
        <v>619</v>
      </c>
      <c r="E278" t="s">
        <v>620</v>
      </c>
      <c r="F278" t="s">
        <v>621</v>
      </c>
      <c r="G278" t="s">
        <v>622</v>
      </c>
      <c r="H278" t="s">
        <v>623</v>
      </c>
      <c r="I278" t="s">
        <v>624</v>
      </c>
      <c r="J278" t="s">
        <v>625</v>
      </c>
      <c r="L278" s="5">
        <v>42997.545254629629</v>
      </c>
      <c r="N278" s="2">
        <f>HYPERLINK(URLs!B37 &amp; 218400,218400)</f>
        <v>218400</v>
      </c>
      <c r="O278" t="s">
        <v>637</v>
      </c>
      <c r="P278" t="s">
        <v>621</v>
      </c>
      <c r="Q278" t="s">
        <v>4561</v>
      </c>
    </row>
    <row r="279" spans="1:26" hidden="1" x14ac:dyDescent="0.25">
      <c r="A279" s="2"/>
      <c r="B279" s="2">
        <f>HYPERLINK(URLs!B30 &amp; 18640 &amp; URLs!B32,18640)</f>
        <v>18640</v>
      </c>
      <c r="C279" t="s">
        <v>665</v>
      </c>
      <c r="D279" t="s">
        <v>619</v>
      </c>
      <c r="E279" t="s">
        <v>850</v>
      </c>
      <c r="F279" t="s">
        <v>621</v>
      </c>
      <c r="G279" t="s">
        <v>870</v>
      </c>
      <c r="H279" t="s">
        <v>871</v>
      </c>
      <c r="I279" t="s">
        <v>624</v>
      </c>
      <c r="J279" t="s">
        <v>642</v>
      </c>
      <c r="L279" s="5">
        <v>42996.283854166664</v>
      </c>
      <c r="M279" s="5">
        <v>43003.392812500002</v>
      </c>
      <c r="N279" s="2">
        <f>HYPERLINK(URLs!B36 &amp; 94254,94254)</f>
        <v>94254</v>
      </c>
      <c r="O279" t="s">
        <v>636</v>
      </c>
      <c r="P279" t="s">
        <v>621</v>
      </c>
      <c r="Q279" t="s">
        <v>901</v>
      </c>
    </row>
    <row r="280" spans="1:26" hidden="1" x14ac:dyDescent="0.25">
      <c r="A280" s="2">
        <f>HYPERLINK(URLs!B36 &amp; 102847,102847)</f>
        <v>102847</v>
      </c>
      <c r="B280" s="2">
        <f>HYPERLINK(URLs!B30 &amp; 18638 &amp; URLs!B32,18638)</f>
        <v>18638</v>
      </c>
      <c r="C280" t="s">
        <v>665</v>
      </c>
      <c r="D280" t="s">
        <v>619</v>
      </c>
      <c r="E280" t="s">
        <v>620</v>
      </c>
      <c r="F280" t="s">
        <v>621</v>
      </c>
      <c r="G280" t="s">
        <v>622</v>
      </c>
      <c r="H280" t="s">
        <v>623</v>
      </c>
      <c r="I280" t="s">
        <v>624</v>
      </c>
      <c r="J280" t="s">
        <v>629</v>
      </c>
      <c r="K280" t="s">
        <v>31</v>
      </c>
      <c r="L280" s="5">
        <v>42993.65892361111</v>
      </c>
      <c r="M280" s="5">
        <v>43287.48541666667</v>
      </c>
      <c r="N280" s="2">
        <f>HYPERLINK(URLs!B36 &amp; 102928,102928)</f>
        <v>102928</v>
      </c>
      <c r="O280" t="s">
        <v>636</v>
      </c>
      <c r="P280" t="s">
        <v>621</v>
      </c>
      <c r="Q280" t="s">
        <v>4640</v>
      </c>
      <c r="R280" t="s">
        <v>319</v>
      </c>
      <c r="S280" t="s">
        <v>304</v>
      </c>
      <c r="T280" t="s">
        <v>4172</v>
      </c>
      <c r="U280" t="s">
        <v>4024</v>
      </c>
      <c r="V280" t="s">
        <v>35</v>
      </c>
      <c r="Z280" t="s">
        <v>73</v>
      </c>
    </row>
    <row r="281" spans="1:26" hidden="1" x14ac:dyDescent="0.25">
      <c r="A281" s="2">
        <f>HYPERLINK(URLs!B36 &amp; 104803,104803)</f>
        <v>104803</v>
      </c>
      <c r="B281" s="2">
        <f>HYPERLINK(URLs!B30 &amp; 18636 &amp; URLs!B32,18636)</f>
        <v>18636</v>
      </c>
      <c r="C281" t="s">
        <v>633</v>
      </c>
      <c r="D281" t="s">
        <v>619</v>
      </c>
      <c r="E281" t="s">
        <v>620</v>
      </c>
      <c r="F281" t="s">
        <v>621</v>
      </c>
      <c r="G281" t="s">
        <v>622</v>
      </c>
      <c r="H281" t="s">
        <v>623</v>
      </c>
      <c r="I281" t="s">
        <v>624</v>
      </c>
      <c r="J281" t="s">
        <v>625</v>
      </c>
      <c r="K281" t="s">
        <v>31</v>
      </c>
      <c r="L281" s="5">
        <v>42993.547071759262</v>
      </c>
      <c r="M281" s="5">
        <v>43287.400706018518</v>
      </c>
      <c r="N281" s="2">
        <f>HYPERLINK(URLs!B36 &amp; 104897,104897)</f>
        <v>104897</v>
      </c>
      <c r="O281" t="s">
        <v>636</v>
      </c>
      <c r="P281" t="s">
        <v>621</v>
      </c>
      <c r="Q281" t="s">
        <v>4641</v>
      </c>
      <c r="R281" t="s">
        <v>319</v>
      </c>
      <c r="S281" t="s">
        <v>304</v>
      </c>
      <c r="T281" t="s">
        <v>4171</v>
      </c>
      <c r="U281" t="s">
        <v>4029</v>
      </c>
      <c r="V281" t="s">
        <v>35</v>
      </c>
      <c r="Z281" t="s">
        <v>73</v>
      </c>
    </row>
    <row r="282" spans="1:26" hidden="1" x14ac:dyDescent="0.25">
      <c r="A282" s="2"/>
      <c r="B282" s="2">
        <f>HYPERLINK(URLs!B30 &amp; 18634 &amp; URLs!B32,18634)</f>
        <v>18634</v>
      </c>
      <c r="C282" t="s">
        <v>641</v>
      </c>
      <c r="D282" t="s">
        <v>619</v>
      </c>
      <c r="E282" t="s">
        <v>850</v>
      </c>
      <c r="F282" t="s">
        <v>621</v>
      </c>
      <c r="G282" t="s">
        <v>886</v>
      </c>
      <c r="H282" t="s">
        <v>887</v>
      </c>
      <c r="I282" t="s">
        <v>624</v>
      </c>
      <c r="J282" t="s">
        <v>625</v>
      </c>
      <c r="L282" s="5">
        <v>42993.403749999998</v>
      </c>
      <c r="N282" s="2">
        <f>HYPERLINK(URLs!B36 &amp; 104700,104700)</f>
        <v>104700</v>
      </c>
      <c r="O282" t="s">
        <v>637</v>
      </c>
      <c r="P282" t="s">
        <v>621</v>
      </c>
      <c r="Q282" t="s">
        <v>902</v>
      </c>
      <c r="R282" t="s">
        <v>305</v>
      </c>
      <c r="W282">
        <v>1</v>
      </c>
    </row>
    <row r="283" spans="1:26" hidden="1" x14ac:dyDescent="0.25">
      <c r="A283" s="2"/>
      <c r="B283" s="2">
        <f>HYPERLINK(URLs!B30 &amp; 18611 &amp; URLs!B32,18611)</f>
        <v>18611</v>
      </c>
      <c r="C283" t="s">
        <v>633</v>
      </c>
      <c r="D283" t="s">
        <v>619</v>
      </c>
      <c r="E283" t="s">
        <v>620</v>
      </c>
      <c r="F283" t="s">
        <v>621</v>
      </c>
      <c r="G283" t="s">
        <v>643</v>
      </c>
      <c r="H283" t="s">
        <v>644</v>
      </c>
      <c r="I283" t="s">
        <v>624</v>
      </c>
      <c r="J283" t="s">
        <v>625</v>
      </c>
      <c r="L283" s="5">
        <v>42992.503587962965</v>
      </c>
      <c r="M283" s="5">
        <v>43287.359872685185</v>
      </c>
      <c r="N283" s="2">
        <f>HYPERLINK(URLs!B36 &amp; 104714,104714)</f>
        <v>104714</v>
      </c>
      <c r="O283" t="s">
        <v>636</v>
      </c>
      <c r="P283" t="s">
        <v>621</v>
      </c>
      <c r="Q283" t="s">
        <v>4642</v>
      </c>
      <c r="R283" t="s">
        <v>319</v>
      </c>
    </row>
    <row r="284" spans="1:26" hidden="1" x14ac:dyDescent="0.25">
      <c r="A284" s="2">
        <f>HYPERLINK(URLs!B36 &amp; 104603,104603)</f>
        <v>104603</v>
      </c>
      <c r="B284" s="2">
        <f>HYPERLINK(URLs!B30 &amp; 18603 &amp; URLs!B32,18603)</f>
        <v>18603</v>
      </c>
      <c r="C284" t="s">
        <v>641</v>
      </c>
      <c r="D284" t="s">
        <v>619</v>
      </c>
      <c r="E284" t="s">
        <v>620</v>
      </c>
      <c r="F284" t="s">
        <v>621</v>
      </c>
      <c r="G284" t="s">
        <v>627</v>
      </c>
      <c r="H284" t="s">
        <v>628</v>
      </c>
      <c r="I284" t="s">
        <v>624</v>
      </c>
      <c r="J284" t="s">
        <v>642</v>
      </c>
      <c r="K284" t="s">
        <v>68</v>
      </c>
      <c r="L284" s="5">
        <v>42992.099340277775</v>
      </c>
      <c r="N284" s="2">
        <f>HYPERLINK(URLs!B36 &amp; 105118,105118)</f>
        <v>105118</v>
      </c>
      <c r="O284" t="s">
        <v>640</v>
      </c>
      <c r="P284" t="s">
        <v>621</v>
      </c>
      <c r="Q284" t="s">
        <v>4643</v>
      </c>
      <c r="R284" t="s">
        <v>305</v>
      </c>
      <c r="S284" t="s">
        <v>304</v>
      </c>
      <c r="T284" t="s">
        <v>4177</v>
      </c>
      <c r="U284" t="s">
        <v>35</v>
      </c>
      <c r="V284" t="s">
        <v>35</v>
      </c>
      <c r="Z284" t="s">
        <v>34</v>
      </c>
    </row>
    <row r="285" spans="1:26" hidden="1" x14ac:dyDescent="0.25">
      <c r="A285" s="2"/>
      <c r="B285" s="2">
        <f>HYPERLINK(URLs!B30 &amp; 18588 &amp; URLs!B32,18588)</f>
        <v>18588</v>
      </c>
      <c r="C285" t="s">
        <v>665</v>
      </c>
      <c r="D285" t="s">
        <v>619</v>
      </c>
      <c r="E285" t="s">
        <v>850</v>
      </c>
      <c r="F285" t="s">
        <v>621</v>
      </c>
      <c r="G285" t="s">
        <v>886</v>
      </c>
      <c r="H285" t="s">
        <v>887</v>
      </c>
      <c r="I285" t="s">
        <v>624</v>
      </c>
      <c r="J285" t="s">
        <v>629</v>
      </c>
      <c r="L285" s="5">
        <v>42991.341828703706</v>
      </c>
      <c r="M285" s="5">
        <v>43332.230717592596</v>
      </c>
      <c r="N285" s="2">
        <f>HYPERLINK(URLs!B36 &amp; 107535,107535)</f>
        <v>107535</v>
      </c>
      <c r="O285" t="s">
        <v>636</v>
      </c>
      <c r="P285" t="s">
        <v>621</v>
      </c>
      <c r="Q285" t="s">
        <v>903</v>
      </c>
      <c r="R285" t="s">
        <v>305</v>
      </c>
    </row>
    <row r="286" spans="1:26" hidden="1" x14ac:dyDescent="0.25">
      <c r="A286" s="2"/>
      <c r="B286" s="2">
        <f>HYPERLINK(URLs!B30 &amp; 18587 &amp; URLs!B32,18587)</f>
        <v>18587</v>
      </c>
      <c r="C286" t="s">
        <v>633</v>
      </c>
      <c r="D286" t="s">
        <v>619</v>
      </c>
      <c r="E286" t="s">
        <v>850</v>
      </c>
      <c r="F286" t="s">
        <v>621</v>
      </c>
      <c r="G286" t="s">
        <v>886</v>
      </c>
      <c r="H286" t="s">
        <v>887</v>
      </c>
      <c r="I286" t="s">
        <v>624</v>
      </c>
      <c r="J286" t="s">
        <v>629</v>
      </c>
      <c r="L286" s="5">
        <v>42991.322638888887</v>
      </c>
      <c r="M286" s="5">
        <v>43290.419432870367</v>
      </c>
      <c r="N286" s="2">
        <f>HYPERLINK(URLs!B36 &amp; 106623,106623)</f>
        <v>106623</v>
      </c>
      <c r="O286" t="s">
        <v>636</v>
      </c>
      <c r="P286" t="s">
        <v>621</v>
      </c>
      <c r="Q286" t="s">
        <v>904</v>
      </c>
    </row>
    <row r="287" spans="1:26" hidden="1" x14ac:dyDescent="0.25">
      <c r="A287" s="2"/>
      <c r="B287" s="2">
        <f>HYPERLINK(URLs!B30 &amp; 18585 &amp; URLs!B32,18585)</f>
        <v>18585</v>
      </c>
      <c r="C287" t="s">
        <v>633</v>
      </c>
      <c r="D287" t="s">
        <v>619</v>
      </c>
      <c r="E287" t="s">
        <v>850</v>
      </c>
      <c r="F287" t="s">
        <v>621</v>
      </c>
      <c r="G287" t="s">
        <v>855</v>
      </c>
      <c r="H287" t="s">
        <v>856</v>
      </c>
      <c r="I287" t="s">
        <v>624</v>
      </c>
      <c r="J287" t="s">
        <v>642</v>
      </c>
      <c r="L287" s="5">
        <v>42991.181944444441</v>
      </c>
      <c r="M287" s="5">
        <v>42996.568206018521</v>
      </c>
      <c r="N287" s="2">
        <f>HYPERLINK(URLs!B36 &amp; 104630,104630)</f>
        <v>104630</v>
      </c>
      <c r="O287" t="s">
        <v>666</v>
      </c>
      <c r="P287" t="s">
        <v>621</v>
      </c>
      <c r="Q287" t="s">
        <v>905</v>
      </c>
      <c r="R287" t="s">
        <v>305</v>
      </c>
    </row>
    <row r="288" spans="1:26" hidden="1" x14ac:dyDescent="0.25">
      <c r="A288" s="2"/>
      <c r="B288" s="2">
        <f>HYPERLINK(URLs!B30 &amp; 18583 &amp; URLs!B32,18583)</f>
        <v>18583</v>
      </c>
      <c r="C288" t="s">
        <v>665</v>
      </c>
      <c r="D288" t="s">
        <v>619</v>
      </c>
      <c r="E288" t="s">
        <v>850</v>
      </c>
      <c r="F288" t="s">
        <v>621</v>
      </c>
      <c r="G288" t="s">
        <v>851</v>
      </c>
      <c r="H288" t="s">
        <v>852</v>
      </c>
      <c r="I288" t="s">
        <v>624</v>
      </c>
      <c r="J288" t="s">
        <v>625</v>
      </c>
      <c r="L288" s="5">
        <v>42991.055752314816</v>
      </c>
      <c r="M288" s="5">
        <v>43119.395833333336</v>
      </c>
      <c r="N288" s="2">
        <f>HYPERLINK(URLs!B36 &amp; 103637,103637)</f>
        <v>103637</v>
      </c>
      <c r="O288" t="s">
        <v>636</v>
      </c>
      <c r="P288" t="s">
        <v>621</v>
      </c>
      <c r="Q288" t="s">
        <v>906</v>
      </c>
      <c r="W288">
        <v>1</v>
      </c>
    </row>
    <row r="289" spans="1:26" hidden="1" x14ac:dyDescent="0.25">
      <c r="A289" s="2">
        <f>HYPERLINK(URLs!B36 &amp; 104606,104606)</f>
        <v>104606</v>
      </c>
      <c r="B289" s="2">
        <f>HYPERLINK(URLs!B30 &amp; 18581 &amp; URLs!B32,18581)</f>
        <v>18581</v>
      </c>
      <c r="C289" t="s">
        <v>641</v>
      </c>
      <c r="D289" t="s">
        <v>619</v>
      </c>
      <c r="E289" t="s">
        <v>620</v>
      </c>
      <c r="F289" t="s">
        <v>621</v>
      </c>
      <c r="G289" t="s">
        <v>622</v>
      </c>
      <c r="H289" t="s">
        <v>623</v>
      </c>
      <c r="I289" t="s">
        <v>624</v>
      </c>
      <c r="J289" t="s">
        <v>629</v>
      </c>
      <c r="K289" t="s">
        <v>68</v>
      </c>
      <c r="L289" s="5">
        <v>42990.652916666666</v>
      </c>
      <c r="N289" s="2">
        <f>HYPERLINK(URLs!B36 &amp; 104606,104606)</f>
        <v>104606</v>
      </c>
      <c r="O289" t="s">
        <v>640</v>
      </c>
      <c r="P289" t="s">
        <v>621</v>
      </c>
      <c r="Q289" t="s">
        <v>4644</v>
      </c>
      <c r="R289" t="s">
        <v>305</v>
      </c>
      <c r="S289" t="s">
        <v>304</v>
      </c>
      <c r="T289" t="s">
        <v>4171</v>
      </c>
      <c r="U289" t="s">
        <v>35</v>
      </c>
      <c r="V289" t="s">
        <v>35</v>
      </c>
      <c r="Z289" t="s">
        <v>45</v>
      </c>
    </row>
    <row r="290" spans="1:26" hidden="1" x14ac:dyDescent="0.25">
      <c r="A290" s="2"/>
      <c r="B290" s="2">
        <f>HYPERLINK(URLs!B30 &amp; 18559 &amp; URLs!B32,18559)</f>
        <v>18559</v>
      </c>
      <c r="C290" t="s">
        <v>633</v>
      </c>
      <c r="D290" t="s">
        <v>619</v>
      </c>
      <c r="E290" t="s">
        <v>850</v>
      </c>
      <c r="F290" t="s">
        <v>621</v>
      </c>
      <c r="G290" t="s">
        <v>855</v>
      </c>
      <c r="H290" t="s">
        <v>856</v>
      </c>
      <c r="I290" t="s">
        <v>624</v>
      </c>
      <c r="J290" t="s">
        <v>625</v>
      </c>
      <c r="L290" s="5">
        <v>42986.38008101852</v>
      </c>
      <c r="M290" s="5">
        <v>43266.407210648147</v>
      </c>
      <c r="N290" s="2">
        <f>HYPERLINK(URLs!B36 &amp; 98541,98541)</f>
        <v>98541</v>
      </c>
      <c r="O290" t="s">
        <v>645</v>
      </c>
      <c r="P290" t="s">
        <v>621</v>
      </c>
      <c r="Q290" t="s">
        <v>907</v>
      </c>
    </row>
    <row r="291" spans="1:26" hidden="1" x14ac:dyDescent="0.25">
      <c r="A291" s="2"/>
      <c r="B291" s="2">
        <f>HYPERLINK(URLs!B30 &amp; 18554 &amp; URLs!B32,18554)</f>
        <v>18554</v>
      </c>
      <c r="C291" t="s">
        <v>665</v>
      </c>
      <c r="D291" t="s">
        <v>619</v>
      </c>
      <c r="E291" t="s">
        <v>850</v>
      </c>
      <c r="F291" t="s">
        <v>621</v>
      </c>
      <c r="G291" t="s">
        <v>853</v>
      </c>
      <c r="H291" t="s">
        <v>908</v>
      </c>
      <c r="I291" t="s">
        <v>624</v>
      </c>
      <c r="J291" t="s">
        <v>629</v>
      </c>
      <c r="L291" s="5">
        <v>42985.552430555559</v>
      </c>
      <c r="M291" s="5">
        <v>43119.392361111109</v>
      </c>
      <c r="N291" s="2">
        <f>HYPERLINK(URLs!B36 &amp; 104373,104373)</f>
        <v>104373</v>
      </c>
      <c r="O291" t="s">
        <v>636</v>
      </c>
      <c r="P291" t="s">
        <v>621</v>
      </c>
      <c r="Q291" t="s">
        <v>909</v>
      </c>
      <c r="R291" t="s">
        <v>305</v>
      </c>
    </row>
    <row r="292" spans="1:26" hidden="1" x14ac:dyDescent="0.25">
      <c r="A292" s="2"/>
      <c r="B292" s="2">
        <f>HYPERLINK(URLs!B30 &amp; 18547 &amp; URLs!B32,18547)</f>
        <v>18547</v>
      </c>
      <c r="C292" t="s">
        <v>665</v>
      </c>
      <c r="D292" t="s">
        <v>619</v>
      </c>
      <c r="E292" t="s">
        <v>850</v>
      </c>
      <c r="F292" t="s">
        <v>621</v>
      </c>
      <c r="G292" t="s">
        <v>889</v>
      </c>
      <c r="H292" t="s">
        <v>890</v>
      </c>
      <c r="I292" t="s">
        <v>624</v>
      </c>
      <c r="J292" t="s">
        <v>642</v>
      </c>
      <c r="L292" s="5">
        <v>42985.415648148148</v>
      </c>
      <c r="M292" s="5">
        <v>42990.717187499999</v>
      </c>
      <c r="N292" t="s">
        <v>621</v>
      </c>
      <c r="O292" t="s">
        <v>645</v>
      </c>
      <c r="P292" t="s">
        <v>621</v>
      </c>
      <c r="Q292" t="s">
        <v>910</v>
      </c>
    </row>
    <row r="293" spans="1:26" hidden="1" x14ac:dyDescent="0.25">
      <c r="A293" s="2"/>
      <c r="B293" s="2">
        <f>HYPERLINK(URLs!B30 &amp; 18536 &amp; URLs!B32,18536)</f>
        <v>18536</v>
      </c>
      <c r="C293" t="s">
        <v>665</v>
      </c>
      <c r="D293" t="s">
        <v>619</v>
      </c>
      <c r="E293" t="s">
        <v>850</v>
      </c>
      <c r="F293" t="s">
        <v>621</v>
      </c>
      <c r="G293" t="s">
        <v>855</v>
      </c>
      <c r="H293" t="s">
        <v>856</v>
      </c>
      <c r="I293" t="s">
        <v>624</v>
      </c>
      <c r="J293" t="s">
        <v>625</v>
      </c>
      <c r="L293" s="5">
        <v>42984.131331018521</v>
      </c>
      <c r="M293" s="5">
        <v>43138.381944444445</v>
      </c>
      <c r="N293" s="2">
        <f>HYPERLINK(URLs!B36 &amp; 104818,104818)</f>
        <v>104818</v>
      </c>
      <c r="O293" t="s">
        <v>636</v>
      </c>
      <c r="P293" t="s">
        <v>621</v>
      </c>
      <c r="Q293" t="s">
        <v>911</v>
      </c>
    </row>
    <row r="294" spans="1:26" hidden="1" x14ac:dyDescent="0.25">
      <c r="A294" s="2"/>
      <c r="B294" s="2">
        <f>HYPERLINK(URLs!B30 &amp; 18518 &amp; URLs!B32,18518)</f>
        <v>18518</v>
      </c>
      <c r="C294" t="s">
        <v>633</v>
      </c>
      <c r="D294" t="s">
        <v>619</v>
      </c>
      <c r="E294" t="s">
        <v>850</v>
      </c>
      <c r="F294" t="s">
        <v>621</v>
      </c>
      <c r="G294" t="s">
        <v>889</v>
      </c>
      <c r="H294" t="s">
        <v>890</v>
      </c>
      <c r="I294" t="s">
        <v>624</v>
      </c>
      <c r="J294" t="s">
        <v>642</v>
      </c>
      <c r="L294" s="5">
        <v>42979.345497685186</v>
      </c>
      <c r="M294" s="5">
        <v>42990.713923611111</v>
      </c>
      <c r="N294" t="s">
        <v>621</v>
      </c>
      <c r="O294" t="s">
        <v>645</v>
      </c>
      <c r="P294" t="s">
        <v>621</v>
      </c>
      <c r="Q294" t="s">
        <v>912</v>
      </c>
    </row>
    <row r="295" spans="1:26" hidden="1" x14ac:dyDescent="0.25">
      <c r="A295" s="2">
        <f>HYPERLINK(URLs!B36 &amp; 104225,104225)</f>
        <v>104225</v>
      </c>
      <c r="B295" s="2">
        <f>HYPERLINK(URLs!B30 &amp; 18516 &amp; URLs!B32,18516)</f>
        <v>18516</v>
      </c>
      <c r="C295" t="s">
        <v>665</v>
      </c>
      <c r="D295" t="s">
        <v>619</v>
      </c>
      <c r="E295" t="s">
        <v>620</v>
      </c>
      <c r="F295" t="s">
        <v>621</v>
      </c>
      <c r="G295" t="s">
        <v>627</v>
      </c>
      <c r="H295" t="s">
        <v>628</v>
      </c>
      <c r="I295" t="s">
        <v>624</v>
      </c>
      <c r="J295" t="s">
        <v>625</v>
      </c>
      <c r="K295" t="s">
        <v>31</v>
      </c>
      <c r="L295" s="5">
        <v>42979.304826388892</v>
      </c>
      <c r="M295" s="5">
        <v>43110.637662037036</v>
      </c>
      <c r="N295" s="2">
        <f>HYPERLINK(URLs!B36 &amp; 104225,104225)</f>
        <v>104225</v>
      </c>
      <c r="O295" t="s">
        <v>636</v>
      </c>
      <c r="P295" t="s">
        <v>621</v>
      </c>
      <c r="Q295" t="s">
        <v>4645</v>
      </c>
      <c r="R295" t="s">
        <v>305</v>
      </c>
      <c r="S295" t="s">
        <v>304</v>
      </c>
      <c r="T295" t="s">
        <v>307</v>
      </c>
      <c r="U295" t="s">
        <v>4017</v>
      </c>
      <c r="V295" t="s">
        <v>321</v>
      </c>
      <c r="Z295" t="s">
        <v>96</v>
      </c>
    </row>
    <row r="296" spans="1:26" hidden="1" x14ac:dyDescent="0.25">
      <c r="A296" s="2">
        <f>HYPERLINK(URLs!B36 &amp; 104136,104136)</f>
        <v>104136</v>
      </c>
      <c r="B296" s="2">
        <f>HYPERLINK(URLs!B30 &amp; 18502 &amp; URLs!B32,18502)</f>
        <v>18502</v>
      </c>
      <c r="C296" t="s">
        <v>633</v>
      </c>
      <c r="D296" t="s">
        <v>619</v>
      </c>
      <c r="E296" t="s">
        <v>620</v>
      </c>
      <c r="F296" t="s">
        <v>621</v>
      </c>
      <c r="G296" t="s">
        <v>634</v>
      </c>
      <c r="H296" t="s">
        <v>635</v>
      </c>
      <c r="I296" t="s">
        <v>624</v>
      </c>
      <c r="J296" t="s">
        <v>642</v>
      </c>
      <c r="K296" t="s">
        <v>57</v>
      </c>
      <c r="L296" s="5">
        <v>42977.503194444442</v>
      </c>
      <c r="M296" s="5">
        <v>43111.458784722221</v>
      </c>
      <c r="N296" s="2">
        <f>HYPERLINK(URLs!B36 &amp; 104136,104136)</f>
        <v>104136</v>
      </c>
      <c r="O296" t="s">
        <v>636</v>
      </c>
      <c r="P296" t="s">
        <v>621</v>
      </c>
      <c r="Q296" t="s">
        <v>4646</v>
      </c>
      <c r="R296" t="s">
        <v>319</v>
      </c>
      <c r="S296" t="s">
        <v>304</v>
      </c>
      <c r="T296" t="s">
        <v>69</v>
      </c>
      <c r="U296" t="s">
        <v>35</v>
      </c>
      <c r="V296" t="s">
        <v>35</v>
      </c>
      <c r="Z296" t="s">
        <v>106</v>
      </c>
    </row>
    <row r="297" spans="1:26" hidden="1" x14ac:dyDescent="0.25">
      <c r="A297" s="2">
        <f>HYPERLINK(URLs!B36 &amp; 104097,104097)</f>
        <v>104097</v>
      </c>
      <c r="B297" s="2">
        <f>HYPERLINK(URLs!B30 &amp; 18492 &amp; URLs!B32,18492)</f>
        <v>18492</v>
      </c>
      <c r="C297" t="s">
        <v>633</v>
      </c>
      <c r="D297" t="s">
        <v>619</v>
      </c>
      <c r="E297" t="s">
        <v>620</v>
      </c>
      <c r="F297" t="s">
        <v>621</v>
      </c>
      <c r="G297" t="s">
        <v>622</v>
      </c>
      <c r="H297" t="s">
        <v>623</v>
      </c>
      <c r="I297" t="s">
        <v>624</v>
      </c>
      <c r="J297" t="s">
        <v>625</v>
      </c>
      <c r="K297" t="s">
        <v>31</v>
      </c>
      <c r="L297" s="5">
        <v>42976.645798611113</v>
      </c>
      <c r="M297" s="5">
        <v>43287.358240740738</v>
      </c>
      <c r="N297" s="2">
        <f>HYPERLINK(URLs!B36 &amp; 104334,104334)</f>
        <v>104334</v>
      </c>
      <c r="O297" t="s">
        <v>636</v>
      </c>
      <c r="P297" t="s">
        <v>621</v>
      </c>
      <c r="Q297" t="s">
        <v>4647</v>
      </c>
      <c r="R297" t="s">
        <v>305</v>
      </c>
      <c r="S297" t="s">
        <v>304</v>
      </c>
      <c r="T297" t="s">
        <v>4171</v>
      </c>
      <c r="U297" t="s">
        <v>4221</v>
      </c>
      <c r="V297" t="s">
        <v>35</v>
      </c>
      <c r="Z297" t="s">
        <v>73</v>
      </c>
    </row>
    <row r="298" spans="1:26" hidden="1" x14ac:dyDescent="0.25">
      <c r="A298" s="2">
        <f>HYPERLINK(URLs!B36 &amp; 104046,104046)</f>
        <v>104046</v>
      </c>
      <c r="B298" s="2">
        <f>HYPERLINK(URLs!B30 &amp; 18486 &amp; URLs!B32,18486)</f>
        <v>18486</v>
      </c>
      <c r="C298" t="s">
        <v>665</v>
      </c>
      <c r="D298" t="s">
        <v>619</v>
      </c>
      <c r="E298" t="s">
        <v>620</v>
      </c>
      <c r="F298" t="s">
        <v>621</v>
      </c>
      <c r="G298" t="s">
        <v>631</v>
      </c>
      <c r="H298" t="s">
        <v>632</v>
      </c>
      <c r="I298" t="s">
        <v>624</v>
      </c>
      <c r="J298" t="s">
        <v>629</v>
      </c>
      <c r="K298" t="s">
        <v>68</v>
      </c>
      <c r="L298" s="5">
        <v>42976.088460648149</v>
      </c>
      <c r="M298" s="5">
        <v>43287.356666666667</v>
      </c>
      <c r="N298" s="2">
        <f>HYPERLINK(URLs!B36 &amp; 105362,105362)</f>
        <v>105362</v>
      </c>
      <c r="O298" t="s">
        <v>636</v>
      </c>
      <c r="P298" t="s">
        <v>621</v>
      </c>
      <c r="Q298" t="s">
        <v>4648</v>
      </c>
      <c r="R298" t="s">
        <v>305</v>
      </c>
      <c r="S298" t="s">
        <v>304</v>
      </c>
      <c r="T298" t="s">
        <v>4171</v>
      </c>
      <c r="U298" t="s">
        <v>4031</v>
      </c>
      <c r="V298" t="s">
        <v>35</v>
      </c>
      <c r="Z298" t="s">
        <v>73</v>
      </c>
    </row>
    <row r="299" spans="1:26" hidden="1" x14ac:dyDescent="0.25">
      <c r="A299" s="2"/>
      <c r="B299" s="2">
        <f>HYPERLINK(URLs!B30 &amp; 18473 &amp; URLs!B32,18473)</f>
        <v>18473</v>
      </c>
      <c r="C299" t="s">
        <v>665</v>
      </c>
      <c r="D299" t="s">
        <v>619</v>
      </c>
      <c r="E299" t="s">
        <v>850</v>
      </c>
      <c r="F299" t="s">
        <v>621</v>
      </c>
      <c r="G299" t="s">
        <v>855</v>
      </c>
      <c r="H299" t="s">
        <v>856</v>
      </c>
      <c r="I299" t="s">
        <v>624</v>
      </c>
      <c r="J299" t="s">
        <v>629</v>
      </c>
      <c r="L299" s="5">
        <v>42972.229872685188</v>
      </c>
      <c r="M299" s="5">
        <v>43332.3125</v>
      </c>
      <c r="N299" s="2">
        <f>HYPERLINK(URLs!B36 &amp; 69423,69423)</f>
        <v>69423</v>
      </c>
      <c r="O299" t="s">
        <v>636</v>
      </c>
      <c r="P299" t="s">
        <v>621</v>
      </c>
      <c r="Q299" t="s">
        <v>913</v>
      </c>
    </row>
    <row r="300" spans="1:26" hidden="1" x14ac:dyDescent="0.25">
      <c r="A300" s="2">
        <f>HYPERLINK(URLs!B36 &amp; 103877,103877)</f>
        <v>103877</v>
      </c>
      <c r="B300" s="2">
        <f>HYPERLINK(URLs!B30 &amp; 18448 &amp; URLs!B32,18448)</f>
        <v>18448</v>
      </c>
      <c r="C300" t="s">
        <v>633</v>
      </c>
      <c r="D300" t="s">
        <v>619</v>
      </c>
      <c r="E300" t="s">
        <v>620</v>
      </c>
      <c r="F300" t="s">
        <v>621</v>
      </c>
      <c r="G300" t="s">
        <v>631</v>
      </c>
      <c r="H300" t="s">
        <v>632</v>
      </c>
      <c r="I300" t="s">
        <v>624</v>
      </c>
      <c r="J300" t="s">
        <v>642</v>
      </c>
      <c r="K300" t="s">
        <v>57</v>
      </c>
      <c r="L300" s="5">
        <v>42970.035624999997</v>
      </c>
      <c r="M300" s="5">
        <v>43287.355810185189</v>
      </c>
      <c r="N300" s="2">
        <f>HYPERLINK(URLs!B36 &amp; 103877,103877)</f>
        <v>103877</v>
      </c>
      <c r="O300" t="s">
        <v>636</v>
      </c>
      <c r="P300" t="s">
        <v>621</v>
      </c>
      <c r="Q300" t="s">
        <v>4649</v>
      </c>
      <c r="R300" t="s">
        <v>305</v>
      </c>
      <c r="S300" t="s">
        <v>304</v>
      </c>
      <c r="T300" t="s">
        <v>307</v>
      </c>
      <c r="U300" t="s">
        <v>35</v>
      </c>
      <c r="V300" t="s">
        <v>35</v>
      </c>
      <c r="Z300" t="s">
        <v>380</v>
      </c>
    </row>
    <row r="301" spans="1:26" hidden="1" x14ac:dyDescent="0.25">
      <c r="A301" s="2"/>
      <c r="B301" s="2">
        <f>HYPERLINK(URLs!B30 &amp; 18443 &amp; URLs!B32,18443)</f>
        <v>18443</v>
      </c>
      <c r="C301" t="s">
        <v>665</v>
      </c>
      <c r="D301" t="s">
        <v>619</v>
      </c>
      <c r="E301" t="s">
        <v>850</v>
      </c>
      <c r="F301" t="s">
        <v>621</v>
      </c>
      <c r="G301" t="s">
        <v>889</v>
      </c>
      <c r="H301" t="s">
        <v>890</v>
      </c>
      <c r="I301" t="s">
        <v>624</v>
      </c>
      <c r="J301" t="s">
        <v>629</v>
      </c>
      <c r="L301" s="5">
        <v>42969.432719907411</v>
      </c>
      <c r="M301" s="5">
        <v>43354.682638888888</v>
      </c>
      <c r="N301" s="2">
        <f>HYPERLINK(URLs!B36 &amp; 102880,102880)</f>
        <v>102880</v>
      </c>
      <c r="O301" t="s">
        <v>636</v>
      </c>
      <c r="P301" t="s">
        <v>621</v>
      </c>
      <c r="Q301" t="s">
        <v>914</v>
      </c>
      <c r="R301" t="s">
        <v>305</v>
      </c>
    </row>
    <row r="302" spans="1:26" hidden="1" x14ac:dyDescent="0.25">
      <c r="A302" s="2">
        <f>HYPERLINK(URLs!B36 &amp; 103703,103703)</f>
        <v>103703</v>
      </c>
      <c r="B302" s="2">
        <f>HYPERLINK(URLs!B30 &amp; 18386 &amp; URLs!B32,18386)</f>
        <v>18386</v>
      </c>
      <c r="C302" t="s">
        <v>633</v>
      </c>
      <c r="D302" t="s">
        <v>619</v>
      </c>
      <c r="E302" t="s">
        <v>620</v>
      </c>
      <c r="F302" t="s">
        <v>621</v>
      </c>
      <c r="G302" t="s">
        <v>622</v>
      </c>
      <c r="H302" t="s">
        <v>623</v>
      </c>
      <c r="I302" t="s">
        <v>624</v>
      </c>
      <c r="J302" t="s">
        <v>625</v>
      </c>
      <c r="K302" t="s">
        <v>31</v>
      </c>
      <c r="L302" s="5">
        <v>42963</v>
      </c>
      <c r="M302" s="5">
        <v>42975.517384259256</v>
      </c>
      <c r="N302" s="2">
        <f>HYPERLINK(URLs!B36 &amp; 103703,103703)</f>
        <v>103703</v>
      </c>
      <c r="O302" t="s">
        <v>645</v>
      </c>
      <c r="P302" t="s">
        <v>621</v>
      </c>
      <c r="Q302" t="s">
        <v>4650</v>
      </c>
      <c r="R302" t="s">
        <v>305</v>
      </c>
      <c r="S302" t="s">
        <v>310</v>
      </c>
      <c r="T302" t="s">
        <v>4166</v>
      </c>
      <c r="U302" t="s">
        <v>35</v>
      </c>
      <c r="V302" t="s">
        <v>35</v>
      </c>
      <c r="Z302" t="s">
        <v>45</v>
      </c>
    </row>
    <row r="303" spans="1:26" hidden="1" x14ac:dyDescent="0.25">
      <c r="A303" s="2"/>
      <c r="B303" s="2">
        <f>HYPERLINK(URLs!B30 &amp; 18378 &amp; URLs!B32,18378)</f>
        <v>18378</v>
      </c>
      <c r="C303" t="s">
        <v>665</v>
      </c>
      <c r="D303" t="s">
        <v>619</v>
      </c>
      <c r="E303" t="s">
        <v>850</v>
      </c>
      <c r="F303" t="s">
        <v>621</v>
      </c>
      <c r="G303" t="s">
        <v>863</v>
      </c>
      <c r="H303" t="s">
        <v>890</v>
      </c>
      <c r="I303" t="s">
        <v>624</v>
      </c>
      <c r="J303" t="s">
        <v>642</v>
      </c>
      <c r="L303" s="5">
        <v>42962.748078703706</v>
      </c>
      <c r="M303" s="5">
        <v>43304.493055555555</v>
      </c>
      <c r="N303" s="2">
        <f>HYPERLINK(URLs!B36 &amp; 98541,98541)</f>
        <v>98541</v>
      </c>
      <c r="O303" t="s">
        <v>645</v>
      </c>
      <c r="P303" t="s">
        <v>621</v>
      </c>
      <c r="Q303" t="s">
        <v>915</v>
      </c>
      <c r="R303" t="s">
        <v>305</v>
      </c>
    </row>
    <row r="304" spans="1:26" hidden="1" x14ac:dyDescent="0.25">
      <c r="A304" s="2">
        <f>HYPERLINK(URLs!B36 &amp; 103574,103574)</f>
        <v>103574</v>
      </c>
      <c r="B304" s="2">
        <f>HYPERLINK(URLs!B30 &amp; 18352 &amp; URLs!B32,18352)</f>
        <v>18352</v>
      </c>
      <c r="C304" t="s">
        <v>633</v>
      </c>
      <c r="D304" t="s">
        <v>619</v>
      </c>
      <c r="E304" t="s">
        <v>620</v>
      </c>
      <c r="F304" t="s">
        <v>621</v>
      </c>
      <c r="G304" t="s">
        <v>627</v>
      </c>
      <c r="H304" t="s">
        <v>628</v>
      </c>
      <c r="I304" t="s">
        <v>624</v>
      </c>
      <c r="J304" t="s">
        <v>629</v>
      </c>
      <c r="K304" t="s">
        <v>68</v>
      </c>
      <c r="L304" s="5">
        <v>42958.501342592594</v>
      </c>
      <c r="M304" s="5">
        <v>43287.354571759257</v>
      </c>
      <c r="N304" s="2">
        <f>HYPERLINK(URLs!B36 &amp; 103574,103574)</f>
        <v>103574</v>
      </c>
      <c r="O304" t="s">
        <v>636</v>
      </c>
      <c r="P304" t="s">
        <v>621</v>
      </c>
      <c r="Q304" t="s">
        <v>4651</v>
      </c>
      <c r="R304" t="s">
        <v>305</v>
      </c>
      <c r="S304" t="s">
        <v>304</v>
      </c>
      <c r="T304" t="s">
        <v>307</v>
      </c>
      <c r="U304" t="s">
        <v>35</v>
      </c>
      <c r="V304" t="s">
        <v>35</v>
      </c>
      <c r="Z304" t="s">
        <v>96</v>
      </c>
    </row>
    <row r="305" spans="1:26" hidden="1" x14ac:dyDescent="0.25">
      <c r="A305" s="2"/>
      <c r="B305" s="2">
        <f>HYPERLINK(URLs!B30 &amp; 18333 &amp; URLs!B32,18333)</f>
        <v>18333</v>
      </c>
      <c r="C305" t="s">
        <v>665</v>
      </c>
      <c r="D305" t="s">
        <v>619</v>
      </c>
      <c r="E305" t="s">
        <v>850</v>
      </c>
      <c r="F305" t="s">
        <v>621</v>
      </c>
      <c r="G305" t="s">
        <v>851</v>
      </c>
      <c r="H305" t="s">
        <v>852</v>
      </c>
      <c r="I305" t="s">
        <v>624</v>
      </c>
      <c r="J305" t="s">
        <v>642</v>
      </c>
      <c r="L305" s="5">
        <v>42957.247476851851</v>
      </c>
      <c r="M305" s="5">
        <v>43052.52847222222</v>
      </c>
      <c r="N305" t="s">
        <v>621</v>
      </c>
      <c r="O305" t="s">
        <v>645</v>
      </c>
      <c r="P305" t="s">
        <v>621</v>
      </c>
      <c r="Q305" t="s">
        <v>916</v>
      </c>
    </row>
    <row r="306" spans="1:26" x14ac:dyDescent="0.25">
      <c r="A306" s="2"/>
      <c r="B306" s="2">
        <f>HYPERLINK(URLs!B30 &amp; 18326 &amp; URLs!B32,18326)</f>
        <v>18326</v>
      </c>
      <c r="C306" t="s">
        <v>641</v>
      </c>
      <c r="D306" t="s">
        <v>619</v>
      </c>
      <c r="E306" t="s">
        <v>620</v>
      </c>
      <c r="F306" t="s">
        <v>621</v>
      </c>
      <c r="G306" t="s">
        <v>634</v>
      </c>
      <c r="H306" t="s">
        <v>635</v>
      </c>
      <c r="I306" t="s">
        <v>624</v>
      </c>
      <c r="J306" t="s">
        <v>629</v>
      </c>
      <c r="L306" s="5">
        <v>42956.684016203704</v>
      </c>
      <c r="N306" s="2">
        <f>HYPERLINK(URLs!B37 &amp; 186227,186227)</f>
        <v>186227</v>
      </c>
      <c r="O306" t="s">
        <v>637</v>
      </c>
      <c r="P306" t="s">
        <v>621</v>
      </c>
      <c r="Q306" t="s">
        <v>646</v>
      </c>
      <c r="R306" t="s">
        <v>305</v>
      </c>
    </row>
    <row r="307" spans="1:26" hidden="1" x14ac:dyDescent="0.25">
      <c r="A307" s="2"/>
      <c r="B307" s="2">
        <f>HYPERLINK(URLs!B30 &amp; 18323 &amp; URLs!B32,18323)</f>
        <v>18323</v>
      </c>
      <c r="C307" t="s">
        <v>665</v>
      </c>
      <c r="D307" t="s">
        <v>619</v>
      </c>
      <c r="E307" t="s">
        <v>850</v>
      </c>
      <c r="F307" t="s">
        <v>621</v>
      </c>
      <c r="G307" t="s">
        <v>886</v>
      </c>
      <c r="H307" t="s">
        <v>887</v>
      </c>
      <c r="I307" t="s">
        <v>624</v>
      </c>
      <c r="J307" t="s">
        <v>625</v>
      </c>
      <c r="L307" s="5">
        <v>42956.435682870368</v>
      </c>
      <c r="M307" s="5">
        <v>43398.665972222225</v>
      </c>
      <c r="N307" s="2">
        <f>HYPERLINK(URLs!B36 &amp; 115130,115130)</f>
        <v>115130</v>
      </c>
      <c r="O307" t="s">
        <v>636</v>
      </c>
      <c r="P307" t="s">
        <v>621</v>
      </c>
      <c r="Q307" t="s">
        <v>917</v>
      </c>
      <c r="W307">
        <v>1</v>
      </c>
    </row>
    <row r="308" spans="1:26" hidden="1" x14ac:dyDescent="0.25">
      <c r="A308" s="2"/>
      <c r="B308" s="2">
        <f>HYPERLINK(URLs!B30 &amp; 18321 &amp; URLs!B32,18321)</f>
        <v>18321</v>
      </c>
      <c r="C308" t="s">
        <v>665</v>
      </c>
      <c r="D308" t="s">
        <v>619</v>
      </c>
      <c r="E308" t="s">
        <v>850</v>
      </c>
      <c r="F308" t="s">
        <v>621</v>
      </c>
      <c r="G308" t="s">
        <v>886</v>
      </c>
      <c r="H308" t="s">
        <v>887</v>
      </c>
      <c r="I308" t="s">
        <v>624</v>
      </c>
      <c r="J308" t="s">
        <v>625</v>
      </c>
      <c r="L308" s="5">
        <v>42956.383055555554</v>
      </c>
      <c r="M308" s="5">
        <v>43332.310416666667</v>
      </c>
      <c r="N308" s="2">
        <f>HYPERLINK(URLs!B36 &amp; 99116,99116)</f>
        <v>99116</v>
      </c>
      <c r="O308" t="s">
        <v>636</v>
      </c>
      <c r="P308" t="s">
        <v>621</v>
      </c>
      <c r="Q308" t="s">
        <v>918</v>
      </c>
      <c r="R308" t="s">
        <v>42</v>
      </c>
      <c r="W308">
        <v>1</v>
      </c>
      <c r="X308">
        <v>1</v>
      </c>
    </row>
    <row r="309" spans="1:26" hidden="1" x14ac:dyDescent="0.25">
      <c r="A309" s="2"/>
      <c r="B309" s="2">
        <f>HYPERLINK(URLs!B30 &amp; 18320 &amp; URLs!B32,18320)</f>
        <v>18320</v>
      </c>
      <c r="C309" t="s">
        <v>633</v>
      </c>
      <c r="D309" t="s">
        <v>619</v>
      </c>
      <c r="E309" t="s">
        <v>850</v>
      </c>
      <c r="F309" t="s">
        <v>621</v>
      </c>
      <c r="G309" t="s">
        <v>858</v>
      </c>
      <c r="H309" t="s">
        <v>859</v>
      </c>
      <c r="I309" t="s">
        <v>624</v>
      </c>
      <c r="J309" t="s">
        <v>629</v>
      </c>
      <c r="L309" s="5">
        <v>42956.375486111108</v>
      </c>
      <c r="M309" s="5">
        <v>43234.536874999998</v>
      </c>
      <c r="N309" s="2">
        <f>HYPERLINK(URLs!B36 &amp; 104778,104778)</f>
        <v>104778</v>
      </c>
      <c r="O309" t="s">
        <v>636</v>
      </c>
      <c r="P309" t="s">
        <v>621</v>
      </c>
      <c r="Q309" t="s">
        <v>919</v>
      </c>
    </row>
    <row r="310" spans="1:26" hidden="1" x14ac:dyDescent="0.25">
      <c r="A310" s="2"/>
      <c r="B310" s="2">
        <f>HYPERLINK(URLs!B30 &amp; 18318 &amp; URLs!B32,18318)</f>
        <v>18318</v>
      </c>
      <c r="C310" t="s">
        <v>633</v>
      </c>
      <c r="D310" t="s">
        <v>619</v>
      </c>
      <c r="E310" t="s">
        <v>850</v>
      </c>
      <c r="F310" t="s">
        <v>621</v>
      </c>
      <c r="G310" t="s">
        <v>851</v>
      </c>
      <c r="H310" t="s">
        <v>852</v>
      </c>
      <c r="I310" t="s">
        <v>624</v>
      </c>
      <c r="J310" t="s">
        <v>629</v>
      </c>
      <c r="L310" s="5">
        <v>42956.341805555552</v>
      </c>
      <c r="M310" s="5">
        <v>43140.644479166665</v>
      </c>
      <c r="N310" t="s">
        <v>621</v>
      </c>
      <c r="O310" t="s">
        <v>645</v>
      </c>
      <c r="P310" t="s">
        <v>621</v>
      </c>
      <c r="Q310" t="s">
        <v>920</v>
      </c>
      <c r="R310" t="s">
        <v>319</v>
      </c>
    </row>
    <row r="311" spans="1:26" hidden="1" x14ac:dyDescent="0.25">
      <c r="A311" s="2"/>
      <c r="B311" s="2">
        <f>HYPERLINK(URLs!B30 &amp; 18317 &amp; URLs!B32,18317)</f>
        <v>18317</v>
      </c>
      <c r="C311" t="s">
        <v>665</v>
      </c>
      <c r="D311" t="s">
        <v>619</v>
      </c>
      <c r="E311" t="s">
        <v>850</v>
      </c>
      <c r="F311" t="s">
        <v>621</v>
      </c>
      <c r="G311" t="s">
        <v>851</v>
      </c>
      <c r="H311" t="s">
        <v>890</v>
      </c>
      <c r="I311" t="s">
        <v>624</v>
      </c>
      <c r="J311" t="s">
        <v>629</v>
      </c>
      <c r="L311" s="5">
        <v>42956.337280092594</v>
      </c>
      <c r="M311" s="5">
        <v>43332.30972222222</v>
      </c>
      <c r="N311" s="2">
        <f>HYPERLINK(URLs!B36 &amp; 103415,103415)</f>
        <v>103415</v>
      </c>
      <c r="O311" t="s">
        <v>636</v>
      </c>
      <c r="P311" t="s">
        <v>621</v>
      </c>
      <c r="Q311" t="s">
        <v>921</v>
      </c>
    </row>
    <row r="312" spans="1:26" hidden="1" x14ac:dyDescent="0.25">
      <c r="A312" s="2"/>
      <c r="B312" s="2">
        <f>HYPERLINK(URLs!B30 &amp; 18305 &amp; URLs!B32,18305)</f>
        <v>18305</v>
      </c>
      <c r="C312" t="s">
        <v>633</v>
      </c>
      <c r="D312" t="s">
        <v>619</v>
      </c>
      <c r="E312" t="s">
        <v>850</v>
      </c>
      <c r="F312" t="s">
        <v>621</v>
      </c>
      <c r="G312" t="s">
        <v>853</v>
      </c>
      <c r="H312" t="s">
        <v>908</v>
      </c>
      <c r="I312" t="s">
        <v>624</v>
      </c>
      <c r="J312" t="s">
        <v>629</v>
      </c>
      <c r="L312" s="5">
        <v>42955.266956018517</v>
      </c>
      <c r="M312" s="5">
        <v>43122.568113425928</v>
      </c>
      <c r="N312" s="2">
        <f>HYPERLINK(URLs!B36 &amp; 104164,104164)</f>
        <v>104164</v>
      </c>
      <c r="O312" t="s">
        <v>645</v>
      </c>
      <c r="P312" t="s">
        <v>621</v>
      </c>
      <c r="Q312" t="s">
        <v>922</v>
      </c>
    </row>
    <row r="313" spans="1:26" hidden="1" x14ac:dyDescent="0.25">
      <c r="A313" s="2">
        <f>HYPERLINK(URLs!B36 &amp; 85276,85276)</f>
        <v>85276</v>
      </c>
      <c r="B313" s="2">
        <f>HYPERLINK(URLs!B30 &amp; 18279 &amp; URLs!B32,18279)</f>
        <v>18279</v>
      </c>
      <c r="C313" t="s">
        <v>633</v>
      </c>
      <c r="D313" t="s">
        <v>619</v>
      </c>
      <c r="E313" t="s">
        <v>620</v>
      </c>
      <c r="F313" t="s">
        <v>621</v>
      </c>
      <c r="G313" t="s">
        <v>622</v>
      </c>
      <c r="H313" t="s">
        <v>623</v>
      </c>
      <c r="I313" t="s">
        <v>624</v>
      </c>
      <c r="J313" t="s">
        <v>625</v>
      </c>
      <c r="K313" t="s">
        <v>31</v>
      </c>
      <c r="L313" s="5">
        <v>42951</v>
      </c>
      <c r="M313" s="5">
        <v>43035.461226851854</v>
      </c>
      <c r="N313" s="2">
        <f>HYPERLINK(URLs!B36 &amp; 85276,85276)</f>
        <v>85276</v>
      </c>
      <c r="O313" t="s">
        <v>636</v>
      </c>
      <c r="P313" t="s">
        <v>621</v>
      </c>
      <c r="Q313" t="s">
        <v>647</v>
      </c>
      <c r="R313" t="s">
        <v>305</v>
      </c>
      <c r="S313" t="s">
        <v>304</v>
      </c>
      <c r="T313" t="s">
        <v>133</v>
      </c>
      <c r="U313" t="s">
        <v>340</v>
      </c>
      <c r="V313" t="s">
        <v>321</v>
      </c>
      <c r="Z313" t="s">
        <v>45</v>
      </c>
    </row>
    <row r="314" spans="1:26" hidden="1" x14ac:dyDescent="0.25">
      <c r="A314" s="2">
        <f>HYPERLINK(URLs!B36 &amp; 87918,87918)</f>
        <v>87918</v>
      </c>
      <c r="B314" s="2">
        <f>HYPERLINK(URLs!B30 &amp; 18265 &amp; URLs!B32,18265)</f>
        <v>18265</v>
      </c>
      <c r="C314" t="s">
        <v>665</v>
      </c>
      <c r="D314" t="s">
        <v>619</v>
      </c>
      <c r="E314" t="s">
        <v>620</v>
      </c>
      <c r="F314" t="s">
        <v>621</v>
      </c>
      <c r="G314" t="s">
        <v>634</v>
      </c>
      <c r="H314" t="s">
        <v>635</v>
      </c>
      <c r="I314" t="s">
        <v>624</v>
      </c>
      <c r="J314" t="s">
        <v>629</v>
      </c>
      <c r="K314" t="s">
        <v>31</v>
      </c>
      <c r="L314" s="5">
        <v>42949.532048611109</v>
      </c>
      <c r="M314" s="5">
        <v>43046.376099537039</v>
      </c>
      <c r="N314" s="2">
        <f>HYPERLINK(URLs!B36 &amp; 87918,87918)</f>
        <v>87918</v>
      </c>
      <c r="O314" t="s">
        <v>636</v>
      </c>
      <c r="P314" t="s">
        <v>621</v>
      </c>
      <c r="Q314" t="s">
        <v>648</v>
      </c>
      <c r="R314" t="s">
        <v>305</v>
      </c>
      <c r="S314" t="s">
        <v>304</v>
      </c>
      <c r="T314" t="s">
        <v>4098</v>
      </c>
      <c r="U314" t="s">
        <v>35</v>
      </c>
      <c r="V314" t="s">
        <v>35</v>
      </c>
      <c r="Z314" t="s">
        <v>73</v>
      </c>
    </row>
    <row r="315" spans="1:26" hidden="1" x14ac:dyDescent="0.25">
      <c r="A315" s="2">
        <f>HYPERLINK(URLs!B36 &amp; 103143,103143)</f>
        <v>103143</v>
      </c>
      <c r="B315" s="2">
        <f>HYPERLINK(URLs!B30 &amp; 18260 &amp; URLs!B32,18260)</f>
        <v>18260</v>
      </c>
      <c r="C315" t="s">
        <v>633</v>
      </c>
      <c r="D315" t="s">
        <v>619</v>
      </c>
      <c r="E315" t="s">
        <v>620</v>
      </c>
      <c r="F315" t="s">
        <v>621</v>
      </c>
      <c r="G315" t="s">
        <v>631</v>
      </c>
      <c r="H315" t="s">
        <v>632</v>
      </c>
      <c r="I315" t="s">
        <v>624</v>
      </c>
      <c r="J315" t="s">
        <v>629</v>
      </c>
      <c r="K315" t="s">
        <v>68</v>
      </c>
      <c r="L315" s="5">
        <v>42949.084826388891</v>
      </c>
      <c r="M315" s="5">
        <v>43241.4762962963</v>
      </c>
      <c r="N315" s="2">
        <f>HYPERLINK(URLs!B36 &amp; 103143,103143)</f>
        <v>103143</v>
      </c>
      <c r="O315" t="s">
        <v>645</v>
      </c>
      <c r="P315" t="s">
        <v>621</v>
      </c>
      <c r="Q315" t="s">
        <v>650</v>
      </c>
      <c r="R315" t="s">
        <v>305</v>
      </c>
      <c r="S315" t="s">
        <v>328</v>
      </c>
      <c r="T315" t="s">
        <v>4098</v>
      </c>
      <c r="U315" t="s">
        <v>35</v>
      </c>
      <c r="V315" t="s">
        <v>35</v>
      </c>
      <c r="Z315" t="s">
        <v>73</v>
      </c>
    </row>
    <row r="316" spans="1:26" hidden="1" x14ac:dyDescent="0.25">
      <c r="A316" s="2">
        <f>HYPERLINK(URLs!B36 &amp; 103055,103055)</f>
        <v>103055</v>
      </c>
      <c r="B316" s="2">
        <f>HYPERLINK(URLs!B30 &amp; 18242 &amp; URLs!B32,18242)</f>
        <v>18242</v>
      </c>
      <c r="C316" t="s">
        <v>633</v>
      </c>
      <c r="D316" t="s">
        <v>619</v>
      </c>
      <c r="E316" t="s">
        <v>620</v>
      </c>
      <c r="F316" t="s">
        <v>621</v>
      </c>
      <c r="G316" t="s">
        <v>631</v>
      </c>
      <c r="H316" t="s">
        <v>632</v>
      </c>
      <c r="I316" t="s">
        <v>624</v>
      </c>
      <c r="J316" t="s">
        <v>629</v>
      </c>
      <c r="K316" t="s">
        <v>31</v>
      </c>
      <c r="L316" s="5">
        <v>42947.252951388888</v>
      </c>
      <c r="M316" s="5">
        <v>43111.361851851849</v>
      </c>
      <c r="N316" s="2">
        <f>HYPERLINK(URLs!B36 &amp; 103728,103728)</f>
        <v>103728</v>
      </c>
      <c r="O316" t="s">
        <v>636</v>
      </c>
      <c r="P316" t="s">
        <v>621</v>
      </c>
      <c r="Q316" t="s">
        <v>651</v>
      </c>
      <c r="R316" t="s">
        <v>305</v>
      </c>
      <c r="S316" t="s">
        <v>304</v>
      </c>
      <c r="T316" t="s">
        <v>307</v>
      </c>
      <c r="U316" t="s">
        <v>35</v>
      </c>
      <c r="V316" t="s">
        <v>35</v>
      </c>
      <c r="Z316" t="s">
        <v>45</v>
      </c>
    </row>
    <row r="317" spans="1:26" hidden="1" x14ac:dyDescent="0.25">
      <c r="A317" s="2"/>
      <c r="B317" s="2">
        <f>HYPERLINK(URLs!B30 &amp; 18220 &amp; URLs!B32,18220)</f>
        <v>18220</v>
      </c>
      <c r="C317" t="s">
        <v>633</v>
      </c>
      <c r="D317" t="s">
        <v>619</v>
      </c>
      <c r="E317" t="s">
        <v>850</v>
      </c>
      <c r="F317" t="s">
        <v>621</v>
      </c>
      <c r="G317" t="s">
        <v>875</v>
      </c>
      <c r="H317" t="s">
        <v>876</v>
      </c>
      <c r="I317" t="s">
        <v>624</v>
      </c>
      <c r="J317" t="s">
        <v>629</v>
      </c>
      <c r="L317" s="5">
        <v>42942.467777777776</v>
      </c>
      <c r="M317" s="5">
        <v>43119.308379629627</v>
      </c>
      <c r="N317" s="2">
        <f>HYPERLINK(URLs!B36 &amp; 100786,100786)</f>
        <v>100786</v>
      </c>
      <c r="O317" t="s">
        <v>636</v>
      </c>
      <c r="P317" t="s">
        <v>621</v>
      </c>
      <c r="Q317" t="s">
        <v>923</v>
      </c>
    </row>
    <row r="318" spans="1:26" hidden="1" x14ac:dyDescent="0.25">
      <c r="A318" s="2"/>
      <c r="B318" s="2">
        <f>HYPERLINK(URLs!B30 &amp; 18217 &amp; URLs!B32,18217)</f>
        <v>18217</v>
      </c>
      <c r="C318" t="s">
        <v>665</v>
      </c>
      <c r="D318" t="s">
        <v>619</v>
      </c>
      <c r="E318" t="s">
        <v>850</v>
      </c>
      <c r="F318" t="s">
        <v>621</v>
      </c>
      <c r="G318" t="s">
        <v>889</v>
      </c>
      <c r="H318" t="s">
        <v>890</v>
      </c>
      <c r="I318" t="s">
        <v>624</v>
      </c>
      <c r="J318" t="s">
        <v>625</v>
      </c>
      <c r="L318" s="5">
        <v>42942.39271990741</v>
      </c>
      <c r="M318" s="5">
        <v>43332.308333333334</v>
      </c>
      <c r="N318" s="2">
        <f>HYPERLINK(URLs!B36 &amp; 104780,104780)</f>
        <v>104780</v>
      </c>
      <c r="O318" t="s">
        <v>636</v>
      </c>
      <c r="P318" t="s">
        <v>621</v>
      </c>
      <c r="Q318" t="s">
        <v>924</v>
      </c>
      <c r="W318">
        <v>1</v>
      </c>
    </row>
    <row r="319" spans="1:26" hidden="1" x14ac:dyDescent="0.25">
      <c r="A319" s="2">
        <f>HYPERLINK(URLs!B36 &amp; 98755,98755)</f>
        <v>98755</v>
      </c>
      <c r="B319" s="2">
        <f>HYPERLINK(URLs!B30 &amp; 18196 &amp; URLs!B32,18196)</f>
        <v>18196</v>
      </c>
      <c r="C319" t="s">
        <v>665</v>
      </c>
      <c r="D319" t="s">
        <v>619</v>
      </c>
      <c r="E319" t="s">
        <v>620</v>
      </c>
      <c r="F319" t="s">
        <v>621</v>
      </c>
      <c r="G319" t="s">
        <v>631</v>
      </c>
      <c r="H319" t="s">
        <v>632</v>
      </c>
      <c r="I319" t="s">
        <v>624</v>
      </c>
      <c r="J319" t="s">
        <v>625</v>
      </c>
      <c r="K319" t="s">
        <v>31</v>
      </c>
      <c r="L319" s="5">
        <v>42941.272303240738</v>
      </c>
      <c r="M319" s="5">
        <v>43287.436111111114</v>
      </c>
      <c r="N319" s="2">
        <f>HYPERLINK(URLs!B36 &amp; 98756,98756)</f>
        <v>98756</v>
      </c>
      <c r="O319" t="s">
        <v>636</v>
      </c>
      <c r="P319" t="s">
        <v>621</v>
      </c>
      <c r="Q319" t="s">
        <v>652</v>
      </c>
      <c r="R319" t="s">
        <v>305</v>
      </c>
      <c r="S319" t="s">
        <v>304</v>
      </c>
      <c r="T319" t="s">
        <v>4231</v>
      </c>
      <c r="U319" t="s">
        <v>35</v>
      </c>
      <c r="V319" t="s">
        <v>321</v>
      </c>
      <c r="W319">
        <v>1</v>
      </c>
      <c r="Z319" t="s">
        <v>73</v>
      </c>
    </row>
    <row r="320" spans="1:26" hidden="1" x14ac:dyDescent="0.25">
      <c r="A320" s="2"/>
      <c r="B320" s="2">
        <f>HYPERLINK(URLs!B30 &amp; 18173 &amp; URLs!B32,18173)</f>
        <v>18173</v>
      </c>
      <c r="C320" t="s">
        <v>665</v>
      </c>
      <c r="D320" t="s">
        <v>619</v>
      </c>
      <c r="E320" t="s">
        <v>850</v>
      </c>
      <c r="F320" t="s">
        <v>621</v>
      </c>
      <c r="G320" t="s">
        <v>870</v>
      </c>
      <c r="H320" t="s">
        <v>876</v>
      </c>
      <c r="I320" t="s">
        <v>624</v>
      </c>
      <c r="J320" t="s">
        <v>642</v>
      </c>
      <c r="L320" s="5">
        <v>42937.055208333331</v>
      </c>
      <c r="M320" s="5">
        <v>43332.306944444441</v>
      </c>
      <c r="N320" s="2">
        <f>HYPERLINK(URLs!B36 &amp; 85574,85574)</f>
        <v>85574</v>
      </c>
      <c r="O320" t="s">
        <v>636</v>
      </c>
      <c r="P320" t="s">
        <v>621</v>
      </c>
      <c r="Q320" t="s">
        <v>925</v>
      </c>
      <c r="R320" t="s">
        <v>305</v>
      </c>
    </row>
    <row r="321" spans="1:26" x14ac:dyDescent="0.25">
      <c r="A321" s="2">
        <f>HYPERLINK(URLs!B36 &amp; 102638,102638)</f>
        <v>102638</v>
      </c>
      <c r="B321" s="2">
        <f>HYPERLINK(URLs!B30 &amp; 18172 &amp; URLs!B32,18172)</f>
        <v>18172</v>
      </c>
      <c r="C321" t="s">
        <v>641</v>
      </c>
      <c r="D321" t="s">
        <v>619</v>
      </c>
      <c r="E321" t="s">
        <v>620</v>
      </c>
      <c r="F321" t="s">
        <v>621</v>
      </c>
      <c r="G321" t="s">
        <v>631</v>
      </c>
      <c r="H321" t="s">
        <v>632</v>
      </c>
      <c r="I321" t="s">
        <v>624</v>
      </c>
      <c r="J321" t="s">
        <v>629</v>
      </c>
      <c r="K321" t="s">
        <v>68</v>
      </c>
      <c r="L321" s="5">
        <v>42937.009131944447</v>
      </c>
      <c r="N321" s="2">
        <f>HYPERLINK(URLs!B36 &amp; 102930,102930)</f>
        <v>102930</v>
      </c>
      <c r="O321" t="s">
        <v>637</v>
      </c>
      <c r="P321" t="s">
        <v>621</v>
      </c>
      <c r="Q321" t="s">
        <v>4652</v>
      </c>
      <c r="R321" t="s">
        <v>42</v>
      </c>
      <c r="T321" t="s">
        <v>4098</v>
      </c>
      <c r="U321" t="s">
        <v>35</v>
      </c>
      <c r="V321" t="s">
        <v>35</v>
      </c>
      <c r="Z321" t="s">
        <v>73</v>
      </c>
    </row>
    <row r="322" spans="1:26" hidden="1" x14ac:dyDescent="0.25">
      <c r="A322" s="2"/>
      <c r="B322" s="2">
        <f>HYPERLINK(URLs!B30 &amp; 18165 &amp; URLs!B32,18165)</f>
        <v>18165</v>
      </c>
      <c r="C322" t="s">
        <v>665</v>
      </c>
      <c r="D322" t="s">
        <v>619</v>
      </c>
      <c r="E322" t="s">
        <v>850</v>
      </c>
      <c r="F322" t="s">
        <v>621</v>
      </c>
      <c r="G322" t="s">
        <v>851</v>
      </c>
      <c r="H322" t="s">
        <v>852</v>
      </c>
      <c r="I322" t="s">
        <v>624</v>
      </c>
      <c r="J322" t="s">
        <v>642</v>
      </c>
      <c r="L322" s="5">
        <v>42936.095057870371</v>
      </c>
      <c r="M322" s="5">
        <v>43010.573611111111</v>
      </c>
      <c r="N322" t="s">
        <v>621</v>
      </c>
      <c r="O322" t="s">
        <v>645</v>
      </c>
      <c r="P322" t="s">
        <v>621</v>
      </c>
      <c r="Q322" t="s">
        <v>926</v>
      </c>
      <c r="R322" t="s">
        <v>305</v>
      </c>
    </row>
    <row r="323" spans="1:26" hidden="1" x14ac:dyDescent="0.25">
      <c r="A323" s="2">
        <f>HYPERLINK(URLs!B36 &amp; 87060,87060)</f>
        <v>87060</v>
      </c>
      <c r="B323" s="2">
        <f>HYPERLINK(URLs!B30 &amp; 18157 &amp; URLs!B32,18157)</f>
        <v>18157</v>
      </c>
      <c r="C323" t="s">
        <v>665</v>
      </c>
      <c r="D323" t="s">
        <v>619</v>
      </c>
      <c r="E323" t="s">
        <v>850</v>
      </c>
      <c r="F323" t="s">
        <v>621</v>
      </c>
      <c r="G323" t="s">
        <v>851</v>
      </c>
      <c r="H323" t="s">
        <v>852</v>
      </c>
      <c r="I323" t="s">
        <v>624</v>
      </c>
      <c r="J323" t="s">
        <v>625</v>
      </c>
      <c r="K323" t="s">
        <v>31</v>
      </c>
      <c r="L323" s="5">
        <v>42935.258784722224</v>
      </c>
      <c r="M323" s="5">
        <v>43036.636111111111</v>
      </c>
      <c r="N323" s="2">
        <f>HYPERLINK(URLs!B36 &amp; 99929,99929)</f>
        <v>99929</v>
      </c>
      <c r="O323" t="s">
        <v>636</v>
      </c>
      <c r="P323" t="s">
        <v>621</v>
      </c>
      <c r="Q323" t="s">
        <v>927</v>
      </c>
      <c r="R323" t="s">
        <v>319</v>
      </c>
      <c r="S323" t="s">
        <v>304</v>
      </c>
      <c r="T323" t="s">
        <v>4171</v>
      </c>
      <c r="U323" t="s">
        <v>4003</v>
      </c>
      <c r="V323" t="s">
        <v>35</v>
      </c>
      <c r="Z323" t="s">
        <v>73</v>
      </c>
    </row>
    <row r="324" spans="1:26" hidden="1" x14ac:dyDescent="0.25">
      <c r="A324" s="2"/>
      <c r="B324" s="2">
        <f>HYPERLINK(URLs!B30 &amp; 18135 &amp; URLs!B32,18135)</f>
        <v>18135</v>
      </c>
      <c r="C324" t="s">
        <v>665</v>
      </c>
      <c r="D324" t="s">
        <v>619</v>
      </c>
      <c r="E324" t="s">
        <v>850</v>
      </c>
      <c r="F324" t="s">
        <v>621</v>
      </c>
      <c r="G324" t="s">
        <v>853</v>
      </c>
      <c r="H324" t="s">
        <v>908</v>
      </c>
      <c r="I324" t="s">
        <v>624</v>
      </c>
      <c r="J324" t="s">
        <v>625</v>
      </c>
      <c r="L324" s="5">
        <v>42933.333807870367</v>
      </c>
      <c r="M324" s="5">
        <v>42964.37777777778</v>
      </c>
      <c r="N324" s="2">
        <f>HYPERLINK(URLs!B36 &amp; 100887,100887)</f>
        <v>100887</v>
      </c>
      <c r="O324" t="s">
        <v>636</v>
      </c>
      <c r="P324" t="s">
        <v>621</v>
      </c>
      <c r="Q324" t="s">
        <v>928</v>
      </c>
    </row>
    <row r="325" spans="1:26" hidden="1" x14ac:dyDescent="0.25">
      <c r="A325" s="2"/>
      <c r="B325" s="2">
        <f>HYPERLINK(URLs!B30 &amp; 18126 &amp; URLs!B32,18126)</f>
        <v>18126</v>
      </c>
      <c r="C325" t="s">
        <v>665</v>
      </c>
      <c r="D325" t="s">
        <v>619</v>
      </c>
      <c r="E325" t="s">
        <v>850</v>
      </c>
      <c r="F325" t="s">
        <v>621</v>
      </c>
      <c r="G325" t="s">
        <v>855</v>
      </c>
      <c r="H325" t="s">
        <v>856</v>
      </c>
      <c r="I325" t="s">
        <v>624</v>
      </c>
      <c r="J325" t="s">
        <v>642</v>
      </c>
      <c r="L325" s="5">
        <v>42930.347245370373</v>
      </c>
      <c r="M325" s="5">
        <v>43108.626388888886</v>
      </c>
      <c r="N325" s="2">
        <f>HYPERLINK(URLs!B36 &amp; 102540,102540)</f>
        <v>102540</v>
      </c>
      <c r="O325" t="s">
        <v>645</v>
      </c>
      <c r="P325" t="s">
        <v>621</v>
      </c>
      <c r="Q325" t="s">
        <v>929</v>
      </c>
    </row>
    <row r="326" spans="1:26" hidden="1" x14ac:dyDescent="0.25">
      <c r="A326" s="2">
        <f>HYPERLINK(URLs!B36 &amp; 102301,102301)</f>
        <v>102301</v>
      </c>
      <c r="B326" s="2">
        <f>HYPERLINK(URLs!B30 &amp; 18121 &amp; URLs!B32,18121)</f>
        <v>18121</v>
      </c>
      <c r="C326" t="s">
        <v>665</v>
      </c>
      <c r="D326" t="s">
        <v>619</v>
      </c>
      <c r="E326" t="s">
        <v>620</v>
      </c>
      <c r="F326" t="s">
        <v>621</v>
      </c>
      <c r="G326" t="s">
        <v>631</v>
      </c>
      <c r="H326" t="s">
        <v>632</v>
      </c>
      <c r="I326" t="s">
        <v>624</v>
      </c>
      <c r="J326" t="s">
        <v>629</v>
      </c>
      <c r="K326" t="s">
        <v>68</v>
      </c>
      <c r="L326" s="5">
        <v>42929.999618055554</v>
      </c>
      <c r="M326" s="5">
        <v>43255.829861111109</v>
      </c>
      <c r="N326" s="2">
        <f>HYPERLINK(URLs!B36 &amp; 102301,102301)</f>
        <v>102301</v>
      </c>
      <c r="O326" t="s">
        <v>636</v>
      </c>
      <c r="P326" t="s">
        <v>621</v>
      </c>
      <c r="Q326" t="s">
        <v>653</v>
      </c>
      <c r="R326" t="s">
        <v>319</v>
      </c>
      <c r="S326" t="s">
        <v>304</v>
      </c>
      <c r="T326" t="s">
        <v>69</v>
      </c>
      <c r="U326" t="s">
        <v>35</v>
      </c>
      <c r="V326" t="s">
        <v>35</v>
      </c>
      <c r="Z326" t="s">
        <v>106</v>
      </c>
    </row>
    <row r="327" spans="1:26" hidden="1" x14ac:dyDescent="0.25">
      <c r="A327" s="2">
        <f>HYPERLINK(URLs!B36 &amp; 102220,102220)</f>
        <v>102220</v>
      </c>
      <c r="B327" s="2">
        <f>HYPERLINK(URLs!B30 &amp; 18118 &amp; URLs!B32,18118)</f>
        <v>18118</v>
      </c>
      <c r="C327" t="s">
        <v>633</v>
      </c>
      <c r="D327" t="s">
        <v>619</v>
      </c>
      <c r="E327" t="s">
        <v>620</v>
      </c>
      <c r="F327" t="s">
        <v>621</v>
      </c>
      <c r="G327" t="s">
        <v>622</v>
      </c>
      <c r="H327" t="s">
        <v>623</v>
      </c>
      <c r="I327" t="s">
        <v>624</v>
      </c>
      <c r="J327" t="s">
        <v>629</v>
      </c>
      <c r="K327" t="s">
        <v>68</v>
      </c>
      <c r="L327" s="5">
        <v>42929</v>
      </c>
      <c r="M327" s="5">
        <v>43301.718356481484</v>
      </c>
      <c r="N327" s="2">
        <f>HYPERLINK(URLs!B36 &amp; 102220,102220)</f>
        <v>102220</v>
      </c>
      <c r="O327" t="s">
        <v>645</v>
      </c>
      <c r="P327" t="s">
        <v>621</v>
      </c>
      <c r="Q327" t="s">
        <v>4653</v>
      </c>
      <c r="R327" t="s">
        <v>67</v>
      </c>
      <c r="T327" t="s">
        <v>4166</v>
      </c>
      <c r="U327" t="s">
        <v>35</v>
      </c>
      <c r="V327" t="s">
        <v>35</v>
      </c>
      <c r="Z327" t="s">
        <v>73</v>
      </c>
    </row>
    <row r="328" spans="1:26" hidden="1" x14ac:dyDescent="0.25">
      <c r="A328" s="2"/>
      <c r="B328" s="2">
        <f>HYPERLINK(URLs!B30 &amp; 18113 &amp; URLs!B32,18113)</f>
        <v>18113</v>
      </c>
      <c r="C328" t="s">
        <v>665</v>
      </c>
      <c r="D328" t="s">
        <v>619</v>
      </c>
      <c r="E328" t="s">
        <v>850</v>
      </c>
      <c r="F328" t="s">
        <v>621</v>
      </c>
      <c r="G328" t="s">
        <v>855</v>
      </c>
      <c r="H328" t="s">
        <v>856</v>
      </c>
      <c r="I328" t="s">
        <v>624</v>
      </c>
      <c r="J328" t="s">
        <v>625</v>
      </c>
      <c r="L328" s="5">
        <v>42929.115937499999</v>
      </c>
      <c r="M328" s="5">
        <v>43108.619444444441</v>
      </c>
      <c r="N328" s="2">
        <f>HYPERLINK(URLs!B36 &amp; 104937,104937)</f>
        <v>104937</v>
      </c>
      <c r="O328" t="s">
        <v>666</v>
      </c>
      <c r="P328" t="s">
        <v>621</v>
      </c>
      <c r="Q328" t="s">
        <v>930</v>
      </c>
      <c r="W328">
        <v>1</v>
      </c>
    </row>
    <row r="329" spans="1:26" hidden="1" x14ac:dyDescent="0.25">
      <c r="A329" s="2">
        <f>HYPERLINK(URLs!B36 &amp; 102209,102209)</f>
        <v>102209</v>
      </c>
      <c r="B329" s="2">
        <f>HYPERLINK(URLs!B30 &amp; 18110 &amp; URLs!B32,18110)</f>
        <v>18110</v>
      </c>
      <c r="C329" t="s">
        <v>665</v>
      </c>
      <c r="D329" t="s">
        <v>619</v>
      </c>
      <c r="E329" t="s">
        <v>620</v>
      </c>
      <c r="F329" t="s">
        <v>621</v>
      </c>
      <c r="G329" t="s">
        <v>643</v>
      </c>
      <c r="H329" t="s">
        <v>644</v>
      </c>
      <c r="I329" t="s">
        <v>624</v>
      </c>
      <c r="J329" t="s">
        <v>625</v>
      </c>
      <c r="K329" t="s">
        <v>31</v>
      </c>
      <c r="L329" s="5">
        <v>42928.413171296299</v>
      </c>
      <c r="M329" s="5">
        <v>43287.43472222222</v>
      </c>
      <c r="N329" s="2">
        <f>HYPERLINK(URLs!B36 &amp; 102366,102366)</f>
        <v>102366</v>
      </c>
      <c r="O329" t="s">
        <v>636</v>
      </c>
      <c r="P329" t="s">
        <v>621</v>
      </c>
      <c r="Q329" t="s">
        <v>654</v>
      </c>
      <c r="R329" t="s">
        <v>305</v>
      </c>
      <c r="S329" t="s">
        <v>304</v>
      </c>
      <c r="T329" t="s">
        <v>307</v>
      </c>
      <c r="U329" t="s">
        <v>4008</v>
      </c>
      <c r="V329" t="s">
        <v>35</v>
      </c>
      <c r="Z329" t="s">
        <v>96</v>
      </c>
    </row>
    <row r="330" spans="1:26" hidden="1" x14ac:dyDescent="0.25">
      <c r="A330" s="2"/>
      <c r="B330" s="2">
        <f>HYPERLINK(URLs!B30 &amp; 18108 &amp; URLs!B32,18108)</f>
        <v>18108</v>
      </c>
      <c r="C330" t="s">
        <v>665</v>
      </c>
      <c r="D330" t="s">
        <v>619</v>
      </c>
      <c r="E330" t="s">
        <v>850</v>
      </c>
      <c r="F330" t="s">
        <v>621</v>
      </c>
      <c r="G330" t="s">
        <v>855</v>
      </c>
      <c r="H330" t="s">
        <v>856</v>
      </c>
      <c r="I330" t="s">
        <v>624</v>
      </c>
      <c r="J330" t="s">
        <v>625</v>
      </c>
      <c r="L330" s="5">
        <v>42928.343055555553</v>
      </c>
      <c r="M330" s="5">
        <v>43119.38958333333</v>
      </c>
      <c r="N330" s="2">
        <f>HYPERLINK(URLs!B36 &amp; 103227,103227)</f>
        <v>103227</v>
      </c>
      <c r="O330" t="s">
        <v>636</v>
      </c>
      <c r="P330" t="s">
        <v>621</v>
      </c>
      <c r="Q330" t="s">
        <v>931</v>
      </c>
      <c r="R330" t="s">
        <v>319</v>
      </c>
      <c r="W330">
        <v>1</v>
      </c>
    </row>
    <row r="331" spans="1:26" hidden="1" x14ac:dyDescent="0.25">
      <c r="A331" s="2"/>
      <c r="B331" s="2">
        <f>HYPERLINK(URLs!B30 &amp; 18097 &amp; URLs!B32,18097)</f>
        <v>18097</v>
      </c>
      <c r="C331" t="s">
        <v>665</v>
      </c>
      <c r="D331" t="s">
        <v>619</v>
      </c>
      <c r="E331" t="s">
        <v>620</v>
      </c>
      <c r="F331" t="s">
        <v>621</v>
      </c>
      <c r="G331" t="s">
        <v>634</v>
      </c>
      <c r="H331" t="s">
        <v>635</v>
      </c>
      <c r="I331" t="s">
        <v>624</v>
      </c>
      <c r="J331" t="s">
        <v>625</v>
      </c>
      <c r="L331" s="5">
        <v>42926.693807870368</v>
      </c>
      <c r="M331" s="5">
        <v>43287.433333333334</v>
      </c>
      <c r="N331" s="2">
        <f>HYPERLINK(URLs!B37 &amp; 211445,211445)</f>
        <v>211445</v>
      </c>
      <c r="O331" t="s">
        <v>636</v>
      </c>
      <c r="P331" t="s">
        <v>621</v>
      </c>
      <c r="Q331" t="s">
        <v>655</v>
      </c>
      <c r="W331">
        <v>1</v>
      </c>
    </row>
    <row r="332" spans="1:26" hidden="1" x14ac:dyDescent="0.25">
      <c r="A332" s="2"/>
      <c r="B332" s="2">
        <f>HYPERLINK(URLs!B30 &amp; 18071 &amp; URLs!B32,18071)</f>
        <v>18071</v>
      </c>
      <c r="C332" t="s">
        <v>665</v>
      </c>
      <c r="D332" t="s">
        <v>619</v>
      </c>
      <c r="E332" t="s">
        <v>850</v>
      </c>
      <c r="F332" t="s">
        <v>621</v>
      </c>
      <c r="G332" t="s">
        <v>867</v>
      </c>
      <c r="H332" t="s">
        <v>868</v>
      </c>
      <c r="I332" t="s">
        <v>624</v>
      </c>
      <c r="J332" t="s">
        <v>625</v>
      </c>
      <c r="L332" s="5">
        <v>42922.329976851855</v>
      </c>
      <c r="M332" s="5">
        <v>43143.695833333331</v>
      </c>
      <c r="N332" s="2">
        <f>HYPERLINK(URLs!B36 &amp; 101917,101917)</f>
        <v>101917</v>
      </c>
      <c r="O332" t="s">
        <v>645</v>
      </c>
      <c r="P332" t="s">
        <v>621</v>
      </c>
      <c r="Q332" t="s">
        <v>932</v>
      </c>
      <c r="W332">
        <v>1</v>
      </c>
      <c r="X332">
        <v>1</v>
      </c>
      <c r="Y332">
        <v>1</v>
      </c>
    </row>
    <row r="333" spans="1:26" hidden="1" x14ac:dyDescent="0.25">
      <c r="A333" s="2">
        <f>HYPERLINK(URLs!B36 &amp; 101845,101845)</f>
        <v>101845</v>
      </c>
      <c r="B333" s="2">
        <f>HYPERLINK(URLs!B30 &amp; 18061 &amp; URLs!B32,18061)</f>
        <v>18061</v>
      </c>
      <c r="C333" t="s">
        <v>633</v>
      </c>
      <c r="D333" t="s">
        <v>619</v>
      </c>
      <c r="E333" t="s">
        <v>620</v>
      </c>
      <c r="F333" t="s">
        <v>621</v>
      </c>
      <c r="G333" t="s">
        <v>631</v>
      </c>
      <c r="H333" t="s">
        <v>632</v>
      </c>
      <c r="I333" t="s">
        <v>624</v>
      </c>
      <c r="J333" t="s">
        <v>629</v>
      </c>
      <c r="K333" t="s">
        <v>68</v>
      </c>
      <c r="L333" s="5">
        <v>42921.11991898148</v>
      </c>
      <c r="M333" s="5">
        <v>43111.367708333331</v>
      </c>
      <c r="N333" s="2">
        <f>HYPERLINK(URLs!B36 &amp; 101845,101845)</f>
        <v>101845</v>
      </c>
      <c r="O333" t="s">
        <v>636</v>
      </c>
      <c r="P333" t="s">
        <v>621</v>
      </c>
      <c r="Q333" t="s">
        <v>656</v>
      </c>
      <c r="R333" t="s">
        <v>305</v>
      </c>
      <c r="S333" t="s">
        <v>353</v>
      </c>
      <c r="T333" t="s">
        <v>4166</v>
      </c>
      <c r="U333" t="s">
        <v>35</v>
      </c>
      <c r="V333" t="s">
        <v>35</v>
      </c>
      <c r="Z333" t="s">
        <v>73</v>
      </c>
    </row>
    <row r="334" spans="1:26" hidden="1" x14ac:dyDescent="0.25">
      <c r="A334" s="2"/>
      <c r="B334" s="2">
        <f>HYPERLINK(URLs!B30 &amp; 18042 &amp; URLs!B32,18042)</f>
        <v>18042</v>
      </c>
      <c r="C334" t="s">
        <v>665</v>
      </c>
      <c r="D334" t="s">
        <v>619</v>
      </c>
      <c r="E334" t="s">
        <v>850</v>
      </c>
      <c r="F334" t="s">
        <v>621</v>
      </c>
      <c r="G334" t="s">
        <v>875</v>
      </c>
      <c r="H334" t="s">
        <v>876</v>
      </c>
      <c r="I334" t="s">
        <v>624</v>
      </c>
      <c r="J334" t="s">
        <v>642</v>
      </c>
      <c r="L334" s="5">
        <v>42915.666701388887</v>
      </c>
      <c r="M334" s="5">
        <v>43332.302777777775</v>
      </c>
      <c r="N334" s="2">
        <f>HYPERLINK(URLs!B36 &amp; 101489,101489)</f>
        <v>101489</v>
      </c>
      <c r="O334" t="s">
        <v>636</v>
      </c>
      <c r="P334" t="s">
        <v>621</v>
      </c>
      <c r="Q334" t="s">
        <v>933</v>
      </c>
      <c r="R334" t="s">
        <v>305</v>
      </c>
      <c r="W334">
        <v>1</v>
      </c>
    </row>
    <row r="335" spans="1:26" hidden="1" x14ac:dyDescent="0.25">
      <c r="A335" s="2">
        <f>HYPERLINK(URLs!B36 &amp; 101621,101621)</f>
        <v>101621</v>
      </c>
      <c r="B335" s="2">
        <f>HYPERLINK(URLs!B30 &amp; 18025 &amp; URLs!B32,18025)</f>
        <v>18025</v>
      </c>
      <c r="C335" t="s">
        <v>665</v>
      </c>
      <c r="D335" t="s">
        <v>619</v>
      </c>
      <c r="E335" t="s">
        <v>620</v>
      </c>
      <c r="F335" t="s">
        <v>621</v>
      </c>
      <c r="G335" t="s">
        <v>631</v>
      </c>
      <c r="H335" t="s">
        <v>632</v>
      </c>
      <c r="I335" t="s">
        <v>624</v>
      </c>
      <c r="J335" t="s">
        <v>629</v>
      </c>
      <c r="K335" t="s">
        <v>68</v>
      </c>
      <c r="L335" s="5">
        <v>42915.177372685182</v>
      </c>
      <c r="M335" s="5">
        <v>43287.432638888888</v>
      </c>
      <c r="N335" s="2">
        <f>HYPERLINK(URLs!B36 &amp; 101659,101659)</f>
        <v>101659</v>
      </c>
      <c r="O335" t="s">
        <v>636</v>
      </c>
      <c r="P335" t="s">
        <v>621</v>
      </c>
      <c r="Q335" t="s">
        <v>657</v>
      </c>
      <c r="R335" t="s">
        <v>305</v>
      </c>
      <c r="S335" t="s">
        <v>304</v>
      </c>
      <c r="T335" t="s">
        <v>307</v>
      </c>
      <c r="U335" t="s">
        <v>35</v>
      </c>
      <c r="V335" t="s">
        <v>35</v>
      </c>
      <c r="Z335" t="s">
        <v>96</v>
      </c>
    </row>
    <row r="336" spans="1:26" hidden="1" x14ac:dyDescent="0.25">
      <c r="A336" s="2"/>
      <c r="B336" s="2">
        <f>HYPERLINK(URLs!B30 &amp; 17995 &amp; URLs!B32,17995)</f>
        <v>17995</v>
      </c>
      <c r="C336" t="s">
        <v>665</v>
      </c>
      <c r="D336" t="s">
        <v>619</v>
      </c>
      <c r="E336" t="s">
        <v>850</v>
      </c>
      <c r="F336" t="s">
        <v>621</v>
      </c>
      <c r="G336" t="s">
        <v>855</v>
      </c>
      <c r="H336" t="s">
        <v>856</v>
      </c>
      <c r="I336" t="s">
        <v>624</v>
      </c>
      <c r="J336" t="s">
        <v>625</v>
      </c>
      <c r="L336" s="5">
        <v>42909.378391203703</v>
      </c>
      <c r="M336" s="5">
        <v>43332.301388888889</v>
      </c>
      <c r="N336" s="2">
        <f>HYPERLINK(URLs!B36 &amp; 102834,102834)</f>
        <v>102834</v>
      </c>
      <c r="O336" t="s">
        <v>636</v>
      </c>
      <c r="P336" t="s">
        <v>621</v>
      </c>
      <c r="Q336" t="s">
        <v>934</v>
      </c>
      <c r="R336" t="s">
        <v>305</v>
      </c>
    </row>
    <row r="337" spans="1:26" hidden="1" x14ac:dyDescent="0.25">
      <c r="A337" s="2"/>
      <c r="B337" s="2">
        <f>HYPERLINK(URLs!B30 &amp; 17993 &amp; URLs!B32,17993)</f>
        <v>17993</v>
      </c>
      <c r="C337" t="s">
        <v>665</v>
      </c>
      <c r="D337" t="s">
        <v>619</v>
      </c>
      <c r="E337" t="s">
        <v>850</v>
      </c>
      <c r="F337" t="s">
        <v>621</v>
      </c>
      <c r="G337" t="s">
        <v>855</v>
      </c>
      <c r="H337" t="s">
        <v>856</v>
      </c>
      <c r="I337" t="s">
        <v>624</v>
      </c>
      <c r="J337" t="s">
        <v>629</v>
      </c>
      <c r="L337" s="5">
        <v>42909.363206018519</v>
      </c>
      <c r="M337" s="5">
        <v>43019.352083333331</v>
      </c>
      <c r="N337" t="s">
        <v>621</v>
      </c>
      <c r="O337" t="s">
        <v>666</v>
      </c>
      <c r="P337" t="s">
        <v>621</v>
      </c>
      <c r="Q337" t="s">
        <v>935</v>
      </c>
    </row>
    <row r="338" spans="1:26" hidden="1" x14ac:dyDescent="0.25">
      <c r="A338" s="2"/>
      <c r="B338" s="2">
        <f>HYPERLINK(URLs!B30 &amp; 17991 &amp; URLs!B32,17991)</f>
        <v>17991</v>
      </c>
      <c r="C338" t="s">
        <v>633</v>
      </c>
      <c r="D338" t="s">
        <v>619</v>
      </c>
      <c r="E338" t="s">
        <v>850</v>
      </c>
      <c r="F338" t="s">
        <v>621</v>
      </c>
      <c r="G338" t="s">
        <v>855</v>
      </c>
      <c r="H338" t="s">
        <v>856</v>
      </c>
      <c r="I338" t="s">
        <v>624</v>
      </c>
      <c r="J338" t="s">
        <v>642</v>
      </c>
      <c r="L338" s="5">
        <v>42909.315891203703</v>
      </c>
      <c r="M338" s="5">
        <v>43234.455925925926</v>
      </c>
      <c r="N338" s="2">
        <f>HYPERLINK(URLs!B36 &amp; 101466,101466)</f>
        <v>101466</v>
      </c>
      <c r="O338" t="s">
        <v>636</v>
      </c>
      <c r="P338" t="s">
        <v>621</v>
      </c>
      <c r="Q338" t="s">
        <v>936</v>
      </c>
    </row>
    <row r="339" spans="1:26" hidden="1" x14ac:dyDescent="0.25">
      <c r="A339" s="2"/>
      <c r="B339" s="2">
        <f>HYPERLINK(URLs!B30 &amp; 17980 &amp; URLs!B32,17980)</f>
        <v>17980</v>
      </c>
      <c r="C339" t="s">
        <v>665</v>
      </c>
      <c r="D339" t="s">
        <v>619</v>
      </c>
      <c r="E339" t="s">
        <v>850</v>
      </c>
      <c r="F339" t="s">
        <v>621</v>
      </c>
      <c r="G339" t="s">
        <v>867</v>
      </c>
      <c r="H339" t="s">
        <v>890</v>
      </c>
      <c r="I339" t="s">
        <v>624</v>
      </c>
      <c r="J339" t="s">
        <v>629</v>
      </c>
      <c r="L339" s="5">
        <v>42908.384942129633</v>
      </c>
      <c r="M339" s="5">
        <v>43332.3</v>
      </c>
      <c r="N339" s="2">
        <f>HYPERLINK(URLs!B36 &amp; 101309,101309)</f>
        <v>101309</v>
      </c>
      <c r="O339" t="s">
        <v>636</v>
      </c>
      <c r="P339" t="s">
        <v>621</v>
      </c>
      <c r="Q339" t="s">
        <v>937</v>
      </c>
    </row>
    <row r="340" spans="1:26" hidden="1" x14ac:dyDescent="0.25">
      <c r="A340" s="2"/>
      <c r="B340" s="2">
        <f>HYPERLINK(URLs!B30 &amp; 17976 &amp; URLs!B32,17976)</f>
        <v>17976</v>
      </c>
      <c r="C340" t="s">
        <v>665</v>
      </c>
      <c r="D340" t="s">
        <v>619</v>
      </c>
      <c r="E340" t="s">
        <v>850</v>
      </c>
      <c r="F340" t="s">
        <v>621</v>
      </c>
      <c r="G340" t="s">
        <v>853</v>
      </c>
      <c r="H340" t="s">
        <v>908</v>
      </c>
      <c r="I340" t="s">
        <v>624</v>
      </c>
      <c r="J340" t="s">
        <v>642</v>
      </c>
      <c r="L340" s="5">
        <v>42907.597766203704</v>
      </c>
      <c r="M340" s="5">
        <v>42964.372916666667</v>
      </c>
      <c r="N340" s="2">
        <f>HYPERLINK(URLs!B36 &amp; 101911,101911)</f>
        <v>101911</v>
      </c>
      <c r="O340" t="s">
        <v>636</v>
      </c>
      <c r="P340" t="s">
        <v>621</v>
      </c>
      <c r="Q340" t="s">
        <v>938</v>
      </c>
      <c r="R340" t="s">
        <v>319</v>
      </c>
      <c r="W340">
        <v>1</v>
      </c>
    </row>
    <row r="341" spans="1:26" hidden="1" x14ac:dyDescent="0.25">
      <c r="A341" s="2"/>
      <c r="B341" s="2">
        <f>HYPERLINK(URLs!B30 &amp; 17943 &amp; URLs!B32,17943)</f>
        <v>17943</v>
      </c>
      <c r="C341" t="s">
        <v>633</v>
      </c>
      <c r="D341" t="s">
        <v>619</v>
      </c>
      <c r="E341" t="s">
        <v>850</v>
      </c>
      <c r="F341" t="s">
        <v>621</v>
      </c>
      <c r="G341" t="s">
        <v>889</v>
      </c>
      <c r="H341" t="s">
        <v>890</v>
      </c>
      <c r="I341" t="s">
        <v>624</v>
      </c>
      <c r="J341" t="s">
        <v>642</v>
      </c>
      <c r="L341" s="5">
        <v>42905.552800925929</v>
      </c>
      <c r="M341" s="5">
        <v>43118.350115740737</v>
      </c>
      <c r="N341" s="2">
        <f>HYPERLINK(URLs!B36 &amp; 93159,93159)</f>
        <v>93159</v>
      </c>
      <c r="O341" t="s">
        <v>636</v>
      </c>
      <c r="P341" t="s">
        <v>621</v>
      </c>
      <c r="Q341" t="s">
        <v>939</v>
      </c>
      <c r="R341" t="s">
        <v>42</v>
      </c>
    </row>
    <row r="342" spans="1:26" hidden="1" x14ac:dyDescent="0.25">
      <c r="A342" s="2"/>
      <c r="B342" s="2">
        <f>HYPERLINK(URLs!B30 &amp; 17936 &amp; URLs!B32,17936)</f>
        <v>17936</v>
      </c>
      <c r="C342" t="s">
        <v>665</v>
      </c>
      <c r="D342" t="s">
        <v>619</v>
      </c>
      <c r="E342" t="s">
        <v>850</v>
      </c>
      <c r="F342" t="s">
        <v>621</v>
      </c>
      <c r="G342" t="s">
        <v>853</v>
      </c>
      <c r="H342" t="s">
        <v>908</v>
      </c>
      <c r="I342" t="s">
        <v>624</v>
      </c>
      <c r="J342" t="s">
        <v>629</v>
      </c>
      <c r="L342" s="5">
        <v>42902.473946759259</v>
      </c>
      <c r="M342" s="5">
        <v>43039.643055555556</v>
      </c>
      <c r="N342" t="s">
        <v>621</v>
      </c>
      <c r="O342" t="s">
        <v>666</v>
      </c>
      <c r="P342" t="s">
        <v>621</v>
      </c>
      <c r="Q342" t="s">
        <v>940</v>
      </c>
      <c r="R342" t="s">
        <v>305</v>
      </c>
    </row>
    <row r="343" spans="1:26" hidden="1" x14ac:dyDescent="0.25">
      <c r="A343" s="2">
        <f>HYPERLINK(URLs!B36 &amp; 114107,114107)</f>
        <v>114107</v>
      </c>
      <c r="B343" s="2">
        <f>HYPERLINK(URLs!B30 &amp; 17920 &amp; URLs!B32,17920)</f>
        <v>17920</v>
      </c>
      <c r="C343" t="s">
        <v>633</v>
      </c>
      <c r="D343" t="s">
        <v>619</v>
      </c>
      <c r="E343" t="s">
        <v>850</v>
      </c>
      <c r="F343" t="s">
        <v>621</v>
      </c>
      <c r="G343" t="s">
        <v>855</v>
      </c>
      <c r="H343" t="s">
        <v>856</v>
      </c>
      <c r="I343" t="s">
        <v>624</v>
      </c>
      <c r="J343" t="s">
        <v>642</v>
      </c>
      <c r="K343" t="s">
        <v>68</v>
      </c>
      <c r="L343" s="5">
        <v>42901.397106481483</v>
      </c>
      <c r="M343" s="5">
        <v>42964.288124999999</v>
      </c>
      <c r="N343" s="2">
        <f>HYPERLINK(URLs!B36 &amp; 101087,101087)</f>
        <v>101087</v>
      </c>
      <c r="O343" t="s">
        <v>636</v>
      </c>
      <c r="P343" t="s">
        <v>621</v>
      </c>
      <c r="Q343" t="s">
        <v>941</v>
      </c>
      <c r="R343" t="s">
        <v>319</v>
      </c>
      <c r="S343" t="s">
        <v>304</v>
      </c>
      <c r="T343" t="s">
        <v>4143</v>
      </c>
      <c r="U343" t="s">
        <v>4737</v>
      </c>
      <c r="V343" t="s">
        <v>35</v>
      </c>
      <c r="Z343" t="s">
        <v>34</v>
      </c>
    </row>
    <row r="344" spans="1:26" hidden="1" x14ac:dyDescent="0.25">
      <c r="A344" s="2"/>
      <c r="B344" s="2">
        <f>HYPERLINK(URLs!B30 &amp; 17911 &amp; URLs!B32,17911)</f>
        <v>17911</v>
      </c>
      <c r="C344" t="s">
        <v>665</v>
      </c>
      <c r="D344" t="s">
        <v>619</v>
      </c>
      <c r="E344" t="s">
        <v>850</v>
      </c>
      <c r="F344" t="s">
        <v>621</v>
      </c>
      <c r="G344" t="s">
        <v>855</v>
      </c>
      <c r="H344" t="s">
        <v>856</v>
      </c>
      <c r="I344" t="s">
        <v>624</v>
      </c>
      <c r="J344" t="s">
        <v>629</v>
      </c>
      <c r="L344" s="5">
        <v>42900.168622685182</v>
      </c>
      <c r="M344" s="5">
        <v>43138.345138888886</v>
      </c>
      <c r="N344" s="2">
        <f>HYPERLINK(URLs!B36 &amp; 100488,100488)</f>
        <v>100488</v>
      </c>
      <c r="O344" t="s">
        <v>645</v>
      </c>
      <c r="P344" t="s">
        <v>621</v>
      </c>
      <c r="Q344" t="s">
        <v>942</v>
      </c>
      <c r="W344">
        <v>1</v>
      </c>
    </row>
    <row r="345" spans="1:26" hidden="1" x14ac:dyDescent="0.25">
      <c r="A345" s="2"/>
      <c r="B345" s="2">
        <f>HYPERLINK(URLs!B30 &amp; 17894 &amp; URLs!B32,17894)</f>
        <v>17894</v>
      </c>
      <c r="C345" t="s">
        <v>633</v>
      </c>
      <c r="D345" t="s">
        <v>619</v>
      </c>
      <c r="E345" t="s">
        <v>850</v>
      </c>
      <c r="F345" t="s">
        <v>621</v>
      </c>
      <c r="G345" t="s">
        <v>851</v>
      </c>
      <c r="H345" t="s">
        <v>859</v>
      </c>
      <c r="I345" t="s">
        <v>624</v>
      </c>
      <c r="J345" t="s">
        <v>625</v>
      </c>
      <c r="L345" s="5">
        <v>42898.240636574075</v>
      </c>
      <c r="M345" s="5">
        <v>43290.404189814813</v>
      </c>
      <c r="N345" s="2">
        <f>HYPERLINK(URLs!B36 &amp; 100003,100003)</f>
        <v>100003</v>
      </c>
      <c r="O345" t="s">
        <v>645</v>
      </c>
      <c r="P345" t="s">
        <v>621</v>
      </c>
      <c r="Q345" t="s">
        <v>943</v>
      </c>
    </row>
    <row r="346" spans="1:26" hidden="1" x14ac:dyDescent="0.25">
      <c r="A346" s="2"/>
      <c r="B346" s="2">
        <f>HYPERLINK(URLs!B30 &amp; 17890 &amp; URLs!B32,17890)</f>
        <v>17890</v>
      </c>
      <c r="C346" t="s">
        <v>665</v>
      </c>
      <c r="D346" t="s">
        <v>619</v>
      </c>
      <c r="E346" t="s">
        <v>850</v>
      </c>
      <c r="F346" t="s">
        <v>621</v>
      </c>
      <c r="G346" t="s">
        <v>875</v>
      </c>
      <c r="H346" t="s">
        <v>876</v>
      </c>
      <c r="I346" t="s">
        <v>624</v>
      </c>
      <c r="J346" t="s">
        <v>629</v>
      </c>
      <c r="L346" s="5">
        <v>42895.458229166667</v>
      </c>
      <c r="M346" s="5">
        <v>42964.369444444441</v>
      </c>
      <c r="N346" s="2">
        <f>HYPERLINK(URLs!B36 &amp; 100786,100786)</f>
        <v>100786</v>
      </c>
      <c r="O346" t="s">
        <v>636</v>
      </c>
      <c r="P346" t="s">
        <v>621</v>
      </c>
      <c r="Q346" t="s">
        <v>944</v>
      </c>
      <c r="R346" t="s">
        <v>305</v>
      </c>
      <c r="W346">
        <v>1</v>
      </c>
    </row>
    <row r="347" spans="1:26" hidden="1" x14ac:dyDescent="0.25">
      <c r="A347" s="2">
        <f>HYPERLINK(URLs!B36 &amp; 92187,92187)</f>
        <v>92187</v>
      </c>
      <c r="B347" s="2">
        <f>HYPERLINK(URLs!B30 &amp; 17885 &amp; URLs!B32,17885)</f>
        <v>17885</v>
      </c>
      <c r="C347" t="s">
        <v>633</v>
      </c>
      <c r="D347" t="s">
        <v>619</v>
      </c>
      <c r="E347" t="s">
        <v>620</v>
      </c>
      <c r="F347" t="s">
        <v>621</v>
      </c>
      <c r="G347" t="s">
        <v>627</v>
      </c>
      <c r="H347" t="s">
        <v>628</v>
      </c>
      <c r="I347" t="s">
        <v>624</v>
      </c>
      <c r="J347" t="s">
        <v>625</v>
      </c>
      <c r="K347" t="s">
        <v>31</v>
      </c>
      <c r="L347" s="5">
        <v>42895.337685185186</v>
      </c>
      <c r="M347" s="5">
        <v>43110.665254629632</v>
      </c>
      <c r="N347" s="2">
        <f>HYPERLINK(URLs!B36 &amp; 92187,92187)</f>
        <v>92187</v>
      </c>
      <c r="O347" t="s">
        <v>636</v>
      </c>
      <c r="P347" t="s">
        <v>621</v>
      </c>
      <c r="Q347" t="s">
        <v>658</v>
      </c>
      <c r="R347" t="s">
        <v>305</v>
      </c>
      <c r="S347" t="s">
        <v>304</v>
      </c>
      <c r="T347" t="s">
        <v>69</v>
      </c>
      <c r="U347" t="s">
        <v>3983</v>
      </c>
      <c r="V347" t="s">
        <v>321</v>
      </c>
      <c r="Z347" t="s">
        <v>45</v>
      </c>
    </row>
    <row r="348" spans="1:26" hidden="1" x14ac:dyDescent="0.25">
      <c r="A348" s="2">
        <f>HYPERLINK(URLs!B36 &amp; 100527,100527)</f>
        <v>100527</v>
      </c>
      <c r="B348" s="2">
        <f>HYPERLINK(URLs!B30 &amp; 17860 &amp; URLs!B32,17860)</f>
        <v>17860</v>
      </c>
      <c r="C348" t="s">
        <v>633</v>
      </c>
      <c r="D348" t="s">
        <v>619</v>
      </c>
      <c r="E348" t="s">
        <v>620</v>
      </c>
      <c r="F348" t="s">
        <v>621</v>
      </c>
      <c r="G348" t="s">
        <v>631</v>
      </c>
      <c r="H348" t="s">
        <v>632</v>
      </c>
      <c r="I348" t="s">
        <v>624</v>
      </c>
      <c r="J348" t="s">
        <v>629</v>
      </c>
      <c r="K348" t="s">
        <v>68</v>
      </c>
      <c r="L348" s="5">
        <v>42893.02039351852</v>
      </c>
      <c r="M348" s="5">
        <v>43241.47934027778</v>
      </c>
      <c r="N348" s="2">
        <f>HYPERLINK(URLs!B36 &amp; 100527,100527)</f>
        <v>100527</v>
      </c>
      <c r="O348" t="s">
        <v>666</v>
      </c>
      <c r="P348" t="s">
        <v>621</v>
      </c>
      <c r="Q348" t="s">
        <v>659</v>
      </c>
      <c r="R348" t="s">
        <v>305</v>
      </c>
      <c r="S348" t="s">
        <v>328</v>
      </c>
      <c r="T348" t="s">
        <v>4143</v>
      </c>
      <c r="U348" t="s">
        <v>35</v>
      </c>
      <c r="V348" t="s">
        <v>35</v>
      </c>
      <c r="Z348" t="s">
        <v>34</v>
      </c>
    </row>
    <row r="349" spans="1:26" hidden="1" x14ac:dyDescent="0.25">
      <c r="A349" s="2">
        <f>HYPERLINK(URLs!B36 &amp; 100520,100520)</f>
        <v>100520</v>
      </c>
      <c r="B349" s="2">
        <f>HYPERLINK(URLs!B30 &amp; 17859 &amp; URLs!B32,17859)</f>
        <v>17859</v>
      </c>
      <c r="C349" t="s">
        <v>633</v>
      </c>
      <c r="D349" t="s">
        <v>619</v>
      </c>
      <c r="E349" t="s">
        <v>620</v>
      </c>
      <c r="F349" t="s">
        <v>621</v>
      </c>
      <c r="G349" t="s">
        <v>622</v>
      </c>
      <c r="H349" t="s">
        <v>623</v>
      </c>
      <c r="I349" t="s">
        <v>624</v>
      </c>
      <c r="J349" t="s">
        <v>629</v>
      </c>
      <c r="K349" t="s">
        <v>68</v>
      </c>
      <c r="L349" s="5">
        <v>42892</v>
      </c>
      <c r="M349" s="5">
        <v>42929.347118055557</v>
      </c>
      <c r="N349" s="2">
        <f>HYPERLINK(URLs!B36 &amp; 100520,100520)</f>
        <v>100520</v>
      </c>
      <c r="O349" t="s">
        <v>645</v>
      </c>
      <c r="P349" t="s">
        <v>621</v>
      </c>
      <c r="Q349" t="s">
        <v>660</v>
      </c>
      <c r="R349" t="s">
        <v>305</v>
      </c>
      <c r="S349" t="s">
        <v>304</v>
      </c>
      <c r="T349" t="s">
        <v>4143</v>
      </c>
      <c r="U349" t="s">
        <v>4284</v>
      </c>
      <c r="V349" t="s">
        <v>321</v>
      </c>
      <c r="Z349" t="s">
        <v>34</v>
      </c>
    </row>
    <row r="350" spans="1:26" hidden="1" x14ac:dyDescent="0.25">
      <c r="A350" s="2"/>
      <c r="B350" s="2">
        <f>HYPERLINK(URLs!B30 &amp; 17808 &amp; URLs!B32,17808)</f>
        <v>17808</v>
      </c>
      <c r="C350" t="s">
        <v>633</v>
      </c>
      <c r="D350" t="s">
        <v>619</v>
      </c>
      <c r="E350" t="s">
        <v>850</v>
      </c>
      <c r="F350" t="s">
        <v>621</v>
      </c>
      <c r="G350" t="s">
        <v>875</v>
      </c>
      <c r="H350" t="s">
        <v>876</v>
      </c>
      <c r="I350" t="s">
        <v>624</v>
      </c>
      <c r="J350" t="s">
        <v>642</v>
      </c>
      <c r="L350" s="5">
        <v>42886.453449074077</v>
      </c>
      <c r="M350" s="5">
        <v>43118.348124999997</v>
      </c>
      <c r="N350" s="2">
        <f>HYPERLINK(URLs!B36 &amp; 100129,100129)</f>
        <v>100129</v>
      </c>
      <c r="O350" t="s">
        <v>636</v>
      </c>
      <c r="P350" t="s">
        <v>621</v>
      </c>
      <c r="Q350" t="s">
        <v>945</v>
      </c>
      <c r="R350" t="s">
        <v>305</v>
      </c>
    </row>
    <row r="351" spans="1:26" hidden="1" x14ac:dyDescent="0.25">
      <c r="A351" s="2"/>
      <c r="B351" s="2">
        <f>HYPERLINK(URLs!B30 &amp; 17807 &amp; URLs!B32,17807)</f>
        <v>17807</v>
      </c>
      <c r="C351" t="s">
        <v>665</v>
      </c>
      <c r="D351" t="s">
        <v>619</v>
      </c>
      <c r="E351" t="s">
        <v>850</v>
      </c>
      <c r="F351" t="s">
        <v>621</v>
      </c>
      <c r="G351" t="s">
        <v>855</v>
      </c>
      <c r="H351" t="s">
        <v>856</v>
      </c>
      <c r="I351" t="s">
        <v>624</v>
      </c>
      <c r="J351" t="s">
        <v>625</v>
      </c>
      <c r="L351" s="5">
        <v>42886.301307870373</v>
      </c>
      <c r="M351" s="5">
        <v>43398.664583333331</v>
      </c>
      <c r="N351" s="2">
        <f>HYPERLINK(URLs!B36 &amp; 111034,111034)</f>
        <v>111034</v>
      </c>
      <c r="O351" t="s">
        <v>636</v>
      </c>
      <c r="P351" t="s">
        <v>621</v>
      </c>
      <c r="Q351" t="s">
        <v>946</v>
      </c>
      <c r="W351">
        <v>1</v>
      </c>
    </row>
    <row r="352" spans="1:26" hidden="1" x14ac:dyDescent="0.25">
      <c r="A352" s="2"/>
      <c r="B352" s="2">
        <f>HYPERLINK(URLs!B30 &amp; 17797 &amp; URLs!B32,17797)</f>
        <v>17797</v>
      </c>
      <c r="C352" t="s">
        <v>633</v>
      </c>
      <c r="D352" t="s">
        <v>619</v>
      </c>
      <c r="E352" t="s">
        <v>850</v>
      </c>
      <c r="F352" t="s">
        <v>621</v>
      </c>
      <c r="G352" t="s">
        <v>853</v>
      </c>
      <c r="H352" t="s">
        <v>876</v>
      </c>
      <c r="I352" t="s">
        <v>624</v>
      </c>
      <c r="J352" t="s">
        <v>625</v>
      </c>
      <c r="L352" s="5">
        <v>42885.257245370369</v>
      </c>
      <c r="M352" s="5">
        <v>43354.592777777776</v>
      </c>
      <c r="N352" s="2">
        <f>HYPERLINK(URLs!B36 &amp; 100034,100034)</f>
        <v>100034</v>
      </c>
      <c r="O352" t="s">
        <v>636</v>
      </c>
      <c r="P352" t="s">
        <v>621</v>
      </c>
      <c r="Q352" t="s">
        <v>947</v>
      </c>
    </row>
    <row r="353" spans="1:26" hidden="1" x14ac:dyDescent="0.25">
      <c r="A353" s="2">
        <f>HYPERLINK(URLs!B36 &amp; 99942,99942)</f>
        <v>99942</v>
      </c>
      <c r="B353" s="2">
        <f>HYPERLINK(URLs!B30 &amp; 17789 &amp; URLs!B32,17789)</f>
        <v>17789</v>
      </c>
      <c r="C353" t="s">
        <v>618</v>
      </c>
      <c r="D353" t="s">
        <v>619</v>
      </c>
      <c r="E353" t="s">
        <v>620</v>
      </c>
      <c r="F353" t="s">
        <v>621</v>
      </c>
      <c r="G353" t="s">
        <v>622</v>
      </c>
      <c r="H353" t="s">
        <v>623</v>
      </c>
      <c r="I353" t="s">
        <v>624</v>
      </c>
      <c r="J353" t="s">
        <v>625</v>
      </c>
      <c r="K353" t="s">
        <v>31</v>
      </c>
      <c r="L353" s="5">
        <v>42881</v>
      </c>
      <c r="N353" s="2">
        <f>HYPERLINK(URLs!B36 &amp; 107049,107049)</f>
        <v>107049</v>
      </c>
      <c r="O353" t="s">
        <v>1360</v>
      </c>
      <c r="P353" t="s">
        <v>621</v>
      </c>
      <c r="Q353" t="s">
        <v>4654</v>
      </c>
      <c r="R353" t="s">
        <v>319</v>
      </c>
      <c r="S353" t="s">
        <v>304</v>
      </c>
      <c r="T353" t="s">
        <v>4171</v>
      </c>
      <c r="U353" t="s">
        <v>4035</v>
      </c>
      <c r="V353" t="s">
        <v>321</v>
      </c>
      <c r="W353">
        <v>1</v>
      </c>
      <c r="Z353" t="s">
        <v>73</v>
      </c>
    </row>
    <row r="354" spans="1:26" hidden="1" x14ac:dyDescent="0.25">
      <c r="A354" s="2">
        <f>HYPERLINK(URLs!B36 &amp; 99949,99949)</f>
        <v>99949</v>
      </c>
      <c r="B354" s="2">
        <f>HYPERLINK(URLs!B30 &amp; 17779 &amp; URLs!B32,17779)</f>
        <v>17779</v>
      </c>
      <c r="C354" t="s">
        <v>633</v>
      </c>
      <c r="D354" t="s">
        <v>619</v>
      </c>
      <c r="E354" t="s">
        <v>620</v>
      </c>
      <c r="F354" t="s">
        <v>621</v>
      </c>
      <c r="G354" t="s">
        <v>631</v>
      </c>
      <c r="H354" t="s">
        <v>632</v>
      </c>
      <c r="I354" t="s">
        <v>624</v>
      </c>
      <c r="J354" t="s">
        <v>625</v>
      </c>
      <c r="K354" t="s">
        <v>31</v>
      </c>
      <c r="L354" s="5">
        <v>42881</v>
      </c>
      <c r="M354" s="5">
        <v>43287.347962962966</v>
      </c>
      <c r="N354" s="2">
        <f>HYPERLINK(URLs!B36 &amp; 100184,100184)</f>
        <v>100184</v>
      </c>
      <c r="O354" t="s">
        <v>636</v>
      </c>
      <c r="P354" t="s">
        <v>621</v>
      </c>
      <c r="Q354" t="s">
        <v>661</v>
      </c>
      <c r="R354" t="s">
        <v>319</v>
      </c>
      <c r="S354" t="s">
        <v>328</v>
      </c>
      <c r="T354" t="s">
        <v>4098</v>
      </c>
      <c r="U354" t="s">
        <v>35</v>
      </c>
      <c r="V354" t="s">
        <v>321</v>
      </c>
      <c r="W354">
        <v>1</v>
      </c>
      <c r="Z354" t="s">
        <v>45</v>
      </c>
    </row>
    <row r="355" spans="1:26" hidden="1" x14ac:dyDescent="0.25">
      <c r="A355" s="2">
        <f>HYPERLINK(URLs!B36 &amp; 100013,100013)</f>
        <v>100013</v>
      </c>
      <c r="B355" s="2">
        <f>HYPERLINK(URLs!B30 &amp; 17774 &amp; URLs!B32,17774)</f>
        <v>17774</v>
      </c>
      <c r="C355" t="s">
        <v>633</v>
      </c>
      <c r="D355" t="s">
        <v>619</v>
      </c>
      <c r="E355" t="s">
        <v>620</v>
      </c>
      <c r="F355" t="s">
        <v>621</v>
      </c>
      <c r="G355" t="s">
        <v>634</v>
      </c>
      <c r="H355" t="s">
        <v>635</v>
      </c>
      <c r="I355" t="s">
        <v>624</v>
      </c>
      <c r="J355" t="s">
        <v>629</v>
      </c>
      <c r="K355" t="s">
        <v>31</v>
      </c>
      <c r="L355" s="5">
        <v>42880</v>
      </c>
      <c r="M355" s="5">
        <v>43287.346574074072</v>
      </c>
      <c r="N355" s="2">
        <f>HYPERLINK(URLs!B36 &amp; 100070,100070)</f>
        <v>100070</v>
      </c>
      <c r="O355" t="s">
        <v>636</v>
      </c>
      <c r="P355" t="s">
        <v>621</v>
      </c>
      <c r="Q355" t="s">
        <v>662</v>
      </c>
      <c r="R355" t="s">
        <v>305</v>
      </c>
      <c r="S355" t="s">
        <v>304</v>
      </c>
      <c r="T355" t="s">
        <v>4167</v>
      </c>
      <c r="U355" t="s">
        <v>4025</v>
      </c>
      <c r="V355" t="s">
        <v>321</v>
      </c>
      <c r="Z355" t="s">
        <v>34</v>
      </c>
    </row>
    <row r="356" spans="1:26" hidden="1" x14ac:dyDescent="0.25">
      <c r="A356" s="2">
        <f>HYPERLINK(URLs!B36 &amp; 100008,100008)</f>
        <v>100008</v>
      </c>
      <c r="B356" s="2">
        <f>HYPERLINK(URLs!B30 &amp; 17772 &amp; URLs!B32,17772)</f>
        <v>17772</v>
      </c>
      <c r="C356" t="s">
        <v>618</v>
      </c>
      <c r="D356" t="s">
        <v>619</v>
      </c>
      <c r="E356" t="s">
        <v>620</v>
      </c>
      <c r="F356" t="s">
        <v>621</v>
      </c>
      <c r="G356" t="s">
        <v>634</v>
      </c>
      <c r="H356" t="s">
        <v>635</v>
      </c>
      <c r="I356" t="s">
        <v>624</v>
      </c>
      <c r="J356" t="s">
        <v>629</v>
      </c>
      <c r="K356" t="s">
        <v>31</v>
      </c>
      <c r="L356" s="5">
        <v>42880</v>
      </c>
      <c r="N356" s="2">
        <f>HYPERLINK(URLs!B36 &amp; 100069,100069)</f>
        <v>100069</v>
      </c>
      <c r="O356" t="s">
        <v>640</v>
      </c>
      <c r="P356" t="s">
        <v>621</v>
      </c>
      <c r="Q356" t="s">
        <v>4655</v>
      </c>
      <c r="R356" t="s">
        <v>305</v>
      </c>
      <c r="S356" t="s">
        <v>304</v>
      </c>
      <c r="T356" t="s">
        <v>4143</v>
      </c>
      <c r="U356" t="s">
        <v>35</v>
      </c>
      <c r="V356" t="s">
        <v>35</v>
      </c>
      <c r="Z356" t="s">
        <v>34</v>
      </c>
    </row>
    <row r="357" spans="1:26" hidden="1" x14ac:dyDescent="0.25">
      <c r="A357" s="2"/>
      <c r="B357" s="2">
        <f>HYPERLINK(URLs!B30 &amp; 17766 &amp; URLs!B32,17766)</f>
        <v>17766</v>
      </c>
      <c r="C357" t="s">
        <v>633</v>
      </c>
      <c r="D357" t="s">
        <v>619</v>
      </c>
      <c r="E357" t="s">
        <v>850</v>
      </c>
      <c r="F357" t="s">
        <v>621</v>
      </c>
      <c r="G357" t="s">
        <v>853</v>
      </c>
      <c r="H357" t="s">
        <v>908</v>
      </c>
      <c r="I357" t="s">
        <v>624</v>
      </c>
      <c r="J357" t="s">
        <v>642</v>
      </c>
      <c r="L357" s="5">
        <v>42879.534641203703</v>
      </c>
      <c r="M357" s="5">
        <v>43234.571099537039</v>
      </c>
      <c r="N357" s="2">
        <f>HYPERLINK(URLs!B36 &amp; 104945,104945)</f>
        <v>104945</v>
      </c>
      <c r="O357" t="s">
        <v>636</v>
      </c>
      <c r="P357" t="s">
        <v>621</v>
      </c>
      <c r="Q357" t="s">
        <v>948</v>
      </c>
    </row>
    <row r="358" spans="1:26" hidden="1" x14ac:dyDescent="0.25">
      <c r="A358" s="2"/>
      <c r="B358" s="2">
        <f>HYPERLINK(URLs!B30 &amp; 17758 &amp; URLs!B32,17758)</f>
        <v>17758</v>
      </c>
      <c r="C358" t="s">
        <v>665</v>
      </c>
      <c r="D358" t="s">
        <v>619</v>
      </c>
      <c r="E358" t="s">
        <v>850</v>
      </c>
      <c r="F358" t="s">
        <v>621</v>
      </c>
      <c r="G358" t="s">
        <v>875</v>
      </c>
      <c r="H358" t="s">
        <v>876</v>
      </c>
      <c r="I358" t="s">
        <v>624</v>
      </c>
      <c r="J358" t="s">
        <v>642</v>
      </c>
      <c r="L358" s="5">
        <v>42879.461064814815</v>
      </c>
      <c r="M358" s="5">
        <v>42940.418437499997</v>
      </c>
      <c r="N358" s="2">
        <f>HYPERLINK(URLs!B36 &amp; 76959,76959)</f>
        <v>76959</v>
      </c>
      <c r="O358" t="s">
        <v>636</v>
      </c>
      <c r="P358" t="s">
        <v>621</v>
      </c>
      <c r="Q358" t="s">
        <v>949</v>
      </c>
      <c r="R358" t="s">
        <v>305</v>
      </c>
      <c r="W358">
        <v>1</v>
      </c>
    </row>
    <row r="359" spans="1:26" hidden="1" x14ac:dyDescent="0.25">
      <c r="A359" s="2">
        <f>HYPERLINK(URLs!B36 &amp; 99933,99933)</f>
        <v>99933</v>
      </c>
      <c r="B359" s="2">
        <f>HYPERLINK(URLs!B30 &amp; 17757 &amp; URLs!B32,17757)</f>
        <v>17757</v>
      </c>
      <c r="C359" t="s">
        <v>633</v>
      </c>
      <c r="D359" t="s">
        <v>619</v>
      </c>
      <c r="E359" t="s">
        <v>620</v>
      </c>
      <c r="F359" t="s">
        <v>621</v>
      </c>
      <c r="G359" t="s">
        <v>627</v>
      </c>
      <c r="H359" t="s">
        <v>628</v>
      </c>
      <c r="I359" t="s">
        <v>624</v>
      </c>
      <c r="J359" t="s">
        <v>625</v>
      </c>
      <c r="K359" t="s">
        <v>31</v>
      </c>
      <c r="L359" s="5">
        <v>42879.360868055555</v>
      </c>
      <c r="M359" s="5">
        <v>43110.66920138889</v>
      </c>
      <c r="N359" s="2">
        <f>HYPERLINK(URLs!B36 &amp; 99998,99998)</f>
        <v>99998</v>
      </c>
      <c r="O359" t="s">
        <v>636</v>
      </c>
      <c r="P359" t="s">
        <v>621</v>
      </c>
      <c r="Q359" t="s">
        <v>663</v>
      </c>
      <c r="R359" t="s">
        <v>305</v>
      </c>
      <c r="S359" t="s">
        <v>304</v>
      </c>
      <c r="T359" t="s">
        <v>307</v>
      </c>
      <c r="U359" t="s">
        <v>4021</v>
      </c>
      <c r="V359" t="s">
        <v>35</v>
      </c>
      <c r="Z359" t="s">
        <v>73</v>
      </c>
    </row>
    <row r="360" spans="1:26" hidden="1" x14ac:dyDescent="0.25">
      <c r="A360" s="2"/>
      <c r="B360" s="2">
        <f>HYPERLINK(URLs!B30 &amp; 17705 &amp; URLs!B32,17705)</f>
        <v>17705</v>
      </c>
      <c r="C360" t="s">
        <v>633</v>
      </c>
      <c r="D360" t="s">
        <v>619</v>
      </c>
      <c r="E360" t="s">
        <v>850</v>
      </c>
      <c r="F360" t="s">
        <v>621</v>
      </c>
      <c r="G360" t="s">
        <v>886</v>
      </c>
      <c r="H360" t="s">
        <v>887</v>
      </c>
      <c r="I360" t="s">
        <v>624</v>
      </c>
      <c r="J360" t="s">
        <v>629</v>
      </c>
      <c r="L360" s="5">
        <v>42873.488761574074</v>
      </c>
      <c r="M360" s="5">
        <v>43332.215543981481</v>
      </c>
      <c r="N360" s="2">
        <f>HYPERLINK(URLs!B36 &amp; 112027,112027)</f>
        <v>112027</v>
      </c>
      <c r="O360" t="s">
        <v>636</v>
      </c>
      <c r="P360" t="s">
        <v>621</v>
      </c>
      <c r="Q360" t="s">
        <v>950</v>
      </c>
      <c r="R360" t="s">
        <v>305</v>
      </c>
    </row>
    <row r="361" spans="1:26" hidden="1" x14ac:dyDescent="0.25">
      <c r="A361" s="2"/>
      <c r="B361" s="2">
        <f>HYPERLINK(URLs!B30 &amp; 17703 &amp; URLs!B32,17703)</f>
        <v>17703</v>
      </c>
      <c r="C361" t="s">
        <v>633</v>
      </c>
      <c r="D361" t="s">
        <v>619</v>
      </c>
      <c r="E361" t="s">
        <v>850</v>
      </c>
      <c r="F361" t="s">
        <v>621</v>
      </c>
      <c r="G361" t="s">
        <v>875</v>
      </c>
      <c r="H361" t="s">
        <v>876</v>
      </c>
      <c r="I361" t="s">
        <v>624</v>
      </c>
      <c r="J361" t="s">
        <v>642</v>
      </c>
      <c r="L361" s="5">
        <v>42873.470023148147</v>
      </c>
      <c r="M361" s="5">
        <v>43073.66306712963</v>
      </c>
      <c r="N361" s="2">
        <f>HYPERLINK(URLs!B36 &amp; 96526,96526)</f>
        <v>96526</v>
      </c>
      <c r="O361" t="s">
        <v>645</v>
      </c>
      <c r="P361" t="s">
        <v>621</v>
      </c>
      <c r="Q361" t="s">
        <v>951</v>
      </c>
      <c r="R361" t="s">
        <v>319</v>
      </c>
    </row>
    <row r="362" spans="1:26" hidden="1" x14ac:dyDescent="0.25">
      <c r="A362" s="2">
        <f>HYPERLINK(URLs!B36 &amp; 99490,99490)</f>
        <v>99490</v>
      </c>
      <c r="B362" s="2">
        <f>HYPERLINK(URLs!B30 &amp; 17688 &amp; URLs!B32,17688)</f>
        <v>17688</v>
      </c>
      <c r="C362" t="s">
        <v>633</v>
      </c>
      <c r="D362" t="s">
        <v>619</v>
      </c>
      <c r="E362" t="s">
        <v>620</v>
      </c>
      <c r="F362" t="s">
        <v>621</v>
      </c>
      <c r="G362" t="s">
        <v>622</v>
      </c>
      <c r="H362" t="s">
        <v>623</v>
      </c>
      <c r="I362" t="s">
        <v>624</v>
      </c>
      <c r="J362" t="s">
        <v>629</v>
      </c>
      <c r="K362" t="s">
        <v>31</v>
      </c>
      <c r="L362" s="5">
        <v>42872</v>
      </c>
      <c r="M362" s="5">
        <v>43287.344363425924</v>
      </c>
      <c r="N362" s="2">
        <f>HYPERLINK(URLs!B36 &amp; 105838,105838)</f>
        <v>105838</v>
      </c>
      <c r="O362" t="s">
        <v>636</v>
      </c>
      <c r="P362" t="s">
        <v>621</v>
      </c>
      <c r="Q362" t="s">
        <v>664</v>
      </c>
      <c r="R362" t="s">
        <v>305</v>
      </c>
      <c r="S362" t="s">
        <v>304</v>
      </c>
      <c r="T362" t="s">
        <v>4171</v>
      </c>
      <c r="U362" t="s">
        <v>4035</v>
      </c>
      <c r="V362" t="s">
        <v>35</v>
      </c>
      <c r="Z362" t="s">
        <v>73</v>
      </c>
    </row>
    <row r="363" spans="1:26" hidden="1" x14ac:dyDescent="0.25">
      <c r="A363" s="2">
        <f>HYPERLINK(URLs!B36 &amp; 98814,98814)</f>
        <v>98814</v>
      </c>
      <c r="B363" s="2">
        <f>HYPERLINK(URLs!B30 &amp; 17669 &amp; URLs!B32,17669)</f>
        <v>17669</v>
      </c>
      <c r="C363" t="s">
        <v>633</v>
      </c>
      <c r="D363" t="s">
        <v>619</v>
      </c>
      <c r="E363" t="s">
        <v>850</v>
      </c>
      <c r="F363" t="s">
        <v>621</v>
      </c>
      <c r="G363" t="s">
        <v>886</v>
      </c>
      <c r="H363" t="s">
        <v>887</v>
      </c>
      <c r="I363" t="s">
        <v>624</v>
      </c>
      <c r="J363" t="s">
        <v>625</v>
      </c>
      <c r="K363" t="s">
        <v>31</v>
      </c>
      <c r="L363" s="5">
        <v>42871.387696759259</v>
      </c>
      <c r="M363" s="5">
        <v>42964.275717592594</v>
      </c>
      <c r="N363" s="2">
        <f>HYPERLINK(URLs!B36 &amp; 98815,98815)</f>
        <v>98815</v>
      </c>
      <c r="O363" t="s">
        <v>636</v>
      </c>
      <c r="P363" t="s">
        <v>621</v>
      </c>
      <c r="Q363" t="s">
        <v>952</v>
      </c>
      <c r="R363" t="s">
        <v>305</v>
      </c>
      <c r="S363" t="s">
        <v>304</v>
      </c>
      <c r="T363" t="s">
        <v>449</v>
      </c>
      <c r="U363" t="s">
        <v>35</v>
      </c>
      <c r="V363" t="s">
        <v>35</v>
      </c>
      <c r="Z363" t="s">
        <v>34</v>
      </c>
    </row>
    <row r="364" spans="1:26" hidden="1" x14ac:dyDescent="0.25">
      <c r="A364" s="2"/>
      <c r="B364" s="2">
        <f>HYPERLINK(URLs!B30 &amp; 17654 &amp; URLs!B32,17654)</f>
        <v>17654</v>
      </c>
      <c r="C364" t="s">
        <v>665</v>
      </c>
      <c r="D364" t="s">
        <v>619</v>
      </c>
      <c r="E364" t="s">
        <v>850</v>
      </c>
      <c r="F364" t="s">
        <v>621</v>
      </c>
      <c r="G364" t="s">
        <v>851</v>
      </c>
      <c r="H364" t="s">
        <v>852</v>
      </c>
      <c r="I364" t="s">
        <v>624</v>
      </c>
      <c r="J364" t="s">
        <v>625</v>
      </c>
      <c r="L364" s="5">
        <v>42870</v>
      </c>
      <c r="M364" s="5">
        <v>42964.352083333331</v>
      </c>
      <c r="N364" s="2">
        <f>HYPERLINK(URLs!B36 &amp; 99497,99497)</f>
        <v>99497</v>
      </c>
      <c r="O364" t="s">
        <v>636</v>
      </c>
      <c r="P364" t="s">
        <v>621</v>
      </c>
      <c r="Q364" t="s">
        <v>953</v>
      </c>
      <c r="R364" t="s">
        <v>305</v>
      </c>
      <c r="W364">
        <v>1</v>
      </c>
    </row>
    <row r="365" spans="1:26" hidden="1" x14ac:dyDescent="0.25">
      <c r="A365" s="2"/>
      <c r="B365" s="2">
        <f>HYPERLINK(URLs!B30 &amp; 17644 &amp; URLs!B32,17644)</f>
        <v>17644</v>
      </c>
      <c r="C365" t="s">
        <v>665</v>
      </c>
      <c r="D365" t="s">
        <v>619</v>
      </c>
      <c r="E365" t="s">
        <v>620</v>
      </c>
      <c r="F365" t="s">
        <v>621</v>
      </c>
      <c r="G365" t="s">
        <v>627</v>
      </c>
      <c r="H365" t="s">
        <v>628</v>
      </c>
      <c r="I365" t="s">
        <v>624</v>
      </c>
      <c r="J365" t="s">
        <v>642</v>
      </c>
      <c r="L365" s="5">
        <v>42867</v>
      </c>
      <c r="M365" s="5">
        <v>43031.443749999999</v>
      </c>
      <c r="N365" t="s">
        <v>621</v>
      </c>
      <c r="O365" t="s">
        <v>666</v>
      </c>
      <c r="P365" t="s">
        <v>621</v>
      </c>
      <c r="Q365" t="s">
        <v>667</v>
      </c>
      <c r="R365" t="s">
        <v>305</v>
      </c>
    </row>
    <row r="366" spans="1:26" hidden="1" x14ac:dyDescent="0.25">
      <c r="A366" s="2"/>
      <c r="B366" s="2">
        <f>HYPERLINK(URLs!B30 &amp; 17622 &amp; URLs!B32,17622)</f>
        <v>17622</v>
      </c>
      <c r="C366" t="s">
        <v>633</v>
      </c>
      <c r="D366" t="s">
        <v>619</v>
      </c>
      <c r="E366" t="s">
        <v>850</v>
      </c>
      <c r="F366" t="s">
        <v>621</v>
      </c>
      <c r="G366" t="s">
        <v>875</v>
      </c>
      <c r="H366" t="s">
        <v>876</v>
      </c>
      <c r="I366" t="s">
        <v>624</v>
      </c>
      <c r="J366" t="s">
        <v>642</v>
      </c>
      <c r="L366" s="5">
        <v>42865.429143518515</v>
      </c>
      <c r="M366" s="5">
        <v>43311.648356481484</v>
      </c>
      <c r="N366" s="2">
        <f>HYPERLINK(URLs!B36 &amp; 99111,99111)</f>
        <v>99111</v>
      </c>
      <c r="O366" t="s">
        <v>645</v>
      </c>
      <c r="P366" t="s">
        <v>621</v>
      </c>
      <c r="Q366" t="s">
        <v>954</v>
      </c>
    </row>
    <row r="367" spans="1:26" hidden="1" x14ac:dyDescent="0.25">
      <c r="A367" s="2"/>
      <c r="B367" s="2">
        <f>HYPERLINK(URLs!B30 &amp; 17618 &amp; URLs!B32,17618)</f>
        <v>17618</v>
      </c>
      <c r="C367" t="s">
        <v>633</v>
      </c>
      <c r="D367" t="s">
        <v>619</v>
      </c>
      <c r="E367" t="s">
        <v>850</v>
      </c>
      <c r="F367" t="s">
        <v>621</v>
      </c>
      <c r="G367" t="s">
        <v>851</v>
      </c>
      <c r="H367" t="s">
        <v>876</v>
      </c>
      <c r="I367" t="s">
        <v>624</v>
      </c>
      <c r="J367" t="s">
        <v>625</v>
      </c>
      <c r="L367" s="5">
        <v>42865</v>
      </c>
      <c r="M367" s="5">
        <v>43332.214120370372</v>
      </c>
      <c r="N367" s="2">
        <f>HYPERLINK(URLs!B36 &amp; 100811,100811)</f>
        <v>100811</v>
      </c>
      <c r="O367" t="s">
        <v>636</v>
      </c>
      <c r="P367" t="s">
        <v>621</v>
      </c>
      <c r="Q367" t="s">
        <v>955</v>
      </c>
      <c r="W367">
        <v>1</v>
      </c>
    </row>
    <row r="368" spans="1:26" hidden="1" x14ac:dyDescent="0.25">
      <c r="A368" s="2">
        <f>HYPERLINK(URLs!B36 &amp; 99041,99041)</f>
        <v>99041</v>
      </c>
      <c r="B368" s="2">
        <f>HYPERLINK(URLs!B30 &amp; 17614 &amp; URLs!B32,17614)</f>
        <v>17614</v>
      </c>
      <c r="C368" t="s">
        <v>665</v>
      </c>
      <c r="D368" t="s">
        <v>619</v>
      </c>
      <c r="E368" t="s">
        <v>850</v>
      </c>
      <c r="F368" t="s">
        <v>621</v>
      </c>
      <c r="G368" t="s">
        <v>851</v>
      </c>
      <c r="H368" t="s">
        <v>852</v>
      </c>
      <c r="I368" t="s">
        <v>624</v>
      </c>
      <c r="J368" t="s">
        <v>625</v>
      </c>
      <c r="K368" t="s">
        <v>68</v>
      </c>
      <c r="L368" s="5">
        <v>42865</v>
      </c>
      <c r="M368" s="5">
        <v>43234.681250000001</v>
      </c>
      <c r="N368" s="2">
        <f>HYPERLINK(URLs!B36 &amp; 99041,99041)</f>
        <v>99041</v>
      </c>
      <c r="O368" t="s">
        <v>636</v>
      </c>
      <c r="P368" t="s">
        <v>621</v>
      </c>
      <c r="Q368" t="s">
        <v>956</v>
      </c>
      <c r="R368" t="s">
        <v>305</v>
      </c>
      <c r="S368" t="s">
        <v>304</v>
      </c>
      <c r="T368" t="s">
        <v>4143</v>
      </c>
      <c r="U368" t="s">
        <v>35</v>
      </c>
      <c r="V368" t="s">
        <v>35</v>
      </c>
      <c r="Z368" t="s">
        <v>34</v>
      </c>
    </row>
    <row r="369" spans="1:26" hidden="1" x14ac:dyDescent="0.25">
      <c r="A369" s="2"/>
      <c r="B369" s="2">
        <f>HYPERLINK(URLs!B30 &amp; 17561 &amp; URLs!B32,17561)</f>
        <v>17561</v>
      </c>
      <c r="C369" t="s">
        <v>665</v>
      </c>
      <c r="D369" t="s">
        <v>619</v>
      </c>
      <c r="E369" t="s">
        <v>850</v>
      </c>
      <c r="F369" t="s">
        <v>621</v>
      </c>
      <c r="G369" t="s">
        <v>889</v>
      </c>
      <c r="H369" t="s">
        <v>890</v>
      </c>
      <c r="I369" t="s">
        <v>624</v>
      </c>
      <c r="J369" t="s">
        <v>625</v>
      </c>
      <c r="L369" s="5">
        <v>42860.527453703704</v>
      </c>
      <c r="M369" s="5">
        <v>43118.429861111108</v>
      </c>
      <c r="N369" s="2">
        <f>HYPERLINK(URLs!B36 &amp; 83324,83324)</f>
        <v>83324</v>
      </c>
      <c r="O369" t="s">
        <v>636</v>
      </c>
      <c r="P369" t="s">
        <v>621</v>
      </c>
      <c r="Q369" t="s">
        <v>957</v>
      </c>
      <c r="W369">
        <v>1</v>
      </c>
    </row>
    <row r="370" spans="1:26" hidden="1" x14ac:dyDescent="0.25">
      <c r="A370" s="2"/>
      <c r="B370" s="2">
        <f>HYPERLINK(URLs!B30 &amp; 17554 &amp; URLs!B32,17554)</f>
        <v>17554</v>
      </c>
      <c r="C370" t="s">
        <v>633</v>
      </c>
      <c r="D370" t="s">
        <v>619</v>
      </c>
      <c r="E370" t="s">
        <v>850</v>
      </c>
      <c r="F370" t="s">
        <v>621</v>
      </c>
      <c r="G370" t="s">
        <v>886</v>
      </c>
      <c r="H370" t="s">
        <v>887</v>
      </c>
      <c r="I370" t="s">
        <v>624</v>
      </c>
      <c r="J370" t="s">
        <v>629</v>
      </c>
      <c r="L370" s="5">
        <v>42859.310219907406</v>
      </c>
      <c r="M370" s="5">
        <v>42933.469641203701</v>
      </c>
      <c r="N370" s="2">
        <f>HYPERLINK(URLs!B36 &amp; 99021,99021)</f>
        <v>99021</v>
      </c>
      <c r="O370" t="s">
        <v>645</v>
      </c>
      <c r="P370" t="s">
        <v>621</v>
      </c>
      <c r="Q370" t="s">
        <v>958</v>
      </c>
      <c r="R370" t="s">
        <v>319</v>
      </c>
    </row>
    <row r="371" spans="1:26" hidden="1" x14ac:dyDescent="0.25">
      <c r="A371" s="2">
        <f>HYPERLINK(URLs!B36 &amp; 99022,99022)</f>
        <v>99022</v>
      </c>
      <c r="B371" s="2">
        <f>HYPERLINK(URLs!B30 &amp; 17550 &amp; URLs!B32,17550)</f>
        <v>17550</v>
      </c>
      <c r="C371" t="s">
        <v>633</v>
      </c>
      <c r="D371" t="s">
        <v>619</v>
      </c>
      <c r="E371" t="s">
        <v>620</v>
      </c>
      <c r="F371" t="s">
        <v>621</v>
      </c>
      <c r="G371" t="s">
        <v>634</v>
      </c>
      <c r="H371" t="s">
        <v>635</v>
      </c>
      <c r="I371" t="s">
        <v>624</v>
      </c>
      <c r="J371" t="s">
        <v>625</v>
      </c>
      <c r="K371" t="s">
        <v>31</v>
      </c>
      <c r="L371" s="5">
        <v>42858</v>
      </c>
      <c r="M371" s="5">
        <v>43110.670902777776</v>
      </c>
      <c r="N371" s="2">
        <f>HYPERLINK(URLs!B36 &amp; 99171,99171)</f>
        <v>99171</v>
      </c>
      <c r="O371" t="s">
        <v>636</v>
      </c>
      <c r="P371" t="s">
        <v>621</v>
      </c>
      <c r="Q371" t="s">
        <v>668</v>
      </c>
      <c r="R371" t="s">
        <v>305</v>
      </c>
      <c r="S371" t="s">
        <v>304</v>
      </c>
      <c r="T371" t="s">
        <v>4143</v>
      </c>
      <c r="U371" t="s">
        <v>4016</v>
      </c>
      <c r="V371" t="s">
        <v>321</v>
      </c>
      <c r="Z371" t="s">
        <v>34</v>
      </c>
    </row>
    <row r="372" spans="1:26" hidden="1" x14ac:dyDescent="0.25">
      <c r="A372" s="2"/>
      <c r="B372" s="2">
        <f>HYPERLINK(URLs!B30 &amp; 17523 &amp; URLs!B32,17523)</f>
        <v>17523</v>
      </c>
      <c r="C372" t="s">
        <v>633</v>
      </c>
      <c r="D372" t="s">
        <v>619</v>
      </c>
      <c r="E372" t="s">
        <v>620</v>
      </c>
      <c r="F372" t="s">
        <v>621</v>
      </c>
      <c r="G372" t="s">
        <v>634</v>
      </c>
      <c r="H372" t="s">
        <v>635</v>
      </c>
      <c r="I372" t="s">
        <v>624</v>
      </c>
      <c r="J372" t="s">
        <v>642</v>
      </c>
      <c r="L372" s="5">
        <v>42856</v>
      </c>
      <c r="M372" s="5">
        <v>43297.678090277775</v>
      </c>
      <c r="N372" s="2">
        <f>HYPERLINK(URLs!B36 &amp; 98916,98916)</f>
        <v>98916</v>
      </c>
      <c r="O372" t="s">
        <v>645</v>
      </c>
      <c r="P372" t="s">
        <v>621</v>
      </c>
      <c r="Q372" t="s">
        <v>669</v>
      </c>
      <c r="R372" t="s">
        <v>305</v>
      </c>
    </row>
    <row r="373" spans="1:26" hidden="1" x14ac:dyDescent="0.25">
      <c r="A373" s="2">
        <f>HYPERLINK(URLs!B36 &amp; 98888,98888)</f>
        <v>98888</v>
      </c>
      <c r="B373" s="2">
        <f>HYPERLINK(URLs!B30 &amp; 17509 &amp; URLs!B32,17509)</f>
        <v>17509</v>
      </c>
      <c r="C373" t="s">
        <v>633</v>
      </c>
      <c r="D373" t="s">
        <v>619</v>
      </c>
      <c r="E373" t="s">
        <v>620</v>
      </c>
      <c r="F373" t="s">
        <v>621</v>
      </c>
      <c r="G373" t="s">
        <v>622</v>
      </c>
      <c r="H373" t="s">
        <v>623</v>
      </c>
      <c r="I373" t="s">
        <v>624</v>
      </c>
      <c r="J373" t="s">
        <v>625</v>
      </c>
      <c r="K373" t="s">
        <v>31</v>
      </c>
      <c r="L373" s="5">
        <v>42853</v>
      </c>
      <c r="M373" s="5">
        <v>43287.330300925925</v>
      </c>
      <c r="N373" s="2">
        <f>HYPERLINK(URLs!B36 &amp; 100011,100011)</f>
        <v>100011</v>
      </c>
      <c r="O373" t="s">
        <v>636</v>
      </c>
      <c r="P373" t="s">
        <v>621</v>
      </c>
      <c r="Q373" t="s">
        <v>670</v>
      </c>
      <c r="R373" t="s">
        <v>305</v>
      </c>
      <c r="S373" t="s">
        <v>304</v>
      </c>
      <c r="T373" t="s">
        <v>307</v>
      </c>
      <c r="U373" t="s">
        <v>35</v>
      </c>
      <c r="V373" t="s">
        <v>321</v>
      </c>
      <c r="Z373" t="s">
        <v>73</v>
      </c>
    </row>
    <row r="374" spans="1:26" hidden="1" x14ac:dyDescent="0.25">
      <c r="A374" s="2">
        <f>HYPERLINK(URLs!B36 &amp; 98778,98778)</f>
        <v>98778</v>
      </c>
      <c r="B374" s="2">
        <f>HYPERLINK(URLs!B30 &amp; 17496 &amp; URLs!B32,17496)</f>
        <v>17496</v>
      </c>
      <c r="C374" t="s">
        <v>665</v>
      </c>
      <c r="D374" t="s">
        <v>619</v>
      </c>
      <c r="E374" t="s">
        <v>620</v>
      </c>
      <c r="F374" t="s">
        <v>621</v>
      </c>
      <c r="G374" t="s">
        <v>622</v>
      </c>
      <c r="H374" t="s">
        <v>623</v>
      </c>
      <c r="I374" t="s">
        <v>624</v>
      </c>
      <c r="J374" t="s">
        <v>625</v>
      </c>
      <c r="K374" t="s">
        <v>31</v>
      </c>
      <c r="L374" s="5">
        <v>42852</v>
      </c>
      <c r="M374" s="5">
        <v>43111.477777777778</v>
      </c>
      <c r="N374" s="2">
        <f>HYPERLINK(URLs!B36 &amp; 98778,98778)</f>
        <v>98778</v>
      </c>
      <c r="O374" t="s">
        <v>636</v>
      </c>
      <c r="P374" t="s">
        <v>621</v>
      </c>
      <c r="Q374" t="s">
        <v>671</v>
      </c>
      <c r="R374" t="s">
        <v>319</v>
      </c>
      <c r="S374" t="s">
        <v>304</v>
      </c>
      <c r="T374" t="s">
        <v>4151</v>
      </c>
      <c r="U374" t="s">
        <v>4010</v>
      </c>
      <c r="V374" t="s">
        <v>321</v>
      </c>
      <c r="Z374" t="s">
        <v>45</v>
      </c>
    </row>
    <row r="375" spans="1:26" hidden="1" x14ac:dyDescent="0.25">
      <c r="A375" s="2"/>
      <c r="B375" s="2">
        <f>HYPERLINK(URLs!B30 &amp; 17494 &amp; URLs!B32,17494)</f>
        <v>17494</v>
      </c>
      <c r="C375" t="s">
        <v>665</v>
      </c>
      <c r="D375" t="s">
        <v>619</v>
      </c>
      <c r="E375" t="s">
        <v>850</v>
      </c>
      <c r="F375" t="s">
        <v>621</v>
      </c>
      <c r="G375" t="s">
        <v>867</v>
      </c>
      <c r="H375" t="s">
        <v>868</v>
      </c>
      <c r="I375" t="s">
        <v>624</v>
      </c>
      <c r="J375" t="s">
        <v>629</v>
      </c>
      <c r="L375" s="5">
        <v>42852</v>
      </c>
      <c r="M375" s="5">
        <v>42964.349305555559</v>
      </c>
      <c r="N375" s="2">
        <f>HYPERLINK(URLs!B36 &amp; 99870,99870)</f>
        <v>99870</v>
      </c>
      <c r="O375" t="s">
        <v>636</v>
      </c>
      <c r="P375" t="s">
        <v>621</v>
      </c>
      <c r="Q375" t="s">
        <v>959</v>
      </c>
      <c r="R375" t="s">
        <v>305</v>
      </c>
    </row>
    <row r="376" spans="1:26" hidden="1" x14ac:dyDescent="0.25">
      <c r="A376" s="2">
        <f>HYPERLINK(URLs!B36 &amp; 98723,98723)</f>
        <v>98723</v>
      </c>
      <c r="B376" s="2">
        <f>HYPERLINK(URLs!B30 &amp; 17486 &amp; URLs!B32,17486)</f>
        <v>17486</v>
      </c>
      <c r="C376" t="s">
        <v>633</v>
      </c>
      <c r="D376" t="s">
        <v>619</v>
      </c>
      <c r="E376" t="s">
        <v>620</v>
      </c>
      <c r="F376" t="s">
        <v>621</v>
      </c>
      <c r="G376" t="s">
        <v>627</v>
      </c>
      <c r="H376" t="s">
        <v>628</v>
      </c>
      <c r="I376" t="s">
        <v>624</v>
      </c>
      <c r="J376" t="s">
        <v>629</v>
      </c>
      <c r="K376" t="s">
        <v>31</v>
      </c>
      <c r="L376" s="5">
        <v>42852</v>
      </c>
      <c r="M376" s="5">
        <v>43297.665011574078</v>
      </c>
      <c r="N376" s="2">
        <f>HYPERLINK(URLs!B36 &amp; 98723,98723)</f>
        <v>98723</v>
      </c>
      <c r="O376" t="s">
        <v>636</v>
      </c>
      <c r="P376" t="s">
        <v>621</v>
      </c>
      <c r="Q376" t="s">
        <v>672</v>
      </c>
      <c r="R376" t="s">
        <v>319</v>
      </c>
      <c r="S376" t="s">
        <v>304</v>
      </c>
      <c r="T376" t="s">
        <v>4098</v>
      </c>
      <c r="U376" t="s">
        <v>35</v>
      </c>
      <c r="V376" t="s">
        <v>35</v>
      </c>
      <c r="Z376" t="s">
        <v>34</v>
      </c>
    </row>
    <row r="377" spans="1:26" hidden="1" x14ac:dyDescent="0.25">
      <c r="A377" s="2">
        <f>HYPERLINK(URLs!B36 &amp; 98719,98719)</f>
        <v>98719</v>
      </c>
      <c r="B377" s="2">
        <f>HYPERLINK(URLs!B30 &amp; 17461 &amp; URLs!B32,17461)</f>
        <v>17461</v>
      </c>
      <c r="C377" t="s">
        <v>665</v>
      </c>
      <c r="D377" t="s">
        <v>619</v>
      </c>
      <c r="E377" t="s">
        <v>620</v>
      </c>
      <c r="F377" t="s">
        <v>621</v>
      </c>
      <c r="G377" t="s">
        <v>622</v>
      </c>
      <c r="H377" t="s">
        <v>623</v>
      </c>
      <c r="I377" t="s">
        <v>624</v>
      </c>
      <c r="J377" t="s">
        <v>625</v>
      </c>
      <c r="K377" t="s">
        <v>31</v>
      </c>
      <c r="L377" s="5">
        <v>42850</v>
      </c>
      <c r="M377" s="5">
        <v>43287.411805555559</v>
      </c>
      <c r="N377" s="2">
        <f>HYPERLINK(URLs!B36 &amp; 98756,98756)</f>
        <v>98756</v>
      </c>
      <c r="O377" t="s">
        <v>636</v>
      </c>
      <c r="P377" t="s">
        <v>621</v>
      </c>
      <c r="Q377" t="s">
        <v>673</v>
      </c>
      <c r="R377" t="s">
        <v>305</v>
      </c>
      <c r="S377" t="s">
        <v>304</v>
      </c>
      <c r="T377" t="s">
        <v>4231</v>
      </c>
      <c r="U377" t="s">
        <v>4025</v>
      </c>
      <c r="V377" t="s">
        <v>321</v>
      </c>
      <c r="W377">
        <v>1</v>
      </c>
      <c r="Z377" t="s">
        <v>73</v>
      </c>
    </row>
    <row r="378" spans="1:26" hidden="1" x14ac:dyDescent="0.25">
      <c r="A378" s="2">
        <f>HYPERLINK(URLs!B36 &amp; 98671,98671)</f>
        <v>98671</v>
      </c>
      <c r="B378" s="2">
        <f>HYPERLINK(URLs!B30 &amp; 17441 &amp; URLs!B32,17441)</f>
        <v>17441</v>
      </c>
      <c r="C378" t="s">
        <v>633</v>
      </c>
      <c r="D378" t="s">
        <v>619</v>
      </c>
      <c r="E378" t="s">
        <v>620</v>
      </c>
      <c r="F378" t="s">
        <v>621</v>
      </c>
      <c r="G378" t="s">
        <v>622</v>
      </c>
      <c r="H378" t="s">
        <v>623</v>
      </c>
      <c r="I378" t="s">
        <v>624</v>
      </c>
      <c r="J378" t="s">
        <v>625</v>
      </c>
      <c r="K378" t="s">
        <v>31</v>
      </c>
      <c r="L378" s="5">
        <v>42849</v>
      </c>
      <c r="M378" s="5">
        <v>43110.672546296293</v>
      </c>
      <c r="N378" s="2">
        <f>HYPERLINK(URLs!B36 &amp; 98767,98767)</f>
        <v>98767</v>
      </c>
      <c r="O378" t="s">
        <v>636</v>
      </c>
      <c r="P378" t="s">
        <v>621</v>
      </c>
      <c r="Q378" t="s">
        <v>674</v>
      </c>
      <c r="R378" t="s">
        <v>305</v>
      </c>
      <c r="S378" t="s">
        <v>304</v>
      </c>
      <c r="T378" t="s">
        <v>307</v>
      </c>
      <c r="U378" t="s">
        <v>4015</v>
      </c>
      <c r="V378" t="s">
        <v>35</v>
      </c>
      <c r="Z378" t="s">
        <v>73</v>
      </c>
    </row>
    <row r="379" spans="1:26" hidden="1" x14ac:dyDescent="0.25">
      <c r="A379" s="2"/>
      <c r="B379" s="2">
        <f>HYPERLINK(URLs!B30 &amp; 17440 &amp; URLs!B32,17440)</f>
        <v>17440</v>
      </c>
      <c r="C379" t="s">
        <v>641</v>
      </c>
      <c r="D379" t="s">
        <v>619</v>
      </c>
      <c r="E379" t="s">
        <v>850</v>
      </c>
      <c r="F379" t="s">
        <v>621</v>
      </c>
      <c r="G379" t="s">
        <v>875</v>
      </c>
      <c r="H379" t="s">
        <v>876</v>
      </c>
      <c r="I379" t="s">
        <v>624</v>
      </c>
      <c r="J379" t="s">
        <v>642</v>
      </c>
      <c r="L379" s="5">
        <v>42849</v>
      </c>
      <c r="N379" s="2">
        <f>HYPERLINK(URLs!B36 &amp; 99256,99256)</f>
        <v>99256</v>
      </c>
      <c r="O379" t="s">
        <v>637</v>
      </c>
      <c r="P379" t="s">
        <v>621</v>
      </c>
      <c r="Q379" t="s">
        <v>960</v>
      </c>
    </row>
    <row r="380" spans="1:26" hidden="1" x14ac:dyDescent="0.25">
      <c r="A380" s="2"/>
      <c r="B380" s="2">
        <f>HYPERLINK(URLs!B30 &amp; 17423 &amp; URLs!B32,17423)</f>
        <v>17423</v>
      </c>
      <c r="C380" t="s">
        <v>633</v>
      </c>
      <c r="D380" t="s">
        <v>619</v>
      </c>
      <c r="E380" t="s">
        <v>850</v>
      </c>
      <c r="F380" t="s">
        <v>621</v>
      </c>
      <c r="G380" t="s">
        <v>889</v>
      </c>
      <c r="H380" t="s">
        <v>890</v>
      </c>
      <c r="I380" t="s">
        <v>624</v>
      </c>
      <c r="J380" t="s">
        <v>642</v>
      </c>
      <c r="L380" s="5">
        <v>42846.347222222219</v>
      </c>
      <c r="M380" s="5">
        <v>43105.363125000003</v>
      </c>
      <c r="N380" s="2">
        <f>HYPERLINK(URLs!B36 &amp; 95787,95787)</f>
        <v>95787</v>
      </c>
      <c r="O380" t="s">
        <v>666</v>
      </c>
      <c r="P380" t="s">
        <v>621</v>
      </c>
      <c r="Q380" t="s">
        <v>961</v>
      </c>
      <c r="R380" t="s">
        <v>319</v>
      </c>
    </row>
    <row r="381" spans="1:26" hidden="1" x14ac:dyDescent="0.25">
      <c r="A381" s="2"/>
      <c r="B381" s="2">
        <f>HYPERLINK(URLs!B30 &amp; 17415 &amp; URLs!B32,17415)</f>
        <v>17415</v>
      </c>
      <c r="C381" t="s">
        <v>665</v>
      </c>
      <c r="D381" t="s">
        <v>619</v>
      </c>
      <c r="E381" t="s">
        <v>850</v>
      </c>
      <c r="F381" t="s">
        <v>621</v>
      </c>
      <c r="G381" t="s">
        <v>962</v>
      </c>
      <c r="H381" t="s">
        <v>887</v>
      </c>
      <c r="I381" t="s">
        <v>624</v>
      </c>
      <c r="J381" t="s">
        <v>625</v>
      </c>
      <c r="L381" s="5">
        <v>42845</v>
      </c>
      <c r="M381" s="5">
        <v>43108.62222222222</v>
      </c>
      <c r="N381" s="2">
        <f>HYPERLINK(URLs!B36 &amp; 99774,99774)</f>
        <v>99774</v>
      </c>
      <c r="O381" t="s">
        <v>666</v>
      </c>
      <c r="P381" t="s">
        <v>621</v>
      </c>
      <c r="Q381" t="s">
        <v>963</v>
      </c>
      <c r="R381" t="s">
        <v>305</v>
      </c>
      <c r="X381">
        <v>1</v>
      </c>
      <c r="Y381">
        <v>1</v>
      </c>
    </row>
    <row r="382" spans="1:26" hidden="1" x14ac:dyDescent="0.25">
      <c r="A382" s="2"/>
      <c r="B382" s="2">
        <f>HYPERLINK(URLs!B30 &amp; 17390 &amp; URLs!B32,17390)</f>
        <v>17390</v>
      </c>
      <c r="C382" t="s">
        <v>665</v>
      </c>
      <c r="D382" t="s">
        <v>619</v>
      </c>
      <c r="E382" t="s">
        <v>850</v>
      </c>
      <c r="F382" t="s">
        <v>621</v>
      </c>
      <c r="G382" t="s">
        <v>962</v>
      </c>
      <c r="H382" t="s">
        <v>887</v>
      </c>
      <c r="I382" t="s">
        <v>624</v>
      </c>
      <c r="J382" t="s">
        <v>625</v>
      </c>
      <c r="L382" s="5">
        <v>42843</v>
      </c>
      <c r="M382" s="5">
        <v>42845.276701388888</v>
      </c>
      <c r="N382" s="2">
        <f>HYPERLINK(URLs!B36 &amp; 98471,98471)</f>
        <v>98471</v>
      </c>
      <c r="O382" t="s">
        <v>645</v>
      </c>
      <c r="P382" t="s">
        <v>621</v>
      </c>
      <c r="Q382" t="s">
        <v>964</v>
      </c>
    </row>
    <row r="383" spans="1:26" hidden="1" x14ac:dyDescent="0.25">
      <c r="A383" s="2">
        <f>HYPERLINK(URLs!B36 &amp; 98359,98359)</f>
        <v>98359</v>
      </c>
      <c r="B383" s="2">
        <f>HYPERLINK(URLs!B30 &amp; 17373 &amp; URLs!B32,17373)</f>
        <v>17373</v>
      </c>
      <c r="C383" t="s">
        <v>633</v>
      </c>
      <c r="D383" t="s">
        <v>619</v>
      </c>
      <c r="E383" t="s">
        <v>620</v>
      </c>
      <c r="F383" t="s">
        <v>621</v>
      </c>
      <c r="G383" t="s">
        <v>622</v>
      </c>
      <c r="H383" t="s">
        <v>623</v>
      </c>
      <c r="I383" t="s">
        <v>624</v>
      </c>
      <c r="J383" t="s">
        <v>625</v>
      </c>
      <c r="K383" t="s">
        <v>31</v>
      </c>
      <c r="L383" s="5">
        <v>42842</v>
      </c>
      <c r="M383" s="5">
        <v>43287.27275462963</v>
      </c>
      <c r="N383" s="2">
        <f>HYPERLINK(URLs!B36 &amp; 101885,101885)</f>
        <v>101885</v>
      </c>
      <c r="O383" t="s">
        <v>636</v>
      </c>
      <c r="P383" t="s">
        <v>621</v>
      </c>
      <c r="Q383" t="s">
        <v>675</v>
      </c>
      <c r="R383" t="s">
        <v>319</v>
      </c>
      <c r="S383" t="s">
        <v>304</v>
      </c>
      <c r="T383" t="s">
        <v>4143</v>
      </c>
      <c r="U383" t="s">
        <v>4017</v>
      </c>
      <c r="V383" t="s">
        <v>321</v>
      </c>
      <c r="W383">
        <v>1</v>
      </c>
      <c r="Z383" t="s">
        <v>52</v>
      </c>
    </row>
    <row r="384" spans="1:26" hidden="1" x14ac:dyDescent="0.25">
      <c r="A384" s="2"/>
      <c r="B384" s="2">
        <f>HYPERLINK(URLs!B30 &amp; 17372 &amp; URLs!B32,17372)</f>
        <v>17372</v>
      </c>
      <c r="C384" t="s">
        <v>633</v>
      </c>
      <c r="D384" t="s">
        <v>619</v>
      </c>
      <c r="E384" t="s">
        <v>850</v>
      </c>
      <c r="F384" t="s">
        <v>621</v>
      </c>
      <c r="G384" t="s">
        <v>853</v>
      </c>
      <c r="H384" t="s">
        <v>908</v>
      </c>
      <c r="I384" t="s">
        <v>624</v>
      </c>
      <c r="J384" t="s">
        <v>625</v>
      </c>
      <c r="L384" s="5">
        <v>42842</v>
      </c>
      <c r="M384" s="5">
        <v>43209.531122685185</v>
      </c>
      <c r="N384" s="2">
        <f>HYPERLINK(URLs!B36 &amp; 96442,96442)</f>
        <v>96442</v>
      </c>
      <c r="O384" t="s">
        <v>645</v>
      </c>
      <c r="P384" t="s">
        <v>621</v>
      </c>
      <c r="Q384" t="s">
        <v>965</v>
      </c>
      <c r="W384">
        <v>1</v>
      </c>
    </row>
    <row r="385" spans="1:26" hidden="1" x14ac:dyDescent="0.25">
      <c r="A385" s="2">
        <f>HYPERLINK(URLs!B36 &amp; 98278,98278)</f>
        <v>98278</v>
      </c>
      <c r="B385" s="2">
        <f>HYPERLINK(URLs!B30 &amp; 17367 &amp; URLs!B32,17367)</f>
        <v>17367</v>
      </c>
      <c r="C385" t="s">
        <v>665</v>
      </c>
      <c r="D385" t="s">
        <v>619</v>
      </c>
      <c r="E385" t="s">
        <v>620</v>
      </c>
      <c r="F385" t="s">
        <v>621</v>
      </c>
      <c r="G385" t="s">
        <v>631</v>
      </c>
      <c r="H385" t="s">
        <v>632</v>
      </c>
      <c r="I385" t="s">
        <v>624</v>
      </c>
      <c r="J385" t="s">
        <v>629</v>
      </c>
      <c r="K385" t="s">
        <v>68</v>
      </c>
      <c r="L385" s="5">
        <v>42842</v>
      </c>
      <c r="M385" s="5">
        <v>43287.354166666664</v>
      </c>
      <c r="N385" s="2">
        <f>HYPERLINK(URLs!B36 &amp; 98278,98278)</f>
        <v>98278</v>
      </c>
      <c r="O385" t="s">
        <v>636</v>
      </c>
      <c r="P385" t="s">
        <v>621</v>
      </c>
      <c r="Q385" t="s">
        <v>676</v>
      </c>
      <c r="R385" t="s">
        <v>305</v>
      </c>
      <c r="S385" t="s">
        <v>304</v>
      </c>
      <c r="T385" t="s">
        <v>307</v>
      </c>
      <c r="U385" t="s">
        <v>35</v>
      </c>
      <c r="V385" t="s">
        <v>35</v>
      </c>
      <c r="Z385" t="s">
        <v>73</v>
      </c>
    </row>
    <row r="386" spans="1:26" hidden="1" x14ac:dyDescent="0.25">
      <c r="A386" s="2">
        <f>HYPERLINK(URLs!B36 &amp; 97056,97056)</f>
        <v>97056</v>
      </c>
      <c r="B386" s="2">
        <f>HYPERLINK(URLs!B30 &amp; 17360 &amp; URLs!B32,17360)</f>
        <v>17360</v>
      </c>
      <c r="C386" t="s">
        <v>665</v>
      </c>
      <c r="D386" t="s">
        <v>619</v>
      </c>
      <c r="E386" t="s">
        <v>620</v>
      </c>
      <c r="F386" t="s">
        <v>621</v>
      </c>
      <c r="G386" t="s">
        <v>622</v>
      </c>
      <c r="H386" t="s">
        <v>623</v>
      </c>
      <c r="I386" t="s">
        <v>624</v>
      </c>
      <c r="J386" t="s">
        <v>625</v>
      </c>
      <c r="K386" t="s">
        <v>31</v>
      </c>
      <c r="L386" s="5">
        <v>42839</v>
      </c>
      <c r="M386" s="5">
        <v>43287.352083333331</v>
      </c>
      <c r="N386" s="2">
        <f>HYPERLINK(URLs!B36 &amp; 97646,97646)</f>
        <v>97646</v>
      </c>
      <c r="O386" t="s">
        <v>636</v>
      </c>
      <c r="P386" t="s">
        <v>621</v>
      </c>
      <c r="Q386" t="s">
        <v>677</v>
      </c>
      <c r="R386" t="s">
        <v>319</v>
      </c>
      <c r="S386" t="s">
        <v>304</v>
      </c>
      <c r="T386" t="s">
        <v>4158</v>
      </c>
      <c r="U386" t="s">
        <v>4003</v>
      </c>
      <c r="V386" t="s">
        <v>35</v>
      </c>
      <c r="W386">
        <v>1</v>
      </c>
      <c r="Z386" t="s">
        <v>73</v>
      </c>
    </row>
    <row r="387" spans="1:26" hidden="1" x14ac:dyDescent="0.25">
      <c r="A387" s="2">
        <f>HYPERLINK(URLs!B36 &amp; 98255,98255)</f>
        <v>98255</v>
      </c>
      <c r="B387" s="2">
        <f>HYPERLINK(URLs!B30 &amp; 17355 &amp; URLs!B32,17355)</f>
        <v>17355</v>
      </c>
      <c r="C387" t="s">
        <v>665</v>
      </c>
      <c r="D387" t="s">
        <v>619</v>
      </c>
      <c r="E387" t="s">
        <v>620</v>
      </c>
      <c r="F387" t="s">
        <v>621</v>
      </c>
      <c r="G387" t="s">
        <v>631</v>
      </c>
      <c r="H387" t="s">
        <v>632</v>
      </c>
      <c r="I387" t="s">
        <v>624</v>
      </c>
      <c r="J387" t="s">
        <v>629</v>
      </c>
      <c r="K387" t="s">
        <v>68</v>
      </c>
      <c r="L387" s="5">
        <v>42839</v>
      </c>
      <c r="M387" s="5">
        <v>42865</v>
      </c>
      <c r="N387" s="2">
        <f>HYPERLINK(URLs!B37 &amp; 165323,165323)</f>
        <v>165323</v>
      </c>
      <c r="O387" t="s">
        <v>637</v>
      </c>
      <c r="P387" t="s">
        <v>621</v>
      </c>
      <c r="Q387" t="s">
        <v>678</v>
      </c>
      <c r="R387" t="s">
        <v>305</v>
      </c>
      <c r="S387" t="s">
        <v>1621</v>
      </c>
      <c r="T387" t="s">
        <v>4126</v>
      </c>
      <c r="U387" t="s">
        <v>35</v>
      </c>
      <c r="V387" t="s">
        <v>35</v>
      </c>
      <c r="Z387" t="s">
        <v>106</v>
      </c>
    </row>
    <row r="388" spans="1:26" hidden="1" x14ac:dyDescent="0.25">
      <c r="A388" s="2">
        <f>HYPERLINK(URLs!B36 &amp; 98224,98224)</f>
        <v>98224</v>
      </c>
      <c r="B388" s="2">
        <f>HYPERLINK(URLs!B30 &amp; 17351 &amp; URLs!B32,17351)</f>
        <v>17351</v>
      </c>
      <c r="C388" t="s">
        <v>665</v>
      </c>
      <c r="D388" t="s">
        <v>619</v>
      </c>
      <c r="E388" t="s">
        <v>620</v>
      </c>
      <c r="F388" t="s">
        <v>621</v>
      </c>
      <c r="G388" t="s">
        <v>631</v>
      </c>
      <c r="H388" t="s">
        <v>632</v>
      </c>
      <c r="I388" t="s">
        <v>624</v>
      </c>
      <c r="J388" t="s">
        <v>629</v>
      </c>
      <c r="K388" t="s">
        <v>68</v>
      </c>
      <c r="L388" s="5">
        <v>42838</v>
      </c>
      <c r="M388" s="5">
        <v>42865</v>
      </c>
      <c r="N388" s="2">
        <f>HYPERLINK(URLs!B37 &amp; 165323,165323)</f>
        <v>165323</v>
      </c>
      <c r="O388" t="s">
        <v>637</v>
      </c>
      <c r="P388" t="s">
        <v>621</v>
      </c>
      <c r="Q388" t="s">
        <v>679</v>
      </c>
      <c r="R388" t="s">
        <v>305</v>
      </c>
      <c r="S388" t="s">
        <v>1621</v>
      </c>
      <c r="T388" t="s">
        <v>4126</v>
      </c>
      <c r="U388" t="s">
        <v>35</v>
      </c>
      <c r="V388" t="s">
        <v>35</v>
      </c>
      <c r="Z388" t="s">
        <v>106</v>
      </c>
    </row>
    <row r="389" spans="1:26" hidden="1" x14ac:dyDescent="0.25">
      <c r="A389" s="2">
        <f>HYPERLINK(URLs!B36 &amp; 95394,95394)</f>
        <v>95394</v>
      </c>
      <c r="B389" s="2">
        <f>HYPERLINK(URLs!B30 &amp; 17341 &amp; URLs!B32,17341)</f>
        <v>17341</v>
      </c>
      <c r="C389" t="s">
        <v>665</v>
      </c>
      <c r="D389" t="s">
        <v>619</v>
      </c>
      <c r="E389" t="s">
        <v>850</v>
      </c>
      <c r="F389" t="s">
        <v>621</v>
      </c>
      <c r="G389" t="s">
        <v>863</v>
      </c>
      <c r="H389" t="s">
        <v>864</v>
      </c>
      <c r="I389" t="s">
        <v>624</v>
      </c>
      <c r="J389" t="s">
        <v>625</v>
      </c>
      <c r="K389" t="s">
        <v>31</v>
      </c>
      <c r="L389" s="5">
        <v>42837</v>
      </c>
      <c r="M389" s="5">
        <v>42964.313194444447</v>
      </c>
      <c r="N389" s="2">
        <f>HYPERLINK(URLs!B36 &amp; 95512,95512)</f>
        <v>95512</v>
      </c>
      <c r="O389" t="s">
        <v>636</v>
      </c>
      <c r="P389" t="s">
        <v>621</v>
      </c>
      <c r="Q389" t="s">
        <v>966</v>
      </c>
      <c r="R389" t="s">
        <v>305</v>
      </c>
      <c r="S389" t="s">
        <v>304</v>
      </c>
      <c r="T389" t="s">
        <v>4169</v>
      </c>
      <c r="U389" t="s">
        <v>4019</v>
      </c>
      <c r="V389" t="s">
        <v>35</v>
      </c>
      <c r="Z389" t="s">
        <v>73</v>
      </c>
    </row>
    <row r="390" spans="1:26" hidden="1" x14ac:dyDescent="0.25">
      <c r="A390" s="2"/>
      <c r="B390" s="2">
        <f>HYPERLINK(URLs!B30 &amp; 17337 &amp; URLs!B32,17337)</f>
        <v>17337</v>
      </c>
      <c r="C390" t="s">
        <v>665</v>
      </c>
      <c r="D390" t="s">
        <v>619</v>
      </c>
      <c r="E390" t="s">
        <v>850</v>
      </c>
      <c r="F390" t="s">
        <v>621</v>
      </c>
      <c r="G390" t="s">
        <v>867</v>
      </c>
      <c r="H390" t="s">
        <v>868</v>
      </c>
      <c r="I390" t="s">
        <v>624</v>
      </c>
      <c r="J390" t="s">
        <v>642</v>
      </c>
      <c r="L390" s="5">
        <v>42836</v>
      </c>
      <c r="M390" s="5">
        <v>42898.35833333333</v>
      </c>
      <c r="N390" s="2">
        <f>HYPERLINK(URLs!B36 &amp; 98770,98770)</f>
        <v>98770</v>
      </c>
      <c r="O390" t="s">
        <v>645</v>
      </c>
      <c r="P390" t="s">
        <v>621</v>
      </c>
      <c r="Q390" t="s">
        <v>967</v>
      </c>
      <c r="W390">
        <v>1</v>
      </c>
    </row>
    <row r="391" spans="1:26" hidden="1" x14ac:dyDescent="0.25">
      <c r="A391" s="2">
        <f>HYPERLINK(URLs!B36 &amp; 98162,98162)</f>
        <v>98162</v>
      </c>
      <c r="B391" s="2">
        <f>HYPERLINK(URLs!B30 &amp; 17336 &amp; URLs!B32,17336)</f>
        <v>17336</v>
      </c>
      <c r="C391" t="s">
        <v>665</v>
      </c>
      <c r="D391" t="s">
        <v>619</v>
      </c>
      <c r="E391" t="s">
        <v>620</v>
      </c>
      <c r="F391" t="s">
        <v>621</v>
      </c>
      <c r="G391" t="s">
        <v>634</v>
      </c>
      <c r="H391" t="s">
        <v>635</v>
      </c>
      <c r="I391" t="s">
        <v>624</v>
      </c>
      <c r="J391" t="s">
        <v>629</v>
      </c>
      <c r="K391" t="s">
        <v>31</v>
      </c>
      <c r="L391" s="5">
        <v>42836</v>
      </c>
      <c r="M391" s="5">
        <v>42986.520833333336</v>
      </c>
      <c r="N391" s="2">
        <f>HYPERLINK(URLs!B36 &amp; 98756,98756)</f>
        <v>98756</v>
      </c>
      <c r="O391" t="s">
        <v>680</v>
      </c>
      <c r="P391" t="s">
        <v>621</v>
      </c>
      <c r="Q391" t="s">
        <v>681</v>
      </c>
      <c r="R391" t="s">
        <v>305</v>
      </c>
      <c r="S391" t="s">
        <v>304</v>
      </c>
      <c r="T391" t="s">
        <v>4231</v>
      </c>
      <c r="U391" t="s">
        <v>35</v>
      </c>
      <c r="V391" t="s">
        <v>321</v>
      </c>
      <c r="Z391" t="s">
        <v>73</v>
      </c>
    </row>
    <row r="392" spans="1:26" hidden="1" x14ac:dyDescent="0.25">
      <c r="A392" s="2"/>
      <c r="B392" s="2">
        <f>HYPERLINK(URLs!B30 &amp; 17334 &amp; URLs!B32,17334)</f>
        <v>17334</v>
      </c>
      <c r="C392" t="s">
        <v>665</v>
      </c>
      <c r="D392" t="s">
        <v>619</v>
      </c>
      <c r="E392" t="s">
        <v>850</v>
      </c>
      <c r="F392" t="s">
        <v>621</v>
      </c>
      <c r="G392" t="s">
        <v>858</v>
      </c>
      <c r="H392" t="s">
        <v>968</v>
      </c>
      <c r="I392" t="s">
        <v>624</v>
      </c>
      <c r="J392" t="s">
        <v>629</v>
      </c>
      <c r="L392" s="5">
        <v>42836</v>
      </c>
      <c r="M392" s="5">
        <v>43038.455555555556</v>
      </c>
      <c r="N392" t="s">
        <v>1504</v>
      </c>
      <c r="O392" t="s">
        <v>636</v>
      </c>
      <c r="P392" t="s">
        <v>621</v>
      </c>
      <c r="Q392" t="s">
        <v>969</v>
      </c>
      <c r="R392" t="s">
        <v>305</v>
      </c>
    </row>
    <row r="393" spans="1:26" hidden="1" x14ac:dyDescent="0.25">
      <c r="A393" s="2">
        <f>HYPERLINK(URLs!B36 &amp; 97354,97354)</f>
        <v>97354</v>
      </c>
      <c r="B393" s="2">
        <f>HYPERLINK(URLs!B30 &amp; 17330 &amp; URLs!B32,17330)</f>
        <v>17330</v>
      </c>
      <c r="C393" t="s">
        <v>633</v>
      </c>
      <c r="D393" t="s">
        <v>619</v>
      </c>
      <c r="E393" t="s">
        <v>620</v>
      </c>
      <c r="F393" t="s">
        <v>621</v>
      </c>
      <c r="G393" t="s">
        <v>622</v>
      </c>
      <c r="H393" t="s">
        <v>623</v>
      </c>
      <c r="I393" t="s">
        <v>624</v>
      </c>
      <c r="J393" t="s">
        <v>625</v>
      </c>
      <c r="K393" t="s">
        <v>31</v>
      </c>
      <c r="L393" s="5">
        <v>42836</v>
      </c>
      <c r="M393" s="5">
        <v>43111.402777777781</v>
      </c>
      <c r="N393" s="2">
        <f>HYPERLINK(URLs!B36 &amp; 97354,97354)</f>
        <v>97354</v>
      </c>
      <c r="O393" t="s">
        <v>636</v>
      </c>
      <c r="P393" t="s">
        <v>621</v>
      </c>
      <c r="Q393" t="s">
        <v>682</v>
      </c>
      <c r="R393" t="s">
        <v>319</v>
      </c>
      <c r="S393" t="s">
        <v>304</v>
      </c>
      <c r="T393" t="s">
        <v>4163</v>
      </c>
      <c r="U393" t="s">
        <v>3996</v>
      </c>
      <c r="V393" t="s">
        <v>321</v>
      </c>
      <c r="W393">
        <v>1</v>
      </c>
      <c r="Z393" t="s">
        <v>52</v>
      </c>
    </row>
    <row r="394" spans="1:26" hidden="1" x14ac:dyDescent="0.25">
      <c r="A394" s="2">
        <f>HYPERLINK(URLs!B36 &amp; 96060,96060)</f>
        <v>96060</v>
      </c>
      <c r="B394" s="2">
        <f>HYPERLINK(URLs!B30 &amp; 17327 &amp; URLs!B32,17327)</f>
        <v>17327</v>
      </c>
      <c r="C394" t="s">
        <v>665</v>
      </c>
      <c r="D394" t="s">
        <v>619</v>
      </c>
      <c r="E394" t="s">
        <v>850</v>
      </c>
      <c r="F394" t="s">
        <v>621</v>
      </c>
      <c r="G394" t="s">
        <v>851</v>
      </c>
      <c r="H394" t="s">
        <v>852</v>
      </c>
      <c r="I394" t="s">
        <v>624</v>
      </c>
      <c r="J394" t="s">
        <v>625</v>
      </c>
      <c r="K394" t="s">
        <v>31</v>
      </c>
      <c r="L394" s="5">
        <v>42836</v>
      </c>
      <c r="M394" s="5">
        <v>42964.311111111114</v>
      </c>
      <c r="N394" s="2">
        <f>HYPERLINK(URLs!B36 &amp; 96060,96060)</f>
        <v>96060</v>
      </c>
      <c r="O394" t="s">
        <v>636</v>
      </c>
      <c r="P394" t="s">
        <v>621</v>
      </c>
      <c r="Q394" t="s">
        <v>970</v>
      </c>
      <c r="R394" t="s">
        <v>305</v>
      </c>
      <c r="S394" t="s">
        <v>304</v>
      </c>
      <c r="T394" t="s">
        <v>3661</v>
      </c>
      <c r="U394" t="s">
        <v>35</v>
      </c>
      <c r="V394" t="s">
        <v>35</v>
      </c>
      <c r="Z394" t="s">
        <v>73</v>
      </c>
    </row>
    <row r="395" spans="1:26" x14ac:dyDescent="0.25">
      <c r="A395" s="2"/>
      <c r="B395" s="2">
        <f>HYPERLINK(URLs!B30 &amp; 17272 &amp; URLs!B32,17272)</f>
        <v>17272</v>
      </c>
      <c r="C395" t="s">
        <v>618</v>
      </c>
      <c r="D395" t="s">
        <v>619</v>
      </c>
      <c r="E395" t="s">
        <v>620</v>
      </c>
      <c r="F395" t="s">
        <v>621</v>
      </c>
      <c r="G395" t="s">
        <v>627</v>
      </c>
      <c r="H395" t="s">
        <v>628</v>
      </c>
      <c r="I395" t="s">
        <v>624</v>
      </c>
      <c r="J395" t="s">
        <v>629</v>
      </c>
      <c r="L395" s="5">
        <v>42829</v>
      </c>
      <c r="N395" s="2">
        <f>HYPERLINK(URLs!B37 &amp; 214968,214968)</f>
        <v>214968</v>
      </c>
      <c r="O395" t="s">
        <v>637</v>
      </c>
      <c r="P395" t="s">
        <v>621</v>
      </c>
      <c r="Q395" t="s">
        <v>4562</v>
      </c>
    </row>
    <row r="396" spans="1:26" hidden="1" x14ac:dyDescent="0.25">
      <c r="A396" s="2"/>
      <c r="B396" s="2">
        <f>HYPERLINK(URLs!B30 &amp; 17266 &amp; URLs!B32,17266)</f>
        <v>17266</v>
      </c>
      <c r="C396" t="s">
        <v>665</v>
      </c>
      <c r="D396" t="s">
        <v>619</v>
      </c>
      <c r="E396" t="s">
        <v>850</v>
      </c>
      <c r="F396" t="s">
        <v>621</v>
      </c>
      <c r="G396" t="s">
        <v>889</v>
      </c>
      <c r="H396" t="s">
        <v>890</v>
      </c>
      <c r="I396" t="s">
        <v>624</v>
      </c>
      <c r="J396" t="s">
        <v>625</v>
      </c>
      <c r="L396" s="5">
        <v>42828</v>
      </c>
      <c r="M396" s="5">
        <v>42964.309027777781</v>
      </c>
      <c r="N396" s="2">
        <f>HYPERLINK(URLs!B36 &amp; 90686,90686)</f>
        <v>90686</v>
      </c>
      <c r="O396" t="s">
        <v>636</v>
      </c>
      <c r="P396" t="s">
        <v>621</v>
      </c>
      <c r="Q396" t="s">
        <v>971</v>
      </c>
      <c r="W396">
        <v>1</v>
      </c>
    </row>
    <row r="397" spans="1:26" hidden="1" x14ac:dyDescent="0.25">
      <c r="A397" s="2"/>
      <c r="B397" s="2">
        <f>HYPERLINK(URLs!B30 &amp; 17264 &amp; URLs!B32,17264)</f>
        <v>17264</v>
      </c>
      <c r="C397" t="s">
        <v>665</v>
      </c>
      <c r="D397" t="s">
        <v>619</v>
      </c>
      <c r="E397" t="s">
        <v>850</v>
      </c>
      <c r="F397" t="s">
        <v>621</v>
      </c>
      <c r="G397" t="s">
        <v>851</v>
      </c>
      <c r="H397" t="s">
        <v>852</v>
      </c>
      <c r="I397" t="s">
        <v>624</v>
      </c>
      <c r="J397" t="s">
        <v>625</v>
      </c>
      <c r="L397" s="5">
        <v>42828</v>
      </c>
      <c r="M397" s="5">
        <v>42964.305555555555</v>
      </c>
      <c r="N397" s="2">
        <f>HYPERLINK(URLs!B36 &amp; 97842,97842)</f>
        <v>97842</v>
      </c>
      <c r="O397" t="s">
        <v>636</v>
      </c>
      <c r="P397" t="s">
        <v>621</v>
      </c>
      <c r="Q397" t="s">
        <v>972</v>
      </c>
    </row>
    <row r="398" spans="1:26" hidden="1" x14ac:dyDescent="0.25">
      <c r="A398" s="2"/>
      <c r="B398" s="2">
        <f>HYPERLINK(URLs!B30 &amp; 17260 &amp; URLs!B32,17260)</f>
        <v>17260</v>
      </c>
      <c r="C398" t="s">
        <v>633</v>
      </c>
      <c r="D398" t="s">
        <v>619</v>
      </c>
      <c r="E398" t="s">
        <v>850</v>
      </c>
      <c r="F398" t="s">
        <v>621</v>
      </c>
      <c r="G398" t="s">
        <v>889</v>
      </c>
      <c r="H398" t="s">
        <v>890</v>
      </c>
      <c r="I398" t="s">
        <v>624</v>
      </c>
      <c r="J398" t="s">
        <v>629</v>
      </c>
      <c r="L398" s="5">
        <v>42825</v>
      </c>
      <c r="M398" s="5">
        <v>43185.628541666665</v>
      </c>
      <c r="N398" s="2">
        <f>HYPERLINK(URLs!B36 &amp; 92973,92973)</f>
        <v>92973</v>
      </c>
      <c r="O398" t="s">
        <v>645</v>
      </c>
      <c r="P398" t="s">
        <v>621</v>
      </c>
      <c r="Q398" t="s">
        <v>973</v>
      </c>
    </row>
    <row r="399" spans="1:26" hidden="1" x14ac:dyDescent="0.25">
      <c r="A399" s="2">
        <f>HYPERLINK(URLs!B36 &amp; 97710,97710)</f>
        <v>97710</v>
      </c>
      <c r="B399" s="2">
        <f>HYPERLINK(URLs!B30 &amp; 17259 &amp; URLs!B32,17259)</f>
        <v>17259</v>
      </c>
      <c r="C399" t="s">
        <v>633</v>
      </c>
      <c r="D399" t="s">
        <v>619</v>
      </c>
      <c r="E399" t="s">
        <v>620</v>
      </c>
      <c r="F399" t="s">
        <v>621</v>
      </c>
      <c r="G399" t="s">
        <v>622</v>
      </c>
      <c r="H399" t="s">
        <v>623</v>
      </c>
      <c r="I399" t="s">
        <v>624</v>
      </c>
      <c r="J399" t="s">
        <v>625</v>
      </c>
      <c r="K399" t="s">
        <v>31</v>
      </c>
      <c r="L399" s="5">
        <v>42825</v>
      </c>
      <c r="M399" s="5">
        <v>43111.325439814813</v>
      </c>
      <c r="N399" s="2">
        <f>HYPERLINK(URLs!B36 &amp; 97762,97762)</f>
        <v>97762</v>
      </c>
      <c r="O399" t="s">
        <v>636</v>
      </c>
      <c r="P399" t="s">
        <v>621</v>
      </c>
      <c r="Q399" t="s">
        <v>683</v>
      </c>
      <c r="R399" t="s">
        <v>305</v>
      </c>
      <c r="S399" t="s">
        <v>304</v>
      </c>
      <c r="T399" t="s">
        <v>307</v>
      </c>
      <c r="U399" t="s">
        <v>4020</v>
      </c>
      <c r="V399" t="s">
        <v>35</v>
      </c>
      <c r="Z399" t="s">
        <v>73</v>
      </c>
    </row>
    <row r="400" spans="1:26" hidden="1" x14ac:dyDescent="0.25">
      <c r="A400" s="2">
        <f>HYPERLINK(URLs!B36 &amp; 97496,97496)</f>
        <v>97496</v>
      </c>
      <c r="B400" s="2">
        <f>HYPERLINK(URLs!B30 &amp; 17250 &amp; URLs!B32,17250)</f>
        <v>17250</v>
      </c>
      <c r="C400" t="s">
        <v>633</v>
      </c>
      <c r="D400" t="s">
        <v>619</v>
      </c>
      <c r="E400" t="s">
        <v>620</v>
      </c>
      <c r="F400" t="s">
        <v>621</v>
      </c>
      <c r="G400" t="s">
        <v>622</v>
      </c>
      <c r="H400" t="s">
        <v>623</v>
      </c>
      <c r="I400" t="s">
        <v>624</v>
      </c>
      <c r="J400" t="s">
        <v>625</v>
      </c>
      <c r="K400" t="s">
        <v>31</v>
      </c>
      <c r="L400" s="5">
        <v>42824</v>
      </c>
      <c r="M400" s="5">
        <v>43111.32739583333</v>
      </c>
      <c r="N400" s="2">
        <f>HYPERLINK(URLs!B36 &amp; 97551,97551)</f>
        <v>97551</v>
      </c>
      <c r="O400" t="s">
        <v>636</v>
      </c>
      <c r="P400" t="s">
        <v>621</v>
      </c>
      <c r="Q400" t="s">
        <v>684</v>
      </c>
      <c r="R400" t="s">
        <v>305</v>
      </c>
      <c r="S400" t="s">
        <v>304</v>
      </c>
      <c r="T400" t="s">
        <v>69</v>
      </c>
      <c r="U400" t="s">
        <v>4007</v>
      </c>
      <c r="V400" t="s">
        <v>4057</v>
      </c>
      <c r="W400">
        <v>1</v>
      </c>
      <c r="Z400" t="s">
        <v>52</v>
      </c>
    </row>
    <row r="401" spans="1:26" hidden="1" x14ac:dyDescent="0.25">
      <c r="A401" s="2"/>
      <c r="B401" s="2">
        <f>HYPERLINK(URLs!B30 &amp; 17244 &amp; URLs!B32,17244)</f>
        <v>17244</v>
      </c>
      <c r="C401" t="s">
        <v>633</v>
      </c>
      <c r="D401" t="s">
        <v>619</v>
      </c>
      <c r="E401" t="s">
        <v>850</v>
      </c>
      <c r="F401" t="s">
        <v>621</v>
      </c>
      <c r="G401" t="s">
        <v>855</v>
      </c>
      <c r="H401" t="s">
        <v>856</v>
      </c>
      <c r="I401" t="s">
        <v>624</v>
      </c>
      <c r="J401" t="s">
        <v>642</v>
      </c>
      <c r="L401" s="5">
        <v>42824</v>
      </c>
      <c r="M401" s="5">
        <v>43073.670624999999</v>
      </c>
      <c r="N401" s="2">
        <f>HYPERLINK(URLs!B36 &amp; 97831,97831)</f>
        <v>97831</v>
      </c>
      <c r="O401" t="s">
        <v>645</v>
      </c>
      <c r="P401" t="s">
        <v>621</v>
      </c>
      <c r="Q401" t="s">
        <v>974</v>
      </c>
      <c r="R401" t="s">
        <v>305</v>
      </c>
    </row>
    <row r="402" spans="1:26" hidden="1" x14ac:dyDescent="0.25">
      <c r="A402" s="2">
        <f>HYPERLINK(URLs!B36 &amp; 95394,95394)</f>
        <v>95394</v>
      </c>
      <c r="B402" s="2">
        <f>HYPERLINK(URLs!B30 &amp; 17241 &amp; URLs!B32,17241)</f>
        <v>17241</v>
      </c>
      <c r="C402" t="s">
        <v>665</v>
      </c>
      <c r="D402" t="s">
        <v>619</v>
      </c>
      <c r="E402" t="s">
        <v>850</v>
      </c>
      <c r="F402" t="s">
        <v>621</v>
      </c>
      <c r="G402" t="s">
        <v>863</v>
      </c>
      <c r="H402" t="s">
        <v>864</v>
      </c>
      <c r="I402" t="s">
        <v>624</v>
      </c>
      <c r="J402" t="s">
        <v>625</v>
      </c>
      <c r="K402" t="s">
        <v>31</v>
      </c>
      <c r="L402" s="5">
        <v>42824</v>
      </c>
      <c r="M402" s="5">
        <v>42964.303472222222</v>
      </c>
      <c r="N402" s="2">
        <f>HYPERLINK(URLs!B36 &amp; 95512,95512)</f>
        <v>95512</v>
      </c>
      <c r="O402" t="s">
        <v>636</v>
      </c>
      <c r="P402" t="s">
        <v>621</v>
      </c>
      <c r="Q402" t="s">
        <v>975</v>
      </c>
      <c r="R402" t="s">
        <v>305</v>
      </c>
      <c r="S402" t="s">
        <v>304</v>
      </c>
      <c r="T402" t="s">
        <v>4169</v>
      </c>
      <c r="U402" t="s">
        <v>4019</v>
      </c>
      <c r="V402" t="s">
        <v>35</v>
      </c>
      <c r="W402">
        <v>1</v>
      </c>
      <c r="Z402" t="s">
        <v>73</v>
      </c>
    </row>
    <row r="403" spans="1:26" hidden="1" x14ac:dyDescent="0.25">
      <c r="A403" s="2"/>
      <c r="B403" s="2">
        <f>HYPERLINK(URLs!B30 &amp; 17234 &amp; URLs!B32,17234)</f>
        <v>17234</v>
      </c>
      <c r="C403" t="s">
        <v>665</v>
      </c>
      <c r="D403" t="s">
        <v>619</v>
      </c>
      <c r="E403" t="s">
        <v>850</v>
      </c>
      <c r="F403" t="s">
        <v>621</v>
      </c>
      <c r="G403" t="s">
        <v>855</v>
      </c>
      <c r="H403" t="s">
        <v>856</v>
      </c>
      <c r="I403" t="s">
        <v>624</v>
      </c>
      <c r="J403" t="s">
        <v>625</v>
      </c>
      <c r="L403" s="5">
        <v>42823</v>
      </c>
      <c r="M403" s="5">
        <v>42964.300694444442</v>
      </c>
      <c r="N403" s="2">
        <f>HYPERLINK(URLs!B36 &amp; 97669,97669)</f>
        <v>97669</v>
      </c>
      <c r="O403" t="s">
        <v>636</v>
      </c>
      <c r="P403" t="s">
        <v>621</v>
      </c>
      <c r="Q403" t="s">
        <v>976</v>
      </c>
      <c r="R403" t="s">
        <v>305</v>
      </c>
    </row>
    <row r="404" spans="1:26" hidden="1" x14ac:dyDescent="0.25">
      <c r="A404" s="2"/>
      <c r="B404" s="2">
        <f>HYPERLINK(URLs!B30 &amp; 17200 &amp; URLs!B32,17200)</f>
        <v>17200</v>
      </c>
      <c r="C404" t="s">
        <v>665</v>
      </c>
      <c r="D404" t="s">
        <v>619</v>
      </c>
      <c r="E404" t="s">
        <v>850</v>
      </c>
      <c r="F404" t="s">
        <v>621</v>
      </c>
      <c r="G404" t="s">
        <v>855</v>
      </c>
      <c r="H404" t="s">
        <v>856</v>
      </c>
      <c r="I404" t="s">
        <v>624</v>
      </c>
      <c r="J404" t="s">
        <v>625</v>
      </c>
      <c r="L404" s="5">
        <v>42818</v>
      </c>
      <c r="M404" s="5">
        <v>42874.444444444445</v>
      </c>
      <c r="N404" s="2">
        <f>HYPERLINK(URLs!B36 &amp; 97473,97473)</f>
        <v>97473</v>
      </c>
      <c r="O404" t="s">
        <v>640</v>
      </c>
      <c r="P404" t="s">
        <v>621</v>
      </c>
      <c r="Q404" t="s">
        <v>977</v>
      </c>
    </row>
    <row r="405" spans="1:26" hidden="1" x14ac:dyDescent="0.25">
      <c r="A405" s="2">
        <f>HYPERLINK(URLs!B36 &amp; 98161,98161)</f>
        <v>98161</v>
      </c>
      <c r="B405" s="2">
        <f>HYPERLINK(URLs!B30 &amp; 17198 &amp; URLs!B32,17198)</f>
        <v>17198</v>
      </c>
      <c r="C405" t="s">
        <v>633</v>
      </c>
      <c r="D405" t="s">
        <v>619</v>
      </c>
      <c r="E405" t="s">
        <v>850</v>
      </c>
      <c r="F405" t="s">
        <v>621</v>
      </c>
      <c r="G405" t="s">
        <v>855</v>
      </c>
      <c r="H405" t="s">
        <v>856</v>
      </c>
      <c r="I405" t="s">
        <v>624</v>
      </c>
      <c r="J405" t="s">
        <v>642</v>
      </c>
      <c r="K405" t="s">
        <v>68</v>
      </c>
      <c r="L405" s="5">
        <v>42818</v>
      </c>
      <c r="M405" s="5">
        <v>43073.672974537039</v>
      </c>
      <c r="N405" s="2">
        <f>HYPERLINK(URLs!B36 &amp; 98161,98161)</f>
        <v>98161</v>
      </c>
      <c r="O405" t="s">
        <v>645</v>
      </c>
      <c r="P405" t="s">
        <v>621</v>
      </c>
      <c r="Q405" t="s">
        <v>978</v>
      </c>
      <c r="R405" t="s">
        <v>305</v>
      </c>
      <c r="S405" t="s">
        <v>304</v>
      </c>
      <c r="T405" t="s">
        <v>3915</v>
      </c>
      <c r="U405" t="s">
        <v>35</v>
      </c>
      <c r="V405" t="s">
        <v>35</v>
      </c>
      <c r="Z405" t="s">
        <v>34</v>
      </c>
    </row>
    <row r="406" spans="1:26" hidden="1" x14ac:dyDescent="0.25">
      <c r="A406" s="2"/>
      <c r="B406" s="2">
        <f>HYPERLINK(URLs!B30 &amp; 17184 &amp; URLs!B32,17184)</f>
        <v>17184</v>
      </c>
      <c r="C406" t="s">
        <v>665</v>
      </c>
      <c r="D406" t="s">
        <v>619</v>
      </c>
      <c r="E406" t="s">
        <v>850</v>
      </c>
      <c r="F406" t="s">
        <v>621</v>
      </c>
      <c r="G406" t="s">
        <v>867</v>
      </c>
      <c r="H406" t="s">
        <v>868</v>
      </c>
      <c r="I406" t="s">
        <v>624</v>
      </c>
      <c r="J406" t="s">
        <v>629</v>
      </c>
      <c r="L406" s="5">
        <v>42817</v>
      </c>
      <c r="M406" s="5">
        <v>43010.572222222225</v>
      </c>
      <c r="N406" s="2">
        <f>HYPERLINK(URLs!B36 &amp; 87020,87020)</f>
        <v>87020</v>
      </c>
      <c r="O406" t="s">
        <v>636</v>
      </c>
      <c r="P406" t="s">
        <v>621</v>
      </c>
      <c r="Q406" t="s">
        <v>979</v>
      </c>
      <c r="R406" t="s">
        <v>305</v>
      </c>
      <c r="W406">
        <v>1</v>
      </c>
    </row>
    <row r="407" spans="1:26" hidden="1" x14ac:dyDescent="0.25">
      <c r="A407" s="2"/>
      <c r="B407" s="2">
        <f>HYPERLINK(URLs!B30 &amp; 17180 &amp; URLs!B32,17180)</f>
        <v>17180</v>
      </c>
      <c r="C407" t="s">
        <v>665</v>
      </c>
      <c r="D407" t="s">
        <v>619</v>
      </c>
      <c r="E407" t="s">
        <v>850</v>
      </c>
      <c r="F407" t="s">
        <v>621</v>
      </c>
      <c r="G407" t="s">
        <v>851</v>
      </c>
      <c r="H407" t="s">
        <v>852</v>
      </c>
      <c r="I407" t="s">
        <v>624</v>
      </c>
      <c r="J407" t="s">
        <v>629</v>
      </c>
      <c r="L407" s="5">
        <v>42817</v>
      </c>
      <c r="M407" s="5">
        <v>42849.572916666664</v>
      </c>
      <c r="N407" t="s">
        <v>621</v>
      </c>
      <c r="O407" t="s">
        <v>645</v>
      </c>
      <c r="P407" t="s">
        <v>621</v>
      </c>
      <c r="Q407" t="s">
        <v>980</v>
      </c>
      <c r="W407">
        <v>1</v>
      </c>
    </row>
    <row r="408" spans="1:26" hidden="1" x14ac:dyDescent="0.25">
      <c r="A408" s="2"/>
      <c r="B408" s="2">
        <f>HYPERLINK(URLs!B30 &amp; 17135 &amp; URLs!B32,17135)</f>
        <v>17135</v>
      </c>
      <c r="C408" t="s">
        <v>633</v>
      </c>
      <c r="D408" t="s">
        <v>619</v>
      </c>
      <c r="E408" t="s">
        <v>850</v>
      </c>
      <c r="F408" t="s">
        <v>621</v>
      </c>
      <c r="G408" t="s">
        <v>853</v>
      </c>
      <c r="H408" t="s">
        <v>908</v>
      </c>
      <c r="I408" t="s">
        <v>624</v>
      </c>
      <c r="J408" t="s">
        <v>629</v>
      </c>
      <c r="L408" s="5">
        <v>42811</v>
      </c>
      <c r="M408" s="5">
        <v>43119.304872685185</v>
      </c>
      <c r="N408" s="2">
        <f>HYPERLINK(URLs!B36 &amp; 103040,103040)</f>
        <v>103040</v>
      </c>
      <c r="O408" t="s">
        <v>636</v>
      </c>
      <c r="P408" t="s">
        <v>621</v>
      </c>
      <c r="Q408" t="s">
        <v>981</v>
      </c>
      <c r="R408" t="s">
        <v>305</v>
      </c>
    </row>
    <row r="409" spans="1:26" hidden="1" x14ac:dyDescent="0.25">
      <c r="A409" s="2"/>
      <c r="B409" s="2">
        <f>HYPERLINK(URLs!B30 &amp; 17134 &amp; URLs!B32,17134)</f>
        <v>17134</v>
      </c>
      <c r="C409" t="s">
        <v>665</v>
      </c>
      <c r="D409" t="s">
        <v>619</v>
      </c>
      <c r="E409" t="s">
        <v>850</v>
      </c>
      <c r="F409" t="s">
        <v>621</v>
      </c>
      <c r="G409" t="s">
        <v>851</v>
      </c>
      <c r="H409" t="s">
        <v>852</v>
      </c>
      <c r="I409" t="s">
        <v>624</v>
      </c>
      <c r="J409" t="s">
        <v>629</v>
      </c>
      <c r="L409" s="5">
        <v>42811</v>
      </c>
      <c r="M409" s="5">
        <v>42874.448611111111</v>
      </c>
      <c r="N409" s="2">
        <f>HYPERLINK(URLs!B36 &amp; 97479,97479)</f>
        <v>97479</v>
      </c>
      <c r="O409" t="s">
        <v>640</v>
      </c>
      <c r="P409" t="s">
        <v>621</v>
      </c>
      <c r="Q409" t="s">
        <v>982</v>
      </c>
      <c r="R409" t="s">
        <v>319</v>
      </c>
    </row>
    <row r="410" spans="1:26" hidden="1" x14ac:dyDescent="0.25">
      <c r="A410" s="2"/>
      <c r="B410" s="2">
        <f>HYPERLINK(URLs!B30 &amp; 17133 &amp; URLs!B32,17133)</f>
        <v>17133</v>
      </c>
      <c r="C410" t="s">
        <v>665</v>
      </c>
      <c r="D410" t="s">
        <v>619</v>
      </c>
      <c r="E410" t="s">
        <v>850</v>
      </c>
      <c r="F410" t="s">
        <v>621</v>
      </c>
      <c r="G410" t="s">
        <v>855</v>
      </c>
      <c r="H410" t="s">
        <v>856</v>
      </c>
      <c r="I410" t="s">
        <v>624</v>
      </c>
      <c r="J410" t="s">
        <v>642</v>
      </c>
      <c r="L410" s="5">
        <v>42811</v>
      </c>
      <c r="M410" s="5">
        <v>42870.504166666666</v>
      </c>
      <c r="N410" t="s">
        <v>1505</v>
      </c>
      <c r="O410" t="s">
        <v>636</v>
      </c>
      <c r="P410" t="s">
        <v>621</v>
      </c>
      <c r="Q410" t="s">
        <v>983</v>
      </c>
    </row>
    <row r="411" spans="1:26" hidden="1" x14ac:dyDescent="0.25">
      <c r="A411" s="2"/>
      <c r="B411" s="2">
        <f>HYPERLINK(URLs!B30 &amp; 17120 &amp; URLs!B32,17120)</f>
        <v>17120</v>
      </c>
      <c r="C411" t="s">
        <v>665</v>
      </c>
      <c r="D411" t="s">
        <v>619</v>
      </c>
      <c r="E411" t="s">
        <v>850</v>
      </c>
      <c r="F411" t="s">
        <v>621</v>
      </c>
      <c r="G411" t="s">
        <v>851</v>
      </c>
      <c r="H411" t="s">
        <v>852</v>
      </c>
      <c r="I411" t="s">
        <v>624</v>
      </c>
      <c r="J411" t="s">
        <v>629</v>
      </c>
      <c r="L411" s="5">
        <v>42810</v>
      </c>
      <c r="M411" s="5">
        <v>42823.228680555556</v>
      </c>
      <c r="N411" t="s">
        <v>621</v>
      </c>
      <c r="O411" t="s">
        <v>645</v>
      </c>
      <c r="P411" t="s">
        <v>621</v>
      </c>
      <c r="Q411" t="s">
        <v>984</v>
      </c>
    </row>
    <row r="412" spans="1:26" hidden="1" x14ac:dyDescent="0.25">
      <c r="A412" s="2">
        <f>HYPERLINK(URLs!B36 &amp; 74752,74752)</f>
        <v>74752</v>
      </c>
      <c r="B412" s="2">
        <f>HYPERLINK(URLs!B30 &amp; 17119 &amp; URLs!B32,17119)</f>
        <v>17119</v>
      </c>
      <c r="C412" t="s">
        <v>665</v>
      </c>
      <c r="D412" t="s">
        <v>619</v>
      </c>
      <c r="E412" t="s">
        <v>850</v>
      </c>
      <c r="F412" t="s">
        <v>621</v>
      </c>
      <c r="G412" t="s">
        <v>851</v>
      </c>
      <c r="H412" t="s">
        <v>859</v>
      </c>
      <c r="I412" t="s">
        <v>624</v>
      </c>
      <c r="J412" t="s">
        <v>629</v>
      </c>
      <c r="K412" t="s">
        <v>68</v>
      </c>
      <c r="L412" s="5">
        <v>42810</v>
      </c>
      <c r="M412" s="5">
        <v>43332.29583333333</v>
      </c>
      <c r="N412" s="2">
        <f>HYPERLINK(URLs!B36 &amp; 74752,74752)</f>
        <v>74752</v>
      </c>
      <c r="O412" t="s">
        <v>636</v>
      </c>
      <c r="P412" t="s">
        <v>621</v>
      </c>
      <c r="Q412" t="s">
        <v>4656</v>
      </c>
      <c r="R412" t="s">
        <v>319</v>
      </c>
      <c r="S412" t="s">
        <v>304</v>
      </c>
      <c r="T412" t="s">
        <v>3915</v>
      </c>
      <c r="U412" t="s">
        <v>35</v>
      </c>
      <c r="V412" t="s">
        <v>35</v>
      </c>
      <c r="Z412" t="s">
        <v>34</v>
      </c>
    </row>
    <row r="413" spans="1:26" hidden="1" x14ac:dyDescent="0.25">
      <c r="A413" s="2"/>
      <c r="B413" s="2">
        <f>HYPERLINK(URLs!B30 &amp; 17114 &amp; URLs!B32,17114)</f>
        <v>17114</v>
      </c>
      <c r="C413" t="s">
        <v>665</v>
      </c>
      <c r="D413" t="s">
        <v>619</v>
      </c>
      <c r="E413" t="s">
        <v>850</v>
      </c>
      <c r="F413" t="s">
        <v>621</v>
      </c>
      <c r="G413" t="s">
        <v>851</v>
      </c>
      <c r="H413" t="s">
        <v>852</v>
      </c>
      <c r="I413" t="s">
        <v>624</v>
      </c>
      <c r="J413" t="s">
        <v>625</v>
      </c>
      <c r="L413" s="5">
        <v>42809</v>
      </c>
      <c r="M413" s="5">
        <v>43360.636111111111</v>
      </c>
      <c r="N413" s="2">
        <f>HYPERLINK(URLs!B36 &amp; 97597,97597)</f>
        <v>97597</v>
      </c>
      <c r="O413" t="s">
        <v>645</v>
      </c>
      <c r="P413" t="s">
        <v>621</v>
      </c>
      <c r="Q413" t="s">
        <v>985</v>
      </c>
    </row>
    <row r="414" spans="1:26" hidden="1" x14ac:dyDescent="0.25">
      <c r="A414" s="2">
        <f>HYPERLINK(URLs!B36 &amp; 97077,97077)</f>
        <v>97077</v>
      </c>
      <c r="B414" s="2">
        <f>HYPERLINK(URLs!B30 &amp; 17112 &amp; URLs!B32,17112)</f>
        <v>17112</v>
      </c>
      <c r="C414" t="s">
        <v>633</v>
      </c>
      <c r="D414" t="s">
        <v>619</v>
      </c>
      <c r="E414" t="s">
        <v>620</v>
      </c>
      <c r="F414" t="s">
        <v>621</v>
      </c>
      <c r="G414" t="s">
        <v>622</v>
      </c>
      <c r="H414" t="s">
        <v>623</v>
      </c>
      <c r="I414" t="s">
        <v>624</v>
      </c>
      <c r="J414" t="s">
        <v>625</v>
      </c>
      <c r="K414" t="s">
        <v>31</v>
      </c>
      <c r="L414" s="5">
        <v>42809</v>
      </c>
      <c r="M414" s="5">
        <v>43111.332824074074</v>
      </c>
      <c r="N414" s="2">
        <f>HYPERLINK(URLs!B36 &amp; 97243,97243)</f>
        <v>97243</v>
      </c>
      <c r="O414" t="s">
        <v>636</v>
      </c>
      <c r="P414" t="s">
        <v>621</v>
      </c>
      <c r="Q414" t="s">
        <v>685</v>
      </c>
      <c r="R414" t="s">
        <v>305</v>
      </c>
      <c r="S414" t="s">
        <v>304</v>
      </c>
      <c r="T414" t="s">
        <v>4143</v>
      </c>
      <c r="U414" t="s">
        <v>4004</v>
      </c>
      <c r="V414" t="s">
        <v>321</v>
      </c>
      <c r="W414">
        <v>1</v>
      </c>
      <c r="Z414" t="s">
        <v>34</v>
      </c>
    </row>
    <row r="415" spans="1:26" hidden="1" x14ac:dyDescent="0.25">
      <c r="A415" s="2">
        <f>HYPERLINK(URLs!B36 &amp; 71692,71692)</f>
        <v>71692</v>
      </c>
      <c r="B415" s="2">
        <f>HYPERLINK(URLs!B30 &amp; 17111 &amp; URLs!B32,17111)</f>
        <v>17111</v>
      </c>
      <c r="C415" t="s">
        <v>633</v>
      </c>
      <c r="D415" t="s">
        <v>619</v>
      </c>
      <c r="E415" t="s">
        <v>620</v>
      </c>
      <c r="F415" t="s">
        <v>621</v>
      </c>
      <c r="G415" t="s">
        <v>622</v>
      </c>
      <c r="H415" t="s">
        <v>623</v>
      </c>
      <c r="I415" t="s">
        <v>624</v>
      </c>
      <c r="J415" t="s">
        <v>629</v>
      </c>
      <c r="K415" t="s">
        <v>68</v>
      </c>
      <c r="L415" s="5">
        <v>42809</v>
      </c>
      <c r="M415" s="5">
        <v>43111.369247685187</v>
      </c>
      <c r="N415" s="2">
        <f>HYPERLINK(URLs!B36 &amp; 72021,72021)</f>
        <v>72021</v>
      </c>
      <c r="O415" t="s">
        <v>636</v>
      </c>
      <c r="P415" t="s">
        <v>621</v>
      </c>
      <c r="Q415" t="s">
        <v>686</v>
      </c>
      <c r="R415" t="s">
        <v>305</v>
      </c>
      <c r="S415" t="s">
        <v>304</v>
      </c>
      <c r="T415" t="s">
        <v>69</v>
      </c>
      <c r="U415" t="s">
        <v>35</v>
      </c>
      <c r="V415" t="s">
        <v>35</v>
      </c>
      <c r="W415">
        <v>1</v>
      </c>
      <c r="Z415" t="s">
        <v>2529</v>
      </c>
    </row>
    <row r="416" spans="1:26" hidden="1" x14ac:dyDescent="0.25">
      <c r="A416" s="2">
        <f>HYPERLINK(URLs!B36 &amp; 97008,97008)</f>
        <v>97008</v>
      </c>
      <c r="B416" s="2">
        <f>HYPERLINK(URLs!B30 &amp; 17100 &amp; URLs!B32,17100)</f>
        <v>17100</v>
      </c>
      <c r="C416" t="s">
        <v>633</v>
      </c>
      <c r="D416" t="s">
        <v>619</v>
      </c>
      <c r="E416" t="s">
        <v>620</v>
      </c>
      <c r="F416" t="s">
        <v>621</v>
      </c>
      <c r="G416" t="s">
        <v>622</v>
      </c>
      <c r="H416" t="s">
        <v>623</v>
      </c>
      <c r="I416" t="s">
        <v>624</v>
      </c>
      <c r="J416" t="s">
        <v>625</v>
      </c>
      <c r="K416" t="s">
        <v>31</v>
      </c>
      <c r="L416" s="5">
        <v>42808</v>
      </c>
      <c r="M416" s="5">
        <v>43111.334976851853</v>
      </c>
      <c r="N416" s="2">
        <f>HYPERLINK(URLs!B36 &amp; 97187,97187)</f>
        <v>97187</v>
      </c>
      <c r="O416" t="s">
        <v>636</v>
      </c>
      <c r="P416" t="s">
        <v>621</v>
      </c>
      <c r="Q416" t="s">
        <v>687</v>
      </c>
      <c r="R416" t="s">
        <v>305</v>
      </c>
      <c r="S416" t="s">
        <v>304</v>
      </c>
      <c r="T416" t="s">
        <v>69</v>
      </c>
      <c r="U416" t="s">
        <v>3996</v>
      </c>
      <c r="V416" t="s">
        <v>321</v>
      </c>
      <c r="W416">
        <v>1</v>
      </c>
      <c r="Z416" t="s">
        <v>52</v>
      </c>
    </row>
    <row r="417" spans="1:26" hidden="1" x14ac:dyDescent="0.25">
      <c r="A417" s="2"/>
      <c r="B417" s="2">
        <f>HYPERLINK(URLs!B30 &amp; 17098 &amp; URLs!B32,17098)</f>
        <v>17098</v>
      </c>
      <c r="C417" t="s">
        <v>665</v>
      </c>
      <c r="D417" t="s">
        <v>619</v>
      </c>
      <c r="E417" t="s">
        <v>850</v>
      </c>
      <c r="F417" t="s">
        <v>621</v>
      </c>
      <c r="G417" t="s">
        <v>855</v>
      </c>
      <c r="H417" t="s">
        <v>856</v>
      </c>
      <c r="I417" t="s">
        <v>624</v>
      </c>
      <c r="J417" t="s">
        <v>625</v>
      </c>
      <c r="L417" s="5">
        <v>42808</v>
      </c>
      <c r="M417" s="5">
        <v>43332.294444444444</v>
      </c>
      <c r="N417" s="2">
        <f>HYPERLINK(URLs!B36 &amp; 97703,97703)</f>
        <v>97703</v>
      </c>
      <c r="O417" t="s">
        <v>636</v>
      </c>
      <c r="P417" t="s">
        <v>621</v>
      </c>
      <c r="Q417" t="s">
        <v>986</v>
      </c>
      <c r="R417" t="s">
        <v>305</v>
      </c>
      <c r="W417">
        <v>1</v>
      </c>
    </row>
    <row r="418" spans="1:26" hidden="1" x14ac:dyDescent="0.25">
      <c r="A418" s="2">
        <f>HYPERLINK(URLs!B36 &amp; 97007,97007)</f>
        <v>97007</v>
      </c>
      <c r="B418" s="2">
        <f>HYPERLINK(URLs!B30 &amp; 17092 &amp; URLs!B32,17092)</f>
        <v>17092</v>
      </c>
      <c r="C418" t="s">
        <v>633</v>
      </c>
      <c r="D418" t="s">
        <v>619</v>
      </c>
      <c r="E418" t="s">
        <v>620</v>
      </c>
      <c r="F418" t="s">
        <v>621</v>
      </c>
      <c r="G418" t="s">
        <v>634</v>
      </c>
      <c r="H418" t="s">
        <v>635</v>
      </c>
      <c r="I418" t="s">
        <v>624</v>
      </c>
      <c r="J418" t="s">
        <v>625</v>
      </c>
      <c r="K418" t="s">
        <v>31</v>
      </c>
      <c r="L418" s="5">
        <v>42807</v>
      </c>
      <c r="M418" s="5">
        <v>43111.337002314816</v>
      </c>
      <c r="N418" s="2">
        <f>HYPERLINK(URLs!B36 &amp; 97041,97041)</f>
        <v>97041</v>
      </c>
      <c r="O418" t="s">
        <v>636</v>
      </c>
      <c r="P418" t="s">
        <v>621</v>
      </c>
      <c r="Q418" t="s">
        <v>688</v>
      </c>
      <c r="R418" t="s">
        <v>305</v>
      </c>
      <c r="S418" t="s">
        <v>304</v>
      </c>
      <c r="T418" t="s">
        <v>307</v>
      </c>
      <c r="U418" t="s">
        <v>4012</v>
      </c>
      <c r="V418" t="s">
        <v>35</v>
      </c>
      <c r="Z418" t="s">
        <v>73</v>
      </c>
    </row>
    <row r="419" spans="1:26" hidden="1" x14ac:dyDescent="0.25">
      <c r="A419" s="2">
        <f>HYPERLINK(URLs!B36 &amp; 96996,96996)</f>
        <v>96996</v>
      </c>
      <c r="B419" s="2">
        <f>HYPERLINK(URLs!B30 &amp; 17090 &amp; URLs!B32,17090)</f>
        <v>17090</v>
      </c>
      <c r="C419" t="s">
        <v>665</v>
      </c>
      <c r="D419" t="s">
        <v>619</v>
      </c>
      <c r="E419" t="s">
        <v>620</v>
      </c>
      <c r="F419" t="s">
        <v>621</v>
      </c>
      <c r="G419" t="s">
        <v>622</v>
      </c>
      <c r="H419" t="s">
        <v>623</v>
      </c>
      <c r="I419" t="s">
        <v>624</v>
      </c>
      <c r="J419" t="s">
        <v>625</v>
      </c>
      <c r="K419" t="s">
        <v>31</v>
      </c>
      <c r="L419" s="5">
        <v>42807</v>
      </c>
      <c r="M419" s="5">
        <v>43111.493055555555</v>
      </c>
      <c r="N419" s="2">
        <f>HYPERLINK(URLs!B36 &amp; 97279,97279)</f>
        <v>97279</v>
      </c>
      <c r="O419" t="s">
        <v>636</v>
      </c>
      <c r="P419" t="s">
        <v>621</v>
      </c>
      <c r="Q419" t="s">
        <v>689</v>
      </c>
      <c r="R419" t="s">
        <v>305</v>
      </c>
      <c r="S419" t="s">
        <v>304</v>
      </c>
      <c r="T419" t="s">
        <v>4143</v>
      </c>
      <c r="U419" t="s">
        <v>4004</v>
      </c>
      <c r="V419" t="s">
        <v>321</v>
      </c>
      <c r="W419">
        <v>1</v>
      </c>
      <c r="Z419" t="s">
        <v>34</v>
      </c>
    </row>
    <row r="420" spans="1:26" hidden="1" x14ac:dyDescent="0.25">
      <c r="A420" s="2"/>
      <c r="B420" s="2">
        <f>HYPERLINK(URLs!B30 &amp; 17086 &amp; URLs!B32,17086)</f>
        <v>17086</v>
      </c>
      <c r="C420" t="s">
        <v>665</v>
      </c>
      <c r="D420" t="s">
        <v>619</v>
      </c>
      <c r="E420" t="s">
        <v>850</v>
      </c>
      <c r="F420" t="s">
        <v>621</v>
      </c>
      <c r="G420" t="s">
        <v>855</v>
      </c>
      <c r="H420" t="s">
        <v>856</v>
      </c>
      <c r="I420" t="s">
        <v>624</v>
      </c>
      <c r="J420" t="s">
        <v>642</v>
      </c>
      <c r="L420" s="5">
        <v>42807</v>
      </c>
      <c r="M420" s="5">
        <v>43332.291666666664</v>
      </c>
      <c r="N420" s="2">
        <f>HYPERLINK(URLs!B36 &amp; 106714,106714)</f>
        <v>106714</v>
      </c>
      <c r="O420" t="s">
        <v>636</v>
      </c>
      <c r="P420" t="s">
        <v>621</v>
      </c>
      <c r="Q420" t="s">
        <v>987</v>
      </c>
      <c r="R420" t="s">
        <v>305</v>
      </c>
    </row>
    <row r="421" spans="1:26" hidden="1" x14ac:dyDescent="0.25">
      <c r="A421" s="2">
        <f>HYPERLINK(URLs!B36 &amp; 96925,96925)</f>
        <v>96925</v>
      </c>
      <c r="B421" s="2">
        <f>HYPERLINK(URLs!B30 &amp; 17067 &amp; URLs!B32,17067)</f>
        <v>17067</v>
      </c>
      <c r="C421" t="s">
        <v>633</v>
      </c>
      <c r="D421" t="s">
        <v>619</v>
      </c>
      <c r="E421" t="s">
        <v>620</v>
      </c>
      <c r="F421" t="s">
        <v>621</v>
      </c>
      <c r="G421" t="s">
        <v>622</v>
      </c>
      <c r="H421" t="s">
        <v>623</v>
      </c>
      <c r="I421" t="s">
        <v>624</v>
      </c>
      <c r="J421" t="s">
        <v>625</v>
      </c>
      <c r="K421" t="s">
        <v>31</v>
      </c>
      <c r="L421" s="5">
        <v>42803</v>
      </c>
      <c r="M421" s="5">
        <v>42933.504780092589</v>
      </c>
      <c r="N421" s="2">
        <f>HYPERLINK(URLs!B36 &amp; 97673,97673)</f>
        <v>97673</v>
      </c>
      <c r="O421" t="s">
        <v>645</v>
      </c>
      <c r="P421" t="s">
        <v>621</v>
      </c>
      <c r="Q421" t="s">
        <v>690</v>
      </c>
      <c r="R421" t="s">
        <v>305</v>
      </c>
      <c r="S421" t="s">
        <v>328</v>
      </c>
      <c r="T421" t="s">
        <v>4156</v>
      </c>
      <c r="U421" t="s">
        <v>35</v>
      </c>
      <c r="V421" t="s">
        <v>4057</v>
      </c>
      <c r="Z421" t="s">
        <v>52</v>
      </c>
    </row>
    <row r="422" spans="1:26" hidden="1" x14ac:dyDescent="0.25">
      <c r="A422" s="2">
        <f>HYPERLINK(URLs!B36 &amp; 99179,99179)</f>
        <v>99179</v>
      </c>
      <c r="B422" s="2">
        <f>HYPERLINK(URLs!B30 &amp; 17057 &amp; URLs!B32,17057)</f>
        <v>17057</v>
      </c>
      <c r="C422" t="s">
        <v>641</v>
      </c>
      <c r="D422" t="s">
        <v>619</v>
      </c>
      <c r="E422" t="s">
        <v>850</v>
      </c>
      <c r="F422" t="s">
        <v>621</v>
      </c>
      <c r="G422" t="s">
        <v>867</v>
      </c>
      <c r="H422" t="s">
        <v>890</v>
      </c>
      <c r="I422" t="s">
        <v>624</v>
      </c>
      <c r="J422" t="s">
        <v>629</v>
      </c>
      <c r="K422" t="s">
        <v>68</v>
      </c>
      <c r="L422" s="5">
        <v>42803</v>
      </c>
      <c r="N422" s="2">
        <f>HYPERLINK(URLs!B36 &amp; 99179,99179)</f>
        <v>99179</v>
      </c>
      <c r="O422" t="s">
        <v>640</v>
      </c>
      <c r="P422" t="s">
        <v>621</v>
      </c>
      <c r="Q422" t="s">
        <v>988</v>
      </c>
      <c r="R422" t="s">
        <v>319</v>
      </c>
      <c r="S422" t="s">
        <v>304</v>
      </c>
      <c r="T422" t="s">
        <v>3915</v>
      </c>
      <c r="U422" t="s">
        <v>35</v>
      </c>
      <c r="V422" t="s">
        <v>35</v>
      </c>
      <c r="Z422" t="s">
        <v>34</v>
      </c>
    </row>
    <row r="423" spans="1:26" hidden="1" x14ac:dyDescent="0.25">
      <c r="A423" s="2"/>
      <c r="B423" s="2">
        <f>HYPERLINK(URLs!B30 &amp; 17018 &amp; URLs!B32,17018)</f>
        <v>17018</v>
      </c>
      <c r="C423" t="s">
        <v>665</v>
      </c>
      <c r="D423" t="s">
        <v>619</v>
      </c>
      <c r="E423" t="s">
        <v>850</v>
      </c>
      <c r="F423" t="s">
        <v>621</v>
      </c>
      <c r="G423" t="s">
        <v>889</v>
      </c>
      <c r="H423" t="s">
        <v>890</v>
      </c>
      <c r="I423" t="s">
        <v>624</v>
      </c>
      <c r="J423" t="s">
        <v>625</v>
      </c>
      <c r="L423" s="5">
        <v>42801</v>
      </c>
      <c r="M423" s="5">
        <v>43332.290277777778</v>
      </c>
      <c r="N423" s="2">
        <f>HYPERLINK(URLs!B36 &amp; 107073,107073)</f>
        <v>107073</v>
      </c>
      <c r="O423" t="s">
        <v>636</v>
      </c>
      <c r="P423" t="s">
        <v>621</v>
      </c>
      <c r="Q423" t="s">
        <v>989</v>
      </c>
      <c r="W423">
        <v>1</v>
      </c>
    </row>
    <row r="424" spans="1:26" hidden="1" x14ac:dyDescent="0.25">
      <c r="A424" s="2"/>
      <c r="B424" s="2">
        <f>HYPERLINK(URLs!B30 &amp; 16999 &amp; URLs!B32,16999)</f>
        <v>16999</v>
      </c>
      <c r="C424" t="s">
        <v>633</v>
      </c>
      <c r="D424" t="s">
        <v>619</v>
      </c>
      <c r="E424" t="s">
        <v>850</v>
      </c>
      <c r="F424" t="s">
        <v>621</v>
      </c>
      <c r="G424" t="s">
        <v>867</v>
      </c>
      <c r="H424" t="s">
        <v>868</v>
      </c>
      <c r="I424" t="s">
        <v>624</v>
      </c>
      <c r="J424" t="s">
        <v>642</v>
      </c>
      <c r="L424" s="5">
        <v>42797</v>
      </c>
      <c r="M424" s="5">
        <v>42878.283530092594</v>
      </c>
      <c r="N424" t="s">
        <v>621</v>
      </c>
      <c r="O424" t="s">
        <v>645</v>
      </c>
      <c r="P424" t="s">
        <v>621</v>
      </c>
      <c r="Q424" t="s">
        <v>990</v>
      </c>
    </row>
    <row r="425" spans="1:26" hidden="1" x14ac:dyDescent="0.25">
      <c r="A425" s="2"/>
      <c r="B425" s="2">
        <f>HYPERLINK(URLs!B30 &amp; 16995 &amp; URLs!B32,16995)</f>
        <v>16995</v>
      </c>
      <c r="C425" t="s">
        <v>665</v>
      </c>
      <c r="D425" t="s">
        <v>619</v>
      </c>
      <c r="E425" t="s">
        <v>850</v>
      </c>
      <c r="F425" t="s">
        <v>621</v>
      </c>
      <c r="G425" t="s">
        <v>875</v>
      </c>
      <c r="H425" t="s">
        <v>876</v>
      </c>
      <c r="I425" t="s">
        <v>624</v>
      </c>
      <c r="J425" t="s">
        <v>625</v>
      </c>
      <c r="L425" s="5">
        <v>42797</v>
      </c>
      <c r="M425" s="5">
        <v>42964.29791666667</v>
      </c>
      <c r="N425" s="2">
        <f>HYPERLINK(URLs!B36 &amp; 96535,96535)</f>
        <v>96535</v>
      </c>
      <c r="O425" t="s">
        <v>636</v>
      </c>
      <c r="P425" t="s">
        <v>621</v>
      </c>
      <c r="Q425" t="s">
        <v>991</v>
      </c>
      <c r="R425" t="s">
        <v>4919</v>
      </c>
    </row>
    <row r="426" spans="1:26" hidden="1" x14ac:dyDescent="0.25">
      <c r="A426" s="2"/>
      <c r="B426" s="2">
        <f>HYPERLINK(URLs!B30 &amp; 16992 &amp; URLs!B32,16992)</f>
        <v>16992</v>
      </c>
      <c r="C426" t="s">
        <v>665</v>
      </c>
      <c r="D426" t="s">
        <v>619</v>
      </c>
      <c r="E426" t="s">
        <v>850</v>
      </c>
      <c r="F426" t="s">
        <v>621</v>
      </c>
      <c r="G426" t="s">
        <v>851</v>
      </c>
      <c r="H426" t="s">
        <v>852</v>
      </c>
      <c r="I426" t="s">
        <v>624</v>
      </c>
      <c r="J426" t="s">
        <v>625</v>
      </c>
      <c r="L426" s="5">
        <v>42797</v>
      </c>
      <c r="M426" s="5">
        <v>43105.441666666666</v>
      </c>
      <c r="N426" s="2">
        <f>HYPERLINK(URLs!B36 &amp; 78610,78610)</f>
        <v>78610</v>
      </c>
      <c r="O426" t="s">
        <v>645</v>
      </c>
      <c r="P426" t="s">
        <v>621</v>
      </c>
      <c r="Q426" t="s">
        <v>992</v>
      </c>
      <c r="W426">
        <v>1</v>
      </c>
    </row>
    <row r="427" spans="1:26" hidden="1" x14ac:dyDescent="0.25">
      <c r="A427" s="2"/>
      <c r="B427" s="2">
        <f>HYPERLINK(URLs!B30 &amp; 16687 &amp; URLs!B32,16687)</f>
        <v>16687</v>
      </c>
      <c r="C427" t="s">
        <v>665</v>
      </c>
      <c r="D427" t="s">
        <v>619</v>
      </c>
      <c r="E427" t="s">
        <v>850</v>
      </c>
      <c r="F427" t="s">
        <v>621</v>
      </c>
      <c r="G427" t="s">
        <v>853</v>
      </c>
      <c r="H427" t="s">
        <v>890</v>
      </c>
      <c r="I427" t="s">
        <v>624</v>
      </c>
      <c r="J427" t="s">
        <v>629</v>
      </c>
      <c r="L427" s="5">
        <v>42794</v>
      </c>
      <c r="M427" s="5">
        <v>43301.809027777781</v>
      </c>
      <c r="N427" s="2">
        <f>HYPERLINK(URLs!B36 &amp; 99170,99170)</f>
        <v>99170</v>
      </c>
      <c r="O427" t="s">
        <v>636</v>
      </c>
      <c r="P427" t="s">
        <v>621</v>
      </c>
      <c r="Q427" t="s">
        <v>4563</v>
      </c>
      <c r="R427" t="s">
        <v>42</v>
      </c>
    </row>
    <row r="428" spans="1:26" hidden="1" x14ac:dyDescent="0.25">
      <c r="A428" s="2"/>
      <c r="B428" s="2">
        <f>HYPERLINK(URLs!B30 &amp; 16650 &amp; URLs!B32,16650)</f>
        <v>16650</v>
      </c>
      <c r="C428" t="s">
        <v>633</v>
      </c>
      <c r="D428" t="s">
        <v>619</v>
      </c>
      <c r="E428" t="s">
        <v>850</v>
      </c>
      <c r="F428" t="s">
        <v>621</v>
      </c>
      <c r="G428" t="s">
        <v>855</v>
      </c>
      <c r="H428" t="s">
        <v>856</v>
      </c>
      <c r="I428" t="s">
        <v>624</v>
      </c>
      <c r="J428" t="s">
        <v>625</v>
      </c>
      <c r="L428" s="5">
        <v>42790</v>
      </c>
      <c r="M428" s="5">
        <v>42849.488379629627</v>
      </c>
      <c r="N428" s="2">
        <f>HYPERLINK(URLs!B36 &amp; 96208,96208)</f>
        <v>96208</v>
      </c>
      <c r="O428" t="s">
        <v>645</v>
      </c>
      <c r="P428" t="s">
        <v>621</v>
      </c>
      <c r="Q428" t="s">
        <v>993</v>
      </c>
    </row>
    <row r="429" spans="1:26" x14ac:dyDescent="0.25">
      <c r="A429" s="2">
        <f>HYPERLINK(URLs!B36 &amp; 96335,96335)</f>
        <v>96335</v>
      </c>
      <c r="B429" s="2">
        <f>HYPERLINK(URLs!B30 &amp; 16647 &amp; URLs!B32,16647)</f>
        <v>16647</v>
      </c>
      <c r="C429" t="s">
        <v>641</v>
      </c>
      <c r="D429" t="s">
        <v>619</v>
      </c>
      <c r="E429" t="s">
        <v>620</v>
      </c>
      <c r="F429" t="s">
        <v>621</v>
      </c>
      <c r="G429" t="s">
        <v>622</v>
      </c>
      <c r="H429" t="s">
        <v>623</v>
      </c>
      <c r="I429" t="s">
        <v>624</v>
      </c>
      <c r="J429" t="s">
        <v>629</v>
      </c>
      <c r="K429" t="s">
        <v>68</v>
      </c>
      <c r="L429" s="5">
        <v>42789</v>
      </c>
      <c r="N429" s="2">
        <f>HYPERLINK(URLs!B36 &amp; 97641,97641)</f>
        <v>97641</v>
      </c>
      <c r="O429" t="s">
        <v>637</v>
      </c>
      <c r="P429" t="s">
        <v>621</v>
      </c>
      <c r="Q429" t="s">
        <v>4657</v>
      </c>
      <c r="R429" t="s">
        <v>42</v>
      </c>
      <c r="T429" t="s">
        <v>4098</v>
      </c>
      <c r="U429" t="s">
        <v>35</v>
      </c>
      <c r="V429" t="s">
        <v>35</v>
      </c>
      <c r="Z429" t="s">
        <v>73</v>
      </c>
    </row>
    <row r="430" spans="1:26" hidden="1" x14ac:dyDescent="0.25">
      <c r="A430" s="2">
        <f>HYPERLINK(URLs!B36 &amp; 50241,50241)</f>
        <v>50241</v>
      </c>
      <c r="B430" s="2">
        <f>HYPERLINK(URLs!B30 &amp; 16643 &amp; URLs!B32,16643)</f>
        <v>16643</v>
      </c>
      <c r="C430" t="s">
        <v>633</v>
      </c>
      <c r="D430" t="s">
        <v>619</v>
      </c>
      <c r="E430" t="s">
        <v>850</v>
      </c>
      <c r="F430" t="s">
        <v>621</v>
      </c>
      <c r="G430" t="s">
        <v>855</v>
      </c>
      <c r="H430" t="s">
        <v>856</v>
      </c>
      <c r="I430" t="s">
        <v>624</v>
      </c>
      <c r="J430" t="s">
        <v>642</v>
      </c>
      <c r="K430" t="s">
        <v>68</v>
      </c>
      <c r="L430" s="5">
        <v>42789</v>
      </c>
      <c r="M430" s="5">
        <v>43332.205868055556</v>
      </c>
      <c r="N430" s="2">
        <f>HYPERLINK(URLs!B36 &amp; 50241,50241)</f>
        <v>50241</v>
      </c>
      <c r="O430" t="s">
        <v>636</v>
      </c>
      <c r="P430" t="s">
        <v>621</v>
      </c>
      <c r="Q430" t="s">
        <v>994</v>
      </c>
      <c r="R430" t="s">
        <v>305</v>
      </c>
      <c r="S430" t="s">
        <v>304</v>
      </c>
      <c r="T430" t="s">
        <v>4143</v>
      </c>
      <c r="U430" t="s">
        <v>35</v>
      </c>
      <c r="V430" t="s">
        <v>35</v>
      </c>
      <c r="Z430" t="s">
        <v>34</v>
      </c>
    </row>
    <row r="431" spans="1:26" hidden="1" x14ac:dyDescent="0.25">
      <c r="A431" s="2"/>
      <c r="B431" s="2">
        <f>HYPERLINK(URLs!B30 &amp; 16630 &amp; URLs!B32,16630)</f>
        <v>16630</v>
      </c>
      <c r="C431" t="s">
        <v>665</v>
      </c>
      <c r="D431" t="s">
        <v>619</v>
      </c>
      <c r="E431" t="s">
        <v>850</v>
      </c>
      <c r="F431" t="s">
        <v>621</v>
      </c>
      <c r="G431" t="s">
        <v>853</v>
      </c>
      <c r="H431" t="s">
        <v>908</v>
      </c>
      <c r="I431" t="s">
        <v>624</v>
      </c>
      <c r="J431" t="s">
        <v>629</v>
      </c>
      <c r="L431" s="5">
        <v>42788</v>
      </c>
      <c r="M431" s="5">
        <v>42964.295138888891</v>
      </c>
      <c r="N431" s="2">
        <f>HYPERLINK(URLs!B36 &amp; 97589,97589)</f>
        <v>97589</v>
      </c>
      <c r="O431" t="s">
        <v>636</v>
      </c>
      <c r="P431" t="s">
        <v>621</v>
      </c>
      <c r="Q431" t="s">
        <v>995</v>
      </c>
      <c r="W431">
        <v>1</v>
      </c>
    </row>
    <row r="432" spans="1:26" hidden="1" x14ac:dyDescent="0.25">
      <c r="A432" s="2"/>
      <c r="B432" s="2">
        <f>HYPERLINK(URLs!B30 &amp; 16628 &amp; URLs!B32,16628)</f>
        <v>16628</v>
      </c>
      <c r="C432" t="s">
        <v>665</v>
      </c>
      <c r="D432" t="s">
        <v>619</v>
      </c>
      <c r="E432" t="s">
        <v>850</v>
      </c>
      <c r="F432" t="s">
        <v>621</v>
      </c>
      <c r="G432" t="s">
        <v>855</v>
      </c>
      <c r="H432" t="s">
        <v>856</v>
      </c>
      <c r="I432" t="s">
        <v>624</v>
      </c>
      <c r="J432" t="s">
        <v>625</v>
      </c>
      <c r="L432" s="5">
        <v>42788</v>
      </c>
      <c r="M432" s="5">
        <v>43206.611111111109</v>
      </c>
      <c r="N432" s="2">
        <f>HYPERLINK(URLs!B36 &amp; 96373,96373)</f>
        <v>96373</v>
      </c>
      <c r="O432" t="s">
        <v>645</v>
      </c>
      <c r="P432" t="s">
        <v>621</v>
      </c>
      <c r="Q432" t="s">
        <v>996</v>
      </c>
      <c r="R432" t="s">
        <v>305</v>
      </c>
    </row>
    <row r="433" spans="1:26" hidden="1" x14ac:dyDescent="0.25">
      <c r="A433" s="2">
        <f>HYPERLINK(URLs!B36 &amp; 96172,96172)</f>
        <v>96172</v>
      </c>
      <c r="B433" s="2">
        <f>HYPERLINK(URLs!B30 &amp; 16612 &amp; URLs!B32,16612)</f>
        <v>16612</v>
      </c>
      <c r="C433" t="s">
        <v>633</v>
      </c>
      <c r="D433" t="s">
        <v>619</v>
      </c>
      <c r="E433" t="s">
        <v>620</v>
      </c>
      <c r="F433" t="s">
        <v>621</v>
      </c>
      <c r="G433" t="s">
        <v>634</v>
      </c>
      <c r="H433" t="s">
        <v>635</v>
      </c>
      <c r="I433" t="s">
        <v>624</v>
      </c>
      <c r="J433" t="s">
        <v>625</v>
      </c>
      <c r="K433" t="s">
        <v>31</v>
      </c>
      <c r="L433" s="5">
        <v>42783</v>
      </c>
      <c r="M433" s="5">
        <v>43111.339201388888</v>
      </c>
      <c r="N433" s="2">
        <f>HYPERLINK(URLs!B36 &amp; 97565,97565)</f>
        <v>97565</v>
      </c>
      <c r="O433" t="s">
        <v>636</v>
      </c>
      <c r="P433" t="s">
        <v>621</v>
      </c>
      <c r="Q433" t="s">
        <v>691</v>
      </c>
      <c r="R433" t="s">
        <v>305</v>
      </c>
      <c r="S433" t="s">
        <v>304</v>
      </c>
      <c r="T433" t="s">
        <v>307</v>
      </c>
      <c r="U433" t="s">
        <v>4011</v>
      </c>
      <c r="V433" t="s">
        <v>321</v>
      </c>
      <c r="Z433" t="s">
        <v>380</v>
      </c>
    </row>
    <row r="434" spans="1:26" hidden="1" x14ac:dyDescent="0.25">
      <c r="A434" s="2">
        <f>HYPERLINK(URLs!B36 &amp; 74118,74118)</f>
        <v>74118</v>
      </c>
      <c r="B434" s="2">
        <f>HYPERLINK(URLs!B30 &amp; 16597 &amp; URLs!B32,16597)</f>
        <v>16597</v>
      </c>
      <c r="C434" t="s">
        <v>665</v>
      </c>
      <c r="D434" t="s">
        <v>619</v>
      </c>
      <c r="E434" t="s">
        <v>620</v>
      </c>
      <c r="F434" t="s">
        <v>621</v>
      </c>
      <c r="G434" t="s">
        <v>622</v>
      </c>
      <c r="H434" t="s">
        <v>623</v>
      </c>
      <c r="I434" t="s">
        <v>624</v>
      </c>
      <c r="J434" t="s">
        <v>629</v>
      </c>
      <c r="K434" t="s">
        <v>68</v>
      </c>
      <c r="L434" s="5">
        <v>42783</v>
      </c>
      <c r="M434" s="5">
        <v>43287.350694444445</v>
      </c>
      <c r="N434" s="2">
        <f>HYPERLINK(URLs!B36 &amp; 98997,98997)</f>
        <v>98997</v>
      </c>
      <c r="O434" t="s">
        <v>636</v>
      </c>
      <c r="P434" t="s">
        <v>621</v>
      </c>
      <c r="Q434" t="s">
        <v>692</v>
      </c>
      <c r="R434" t="s">
        <v>305</v>
      </c>
      <c r="S434" t="s">
        <v>304</v>
      </c>
      <c r="T434" t="s">
        <v>307</v>
      </c>
      <c r="U434" t="s">
        <v>3963</v>
      </c>
      <c r="V434" t="s">
        <v>35</v>
      </c>
      <c r="Z434" t="s">
        <v>303</v>
      </c>
    </row>
    <row r="435" spans="1:26" hidden="1" x14ac:dyDescent="0.25">
      <c r="A435" s="2"/>
      <c r="B435" s="2">
        <f>HYPERLINK(URLs!B30 &amp; 16593 &amp; URLs!B32,16593)</f>
        <v>16593</v>
      </c>
      <c r="C435" t="s">
        <v>665</v>
      </c>
      <c r="D435" t="s">
        <v>619</v>
      </c>
      <c r="E435" t="s">
        <v>850</v>
      </c>
      <c r="F435" t="s">
        <v>621</v>
      </c>
      <c r="G435" t="s">
        <v>853</v>
      </c>
      <c r="H435" t="s">
        <v>908</v>
      </c>
      <c r="I435" t="s">
        <v>624</v>
      </c>
      <c r="J435" t="s">
        <v>629</v>
      </c>
      <c r="L435" s="5">
        <v>42782</v>
      </c>
      <c r="M435" s="5">
        <v>43117.713888888888</v>
      </c>
      <c r="N435" s="2">
        <f>HYPERLINK(URLs!B36 &amp; 99505,99505)</f>
        <v>99505</v>
      </c>
      <c r="O435" t="s">
        <v>636</v>
      </c>
      <c r="P435" t="s">
        <v>621</v>
      </c>
      <c r="Q435" t="s">
        <v>997</v>
      </c>
      <c r="R435" t="s">
        <v>319</v>
      </c>
      <c r="W435">
        <v>1</v>
      </c>
    </row>
    <row r="436" spans="1:26" hidden="1" x14ac:dyDescent="0.25">
      <c r="A436" s="2"/>
      <c r="B436" s="2">
        <f>HYPERLINK(URLs!B30 &amp; 16592 &amp; URLs!B32,16592)</f>
        <v>16592</v>
      </c>
      <c r="C436" t="s">
        <v>633</v>
      </c>
      <c r="D436" t="s">
        <v>619</v>
      </c>
      <c r="E436" t="s">
        <v>850</v>
      </c>
      <c r="F436" t="s">
        <v>621</v>
      </c>
      <c r="G436" t="s">
        <v>853</v>
      </c>
      <c r="H436" t="s">
        <v>908</v>
      </c>
      <c r="I436" t="s">
        <v>624</v>
      </c>
      <c r="J436" t="s">
        <v>642</v>
      </c>
      <c r="L436" s="5">
        <v>42782</v>
      </c>
      <c r="M436" s="5">
        <v>43073.690844907411</v>
      </c>
      <c r="N436" s="2">
        <f>HYPERLINK(URLs!B36 &amp; 83395,83395)</f>
        <v>83395</v>
      </c>
      <c r="O436" t="s">
        <v>645</v>
      </c>
      <c r="P436" t="s">
        <v>621</v>
      </c>
      <c r="Q436" t="s">
        <v>998</v>
      </c>
    </row>
    <row r="437" spans="1:26" hidden="1" x14ac:dyDescent="0.25">
      <c r="A437" s="2"/>
      <c r="B437" s="2">
        <f>HYPERLINK(URLs!B30 &amp; 16577 &amp; URLs!B32,16577)</f>
        <v>16577</v>
      </c>
      <c r="C437" t="s">
        <v>665</v>
      </c>
      <c r="D437" t="s">
        <v>619</v>
      </c>
      <c r="E437" t="s">
        <v>850</v>
      </c>
      <c r="F437" t="s">
        <v>621</v>
      </c>
      <c r="G437" t="s">
        <v>851</v>
      </c>
      <c r="H437" t="s">
        <v>852</v>
      </c>
      <c r="I437" t="s">
        <v>624</v>
      </c>
      <c r="J437" t="s">
        <v>625</v>
      </c>
      <c r="L437" s="5">
        <v>42782</v>
      </c>
      <c r="M437" s="5">
        <v>42964.293055555558</v>
      </c>
      <c r="N437" s="2">
        <f>HYPERLINK(URLs!B36 &amp; 97788,97788)</f>
        <v>97788</v>
      </c>
      <c r="O437" t="s">
        <v>636</v>
      </c>
      <c r="P437" t="s">
        <v>621</v>
      </c>
      <c r="Q437" t="s">
        <v>999</v>
      </c>
      <c r="W437">
        <v>1</v>
      </c>
    </row>
    <row r="438" spans="1:26" hidden="1" x14ac:dyDescent="0.25">
      <c r="A438" s="2">
        <f>HYPERLINK(URLs!B36 &amp; 95967,95967)</f>
        <v>95967</v>
      </c>
      <c r="B438" s="2">
        <f>HYPERLINK(URLs!B30 &amp; 16394 &amp; URLs!B32,16394)</f>
        <v>16394</v>
      </c>
      <c r="C438" t="s">
        <v>633</v>
      </c>
      <c r="D438" t="s">
        <v>619</v>
      </c>
      <c r="E438" t="s">
        <v>620</v>
      </c>
      <c r="F438" t="s">
        <v>621</v>
      </c>
      <c r="G438" t="s">
        <v>622</v>
      </c>
      <c r="H438" t="s">
        <v>623</v>
      </c>
      <c r="I438" t="s">
        <v>624</v>
      </c>
      <c r="J438" t="s">
        <v>629</v>
      </c>
      <c r="K438" t="s">
        <v>31</v>
      </c>
      <c r="L438" s="5">
        <v>42781</v>
      </c>
      <c r="M438" s="5">
        <v>43111.37128472222</v>
      </c>
      <c r="N438" s="2">
        <f>HYPERLINK(URLs!B36 &amp; 96032,96032)</f>
        <v>96032</v>
      </c>
      <c r="O438" t="s">
        <v>636</v>
      </c>
      <c r="P438" t="s">
        <v>621</v>
      </c>
      <c r="Q438" t="s">
        <v>693</v>
      </c>
      <c r="R438" t="s">
        <v>305</v>
      </c>
      <c r="S438" t="s">
        <v>304</v>
      </c>
      <c r="T438" t="s">
        <v>4163</v>
      </c>
      <c r="U438" t="s">
        <v>4018</v>
      </c>
      <c r="V438" t="s">
        <v>35</v>
      </c>
      <c r="Z438" t="s">
        <v>73</v>
      </c>
    </row>
    <row r="439" spans="1:26" hidden="1" x14ac:dyDescent="0.25">
      <c r="A439" s="2"/>
      <c r="B439" s="2">
        <f>HYPERLINK(URLs!B30 &amp; 16214 &amp; URLs!B32,16214)</f>
        <v>16214</v>
      </c>
      <c r="C439" t="s">
        <v>665</v>
      </c>
      <c r="D439" t="s">
        <v>619</v>
      </c>
      <c r="E439" t="s">
        <v>850</v>
      </c>
      <c r="F439" t="s">
        <v>621</v>
      </c>
      <c r="G439" t="s">
        <v>855</v>
      </c>
      <c r="H439" t="s">
        <v>856</v>
      </c>
      <c r="I439" t="s">
        <v>624</v>
      </c>
      <c r="J439" t="s">
        <v>625</v>
      </c>
      <c r="L439" s="5">
        <v>42779</v>
      </c>
      <c r="M439" s="5">
        <v>43354.679166666669</v>
      </c>
      <c r="N439" s="2">
        <f>HYPERLINK(URLs!B36 &amp; 87678,87678)</f>
        <v>87678</v>
      </c>
      <c r="O439" t="s">
        <v>636</v>
      </c>
      <c r="P439" t="s">
        <v>621</v>
      </c>
      <c r="Q439" t="s">
        <v>1000</v>
      </c>
    </row>
    <row r="440" spans="1:26" hidden="1" x14ac:dyDescent="0.25">
      <c r="A440" s="2">
        <f>HYPERLINK(URLs!B36 &amp; 95765,95765)</f>
        <v>95765</v>
      </c>
      <c r="B440" s="2">
        <f>HYPERLINK(URLs!B30 &amp; 16212 &amp; URLs!B32,16212)</f>
        <v>16212</v>
      </c>
      <c r="C440" t="s">
        <v>633</v>
      </c>
      <c r="D440" t="s">
        <v>619</v>
      </c>
      <c r="E440" t="s">
        <v>620</v>
      </c>
      <c r="F440" t="s">
        <v>621</v>
      </c>
      <c r="G440" t="s">
        <v>631</v>
      </c>
      <c r="H440" t="s">
        <v>632</v>
      </c>
      <c r="I440" t="s">
        <v>624</v>
      </c>
      <c r="J440" t="s">
        <v>629</v>
      </c>
      <c r="K440" t="s">
        <v>68</v>
      </c>
      <c r="L440" s="5">
        <v>42779</v>
      </c>
      <c r="M440" s="5">
        <v>43297.650092592594</v>
      </c>
      <c r="N440" s="2">
        <f>HYPERLINK(URLs!B36 &amp; 95765,95765)</f>
        <v>95765</v>
      </c>
      <c r="O440" t="s">
        <v>645</v>
      </c>
      <c r="P440" t="s">
        <v>621</v>
      </c>
      <c r="Q440" t="s">
        <v>694</v>
      </c>
      <c r="R440" t="s">
        <v>42</v>
      </c>
      <c r="T440" t="s">
        <v>4166</v>
      </c>
      <c r="U440" t="s">
        <v>35</v>
      </c>
      <c r="V440" t="s">
        <v>35</v>
      </c>
      <c r="Z440" t="s">
        <v>45</v>
      </c>
    </row>
    <row r="441" spans="1:26" hidden="1" x14ac:dyDescent="0.25">
      <c r="A441" s="2"/>
      <c r="B441" s="2">
        <f>HYPERLINK(URLs!B30 &amp; 15608 &amp; URLs!B32,15608)</f>
        <v>15608</v>
      </c>
      <c r="C441" t="s">
        <v>665</v>
      </c>
      <c r="D441" t="s">
        <v>619</v>
      </c>
      <c r="E441" t="s">
        <v>850</v>
      </c>
      <c r="F441" t="s">
        <v>621</v>
      </c>
      <c r="G441" t="s">
        <v>889</v>
      </c>
      <c r="H441" t="s">
        <v>890</v>
      </c>
      <c r="I441" t="s">
        <v>624</v>
      </c>
      <c r="J441" t="s">
        <v>642</v>
      </c>
      <c r="L441" s="5">
        <v>42774</v>
      </c>
      <c r="M441" s="5">
        <v>43395.588194444441</v>
      </c>
      <c r="N441" s="2">
        <f>HYPERLINK(URLs!B36 &amp; 92403,92403)</f>
        <v>92403</v>
      </c>
      <c r="O441" t="s">
        <v>636</v>
      </c>
      <c r="P441" t="s">
        <v>621</v>
      </c>
      <c r="Q441" t="s">
        <v>1001</v>
      </c>
    </row>
    <row r="442" spans="1:26" hidden="1" x14ac:dyDescent="0.25">
      <c r="A442" s="2"/>
      <c r="B442" s="2">
        <f>HYPERLINK(URLs!B30 &amp; 15564 &amp; URLs!B32,15564)</f>
        <v>15564</v>
      </c>
      <c r="C442" t="s">
        <v>665</v>
      </c>
      <c r="D442" t="s">
        <v>619</v>
      </c>
      <c r="E442" t="s">
        <v>850</v>
      </c>
      <c r="F442" t="s">
        <v>621</v>
      </c>
      <c r="G442" t="s">
        <v>867</v>
      </c>
      <c r="H442" t="s">
        <v>868</v>
      </c>
      <c r="I442" t="s">
        <v>624</v>
      </c>
      <c r="J442" t="s">
        <v>625</v>
      </c>
      <c r="L442" s="5">
        <v>42768</v>
      </c>
      <c r="M442" s="5">
        <v>42822</v>
      </c>
      <c r="N442" s="2">
        <f>HYPERLINK(URLs!B36 &amp; 96531,96531)</f>
        <v>96531</v>
      </c>
      <c r="O442" t="s">
        <v>636</v>
      </c>
      <c r="P442" t="s">
        <v>621</v>
      </c>
      <c r="Q442" t="s">
        <v>1002</v>
      </c>
      <c r="R442" t="s">
        <v>305</v>
      </c>
      <c r="W442">
        <v>1</v>
      </c>
    </row>
    <row r="443" spans="1:26" hidden="1" x14ac:dyDescent="0.25">
      <c r="A443" s="2"/>
      <c r="B443" s="2">
        <f>HYPERLINK(URLs!B30 &amp; 13247 &amp; URLs!B32,13247)</f>
        <v>13247</v>
      </c>
      <c r="C443" t="s">
        <v>633</v>
      </c>
      <c r="D443" t="s">
        <v>619</v>
      </c>
      <c r="E443" t="s">
        <v>850</v>
      </c>
      <c r="F443" t="s">
        <v>621</v>
      </c>
      <c r="G443" t="s">
        <v>855</v>
      </c>
      <c r="H443" t="s">
        <v>856</v>
      </c>
      <c r="I443" t="s">
        <v>624</v>
      </c>
      <c r="J443" t="s">
        <v>625</v>
      </c>
      <c r="L443" s="5">
        <v>42765</v>
      </c>
      <c r="M443" s="5">
        <v>42851.543124999997</v>
      </c>
      <c r="N443" s="2">
        <f>HYPERLINK(URLs!B36 &amp; 95606,95606)</f>
        <v>95606</v>
      </c>
      <c r="O443" t="s">
        <v>636</v>
      </c>
      <c r="P443" t="s">
        <v>621</v>
      </c>
      <c r="Q443" t="s">
        <v>1003</v>
      </c>
      <c r="R443" t="s">
        <v>305</v>
      </c>
    </row>
    <row r="444" spans="1:26" hidden="1" x14ac:dyDescent="0.25">
      <c r="A444" s="2"/>
      <c r="B444" s="2">
        <f>HYPERLINK(URLs!B30 &amp; 13217 &amp; URLs!B32,13217)</f>
        <v>13217</v>
      </c>
      <c r="C444" t="s">
        <v>665</v>
      </c>
      <c r="D444" t="s">
        <v>619</v>
      </c>
      <c r="E444" t="s">
        <v>850</v>
      </c>
      <c r="F444" t="s">
        <v>621</v>
      </c>
      <c r="G444" t="s">
        <v>853</v>
      </c>
      <c r="H444" t="s">
        <v>908</v>
      </c>
      <c r="I444" t="s">
        <v>624</v>
      </c>
      <c r="J444" t="s">
        <v>629</v>
      </c>
      <c r="L444" s="5">
        <v>42760</v>
      </c>
      <c r="M444" s="5">
        <v>43036.688194444447</v>
      </c>
      <c r="N444" s="2">
        <f>HYPERLINK(URLs!B36 &amp; 93862,93862)</f>
        <v>93862</v>
      </c>
      <c r="O444" t="s">
        <v>636</v>
      </c>
      <c r="P444" t="s">
        <v>621</v>
      </c>
      <c r="Q444" t="s">
        <v>1004</v>
      </c>
    </row>
    <row r="445" spans="1:26" x14ac:dyDescent="0.25">
      <c r="A445" s="2">
        <f>HYPERLINK(URLs!B36 &amp; 94912,94912)</f>
        <v>94912</v>
      </c>
      <c r="B445" s="2">
        <f>HYPERLINK(URLs!B30 &amp; 13205 &amp; URLs!B32,13205)</f>
        <v>13205</v>
      </c>
      <c r="C445" t="s">
        <v>618</v>
      </c>
      <c r="D445" t="s">
        <v>619</v>
      </c>
      <c r="E445" t="s">
        <v>620</v>
      </c>
      <c r="F445" t="s">
        <v>621</v>
      </c>
      <c r="G445" t="s">
        <v>622</v>
      </c>
      <c r="H445" t="s">
        <v>623</v>
      </c>
      <c r="I445" t="s">
        <v>624</v>
      </c>
      <c r="J445" t="s">
        <v>629</v>
      </c>
      <c r="K445" t="s">
        <v>68</v>
      </c>
      <c r="L445" s="5">
        <v>42759</v>
      </c>
      <c r="N445" s="2">
        <f>HYPERLINK(URLs!B36 &amp; 101035,101035)</f>
        <v>101035</v>
      </c>
      <c r="O445" t="s">
        <v>637</v>
      </c>
      <c r="P445" t="s">
        <v>621</v>
      </c>
      <c r="Q445" t="s">
        <v>4658</v>
      </c>
      <c r="R445" t="s">
        <v>305</v>
      </c>
      <c r="S445" t="s">
        <v>337</v>
      </c>
      <c r="T445" t="s">
        <v>4156</v>
      </c>
      <c r="U445" t="s">
        <v>35</v>
      </c>
      <c r="V445" t="s">
        <v>35</v>
      </c>
      <c r="Z445" t="s">
        <v>73</v>
      </c>
    </row>
    <row r="446" spans="1:26" hidden="1" x14ac:dyDescent="0.25">
      <c r="A446" s="2">
        <f>HYPERLINK(URLs!B36 &amp; 94968,94968)</f>
        <v>94968</v>
      </c>
      <c r="B446" s="2">
        <f>HYPERLINK(URLs!B30 &amp; 13204 &amp; URLs!B32,13204)</f>
        <v>13204</v>
      </c>
      <c r="C446" t="s">
        <v>665</v>
      </c>
      <c r="D446" t="s">
        <v>619</v>
      </c>
      <c r="E446" t="s">
        <v>620</v>
      </c>
      <c r="F446" t="s">
        <v>621</v>
      </c>
      <c r="G446" t="s">
        <v>622</v>
      </c>
      <c r="H446" t="s">
        <v>623</v>
      </c>
      <c r="I446" t="s">
        <v>624</v>
      </c>
      <c r="J446" t="s">
        <v>629</v>
      </c>
      <c r="K446" t="s">
        <v>31</v>
      </c>
      <c r="L446" s="5">
        <v>42759</v>
      </c>
      <c r="M446" s="5">
        <v>43287.349305555559</v>
      </c>
      <c r="N446" s="2">
        <f>HYPERLINK(URLs!B36 &amp; 97636,97636)</f>
        <v>97636</v>
      </c>
      <c r="O446" t="s">
        <v>636</v>
      </c>
      <c r="P446" t="s">
        <v>621</v>
      </c>
      <c r="Q446" t="s">
        <v>695</v>
      </c>
      <c r="R446" t="s">
        <v>319</v>
      </c>
      <c r="S446" t="s">
        <v>304</v>
      </c>
      <c r="T446" t="s">
        <v>4171</v>
      </c>
      <c r="U446" t="s">
        <v>4003</v>
      </c>
      <c r="V446" t="s">
        <v>35</v>
      </c>
      <c r="Z446" t="s">
        <v>73</v>
      </c>
    </row>
    <row r="447" spans="1:26" hidden="1" x14ac:dyDescent="0.25">
      <c r="A447" s="2">
        <f>HYPERLINK(URLs!B36 &amp; 94841,94841)</f>
        <v>94841</v>
      </c>
      <c r="B447" s="2">
        <f>HYPERLINK(URLs!B30 &amp; 13192 &amp; URLs!B32,13192)</f>
        <v>13192</v>
      </c>
      <c r="C447" t="s">
        <v>665</v>
      </c>
      <c r="D447" t="s">
        <v>619</v>
      </c>
      <c r="E447" t="s">
        <v>850</v>
      </c>
      <c r="F447" t="s">
        <v>621</v>
      </c>
      <c r="G447" t="s">
        <v>962</v>
      </c>
      <c r="H447" t="s">
        <v>887</v>
      </c>
      <c r="I447" t="s">
        <v>624</v>
      </c>
      <c r="J447" t="s">
        <v>629</v>
      </c>
      <c r="K447" t="s">
        <v>68</v>
      </c>
      <c r="L447" s="5">
        <v>42758</v>
      </c>
      <c r="M447" s="5">
        <v>42845.397222222222</v>
      </c>
      <c r="N447" s="2">
        <f>HYPERLINK(URLs!B36 &amp; 94841,94841)</f>
        <v>94841</v>
      </c>
      <c r="O447" t="s">
        <v>636</v>
      </c>
      <c r="P447" t="s">
        <v>621</v>
      </c>
      <c r="Q447" t="s">
        <v>1005</v>
      </c>
      <c r="R447" t="s">
        <v>305</v>
      </c>
      <c r="S447" t="s">
        <v>304</v>
      </c>
      <c r="T447" t="s">
        <v>4165</v>
      </c>
      <c r="U447" t="s">
        <v>35</v>
      </c>
      <c r="V447" t="s">
        <v>35</v>
      </c>
      <c r="Z447" t="s">
        <v>34</v>
      </c>
    </row>
    <row r="448" spans="1:26" x14ac:dyDescent="0.25">
      <c r="A448" s="2">
        <f>HYPERLINK(URLs!B36 &amp; 94830,94830)</f>
        <v>94830</v>
      </c>
      <c r="B448" s="2">
        <f>HYPERLINK(URLs!B30 &amp; 13183 &amp; URLs!B32,13183)</f>
        <v>13183</v>
      </c>
      <c r="C448" t="s">
        <v>641</v>
      </c>
      <c r="D448" t="s">
        <v>619</v>
      </c>
      <c r="E448" t="s">
        <v>620</v>
      </c>
      <c r="F448" t="s">
        <v>621</v>
      </c>
      <c r="G448" t="s">
        <v>622</v>
      </c>
      <c r="H448" t="s">
        <v>623</v>
      </c>
      <c r="I448" t="s">
        <v>624</v>
      </c>
      <c r="J448" t="s">
        <v>625</v>
      </c>
      <c r="K448" t="s">
        <v>31</v>
      </c>
      <c r="L448" s="5">
        <v>42755</v>
      </c>
      <c r="N448" s="2">
        <f>HYPERLINK(URLs!B36 &amp; 106447,106447)</f>
        <v>106447</v>
      </c>
      <c r="O448" t="s">
        <v>637</v>
      </c>
      <c r="P448" t="s">
        <v>621</v>
      </c>
      <c r="Q448" t="s">
        <v>696</v>
      </c>
      <c r="R448" t="s">
        <v>319</v>
      </c>
      <c r="S448" t="s">
        <v>353</v>
      </c>
      <c r="T448" t="s">
        <v>4098</v>
      </c>
      <c r="U448" t="s">
        <v>35</v>
      </c>
      <c r="V448" t="s">
        <v>321</v>
      </c>
      <c r="W448">
        <v>1</v>
      </c>
      <c r="Z448" t="s">
        <v>73</v>
      </c>
    </row>
    <row r="449" spans="1:26" hidden="1" x14ac:dyDescent="0.25">
      <c r="A449" s="2"/>
      <c r="B449" s="2">
        <f>HYPERLINK(URLs!B30 &amp; 13180 &amp; URLs!B32,13180)</f>
        <v>13180</v>
      </c>
      <c r="C449" t="s">
        <v>633</v>
      </c>
      <c r="D449" t="s">
        <v>619</v>
      </c>
      <c r="E449" t="s">
        <v>850</v>
      </c>
      <c r="F449" t="s">
        <v>621</v>
      </c>
      <c r="G449" t="s">
        <v>875</v>
      </c>
      <c r="H449" t="s">
        <v>876</v>
      </c>
      <c r="I449" t="s">
        <v>624</v>
      </c>
      <c r="J449" t="s">
        <v>629</v>
      </c>
      <c r="L449" s="5">
        <v>42755</v>
      </c>
      <c r="M449" s="5">
        <v>43234.539826388886</v>
      </c>
      <c r="N449" s="2">
        <f>HYPERLINK(URLs!B36 &amp; 104769,104769)</f>
        <v>104769</v>
      </c>
      <c r="O449" t="s">
        <v>636</v>
      </c>
      <c r="P449" t="s">
        <v>621</v>
      </c>
      <c r="Q449" t="s">
        <v>1006</v>
      </c>
      <c r="R449" t="s">
        <v>305</v>
      </c>
    </row>
    <row r="450" spans="1:26" hidden="1" x14ac:dyDescent="0.25">
      <c r="A450" s="2"/>
      <c r="B450" s="2">
        <f>HYPERLINK(URLs!B30 &amp; 13086 &amp; URLs!B32,13086)</f>
        <v>13086</v>
      </c>
      <c r="C450" t="s">
        <v>665</v>
      </c>
      <c r="D450" t="s">
        <v>619</v>
      </c>
      <c r="E450" t="s">
        <v>850</v>
      </c>
      <c r="F450" t="s">
        <v>621</v>
      </c>
      <c r="G450" t="s">
        <v>855</v>
      </c>
      <c r="H450" t="s">
        <v>856</v>
      </c>
      <c r="I450" t="s">
        <v>624</v>
      </c>
      <c r="J450" t="s">
        <v>625</v>
      </c>
      <c r="L450" s="5">
        <v>42752</v>
      </c>
      <c r="M450" s="5">
        <v>43332.287499999999</v>
      </c>
      <c r="N450" s="2">
        <f>HYPERLINK(URLs!B36 &amp; 104775,104775)</f>
        <v>104775</v>
      </c>
      <c r="O450" t="s">
        <v>636</v>
      </c>
      <c r="P450" t="s">
        <v>621</v>
      </c>
      <c r="Q450" t="s">
        <v>1007</v>
      </c>
    </row>
    <row r="451" spans="1:26" hidden="1" x14ac:dyDescent="0.25">
      <c r="A451" s="2"/>
      <c r="B451" s="2">
        <f>HYPERLINK(URLs!B30 &amp; 13002 &amp; URLs!B32,13002)</f>
        <v>13002</v>
      </c>
      <c r="C451" t="s">
        <v>665</v>
      </c>
      <c r="D451" t="s">
        <v>619</v>
      </c>
      <c r="E451" t="s">
        <v>850</v>
      </c>
      <c r="F451" t="s">
        <v>621</v>
      </c>
      <c r="G451" t="s">
        <v>875</v>
      </c>
      <c r="H451" t="s">
        <v>876</v>
      </c>
      <c r="I451" t="s">
        <v>624</v>
      </c>
      <c r="J451" t="s">
        <v>642</v>
      </c>
      <c r="L451" s="5">
        <v>42746</v>
      </c>
      <c r="M451" s="5">
        <v>42877.579861111109</v>
      </c>
      <c r="N451" s="2">
        <f>HYPERLINK(URLs!B36 &amp; 91618,91618)</f>
        <v>91618</v>
      </c>
      <c r="O451" t="s">
        <v>645</v>
      </c>
      <c r="P451" t="s">
        <v>621</v>
      </c>
      <c r="Q451" t="s">
        <v>1008</v>
      </c>
    </row>
    <row r="452" spans="1:26" hidden="1" x14ac:dyDescent="0.25">
      <c r="A452" s="2"/>
      <c r="B452" s="2">
        <f>HYPERLINK(URLs!B30 &amp; 12948 &amp; URLs!B32,12948)</f>
        <v>12948</v>
      </c>
      <c r="C452" t="s">
        <v>633</v>
      </c>
      <c r="D452" t="s">
        <v>619</v>
      </c>
      <c r="E452" t="s">
        <v>850</v>
      </c>
      <c r="F452" t="s">
        <v>621</v>
      </c>
      <c r="G452" t="s">
        <v>863</v>
      </c>
      <c r="H452" t="s">
        <v>621</v>
      </c>
      <c r="I452" t="s">
        <v>624</v>
      </c>
      <c r="J452" t="s">
        <v>642</v>
      </c>
      <c r="L452" s="5">
        <v>42744</v>
      </c>
      <c r="M452" s="5">
        <v>42822</v>
      </c>
      <c r="N452" s="2">
        <f>HYPERLINK(URLs!B36 &amp; 93150,93150)</f>
        <v>93150</v>
      </c>
      <c r="O452" t="s">
        <v>636</v>
      </c>
      <c r="P452" t="s">
        <v>621</v>
      </c>
      <c r="Q452" t="s">
        <v>1009</v>
      </c>
    </row>
    <row r="453" spans="1:26" hidden="1" x14ac:dyDescent="0.25">
      <c r="A453" s="2"/>
      <c r="B453" s="2">
        <f>HYPERLINK(URLs!B30 &amp; 12899 &amp; URLs!B32,12899)</f>
        <v>12899</v>
      </c>
      <c r="C453" t="s">
        <v>633</v>
      </c>
      <c r="D453" t="s">
        <v>619</v>
      </c>
      <c r="E453" t="s">
        <v>620</v>
      </c>
      <c r="F453" t="s">
        <v>621</v>
      </c>
      <c r="G453" t="s">
        <v>643</v>
      </c>
      <c r="H453" t="s">
        <v>644</v>
      </c>
      <c r="I453" t="s">
        <v>624</v>
      </c>
      <c r="J453" t="s">
        <v>625</v>
      </c>
      <c r="L453" s="5">
        <v>42739</v>
      </c>
      <c r="M453" s="5">
        <v>43046.375057870369</v>
      </c>
      <c r="N453" s="2">
        <f>HYPERLINK(URLs!B36 &amp; 94173,94173)</f>
        <v>94173</v>
      </c>
      <c r="O453" t="s">
        <v>636</v>
      </c>
      <c r="P453" t="s">
        <v>621</v>
      </c>
      <c r="Q453" t="s">
        <v>697</v>
      </c>
      <c r="R453" t="s">
        <v>305</v>
      </c>
    </row>
    <row r="454" spans="1:26" hidden="1" x14ac:dyDescent="0.25">
      <c r="A454" s="2"/>
      <c r="B454" s="2">
        <f>HYPERLINK(URLs!B30 &amp; 12896 &amp; URLs!B32,12896)</f>
        <v>12896</v>
      </c>
      <c r="C454" t="s">
        <v>633</v>
      </c>
      <c r="D454" t="s">
        <v>619</v>
      </c>
      <c r="E454" t="s">
        <v>850</v>
      </c>
      <c r="F454" t="s">
        <v>621</v>
      </c>
      <c r="G454" t="s">
        <v>962</v>
      </c>
      <c r="H454" t="s">
        <v>887</v>
      </c>
      <c r="I454" t="s">
        <v>624</v>
      </c>
      <c r="J454" t="s">
        <v>629</v>
      </c>
      <c r="L454" s="5">
        <v>42739</v>
      </c>
      <c r="M454" s="5">
        <v>42822</v>
      </c>
      <c r="N454" s="2">
        <f>HYPERLINK(URLs!B36 &amp; 89686,89686)</f>
        <v>89686</v>
      </c>
      <c r="O454" t="s">
        <v>636</v>
      </c>
      <c r="P454" t="s">
        <v>621</v>
      </c>
      <c r="Q454" t="s">
        <v>1010</v>
      </c>
    </row>
    <row r="455" spans="1:26" hidden="1" x14ac:dyDescent="0.25">
      <c r="A455" s="2">
        <f>HYPERLINK(URLs!B36 &amp; 94085,94085)</f>
        <v>94085</v>
      </c>
      <c r="B455" s="2">
        <f>HYPERLINK(URLs!B30 &amp; 12887 &amp; URLs!B32,12887)</f>
        <v>12887</v>
      </c>
      <c r="C455" t="s">
        <v>633</v>
      </c>
      <c r="D455" t="s">
        <v>619</v>
      </c>
      <c r="E455" t="s">
        <v>620</v>
      </c>
      <c r="F455" t="s">
        <v>621</v>
      </c>
      <c r="G455" t="s">
        <v>622</v>
      </c>
      <c r="H455" t="s">
        <v>623</v>
      </c>
      <c r="I455" t="s">
        <v>624</v>
      </c>
      <c r="J455" t="s">
        <v>625</v>
      </c>
      <c r="K455" t="s">
        <v>68</v>
      </c>
      <c r="L455" s="5">
        <v>42738</v>
      </c>
      <c r="M455" s="5">
        <v>43297.632928240739</v>
      </c>
      <c r="N455" s="2">
        <f>HYPERLINK(URLs!B37 &amp; 193991,193991)</f>
        <v>193991</v>
      </c>
      <c r="O455" t="s">
        <v>636</v>
      </c>
      <c r="P455" t="s">
        <v>621</v>
      </c>
      <c r="Q455" t="s">
        <v>698</v>
      </c>
      <c r="R455" t="s">
        <v>305</v>
      </c>
      <c r="S455" t="s">
        <v>395</v>
      </c>
      <c r="T455" t="s">
        <v>133</v>
      </c>
      <c r="U455" t="s">
        <v>35</v>
      </c>
      <c r="V455" t="s">
        <v>35</v>
      </c>
      <c r="W455">
        <v>1</v>
      </c>
      <c r="Z455" t="s">
        <v>2529</v>
      </c>
    </row>
    <row r="456" spans="1:26" hidden="1" x14ac:dyDescent="0.25">
      <c r="A456" s="2">
        <f>HYPERLINK(URLs!B36 &amp; 94074,94074)</f>
        <v>94074</v>
      </c>
      <c r="B456" s="2">
        <f>HYPERLINK(URLs!B30 &amp; 12886 &amp; URLs!B32,12886)</f>
        <v>12886</v>
      </c>
      <c r="C456" t="s">
        <v>665</v>
      </c>
      <c r="D456" t="s">
        <v>619</v>
      </c>
      <c r="E456" t="s">
        <v>620</v>
      </c>
      <c r="F456" t="s">
        <v>621</v>
      </c>
      <c r="G456" t="s">
        <v>622</v>
      </c>
      <c r="H456" t="s">
        <v>623</v>
      </c>
      <c r="I456" t="s">
        <v>624</v>
      </c>
      <c r="J456" t="s">
        <v>625</v>
      </c>
      <c r="K456" t="s">
        <v>31</v>
      </c>
      <c r="L456" s="5">
        <v>42738</v>
      </c>
      <c r="M456" s="5">
        <v>43287.347916666666</v>
      </c>
      <c r="N456" s="2">
        <f>HYPERLINK(URLs!B36 &amp; 99290,99290)</f>
        <v>99290</v>
      </c>
      <c r="O456" t="s">
        <v>636</v>
      </c>
      <c r="P456" t="s">
        <v>621</v>
      </c>
      <c r="Q456" t="s">
        <v>699</v>
      </c>
      <c r="R456" t="s">
        <v>305</v>
      </c>
      <c r="S456" t="s">
        <v>304</v>
      </c>
      <c r="T456" t="s">
        <v>4172</v>
      </c>
      <c r="U456" t="s">
        <v>4023</v>
      </c>
      <c r="V456" t="s">
        <v>321</v>
      </c>
      <c r="W456">
        <v>1</v>
      </c>
      <c r="Z456" t="s">
        <v>96</v>
      </c>
    </row>
    <row r="457" spans="1:26" hidden="1" x14ac:dyDescent="0.25">
      <c r="A457" s="2"/>
      <c r="B457" s="2">
        <f>HYPERLINK(URLs!B30 &amp; 12863 &amp; URLs!B32,12863)</f>
        <v>12863</v>
      </c>
      <c r="C457" t="s">
        <v>633</v>
      </c>
      <c r="D457" t="s">
        <v>619</v>
      </c>
      <c r="E457" t="s">
        <v>850</v>
      </c>
      <c r="F457" t="s">
        <v>1011</v>
      </c>
      <c r="G457" t="s">
        <v>870</v>
      </c>
      <c r="H457" t="s">
        <v>871</v>
      </c>
      <c r="I457" t="s">
        <v>624</v>
      </c>
      <c r="J457" t="s">
        <v>629</v>
      </c>
      <c r="L457" s="5">
        <v>42726</v>
      </c>
      <c r="M457" s="5">
        <v>43119.195</v>
      </c>
      <c r="N457" s="2">
        <f>HYPERLINK(URLs!B36 &amp; 94212,94212)</f>
        <v>94212</v>
      </c>
      <c r="O457" t="s">
        <v>640</v>
      </c>
      <c r="P457" t="s">
        <v>621</v>
      </c>
      <c r="Q457" t="s">
        <v>1012</v>
      </c>
      <c r="R457" t="s">
        <v>305</v>
      </c>
    </row>
    <row r="458" spans="1:26" hidden="1" x14ac:dyDescent="0.25">
      <c r="A458" s="2"/>
      <c r="B458" s="2">
        <f>HYPERLINK(URLs!B30 &amp; 12862 &amp; URLs!B32,12862)</f>
        <v>12862</v>
      </c>
      <c r="C458" t="s">
        <v>633</v>
      </c>
      <c r="D458" t="s">
        <v>619</v>
      </c>
      <c r="E458" t="s">
        <v>850</v>
      </c>
      <c r="F458" t="s">
        <v>621</v>
      </c>
      <c r="G458" t="s">
        <v>863</v>
      </c>
      <c r="H458" t="s">
        <v>864</v>
      </c>
      <c r="I458" t="s">
        <v>624</v>
      </c>
      <c r="J458" t="s">
        <v>642</v>
      </c>
      <c r="L458" s="5">
        <v>42726</v>
      </c>
      <c r="M458" s="5">
        <v>42949.596226851849</v>
      </c>
      <c r="N458" s="2">
        <f>HYPERLINK(URLs!B36 &amp; 94046,94046)</f>
        <v>94046</v>
      </c>
      <c r="O458" t="s">
        <v>645</v>
      </c>
      <c r="P458" t="s">
        <v>621</v>
      </c>
      <c r="Q458" t="s">
        <v>1013</v>
      </c>
    </row>
    <row r="459" spans="1:26" hidden="1" x14ac:dyDescent="0.25">
      <c r="A459" s="2">
        <f>HYPERLINK(URLs!B36 &amp; 93901,93901)</f>
        <v>93901</v>
      </c>
      <c r="B459" s="2">
        <f>HYPERLINK(URLs!B30 &amp; 12846 &amp; URLs!B32,12846)</f>
        <v>12846</v>
      </c>
      <c r="C459" t="s">
        <v>665</v>
      </c>
      <c r="D459" t="s">
        <v>619</v>
      </c>
      <c r="E459" t="s">
        <v>620</v>
      </c>
      <c r="F459" t="s">
        <v>621</v>
      </c>
      <c r="G459" t="s">
        <v>631</v>
      </c>
      <c r="H459" t="s">
        <v>632</v>
      </c>
      <c r="I459" t="s">
        <v>624</v>
      </c>
      <c r="J459" t="s">
        <v>629</v>
      </c>
      <c r="K459" t="s">
        <v>68</v>
      </c>
      <c r="L459" s="5">
        <v>42724</v>
      </c>
      <c r="M459" s="5">
        <v>43111.534722222219</v>
      </c>
      <c r="N459" s="2">
        <f>HYPERLINK(URLs!B36 &amp; 93901,93901)</f>
        <v>93901</v>
      </c>
      <c r="O459" t="s">
        <v>636</v>
      </c>
      <c r="P459" t="s">
        <v>621</v>
      </c>
      <c r="Q459" t="s">
        <v>700</v>
      </c>
      <c r="R459" t="s">
        <v>305</v>
      </c>
      <c r="S459" t="s">
        <v>304</v>
      </c>
      <c r="T459" t="s">
        <v>4143</v>
      </c>
      <c r="U459" t="s">
        <v>3982</v>
      </c>
      <c r="V459" t="s">
        <v>35</v>
      </c>
      <c r="Z459" t="s">
        <v>34</v>
      </c>
    </row>
    <row r="460" spans="1:26" hidden="1" x14ac:dyDescent="0.25">
      <c r="A460" s="2"/>
      <c r="B460" s="2">
        <f>HYPERLINK(URLs!B30 &amp; 12839 &amp; URLs!B32,12839)</f>
        <v>12839</v>
      </c>
      <c r="C460" t="s">
        <v>633</v>
      </c>
      <c r="D460" t="s">
        <v>619</v>
      </c>
      <c r="E460" t="s">
        <v>850</v>
      </c>
      <c r="F460" t="s">
        <v>621</v>
      </c>
      <c r="G460" t="s">
        <v>875</v>
      </c>
      <c r="H460" t="s">
        <v>876</v>
      </c>
      <c r="I460" t="s">
        <v>624</v>
      </c>
      <c r="J460" t="s">
        <v>629</v>
      </c>
      <c r="L460" s="5">
        <v>42723</v>
      </c>
      <c r="M460" s="5">
        <v>42877.500717592593</v>
      </c>
      <c r="N460" t="s">
        <v>621</v>
      </c>
      <c r="O460" t="s">
        <v>645</v>
      </c>
      <c r="P460" t="s">
        <v>621</v>
      </c>
      <c r="Q460" t="s">
        <v>1014</v>
      </c>
    </row>
    <row r="461" spans="1:26" hidden="1" x14ac:dyDescent="0.25">
      <c r="A461" s="2"/>
      <c r="B461" s="2">
        <f>HYPERLINK(URLs!B30 &amp; 12804 &amp; URLs!B32,12804)</f>
        <v>12804</v>
      </c>
      <c r="C461" t="s">
        <v>665</v>
      </c>
      <c r="D461" t="s">
        <v>619</v>
      </c>
      <c r="E461" t="s">
        <v>850</v>
      </c>
      <c r="F461" t="s">
        <v>621</v>
      </c>
      <c r="G461" t="s">
        <v>853</v>
      </c>
      <c r="H461" t="s">
        <v>908</v>
      </c>
      <c r="I461" t="s">
        <v>624</v>
      </c>
      <c r="J461" t="s">
        <v>625</v>
      </c>
      <c r="L461" s="5">
        <v>42719</v>
      </c>
      <c r="M461" s="5">
        <v>42828.675000000003</v>
      </c>
      <c r="N461" s="2">
        <f>HYPERLINK(URLs!B36 &amp; 93723,93723)</f>
        <v>93723</v>
      </c>
      <c r="O461" t="s">
        <v>636</v>
      </c>
      <c r="P461" t="s">
        <v>621</v>
      </c>
      <c r="Q461" t="s">
        <v>1015</v>
      </c>
      <c r="R461" t="s">
        <v>305</v>
      </c>
    </row>
    <row r="462" spans="1:26" hidden="1" x14ac:dyDescent="0.25">
      <c r="A462" s="2">
        <f>HYPERLINK(URLs!B36 &amp; 91086,91086)</f>
        <v>91086</v>
      </c>
      <c r="B462" s="2">
        <f>HYPERLINK(URLs!B30 &amp; 12685 &amp; URLs!B32,12685)</f>
        <v>12685</v>
      </c>
      <c r="C462" t="s">
        <v>665</v>
      </c>
      <c r="D462" t="s">
        <v>619</v>
      </c>
      <c r="E462" t="s">
        <v>850</v>
      </c>
      <c r="F462" t="s">
        <v>621</v>
      </c>
      <c r="G462" t="s">
        <v>851</v>
      </c>
      <c r="H462" t="s">
        <v>852</v>
      </c>
      <c r="I462" t="s">
        <v>624</v>
      </c>
      <c r="J462" t="s">
        <v>625</v>
      </c>
      <c r="K462" t="s">
        <v>31</v>
      </c>
      <c r="L462" s="5">
        <v>42716</v>
      </c>
      <c r="M462" s="5">
        <v>42964.285416666666</v>
      </c>
      <c r="N462" s="2">
        <f>HYPERLINK(URLs!B36 &amp; 99928,99928)</f>
        <v>99928</v>
      </c>
      <c r="O462" t="s">
        <v>636</v>
      </c>
      <c r="P462" t="s">
        <v>621</v>
      </c>
      <c r="Q462" t="s">
        <v>1016</v>
      </c>
      <c r="R462" t="s">
        <v>305</v>
      </c>
      <c r="S462" t="s">
        <v>304</v>
      </c>
      <c r="T462" t="s">
        <v>3661</v>
      </c>
      <c r="U462" t="s">
        <v>4007</v>
      </c>
      <c r="V462" t="s">
        <v>321</v>
      </c>
      <c r="W462">
        <v>1</v>
      </c>
      <c r="Z462" t="s">
        <v>73</v>
      </c>
    </row>
    <row r="463" spans="1:26" hidden="1" x14ac:dyDescent="0.25">
      <c r="A463" s="2"/>
      <c r="B463" s="2">
        <f>HYPERLINK(URLs!B30 &amp; 12680 &amp; URLs!B32,12680)</f>
        <v>12680</v>
      </c>
      <c r="C463" t="s">
        <v>665</v>
      </c>
      <c r="D463" t="s">
        <v>619</v>
      </c>
      <c r="E463" t="s">
        <v>850</v>
      </c>
      <c r="F463" t="s">
        <v>621</v>
      </c>
      <c r="G463" t="s">
        <v>855</v>
      </c>
      <c r="H463" t="s">
        <v>856</v>
      </c>
      <c r="I463" t="s">
        <v>624</v>
      </c>
      <c r="J463" t="s">
        <v>629</v>
      </c>
      <c r="L463" s="5">
        <v>42716</v>
      </c>
      <c r="M463" s="5">
        <v>42904.62777777778</v>
      </c>
      <c r="N463" s="2">
        <f>HYPERLINK(URLs!B36 &amp; 99174,99174)</f>
        <v>99174</v>
      </c>
      <c r="O463" t="s">
        <v>645</v>
      </c>
      <c r="P463" t="s">
        <v>621</v>
      </c>
      <c r="Q463" t="s">
        <v>1017</v>
      </c>
      <c r="R463" t="s">
        <v>305</v>
      </c>
    </row>
    <row r="464" spans="1:26" hidden="1" x14ac:dyDescent="0.25">
      <c r="A464" s="2"/>
      <c r="B464" s="2">
        <f>HYPERLINK(URLs!B30 &amp; 12625 &amp; URLs!B32,12625)</f>
        <v>12625</v>
      </c>
      <c r="C464" t="s">
        <v>665</v>
      </c>
      <c r="D464" t="s">
        <v>619</v>
      </c>
      <c r="E464" t="s">
        <v>850</v>
      </c>
      <c r="F464" t="s">
        <v>621</v>
      </c>
      <c r="G464" t="s">
        <v>855</v>
      </c>
      <c r="H464" t="s">
        <v>856</v>
      </c>
      <c r="I464" t="s">
        <v>624</v>
      </c>
      <c r="J464" t="s">
        <v>629</v>
      </c>
      <c r="L464" s="5">
        <v>42712</v>
      </c>
      <c r="M464" s="5">
        <v>43179.397222222222</v>
      </c>
      <c r="N464" s="2">
        <f>HYPERLINK(URLs!B36 &amp; 96405,96405)</f>
        <v>96405</v>
      </c>
      <c r="O464" t="s">
        <v>636</v>
      </c>
      <c r="P464" t="s">
        <v>621</v>
      </c>
      <c r="Q464" t="s">
        <v>1018</v>
      </c>
      <c r="W464">
        <v>1</v>
      </c>
    </row>
    <row r="465" spans="1:26" hidden="1" x14ac:dyDescent="0.25">
      <c r="A465" s="2"/>
      <c r="B465" s="2">
        <f>HYPERLINK(URLs!B30 &amp; 12566 &amp; URLs!B32,12566)</f>
        <v>12566</v>
      </c>
      <c r="C465" t="s">
        <v>665</v>
      </c>
      <c r="D465" t="s">
        <v>619</v>
      </c>
      <c r="E465" t="s">
        <v>850</v>
      </c>
      <c r="F465" t="s">
        <v>621</v>
      </c>
      <c r="G465" t="s">
        <v>867</v>
      </c>
      <c r="H465" t="s">
        <v>868</v>
      </c>
      <c r="I465" t="s">
        <v>624</v>
      </c>
      <c r="J465" t="s">
        <v>629</v>
      </c>
      <c r="L465" s="5">
        <v>42711</v>
      </c>
      <c r="M465" s="5">
        <v>42933.538888888892</v>
      </c>
      <c r="N465" t="s">
        <v>621</v>
      </c>
      <c r="O465" t="s">
        <v>645</v>
      </c>
      <c r="P465" t="s">
        <v>621</v>
      </c>
      <c r="Q465" t="s">
        <v>1019</v>
      </c>
      <c r="W465">
        <v>1</v>
      </c>
    </row>
    <row r="466" spans="1:26" hidden="1" x14ac:dyDescent="0.25">
      <c r="A466" s="2">
        <f>HYPERLINK(URLs!B36 &amp; 93566,93566)</f>
        <v>93566</v>
      </c>
      <c r="B466" s="2">
        <f>HYPERLINK(URLs!B30 &amp; 12561 &amp; URLs!B32,12561)</f>
        <v>12561</v>
      </c>
      <c r="C466" t="s">
        <v>665</v>
      </c>
      <c r="D466" t="s">
        <v>619</v>
      </c>
      <c r="E466" t="s">
        <v>620</v>
      </c>
      <c r="F466" t="s">
        <v>621</v>
      </c>
      <c r="G466" t="s">
        <v>622</v>
      </c>
      <c r="H466" t="s">
        <v>623</v>
      </c>
      <c r="I466" t="s">
        <v>624</v>
      </c>
      <c r="J466" t="s">
        <v>625</v>
      </c>
      <c r="K466" t="s">
        <v>31</v>
      </c>
      <c r="L466" s="5">
        <v>42711</v>
      </c>
      <c r="M466" s="5">
        <v>43046.478472222225</v>
      </c>
      <c r="N466" s="2">
        <f>HYPERLINK(URLs!B36 &amp; 93566,93566)</f>
        <v>93566</v>
      </c>
      <c r="O466" t="s">
        <v>636</v>
      </c>
      <c r="P466" t="s">
        <v>621</v>
      </c>
      <c r="Q466" t="s">
        <v>701</v>
      </c>
      <c r="R466" t="s">
        <v>305</v>
      </c>
      <c r="S466" t="s">
        <v>304</v>
      </c>
      <c r="T466" t="s">
        <v>4143</v>
      </c>
      <c r="U466" t="s">
        <v>3982</v>
      </c>
      <c r="V466" t="s">
        <v>35</v>
      </c>
      <c r="Z466" t="s">
        <v>34</v>
      </c>
    </row>
    <row r="467" spans="1:26" hidden="1" x14ac:dyDescent="0.25">
      <c r="A467" s="2"/>
      <c r="B467" s="2">
        <f>HYPERLINK(URLs!B30 &amp; 12550 &amp; URLs!B32,12550)</f>
        <v>12550</v>
      </c>
      <c r="C467" t="s">
        <v>633</v>
      </c>
      <c r="D467" t="s">
        <v>619</v>
      </c>
      <c r="E467" t="s">
        <v>620</v>
      </c>
      <c r="F467" t="s">
        <v>621</v>
      </c>
      <c r="G467" t="s">
        <v>643</v>
      </c>
      <c r="H467" t="s">
        <v>644</v>
      </c>
      <c r="I467" t="s">
        <v>624</v>
      </c>
      <c r="J467" t="s">
        <v>629</v>
      </c>
      <c r="L467" s="5">
        <v>42710</v>
      </c>
      <c r="M467" s="5">
        <v>43111.372106481482</v>
      </c>
      <c r="N467" s="2">
        <f>HYPERLINK(URLs!B37 &amp; 193158,193158)</f>
        <v>193158</v>
      </c>
      <c r="O467" t="s">
        <v>636</v>
      </c>
      <c r="P467" t="s">
        <v>621</v>
      </c>
      <c r="Q467" t="s">
        <v>702</v>
      </c>
      <c r="R467" t="s">
        <v>305</v>
      </c>
    </row>
    <row r="468" spans="1:26" hidden="1" x14ac:dyDescent="0.25">
      <c r="A468" s="2"/>
      <c r="B468" s="2">
        <f>HYPERLINK(URLs!B30 &amp; 12547 &amp; URLs!B32,12547)</f>
        <v>12547</v>
      </c>
      <c r="C468" t="s">
        <v>665</v>
      </c>
      <c r="D468" t="s">
        <v>619</v>
      </c>
      <c r="E468" t="s">
        <v>850</v>
      </c>
      <c r="F468" t="s">
        <v>621</v>
      </c>
      <c r="G468" t="s">
        <v>867</v>
      </c>
      <c r="H468" t="s">
        <v>868</v>
      </c>
      <c r="I468" t="s">
        <v>624</v>
      </c>
      <c r="J468" t="s">
        <v>629</v>
      </c>
      <c r="L468" s="5">
        <v>42710</v>
      </c>
      <c r="M468" s="5">
        <v>43117.706250000003</v>
      </c>
      <c r="N468" s="2">
        <f>HYPERLINK(URLs!B36 &amp; 94481,94481)</f>
        <v>94481</v>
      </c>
      <c r="O468" t="s">
        <v>636</v>
      </c>
      <c r="P468" t="s">
        <v>621</v>
      </c>
      <c r="Q468" t="s">
        <v>1020</v>
      </c>
    </row>
    <row r="469" spans="1:26" hidden="1" x14ac:dyDescent="0.25">
      <c r="A469" s="2"/>
      <c r="B469" s="2">
        <f>HYPERLINK(URLs!B30 &amp; 12533 &amp; URLs!B32,12533)</f>
        <v>12533</v>
      </c>
      <c r="C469" t="s">
        <v>633</v>
      </c>
      <c r="D469" t="s">
        <v>619</v>
      </c>
      <c r="E469" t="s">
        <v>850</v>
      </c>
      <c r="F469" t="s">
        <v>621</v>
      </c>
      <c r="G469" t="s">
        <v>855</v>
      </c>
      <c r="H469" t="s">
        <v>856</v>
      </c>
      <c r="I469" t="s">
        <v>624</v>
      </c>
      <c r="J469" t="s">
        <v>642</v>
      </c>
      <c r="L469" s="5">
        <v>42709</v>
      </c>
      <c r="M469" s="5">
        <v>43117.621712962966</v>
      </c>
      <c r="N469" s="2">
        <f>HYPERLINK(URLs!B36 &amp; 93159,93159)</f>
        <v>93159</v>
      </c>
      <c r="O469" t="s">
        <v>636</v>
      </c>
      <c r="P469" t="s">
        <v>621</v>
      </c>
      <c r="Q469" t="s">
        <v>1021</v>
      </c>
      <c r="R469" t="s">
        <v>305</v>
      </c>
    </row>
    <row r="470" spans="1:26" hidden="1" x14ac:dyDescent="0.25">
      <c r="A470" s="2">
        <f>HYPERLINK(URLs!B36 &amp; 93032,93032)</f>
        <v>93032</v>
      </c>
      <c r="B470" s="2">
        <f>HYPERLINK(URLs!B30 &amp; 12514 &amp; URLs!B32,12514)</f>
        <v>12514</v>
      </c>
      <c r="C470" t="s">
        <v>633</v>
      </c>
      <c r="D470" t="s">
        <v>619</v>
      </c>
      <c r="E470" t="s">
        <v>620</v>
      </c>
      <c r="F470" t="s">
        <v>621</v>
      </c>
      <c r="G470" t="s">
        <v>622</v>
      </c>
      <c r="H470" t="s">
        <v>623</v>
      </c>
      <c r="I470" t="s">
        <v>624</v>
      </c>
      <c r="J470" t="s">
        <v>629</v>
      </c>
      <c r="K470" t="s">
        <v>31</v>
      </c>
      <c r="L470" s="5">
        <v>42705</v>
      </c>
      <c r="M470" s="5">
        <v>43035.457604166666</v>
      </c>
      <c r="N470" s="2">
        <f>HYPERLINK(URLs!B36 &amp; 93032,93032)</f>
        <v>93032</v>
      </c>
      <c r="O470" t="s">
        <v>636</v>
      </c>
      <c r="P470" t="s">
        <v>621</v>
      </c>
      <c r="Q470" t="s">
        <v>703</v>
      </c>
      <c r="R470" t="s">
        <v>305</v>
      </c>
      <c r="S470" t="s">
        <v>304</v>
      </c>
      <c r="T470" t="s">
        <v>190</v>
      </c>
      <c r="U470" t="s">
        <v>3999</v>
      </c>
      <c r="V470" t="s">
        <v>35</v>
      </c>
      <c r="Z470" t="s">
        <v>73</v>
      </c>
    </row>
    <row r="471" spans="1:26" hidden="1" x14ac:dyDescent="0.25">
      <c r="A471" s="2"/>
      <c r="B471" s="2">
        <f>HYPERLINK(URLs!B30 &amp; 12502 &amp; URLs!B32,12502)</f>
        <v>12502</v>
      </c>
      <c r="C471" t="s">
        <v>633</v>
      </c>
      <c r="D471" t="s">
        <v>619</v>
      </c>
      <c r="E471" t="s">
        <v>850</v>
      </c>
      <c r="F471" t="s">
        <v>621</v>
      </c>
      <c r="G471" t="s">
        <v>855</v>
      </c>
      <c r="H471" t="s">
        <v>856</v>
      </c>
      <c r="I471" t="s">
        <v>624</v>
      </c>
      <c r="J471" t="s">
        <v>629</v>
      </c>
      <c r="L471" s="5">
        <v>42704</v>
      </c>
      <c r="M471" s="5">
        <v>43234.547222222223</v>
      </c>
      <c r="N471" s="2">
        <f>HYPERLINK(URLs!B36 &amp; 92911,92911)</f>
        <v>92911</v>
      </c>
      <c r="O471" t="s">
        <v>636</v>
      </c>
      <c r="P471" t="s">
        <v>621</v>
      </c>
      <c r="Q471" t="s">
        <v>1022</v>
      </c>
    </row>
    <row r="472" spans="1:26" hidden="1" x14ac:dyDescent="0.25">
      <c r="A472" s="2">
        <f>HYPERLINK(URLs!B36 &amp; 92975,92975)</f>
        <v>92975</v>
      </c>
      <c r="B472" s="2">
        <f>HYPERLINK(URLs!B30 &amp; 12478 &amp; URLs!B32,12478)</f>
        <v>12478</v>
      </c>
      <c r="C472" t="s">
        <v>633</v>
      </c>
      <c r="D472" t="s">
        <v>619</v>
      </c>
      <c r="E472" t="s">
        <v>620</v>
      </c>
      <c r="F472" t="s">
        <v>621</v>
      </c>
      <c r="G472" t="s">
        <v>622</v>
      </c>
      <c r="H472" t="s">
        <v>623</v>
      </c>
      <c r="I472" t="s">
        <v>624</v>
      </c>
      <c r="J472" t="s">
        <v>629</v>
      </c>
      <c r="K472" t="s">
        <v>68</v>
      </c>
      <c r="L472" s="5">
        <v>42702</v>
      </c>
      <c r="M472" s="5">
        <v>43287.263518518521</v>
      </c>
      <c r="N472" s="2">
        <f>HYPERLINK(URLs!B36 &amp; 97629,97629)</f>
        <v>97629</v>
      </c>
      <c r="O472" t="s">
        <v>636</v>
      </c>
      <c r="P472" t="s">
        <v>621</v>
      </c>
      <c r="Q472" t="s">
        <v>704</v>
      </c>
      <c r="R472" t="s">
        <v>305</v>
      </c>
      <c r="S472" t="s">
        <v>304</v>
      </c>
      <c r="T472" t="s">
        <v>4098</v>
      </c>
      <c r="U472" t="s">
        <v>35</v>
      </c>
      <c r="V472" t="s">
        <v>35</v>
      </c>
      <c r="Z472" t="s">
        <v>96</v>
      </c>
    </row>
    <row r="473" spans="1:26" hidden="1" x14ac:dyDescent="0.25">
      <c r="A473" s="2"/>
      <c r="B473" s="2">
        <f>HYPERLINK(URLs!B30 &amp; 12466 &amp; URLs!B32,12466)</f>
        <v>12466</v>
      </c>
      <c r="C473" t="s">
        <v>633</v>
      </c>
      <c r="D473" t="s">
        <v>619</v>
      </c>
      <c r="E473" t="s">
        <v>850</v>
      </c>
      <c r="F473" t="s">
        <v>621</v>
      </c>
      <c r="G473" t="s">
        <v>855</v>
      </c>
      <c r="H473" t="s">
        <v>856</v>
      </c>
      <c r="I473" t="s">
        <v>624</v>
      </c>
      <c r="J473" t="s">
        <v>642</v>
      </c>
      <c r="L473" s="5">
        <v>42699</v>
      </c>
      <c r="M473" s="5">
        <v>43073.602395833332</v>
      </c>
      <c r="N473" s="2">
        <f>HYPERLINK(URLs!B36 &amp; 83316,83316)</f>
        <v>83316</v>
      </c>
      <c r="O473" t="s">
        <v>645</v>
      </c>
      <c r="P473" t="s">
        <v>621</v>
      </c>
      <c r="Q473" t="s">
        <v>1023</v>
      </c>
    </row>
    <row r="474" spans="1:26" hidden="1" x14ac:dyDescent="0.25">
      <c r="A474" s="2">
        <f>HYPERLINK(URLs!B36 &amp; 92816,92816)</f>
        <v>92816</v>
      </c>
      <c r="B474" s="2">
        <f>HYPERLINK(URLs!B30 &amp; 12464 &amp; URLs!B32,12464)</f>
        <v>12464</v>
      </c>
      <c r="C474" t="s">
        <v>665</v>
      </c>
      <c r="D474" t="s">
        <v>619</v>
      </c>
      <c r="E474" t="s">
        <v>620</v>
      </c>
      <c r="F474" t="s">
        <v>621</v>
      </c>
      <c r="G474" t="s">
        <v>631</v>
      </c>
      <c r="H474" t="s">
        <v>632</v>
      </c>
      <c r="I474" t="s">
        <v>624</v>
      </c>
      <c r="J474" t="s">
        <v>625</v>
      </c>
      <c r="K474" t="s">
        <v>31</v>
      </c>
      <c r="L474" s="5">
        <v>42699</v>
      </c>
      <c r="M474" s="5">
        <v>43165.643750000003</v>
      </c>
      <c r="N474" s="2">
        <f>HYPERLINK(URLs!B36 &amp; 92816,92816)</f>
        <v>92816</v>
      </c>
      <c r="O474" t="s">
        <v>636</v>
      </c>
      <c r="P474" t="s">
        <v>621</v>
      </c>
      <c r="Q474" t="s">
        <v>706</v>
      </c>
      <c r="R474" t="s">
        <v>305</v>
      </c>
      <c r="S474" t="s">
        <v>304</v>
      </c>
      <c r="T474" t="s">
        <v>190</v>
      </c>
      <c r="U474" t="s">
        <v>3997</v>
      </c>
      <c r="V474" t="s">
        <v>35</v>
      </c>
      <c r="Z474" t="s">
        <v>73</v>
      </c>
    </row>
    <row r="475" spans="1:26" hidden="1" x14ac:dyDescent="0.25">
      <c r="A475" s="2">
        <f>HYPERLINK(URLs!B36 &amp; 92740,92740)</f>
        <v>92740</v>
      </c>
      <c r="B475" s="2">
        <f>HYPERLINK(URLs!B30 &amp; 12452 &amp; URLs!B32,12452)</f>
        <v>12452</v>
      </c>
      <c r="C475" t="s">
        <v>665</v>
      </c>
      <c r="D475" t="s">
        <v>619</v>
      </c>
      <c r="E475" t="s">
        <v>620</v>
      </c>
      <c r="F475" t="s">
        <v>621</v>
      </c>
      <c r="G475" t="s">
        <v>622</v>
      </c>
      <c r="H475" t="s">
        <v>623</v>
      </c>
      <c r="I475" t="s">
        <v>624</v>
      </c>
      <c r="J475" t="s">
        <v>625</v>
      </c>
      <c r="K475" t="s">
        <v>31</v>
      </c>
      <c r="L475" s="5">
        <v>42696</v>
      </c>
      <c r="M475" s="5">
        <v>43111.504166666666</v>
      </c>
      <c r="N475" s="2">
        <f>HYPERLINK(URLs!B36 &amp; 94268,94268)</f>
        <v>94268</v>
      </c>
      <c r="O475" t="s">
        <v>636</v>
      </c>
      <c r="P475" t="s">
        <v>621</v>
      </c>
      <c r="Q475" t="s">
        <v>707</v>
      </c>
      <c r="R475" t="s">
        <v>305</v>
      </c>
      <c r="S475" t="s">
        <v>304</v>
      </c>
      <c r="T475" t="s">
        <v>69</v>
      </c>
      <c r="U475" t="s">
        <v>4002</v>
      </c>
      <c r="V475" t="s">
        <v>35</v>
      </c>
      <c r="Z475" t="s">
        <v>106</v>
      </c>
    </row>
    <row r="476" spans="1:26" hidden="1" x14ac:dyDescent="0.25">
      <c r="A476" s="2">
        <f>HYPERLINK(URLs!B36 &amp; 92069,92069)</f>
        <v>92069</v>
      </c>
      <c r="B476" s="2">
        <f>HYPERLINK(URLs!B30 &amp; 12371 &amp; URLs!B32,12371)</f>
        <v>12371</v>
      </c>
      <c r="C476" t="s">
        <v>665</v>
      </c>
      <c r="D476" t="s">
        <v>619</v>
      </c>
      <c r="E476" t="s">
        <v>620</v>
      </c>
      <c r="F476" t="s">
        <v>621</v>
      </c>
      <c r="G476" t="s">
        <v>631</v>
      </c>
      <c r="H476" t="s">
        <v>632</v>
      </c>
      <c r="I476" t="s">
        <v>624</v>
      </c>
      <c r="J476" t="s">
        <v>629</v>
      </c>
      <c r="K476" t="s">
        <v>68</v>
      </c>
      <c r="L476" s="5">
        <v>42684</v>
      </c>
      <c r="M476" s="5">
        <v>43111.374421296299</v>
      </c>
      <c r="N476" s="2">
        <f>HYPERLINK(URLs!B36 &amp; 92069,92069)</f>
        <v>92069</v>
      </c>
      <c r="O476" t="s">
        <v>636</v>
      </c>
      <c r="P476" t="s">
        <v>621</v>
      </c>
      <c r="Q476" t="s">
        <v>708</v>
      </c>
      <c r="R476" t="s">
        <v>305</v>
      </c>
      <c r="S476" t="s">
        <v>304</v>
      </c>
      <c r="T476" t="s">
        <v>4143</v>
      </c>
      <c r="U476" t="s">
        <v>35</v>
      </c>
      <c r="V476" t="s">
        <v>35</v>
      </c>
      <c r="Z476" t="s">
        <v>34</v>
      </c>
    </row>
    <row r="477" spans="1:26" hidden="1" x14ac:dyDescent="0.25">
      <c r="A477" s="2"/>
      <c r="B477" s="2">
        <f>HYPERLINK(URLs!B30 &amp; 12370 &amp; URLs!B32,12370)</f>
        <v>12370</v>
      </c>
      <c r="C477" t="s">
        <v>665</v>
      </c>
      <c r="D477" t="s">
        <v>619</v>
      </c>
      <c r="E477" t="s">
        <v>850</v>
      </c>
      <c r="F477" t="s">
        <v>621</v>
      </c>
      <c r="G477" t="s">
        <v>962</v>
      </c>
      <c r="H477" t="s">
        <v>887</v>
      </c>
      <c r="I477" t="s">
        <v>624</v>
      </c>
      <c r="J477" t="s">
        <v>625</v>
      </c>
      <c r="L477" s="5">
        <v>42683</v>
      </c>
      <c r="M477" s="5">
        <v>42822</v>
      </c>
      <c r="N477" s="2">
        <f>HYPERLINK(URLs!B36 &amp; 90595,90595)</f>
        <v>90595</v>
      </c>
      <c r="O477" t="s">
        <v>636</v>
      </c>
      <c r="P477" t="s">
        <v>621</v>
      </c>
      <c r="Q477" t="s">
        <v>1024</v>
      </c>
      <c r="W477">
        <v>1</v>
      </c>
    </row>
    <row r="478" spans="1:26" hidden="1" x14ac:dyDescent="0.25">
      <c r="A478" s="2"/>
      <c r="B478" s="2">
        <f>HYPERLINK(URLs!B30 &amp; 12320 &amp; URLs!B32,12320)</f>
        <v>12320</v>
      </c>
      <c r="C478" t="s">
        <v>665</v>
      </c>
      <c r="D478" t="s">
        <v>619</v>
      </c>
      <c r="E478" t="s">
        <v>850</v>
      </c>
      <c r="F478" t="s">
        <v>621</v>
      </c>
      <c r="G478" t="s">
        <v>855</v>
      </c>
      <c r="H478" t="s">
        <v>856</v>
      </c>
      <c r="I478" t="s">
        <v>624</v>
      </c>
      <c r="J478" t="s">
        <v>642</v>
      </c>
      <c r="L478" s="5">
        <v>42678</v>
      </c>
      <c r="M478" s="5">
        <v>42779</v>
      </c>
      <c r="N478" s="2">
        <f>HYPERLINK(URLs!B36 &amp; 85133,85133)</f>
        <v>85133</v>
      </c>
      <c r="O478" t="s">
        <v>645</v>
      </c>
      <c r="P478" t="s">
        <v>621</v>
      </c>
      <c r="Q478" t="s">
        <v>1025</v>
      </c>
    </row>
    <row r="479" spans="1:26" hidden="1" x14ac:dyDescent="0.25">
      <c r="A479" s="2"/>
      <c r="B479" s="2">
        <f>HYPERLINK(URLs!B30 &amp; 12298 &amp; URLs!B32,12298)</f>
        <v>12298</v>
      </c>
      <c r="C479" t="s">
        <v>665</v>
      </c>
      <c r="D479" t="s">
        <v>619</v>
      </c>
      <c r="E479" t="s">
        <v>850</v>
      </c>
      <c r="F479" t="s">
        <v>621</v>
      </c>
      <c r="G479" t="s">
        <v>870</v>
      </c>
      <c r="H479" t="s">
        <v>871</v>
      </c>
      <c r="I479" t="s">
        <v>624</v>
      </c>
      <c r="J479" t="s">
        <v>642</v>
      </c>
      <c r="L479" s="5">
        <v>42677</v>
      </c>
      <c r="M479" s="5">
        <v>42849.645138888889</v>
      </c>
      <c r="N479" s="2">
        <f>HYPERLINK(URLs!B36 &amp; 45045,45045)</f>
        <v>45045</v>
      </c>
      <c r="O479" t="s">
        <v>645</v>
      </c>
      <c r="P479" t="s">
        <v>621</v>
      </c>
      <c r="Q479" t="s">
        <v>1026</v>
      </c>
    </row>
    <row r="480" spans="1:26" hidden="1" x14ac:dyDescent="0.25">
      <c r="A480" s="2">
        <f>HYPERLINK(URLs!B36 &amp; 88000,88000)</f>
        <v>88000</v>
      </c>
      <c r="B480" s="2">
        <f>HYPERLINK(URLs!B30 &amp; 12294 &amp; URLs!B32,12294)</f>
        <v>12294</v>
      </c>
      <c r="C480" t="s">
        <v>665</v>
      </c>
      <c r="D480" t="s">
        <v>619</v>
      </c>
      <c r="E480" t="s">
        <v>850</v>
      </c>
      <c r="F480" t="s">
        <v>621</v>
      </c>
      <c r="G480" t="s">
        <v>853</v>
      </c>
      <c r="H480" t="s">
        <v>908</v>
      </c>
      <c r="I480" t="s">
        <v>624</v>
      </c>
      <c r="J480" t="s">
        <v>625</v>
      </c>
      <c r="K480" t="s">
        <v>31</v>
      </c>
      <c r="L480" s="5">
        <v>42676</v>
      </c>
      <c r="M480" s="5">
        <v>42822</v>
      </c>
      <c r="N480" s="2">
        <f>HYPERLINK(URLs!B36 &amp; 88000,88000)</f>
        <v>88000</v>
      </c>
      <c r="O480" t="s">
        <v>636</v>
      </c>
      <c r="P480" t="s">
        <v>621</v>
      </c>
      <c r="Q480" t="s">
        <v>1027</v>
      </c>
      <c r="R480" t="s">
        <v>305</v>
      </c>
      <c r="S480" t="s">
        <v>304</v>
      </c>
      <c r="T480" t="s">
        <v>4098</v>
      </c>
      <c r="U480" t="s">
        <v>35</v>
      </c>
      <c r="V480" t="s">
        <v>35</v>
      </c>
      <c r="Z480" t="s">
        <v>73</v>
      </c>
    </row>
    <row r="481" spans="1:26" hidden="1" x14ac:dyDescent="0.25">
      <c r="A481" s="2"/>
      <c r="B481" s="2">
        <f>HYPERLINK(URLs!B30 &amp; 12285 &amp; URLs!B32,12285)</f>
        <v>12285</v>
      </c>
      <c r="C481" t="s">
        <v>633</v>
      </c>
      <c r="D481" t="s">
        <v>619</v>
      </c>
      <c r="E481" t="s">
        <v>850</v>
      </c>
      <c r="F481" t="s">
        <v>621</v>
      </c>
      <c r="G481" t="s">
        <v>855</v>
      </c>
      <c r="H481" t="s">
        <v>856</v>
      </c>
      <c r="I481" t="s">
        <v>624</v>
      </c>
      <c r="J481" t="s">
        <v>629</v>
      </c>
      <c r="L481" s="5">
        <v>42675</v>
      </c>
      <c r="M481" s="5">
        <v>42822</v>
      </c>
      <c r="N481" s="2">
        <f>HYPERLINK(URLs!B36 &amp; 89686,89686)</f>
        <v>89686</v>
      </c>
      <c r="O481" t="s">
        <v>636</v>
      </c>
      <c r="P481" t="s">
        <v>621</v>
      </c>
      <c r="Q481" t="s">
        <v>1028</v>
      </c>
    </row>
    <row r="482" spans="1:26" hidden="1" x14ac:dyDescent="0.25">
      <c r="A482" s="2">
        <f>HYPERLINK(URLs!B36 &amp; 91565,91565)</f>
        <v>91565</v>
      </c>
      <c r="B482" s="2">
        <f>HYPERLINK(URLs!B30 &amp; 12271 &amp; URLs!B32,12271)</f>
        <v>12271</v>
      </c>
      <c r="C482" t="s">
        <v>633</v>
      </c>
      <c r="D482" t="s">
        <v>619</v>
      </c>
      <c r="E482" t="s">
        <v>620</v>
      </c>
      <c r="F482" t="s">
        <v>621</v>
      </c>
      <c r="G482" t="s">
        <v>631</v>
      </c>
      <c r="H482" t="s">
        <v>632</v>
      </c>
      <c r="I482" t="s">
        <v>624</v>
      </c>
      <c r="J482" t="s">
        <v>625</v>
      </c>
      <c r="K482" t="s">
        <v>31</v>
      </c>
      <c r="L482" s="5">
        <v>42674</v>
      </c>
      <c r="M482" s="5">
        <v>43111.341319444444</v>
      </c>
      <c r="N482" s="2">
        <f>HYPERLINK(URLs!B36 &amp; 91629,91629)</f>
        <v>91629</v>
      </c>
      <c r="O482" t="s">
        <v>636</v>
      </c>
      <c r="P482" t="s">
        <v>621</v>
      </c>
      <c r="Q482" t="s">
        <v>709</v>
      </c>
      <c r="R482" t="s">
        <v>305</v>
      </c>
      <c r="S482" t="s">
        <v>304</v>
      </c>
      <c r="T482" t="s">
        <v>307</v>
      </c>
      <c r="U482" t="s">
        <v>4013</v>
      </c>
      <c r="V482" t="s">
        <v>35</v>
      </c>
      <c r="Z482" t="s">
        <v>73</v>
      </c>
    </row>
    <row r="483" spans="1:26" hidden="1" x14ac:dyDescent="0.25">
      <c r="A483" s="2">
        <f>HYPERLINK(URLs!B36 &amp; 91552,91552)</f>
        <v>91552</v>
      </c>
      <c r="B483" s="2">
        <f>HYPERLINK(URLs!B30 &amp; 12267 &amp; URLs!B32,12267)</f>
        <v>12267</v>
      </c>
      <c r="C483" t="s">
        <v>665</v>
      </c>
      <c r="D483" t="s">
        <v>619</v>
      </c>
      <c r="E483" t="s">
        <v>620</v>
      </c>
      <c r="F483" t="s">
        <v>621</v>
      </c>
      <c r="G483" t="s">
        <v>634</v>
      </c>
      <c r="H483" t="s">
        <v>635</v>
      </c>
      <c r="I483" t="s">
        <v>624</v>
      </c>
      <c r="J483" t="s">
        <v>625</v>
      </c>
      <c r="K483" t="s">
        <v>31</v>
      </c>
      <c r="L483" s="5">
        <v>42671</v>
      </c>
      <c r="M483" s="5">
        <v>43165.652777777781</v>
      </c>
      <c r="N483" s="2">
        <f>HYPERLINK(URLs!B36 &amp; 91552,91552)</f>
        <v>91552</v>
      </c>
      <c r="O483" t="s">
        <v>710</v>
      </c>
      <c r="P483" t="s">
        <v>621</v>
      </c>
      <c r="Q483" t="s">
        <v>711</v>
      </c>
      <c r="R483" t="s">
        <v>305</v>
      </c>
      <c r="S483" t="s">
        <v>328</v>
      </c>
      <c r="T483" t="s">
        <v>4098</v>
      </c>
      <c r="U483" t="s">
        <v>35</v>
      </c>
      <c r="V483" t="s">
        <v>321</v>
      </c>
      <c r="Z483" t="s">
        <v>73</v>
      </c>
    </row>
    <row r="484" spans="1:26" hidden="1" x14ac:dyDescent="0.25">
      <c r="A484" s="2"/>
      <c r="B484" s="2">
        <f>HYPERLINK(URLs!B30 &amp; 12239 &amp; URLs!B32,12239)</f>
        <v>12239</v>
      </c>
      <c r="C484" t="s">
        <v>665</v>
      </c>
      <c r="D484" t="s">
        <v>619</v>
      </c>
      <c r="E484" t="s">
        <v>850</v>
      </c>
      <c r="F484" t="s">
        <v>621</v>
      </c>
      <c r="G484" t="s">
        <v>962</v>
      </c>
      <c r="H484" t="s">
        <v>887</v>
      </c>
      <c r="I484" t="s">
        <v>624</v>
      </c>
      <c r="J484" t="s">
        <v>629</v>
      </c>
      <c r="L484" s="5">
        <v>42669</v>
      </c>
      <c r="M484" s="5">
        <v>42877.581250000003</v>
      </c>
      <c r="N484" t="s">
        <v>621</v>
      </c>
      <c r="O484" t="s">
        <v>666</v>
      </c>
      <c r="P484" t="s">
        <v>621</v>
      </c>
      <c r="Q484" t="s">
        <v>1029</v>
      </c>
    </row>
    <row r="485" spans="1:26" hidden="1" x14ac:dyDescent="0.25">
      <c r="A485" s="2"/>
      <c r="B485" s="2">
        <f>HYPERLINK(URLs!B30 &amp; 12213 &amp; URLs!B32,12213)</f>
        <v>12213</v>
      </c>
      <c r="C485" t="s">
        <v>633</v>
      </c>
      <c r="D485" t="s">
        <v>619</v>
      </c>
      <c r="E485" t="s">
        <v>850</v>
      </c>
      <c r="F485" t="s">
        <v>621</v>
      </c>
      <c r="G485" t="s">
        <v>863</v>
      </c>
      <c r="H485" t="s">
        <v>864</v>
      </c>
      <c r="I485" t="s">
        <v>624</v>
      </c>
      <c r="J485" t="s">
        <v>642</v>
      </c>
      <c r="L485" s="5">
        <v>42664</v>
      </c>
      <c r="M485" s="5">
        <v>42823.286712962959</v>
      </c>
      <c r="N485" t="s">
        <v>621</v>
      </c>
      <c r="O485" t="s">
        <v>645</v>
      </c>
      <c r="P485" t="s">
        <v>621</v>
      </c>
      <c r="Q485" t="s">
        <v>1030</v>
      </c>
    </row>
    <row r="486" spans="1:26" hidden="1" x14ac:dyDescent="0.25">
      <c r="A486" s="2"/>
      <c r="B486" s="2">
        <f>HYPERLINK(URLs!B30 &amp; 12168 &amp; URLs!B32,12168)</f>
        <v>12168</v>
      </c>
      <c r="C486" t="s">
        <v>633</v>
      </c>
      <c r="D486" t="s">
        <v>619</v>
      </c>
      <c r="E486" t="s">
        <v>850</v>
      </c>
      <c r="F486" t="s">
        <v>621</v>
      </c>
      <c r="G486" t="s">
        <v>962</v>
      </c>
      <c r="H486" t="s">
        <v>887</v>
      </c>
      <c r="I486" t="s">
        <v>624</v>
      </c>
      <c r="J486" t="s">
        <v>629</v>
      </c>
      <c r="L486" s="5">
        <v>42657</v>
      </c>
      <c r="M486" s="5">
        <v>42822</v>
      </c>
      <c r="N486" s="2">
        <f>HYPERLINK(URLs!B36 &amp; 89945,89945)</f>
        <v>89945</v>
      </c>
      <c r="O486" t="s">
        <v>636</v>
      </c>
      <c r="P486" t="s">
        <v>621</v>
      </c>
      <c r="Q486" t="s">
        <v>1031</v>
      </c>
      <c r="R486" t="s">
        <v>305</v>
      </c>
      <c r="W486">
        <v>1</v>
      </c>
    </row>
    <row r="487" spans="1:26" hidden="1" x14ac:dyDescent="0.25">
      <c r="A487" s="2"/>
      <c r="B487" s="2">
        <f>HYPERLINK(URLs!B30 &amp; 12166 &amp; URLs!B32,12166)</f>
        <v>12166</v>
      </c>
      <c r="C487" t="s">
        <v>665</v>
      </c>
      <c r="D487" t="s">
        <v>619</v>
      </c>
      <c r="E487" t="s">
        <v>620</v>
      </c>
      <c r="F487" t="s">
        <v>621</v>
      </c>
      <c r="G487" t="s">
        <v>712</v>
      </c>
      <c r="H487" t="s">
        <v>713</v>
      </c>
      <c r="I487" t="s">
        <v>624</v>
      </c>
      <c r="J487" t="s">
        <v>629</v>
      </c>
      <c r="L487" s="5">
        <v>42657</v>
      </c>
      <c r="M487" s="5">
        <v>42765</v>
      </c>
      <c r="N487" s="2">
        <f>HYPERLINK(URLs!B37 &amp; 171424,171424)</f>
        <v>171424</v>
      </c>
      <c r="O487" t="s">
        <v>666</v>
      </c>
      <c r="P487" t="s">
        <v>621</v>
      </c>
      <c r="Q487" t="s">
        <v>714</v>
      </c>
    </row>
    <row r="488" spans="1:26" hidden="1" x14ac:dyDescent="0.25">
      <c r="A488" s="2"/>
      <c r="B488" s="2">
        <f>HYPERLINK(URLs!B30 &amp; 12150 &amp; URLs!B32,12150)</f>
        <v>12150</v>
      </c>
      <c r="C488" t="s">
        <v>633</v>
      </c>
      <c r="D488" t="s">
        <v>619</v>
      </c>
      <c r="E488" t="s">
        <v>850</v>
      </c>
      <c r="F488" t="s">
        <v>621</v>
      </c>
      <c r="G488" t="s">
        <v>867</v>
      </c>
      <c r="H488" t="s">
        <v>868</v>
      </c>
      <c r="I488" t="s">
        <v>624</v>
      </c>
      <c r="J488" t="s">
        <v>629</v>
      </c>
      <c r="L488" s="5">
        <v>42655</v>
      </c>
      <c r="M488" s="5">
        <v>42822</v>
      </c>
      <c r="N488" s="2">
        <f>HYPERLINK(URLs!B36 &amp; 90589,90589)</f>
        <v>90589</v>
      </c>
      <c r="O488" t="s">
        <v>636</v>
      </c>
      <c r="P488" t="s">
        <v>621</v>
      </c>
      <c r="Q488" t="s">
        <v>1032</v>
      </c>
    </row>
    <row r="489" spans="1:26" hidden="1" x14ac:dyDescent="0.25">
      <c r="A489" s="2">
        <f>HYPERLINK(URLs!B36 &amp; 62726,62726)</f>
        <v>62726</v>
      </c>
      <c r="B489" s="2">
        <f>HYPERLINK(URLs!B30 &amp; 12145 &amp; URLs!B32,12145)</f>
        <v>12145</v>
      </c>
      <c r="C489" t="s">
        <v>633</v>
      </c>
      <c r="D489" t="s">
        <v>619</v>
      </c>
      <c r="E489" t="s">
        <v>620</v>
      </c>
      <c r="F489" t="s">
        <v>621</v>
      </c>
      <c r="G489" t="s">
        <v>622</v>
      </c>
      <c r="H489" t="s">
        <v>715</v>
      </c>
      <c r="I489" t="s">
        <v>624</v>
      </c>
      <c r="J489" t="s">
        <v>625</v>
      </c>
      <c r="K489" t="s">
        <v>31</v>
      </c>
      <c r="L489" s="5">
        <v>42654</v>
      </c>
      <c r="M489" s="5">
        <v>42765</v>
      </c>
      <c r="N489" s="2">
        <f>HYPERLINK(URLs!B36 &amp; 62726,62726)</f>
        <v>62726</v>
      </c>
      <c r="O489" t="s">
        <v>666</v>
      </c>
      <c r="P489" t="s">
        <v>621</v>
      </c>
      <c r="Q489" t="s">
        <v>716</v>
      </c>
      <c r="R489" t="s">
        <v>305</v>
      </c>
      <c r="S489" t="s">
        <v>304</v>
      </c>
      <c r="T489" t="s">
        <v>4143</v>
      </c>
      <c r="U489" t="s">
        <v>3982</v>
      </c>
      <c r="V489" t="s">
        <v>35</v>
      </c>
      <c r="W489">
        <v>1</v>
      </c>
      <c r="Z489" t="s">
        <v>34</v>
      </c>
    </row>
    <row r="490" spans="1:26" hidden="1" x14ac:dyDescent="0.25">
      <c r="A490" s="2"/>
      <c r="B490" s="2">
        <f>HYPERLINK(URLs!B30 &amp; 12138 &amp; URLs!B32,12138)</f>
        <v>12138</v>
      </c>
      <c r="C490" t="s">
        <v>665</v>
      </c>
      <c r="D490" t="s">
        <v>619</v>
      </c>
      <c r="E490" t="s">
        <v>850</v>
      </c>
      <c r="F490" t="s">
        <v>621</v>
      </c>
      <c r="G490" t="s">
        <v>855</v>
      </c>
      <c r="H490" t="s">
        <v>856</v>
      </c>
      <c r="I490" t="s">
        <v>624</v>
      </c>
      <c r="J490" t="s">
        <v>625</v>
      </c>
      <c r="L490" s="5">
        <v>42653</v>
      </c>
      <c r="M490" s="5">
        <v>42822</v>
      </c>
      <c r="N490" s="2">
        <f>HYPERLINK(URLs!B36 &amp; 83302,83302)</f>
        <v>83302</v>
      </c>
      <c r="O490" t="s">
        <v>636</v>
      </c>
      <c r="P490" t="s">
        <v>621</v>
      </c>
      <c r="Q490" t="s">
        <v>1033</v>
      </c>
      <c r="W490">
        <v>1</v>
      </c>
    </row>
    <row r="491" spans="1:26" hidden="1" x14ac:dyDescent="0.25">
      <c r="A491" s="2"/>
      <c r="B491" s="2">
        <f>HYPERLINK(URLs!B30 &amp; 12135 &amp; URLs!B32,12135)</f>
        <v>12135</v>
      </c>
      <c r="C491" t="s">
        <v>665</v>
      </c>
      <c r="D491" t="s">
        <v>619</v>
      </c>
      <c r="E491" t="s">
        <v>850</v>
      </c>
      <c r="F491" t="s">
        <v>621</v>
      </c>
      <c r="G491" t="s">
        <v>851</v>
      </c>
      <c r="H491" t="s">
        <v>852</v>
      </c>
      <c r="I491" t="s">
        <v>624</v>
      </c>
      <c r="J491" t="s">
        <v>625</v>
      </c>
      <c r="L491" s="5">
        <v>42651</v>
      </c>
      <c r="M491" s="5">
        <v>42838</v>
      </c>
      <c r="N491" s="2">
        <f>HYPERLINK(URLs!B36 &amp; 92089,92089)</f>
        <v>92089</v>
      </c>
      <c r="O491" t="s">
        <v>666</v>
      </c>
      <c r="P491" t="s">
        <v>621</v>
      </c>
      <c r="Q491" t="s">
        <v>1034</v>
      </c>
      <c r="W491">
        <v>1</v>
      </c>
    </row>
    <row r="492" spans="1:26" hidden="1" x14ac:dyDescent="0.25">
      <c r="A492" s="2"/>
      <c r="B492" s="2">
        <f>HYPERLINK(URLs!B30 &amp; 12124 &amp; URLs!B32,12124)</f>
        <v>12124</v>
      </c>
      <c r="C492" t="s">
        <v>665</v>
      </c>
      <c r="D492" t="s">
        <v>619</v>
      </c>
      <c r="E492" t="s">
        <v>850</v>
      </c>
      <c r="F492" t="s">
        <v>621</v>
      </c>
      <c r="G492" t="s">
        <v>962</v>
      </c>
      <c r="H492" t="s">
        <v>887</v>
      </c>
      <c r="I492" t="s">
        <v>624</v>
      </c>
      <c r="J492" t="s">
        <v>625</v>
      </c>
      <c r="L492" s="5">
        <v>42649</v>
      </c>
      <c r="M492" s="5">
        <v>42822</v>
      </c>
      <c r="N492" s="2">
        <f>HYPERLINK(URLs!B36 &amp; 90247,90247)</f>
        <v>90247</v>
      </c>
      <c r="O492" t="s">
        <v>636</v>
      </c>
      <c r="P492" t="s">
        <v>621</v>
      </c>
      <c r="Q492" t="s">
        <v>1035</v>
      </c>
      <c r="R492" t="s">
        <v>305</v>
      </c>
      <c r="W492">
        <v>1</v>
      </c>
    </row>
    <row r="493" spans="1:26" hidden="1" x14ac:dyDescent="0.25">
      <c r="A493" s="2"/>
      <c r="B493" s="2">
        <f>HYPERLINK(URLs!B30 &amp; 12112 &amp; URLs!B32,12112)</f>
        <v>12112</v>
      </c>
      <c r="C493" t="s">
        <v>665</v>
      </c>
      <c r="D493" t="s">
        <v>619</v>
      </c>
      <c r="E493" t="s">
        <v>850</v>
      </c>
      <c r="F493" t="s">
        <v>621</v>
      </c>
      <c r="G493" t="s">
        <v>851</v>
      </c>
      <c r="H493" t="s">
        <v>852</v>
      </c>
      <c r="I493" t="s">
        <v>624</v>
      </c>
      <c r="J493" t="s">
        <v>629</v>
      </c>
      <c r="L493" s="5">
        <v>42649</v>
      </c>
      <c r="M493" s="5">
        <v>42822</v>
      </c>
      <c r="N493" s="2">
        <f>HYPERLINK(URLs!B36 &amp; 90629,90629)</f>
        <v>90629</v>
      </c>
      <c r="O493" t="s">
        <v>636</v>
      </c>
      <c r="P493" t="s">
        <v>621</v>
      </c>
      <c r="Q493" t="s">
        <v>1036</v>
      </c>
      <c r="R493" t="s">
        <v>305</v>
      </c>
      <c r="W493">
        <v>1</v>
      </c>
    </row>
    <row r="494" spans="1:26" hidden="1" x14ac:dyDescent="0.25">
      <c r="A494" s="2"/>
      <c r="B494" s="2">
        <f>HYPERLINK(URLs!B30 &amp; 12111 &amp; URLs!B32,12111)</f>
        <v>12111</v>
      </c>
      <c r="C494" t="s">
        <v>665</v>
      </c>
      <c r="D494" t="s">
        <v>619</v>
      </c>
      <c r="E494" t="s">
        <v>850</v>
      </c>
      <c r="F494" t="s">
        <v>621</v>
      </c>
      <c r="G494" t="s">
        <v>851</v>
      </c>
      <c r="H494" t="s">
        <v>852</v>
      </c>
      <c r="I494" t="s">
        <v>624</v>
      </c>
      <c r="J494" t="s">
        <v>642</v>
      </c>
      <c r="L494" s="5">
        <v>42649</v>
      </c>
      <c r="M494" s="5">
        <v>42964.283333333333</v>
      </c>
      <c r="N494" s="2">
        <f>HYPERLINK(URLs!B36 &amp; 100464,100464)</f>
        <v>100464</v>
      </c>
      <c r="O494" t="s">
        <v>636</v>
      </c>
      <c r="P494" t="s">
        <v>621</v>
      </c>
      <c r="Q494" t="s">
        <v>1037</v>
      </c>
      <c r="R494" t="s">
        <v>305</v>
      </c>
    </row>
    <row r="495" spans="1:26" hidden="1" x14ac:dyDescent="0.25">
      <c r="A495" s="2">
        <f>HYPERLINK(URLs!B36 &amp; 90132,90132)</f>
        <v>90132</v>
      </c>
      <c r="B495" s="2">
        <f>HYPERLINK(URLs!B30 &amp; 12104 &amp; URLs!B32,12104)</f>
        <v>12104</v>
      </c>
      <c r="C495" t="s">
        <v>633</v>
      </c>
      <c r="D495" t="s">
        <v>619</v>
      </c>
      <c r="E495" t="s">
        <v>620</v>
      </c>
      <c r="F495" t="s">
        <v>621</v>
      </c>
      <c r="G495" t="s">
        <v>631</v>
      </c>
      <c r="H495" t="s">
        <v>632</v>
      </c>
      <c r="I495" t="s">
        <v>624</v>
      </c>
      <c r="J495" t="s">
        <v>625</v>
      </c>
      <c r="K495" t="s">
        <v>31</v>
      </c>
      <c r="L495" s="5">
        <v>42648</v>
      </c>
      <c r="M495" s="5">
        <v>42677</v>
      </c>
      <c r="N495" s="2">
        <f>HYPERLINK(URLs!B36 &amp; 90132,90132)</f>
        <v>90132</v>
      </c>
      <c r="O495" t="s">
        <v>645</v>
      </c>
      <c r="P495" t="s">
        <v>621</v>
      </c>
      <c r="Q495" t="s">
        <v>717</v>
      </c>
      <c r="R495" t="s">
        <v>305</v>
      </c>
      <c r="S495" t="s">
        <v>310</v>
      </c>
      <c r="T495" t="s">
        <v>4156</v>
      </c>
      <c r="U495" t="s">
        <v>35</v>
      </c>
      <c r="V495" t="s">
        <v>35</v>
      </c>
      <c r="Z495" t="s">
        <v>2529</v>
      </c>
    </row>
    <row r="496" spans="1:26" hidden="1" x14ac:dyDescent="0.25">
      <c r="A496" s="2"/>
      <c r="B496" s="2">
        <f>HYPERLINK(URLs!B30 &amp; 12099 &amp; URLs!B32,12099)</f>
        <v>12099</v>
      </c>
      <c r="C496" t="s">
        <v>665</v>
      </c>
      <c r="D496" t="s">
        <v>619</v>
      </c>
      <c r="E496" t="s">
        <v>850</v>
      </c>
      <c r="F496" t="s">
        <v>621</v>
      </c>
      <c r="G496" t="s">
        <v>851</v>
      </c>
      <c r="H496" t="s">
        <v>852</v>
      </c>
      <c r="I496" t="s">
        <v>624</v>
      </c>
      <c r="J496" t="s">
        <v>629</v>
      </c>
      <c r="L496" s="5">
        <v>42647</v>
      </c>
      <c r="M496" s="5">
        <v>42822</v>
      </c>
      <c r="N496" s="2">
        <f>HYPERLINK(URLs!B36 &amp; 89686,89686)</f>
        <v>89686</v>
      </c>
      <c r="O496" t="s">
        <v>636</v>
      </c>
      <c r="P496" t="s">
        <v>621</v>
      </c>
      <c r="Q496" t="s">
        <v>1038</v>
      </c>
      <c r="R496" t="s">
        <v>305</v>
      </c>
    </row>
    <row r="497" spans="1:26" hidden="1" x14ac:dyDescent="0.25">
      <c r="A497" s="2"/>
      <c r="B497" s="2">
        <f>HYPERLINK(URLs!B30 &amp; 12089 &amp; URLs!B32,12089)</f>
        <v>12089</v>
      </c>
      <c r="C497" t="s">
        <v>665</v>
      </c>
      <c r="D497" t="s">
        <v>619</v>
      </c>
      <c r="E497" t="s">
        <v>850</v>
      </c>
      <c r="F497" t="s">
        <v>621</v>
      </c>
      <c r="G497" t="s">
        <v>851</v>
      </c>
      <c r="H497" t="s">
        <v>852</v>
      </c>
      <c r="I497" t="s">
        <v>624</v>
      </c>
      <c r="J497" t="s">
        <v>625</v>
      </c>
      <c r="L497" s="5">
        <v>42646</v>
      </c>
      <c r="M497" s="5">
        <v>42822</v>
      </c>
      <c r="N497" s="2">
        <f>HYPERLINK(URLs!B36 &amp; 90163,90163)</f>
        <v>90163</v>
      </c>
      <c r="O497" t="s">
        <v>636</v>
      </c>
      <c r="P497" t="s">
        <v>621</v>
      </c>
      <c r="Q497" t="s">
        <v>1039</v>
      </c>
      <c r="R497" t="s">
        <v>305</v>
      </c>
      <c r="W497">
        <v>1</v>
      </c>
    </row>
    <row r="498" spans="1:26" hidden="1" x14ac:dyDescent="0.25">
      <c r="A498" s="2"/>
      <c r="B498" s="2">
        <f>HYPERLINK(URLs!B30 &amp; 12081 &amp; URLs!B32,12081)</f>
        <v>12081</v>
      </c>
      <c r="C498" t="s">
        <v>665</v>
      </c>
      <c r="D498" t="s">
        <v>619</v>
      </c>
      <c r="E498" t="s">
        <v>850</v>
      </c>
      <c r="F498" t="s">
        <v>621</v>
      </c>
      <c r="G498" t="s">
        <v>875</v>
      </c>
      <c r="H498" t="s">
        <v>876</v>
      </c>
      <c r="I498" t="s">
        <v>624</v>
      </c>
      <c r="J498" t="s">
        <v>625</v>
      </c>
      <c r="L498" s="5">
        <v>42642</v>
      </c>
      <c r="M498" s="5">
        <v>42845.4</v>
      </c>
      <c r="N498" s="2">
        <f>HYPERLINK(URLs!B36 &amp; 89555,89555)</f>
        <v>89555</v>
      </c>
      <c r="O498" t="s">
        <v>636</v>
      </c>
      <c r="P498" t="s">
        <v>621</v>
      </c>
      <c r="Q498" t="s">
        <v>1040</v>
      </c>
      <c r="R498" t="s">
        <v>305</v>
      </c>
    </row>
    <row r="499" spans="1:26" hidden="1" x14ac:dyDescent="0.25">
      <c r="A499" s="2">
        <f>HYPERLINK(URLs!B36 &amp; 89907,89907)</f>
        <v>89907</v>
      </c>
      <c r="B499" s="2">
        <f>HYPERLINK(URLs!B30 &amp; 12078 &amp; URLs!B32,12078)</f>
        <v>12078</v>
      </c>
      <c r="C499" t="s">
        <v>633</v>
      </c>
      <c r="D499" t="s">
        <v>619</v>
      </c>
      <c r="E499" t="s">
        <v>850</v>
      </c>
      <c r="F499" t="s">
        <v>621</v>
      </c>
      <c r="G499" t="s">
        <v>853</v>
      </c>
      <c r="H499" t="s">
        <v>908</v>
      </c>
      <c r="I499" t="s">
        <v>624</v>
      </c>
      <c r="J499" t="s">
        <v>629</v>
      </c>
      <c r="K499" t="s">
        <v>31</v>
      </c>
      <c r="L499" s="5">
        <v>42642</v>
      </c>
      <c r="M499" s="5">
        <v>43117.618807870371</v>
      </c>
      <c r="N499" s="2">
        <f>HYPERLINK(URLs!B36 &amp; 83469,83469)</f>
        <v>83469</v>
      </c>
      <c r="O499" t="s">
        <v>636</v>
      </c>
      <c r="P499" t="s">
        <v>621</v>
      </c>
      <c r="Q499" t="s">
        <v>1041</v>
      </c>
      <c r="R499" t="s">
        <v>305</v>
      </c>
      <c r="S499" t="s">
        <v>353</v>
      </c>
      <c r="T499" t="s">
        <v>92</v>
      </c>
      <c r="U499" t="s">
        <v>35</v>
      </c>
      <c r="V499" t="s">
        <v>35</v>
      </c>
      <c r="Z499" t="s">
        <v>34</v>
      </c>
    </row>
    <row r="500" spans="1:26" hidden="1" x14ac:dyDescent="0.25">
      <c r="A500" s="2"/>
      <c r="B500" s="2">
        <f>HYPERLINK(URLs!B30 &amp; 12026 &amp; URLs!B32,12026)</f>
        <v>12026</v>
      </c>
      <c r="C500" t="s">
        <v>665</v>
      </c>
      <c r="D500" t="s">
        <v>619</v>
      </c>
      <c r="E500" t="s">
        <v>850</v>
      </c>
      <c r="F500" t="s">
        <v>621</v>
      </c>
      <c r="G500" t="s">
        <v>855</v>
      </c>
      <c r="H500" t="s">
        <v>856</v>
      </c>
      <c r="I500" t="s">
        <v>624</v>
      </c>
      <c r="J500" t="s">
        <v>625</v>
      </c>
      <c r="L500" s="5">
        <v>42636</v>
      </c>
      <c r="M500" s="5">
        <v>42822</v>
      </c>
      <c r="N500" s="2">
        <f>HYPERLINK(URLs!B36 &amp; 88132,88132)</f>
        <v>88132</v>
      </c>
      <c r="O500" t="s">
        <v>636</v>
      </c>
      <c r="P500" t="s">
        <v>621</v>
      </c>
      <c r="Q500" t="s">
        <v>1042</v>
      </c>
      <c r="W500">
        <v>1</v>
      </c>
    </row>
    <row r="501" spans="1:26" hidden="1" x14ac:dyDescent="0.25">
      <c r="A501" s="2"/>
      <c r="B501" s="2">
        <f>HYPERLINK(URLs!B30 &amp; 12025 &amp; URLs!B32,12025)</f>
        <v>12025</v>
      </c>
      <c r="C501" t="s">
        <v>633</v>
      </c>
      <c r="D501" t="s">
        <v>619</v>
      </c>
      <c r="E501" t="s">
        <v>850</v>
      </c>
      <c r="F501" t="s">
        <v>621</v>
      </c>
      <c r="G501" t="s">
        <v>855</v>
      </c>
      <c r="H501" t="s">
        <v>856</v>
      </c>
      <c r="I501" t="s">
        <v>624</v>
      </c>
      <c r="J501" t="s">
        <v>629</v>
      </c>
      <c r="L501" s="5">
        <v>42636</v>
      </c>
      <c r="M501" s="5">
        <v>42822</v>
      </c>
      <c r="N501" s="2">
        <f>HYPERLINK(URLs!B36 &amp; 89778,89778)</f>
        <v>89778</v>
      </c>
      <c r="O501" t="s">
        <v>636</v>
      </c>
      <c r="P501" t="s">
        <v>621</v>
      </c>
      <c r="Q501" t="s">
        <v>1043</v>
      </c>
    </row>
    <row r="502" spans="1:26" hidden="1" x14ac:dyDescent="0.25">
      <c r="A502" s="2">
        <f>HYPERLINK(URLs!B36 &amp; 89490,89490)</f>
        <v>89490</v>
      </c>
      <c r="B502" s="2">
        <f>HYPERLINK(URLs!B30 &amp; 12021 &amp; URLs!B32,12021)</f>
        <v>12021</v>
      </c>
      <c r="C502" t="s">
        <v>633</v>
      </c>
      <c r="D502" t="s">
        <v>619</v>
      </c>
      <c r="E502" t="s">
        <v>620</v>
      </c>
      <c r="F502" t="s">
        <v>718</v>
      </c>
      <c r="G502" t="s">
        <v>634</v>
      </c>
      <c r="H502" t="s">
        <v>635</v>
      </c>
      <c r="I502" t="s">
        <v>624</v>
      </c>
      <c r="J502" t="s">
        <v>625</v>
      </c>
      <c r="K502" t="s">
        <v>31</v>
      </c>
      <c r="L502" s="5">
        <v>42635</v>
      </c>
      <c r="M502" s="5">
        <v>43165.574374999997</v>
      </c>
      <c r="N502" s="2">
        <f>HYPERLINK(URLs!B36 &amp; 89490,89490)</f>
        <v>89490</v>
      </c>
      <c r="O502" t="s">
        <v>645</v>
      </c>
      <c r="P502" t="s">
        <v>621</v>
      </c>
      <c r="Q502" t="s">
        <v>719</v>
      </c>
      <c r="R502" t="s">
        <v>305</v>
      </c>
      <c r="S502" t="s">
        <v>328</v>
      </c>
      <c r="T502" t="s">
        <v>4098</v>
      </c>
      <c r="U502" t="s">
        <v>35</v>
      </c>
      <c r="V502" t="s">
        <v>321</v>
      </c>
      <c r="Z502" t="s">
        <v>45</v>
      </c>
    </row>
    <row r="503" spans="1:26" hidden="1" x14ac:dyDescent="0.25">
      <c r="A503" s="2"/>
      <c r="B503" s="2">
        <f>HYPERLINK(URLs!B30 &amp; 12019 &amp; URLs!B32,12019)</f>
        <v>12019</v>
      </c>
      <c r="C503" t="s">
        <v>665</v>
      </c>
      <c r="D503" t="s">
        <v>619</v>
      </c>
      <c r="E503" t="s">
        <v>850</v>
      </c>
      <c r="F503" t="s">
        <v>621</v>
      </c>
      <c r="G503" t="s">
        <v>867</v>
      </c>
      <c r="H503" t="s">
        <v>868</v>
      </c>
      <c r="I503" t="s">
        <v>624</v>
      </c>
      <c r="J503" t="s">
        <v>625</v>
      </c>
      <c r="L503" s="5">
        <v>42635</v>
      </c>
      <c r="M503" s="5">
        <v>43117.7</v>
      </c>
      <c r="N503" s="2">
        <f>HYPERLINK(URLs!B36 &amp; 66590,66590)</f>
        <v>66590</v>
      </c>
      <c r="O503" t="s">
        <v>636</v>
      </c>
      <c r="P503" t="s">
        <v>621</v>
      </c>
      <c r="Q503" t="s">
        <v>1044</v>
      </c>
      <c r="W503">
        <v>1</v>
      </c>
    </row>
    <row r="504" spans="1:26" hidden="1" x14ac:dyDescent="0.25">
      <c r="A504" s="2"/>
      <c r="B504" s="2">
        <f>HYPERLINK(URLs!B30 &amp; 12014 &amp; URLs!B32,12014)</f>
        <v>12014</v>
      </c>
      <c r="C504" t="s">
        <v>633</v>
      </c>
      <c r="D504" t="s">
        <v>619</v>
      </c>
      <c r="E504" t="s">
        <v>850</v>
      </c>
      <c r="F504" t="s">
        <v>621</v>
      </c>
      <c r="G504" t="s">
        <v>853</v>
      </c>
      <c r="H504" t="s">
        <v>908</v>
      </c>
      <c r="I504" t="s">
        <v>624</v>
      </c>
      <c r="J504" t="s">
        <v>625</v>
      </c>
      <c r="L504" s="5">
        <v>42635</v>
      </c>
      <c r="M504" s="5">
        <v>42670</v>
      </c>
      <c r="N504" s="2">
        <f>HYPERLINK(URLs!B36 &amp; 87545,87545)</f>
        <v>87545</v>
      </c>
      <c r="O504" t="s">
        <v>666</v>
      </c>
      <c r="P504" t="s">
        <v>621</v>
      </c>
      <c r="Q504" t="s">
        <v>1045</v>
      </c>
      <c r="W504">
        <v>1</v>
      </c>
    </row>
    <row r="505" spans="1:26" hidden="1" x14ac:dyDescent="0.25">
      <c r="A505" s="2">
        <f>HYPERLINK(URLs!B36 &amp; 89421,89421)</f>
        <v>89421</v>
      </c>
      <c r="B505" s="2">
        <f>HYPERLINK(URLs!B30 &amp; 12007 &amp; URLs!B32,12007)</f>
        <v>12007</v>
      </c>
      <c r="C505" t="s">
        <v>665</v>
      </c>
      <c r="D505" t="s">
        <v>619</v>
      </c>
      <c r="E505" t="s">
        <v>620</v>
      </c>
      <c r="F505" t="s">
        <v>621</v>
      </c>
      <c r="G505" t="s">
        <v>634</v>
      </c>
      <c r="H505" t="s">
        <v>635</v>
      </c>
      <c r="I505" t="s">
        <v>624</v>
      </c>
      <c r="J505" t="s">
        <v>625</v>
      </c>
      <c r="K505" t="s">
        <v>31</v>
      </c>
      <c r="L505" s="5">
        <v>42634</v>
      </c>
      <c r="M505" s="5">
        <v>43046.415277777778</v>
      </c>
      <c r="N505" s="2">
        <f>HYPERLINK(URLs!B36 &amp; 89421,89421)</f>
        <v>89421</v>
      </c>
      <c r="O505" t="s">
        <v>636</v>
      </c>
      <c r="P505" t="s">
        <v>621</v>
      </c>
      <c r="Q505" t="s">
        <v>720</v>
      </c>
      <c r="R505" t="s">
        <v>305</v>
      </c>
      <c r="S505" t="s">
        <v>304</v>
      </c>
      <c r="T505" t="s">
        <v>107</v>
      </c>
      <c r="U505" t="s">
        <v>316</v>
      </c>
      <c r="V505" t="s">
        <v>35</v>
      </c>
      <c r="Z505" t="s">
        <v>106</v>
      </c>
    </row>
    <row r="506" spans="1:26" hidden="1" x14ac:dyDescent="0.25">
      <c r="A506" s="2">
        <f>HYPERLINK(URLs!B36 &amp; 89408,89408)</f>
        <v>89408</v>
      </c>
      <c r="B506" s="2">
        <f>HYPERLINK(URLs!B30 &amp; 12004 &amp; URLs!B32,12004)</f>
        <v>12004</v>
      </c>
      <c r="C506" t="s">
        <v>633</v>
      </c>
      <c r="D506" t="s">
        <v>619</v>
      </c>
      <c r="E506" t="s">
        <v>620</v>
      </c>
      <c r="F506" t="s">
        <v>621</v>
      </c>
      <c r="G506" t="s">
        <v>643</v>
      </c>
      <c r="H506" t="s">
        <v>644</v>
      </c>
      <c r="I506" t="s">
        <v>624</v>
      </c>
      <c r="J506" t="s">
        <v>629</v>
      </c>
      <c r="K506" t="s">
        <v>31</v>
      </c>
      <c r="L506" s="5">
        <v>42634</v>
      </c>
      <c r="M506" s="5">
        <v>42765</v>
      </c>
      <c r="N506" s="2">
        <f>HYPERLINK(URLs!B36 &amp; 89455,89455)</f>
        <v>89455</v>
      </c>
      <c r="O506" t="s">
        <v>666</v>
      </c>
      <c r="P506" t="s">
        <v>621</v>
      </c>
      <c r="Q506" t="s">
        <v>721</v>
      </c>
      <c r="R506" t="s">
        <v>305</v>
      </c>
      <c r="S506" t="s">
        <v>304</v>
      </c>
      <c r="T506" t="s">
        <v>107</v>
      </c>
      <c r="U506" t="s">
        <v>316</v>
      </c>
      <c r="V506" t="s">
        <v>35</v>
      </c>
      <c r="Z506" t="s">
        <v>96</v>
      </c>
    </row>
    <row r="507" spans="1:26" hidden="1" x14ac:dyDescent="0.25">
      <c r="A507" s="2">
        <f>HYPERLINK(URLs!B36 &amp; 89343,89343)</f>
        <v>89343</v>
      </c>
      <c r="B507" s="2">
        <f>HYPERLINK(URLs!B30 &amp; 11999 &amp; URLs!B32,11999)</f>
        <v>11999</v>
      </c>
      <c r="C507" t="s">
        <v>633</v>
      </c>
      <c r="D507" t="s">
        <v>619</v>
      </c>
      <c r="E507" t="s">
        <v>620</v>
      </c>
      <c r="F507" t="s">
        <v>621</v>
      </c>
      <c r="G507" t="s">
        <v>643</v>
      </c>
      <c r="H507" t="s">
        <v>644</v>
      </c>
      <c r="I507" t="s">
        <v>624</v>
      </c>
      <c r="J507" t="s">
        <v>625</v>
      </c>
      <c r="K507" t="s">
        <v>31</v>
      </c>
      <c r="L507" s="5">
        <v>42633</v>
      </c>
      <c r="M507" s="5">
        <v>42765</v>
      </c>
      <c r="N507" s="2">
        <f>HYPERLINK(URLs!B36 &amp; 89343,89343)</f>
        <v>89343</v>
      </c>
      <c r="O507" t="s">
        <v>666</v>
      </c>
      <c r="P507" t="s">
        <v>621</v>
      </c>
      <c r="Q507" t="s">
        <v>722</v>
      </c>
      <c r="R507" t="s">
        <v>305</v>
      </c>
      <c r="S507" t="s">
        <v>304</v>
      </c>
      <c r="T507" t="s">
        <v>107</v>
      </c>
      <c r="U507" t="s">
        <v>3977</v>
      </c>
      <c r="V507" t="s">
        <v>321</v>
      </c>
      <c r="Z507" t="s">
        <v>73</v>
      </c>
    </row>
    <row r="508" spans="1:26" hidden="1" x14ac:dyDescent="0.25">
      <c r="A508" s="2"/>
      <c r="B508" s="2">
        <f>HYPERLINK(URLs!B30 &amp; 11953 &amp; URLs!B32,11953)</f>
        <v>11953</v>
      </c>
      <c r="C508" t="s">
        <v>665</v>
      </c>
      <c r="D508" t="s">
        <v>619</v>
      </c>
      <c r="E508" t="s">
        <v>850</v>
      </c>
      <c r="F508" t="s">
        <v>621</v>
      </c>
      <c r="G508" t="s">
        <v>875</v>
      </c>
      <c r="H508" t="s">
        <v>876</v>
      </c>
      <c r="I508" t="s">
        <v>624</v>
      </c>
      <c r="J508" t="s">
        <v>642</v>
      </c>
      <c r="L508" s="5">
        <v>42626</v>
      </c>
      <c r="M508" s="5">
        <v>42822</v>
      </c>
      <c r="N508" s="2">
        <f>HYPERLINK(URLs!B36 &amp; 85924,85924)</f>
        <v>85924</v>
      </c>
      <c r="O508" t="s">
        <v>636</v>
      </c>
      <c r="P508" t="s">
        <v>621</v>
      </c>
      <c r="Q508" t="s">
        <v>1046</v>
      </c>
      <c r="R508" t="s">
        <v>305</v>
      </c>
    </row>
    <row r="509" spans="1:26" hidden="1" x14ac:dyDescent="0.25">
      <c r="A509" s="2">
        <f>HYPERLINK(URLs!B36 &amp; 88200,88200)</f>
        <v>88200</v>
      </c>
      <c r="B509" s="2">
        <f>HYPERLINK(URLs!B30 &amp; 11943 &amp; URLs!B32,11943)</f>
        <v>11943</v>
      </c>
      <c r="C509" t="s">
        <v>633</v>
      </c>
      <c r="D509" t="s">
        <v>619</v>
      </c>
      <c r="E509" t="s">
        <v>620</v>
      </c>
      <c r="F509" t="s">
        <v>621</v>
      </c>
      <c r="G509" t="s">
        <v>631</v>
      </c>
      <c r="H509" t="s">
        <v>632</v>
      </c>
      <c r="I509" t="s">
        <v>624</v>
      </c>
      <c r="J509" t="s">
        <v>625</v>
      </c>
      <c r="K509" t="s">
        <v>31</v>
      </c>
      <c r="L509" s="5">
        <v>42625</v>
      </c>
      <c r="M509" s="5">
        <v>42748</v>
      </c>
      <c r="N509" s="2">
        <f>HYPERLINK(URLs!B36 &amp; 88200,88200)</f>
        <v>88200</v>
      </c>
      <c r="O509" t="s">
        <v>626</v>
      </c>
      <c r="P509" t="s">
        <v>621</v>
      </c>
      <c r="Q509" t="s">
        <v>723</v>
      </c>
      <c r="R509" t="s">
        <v>305</v>
      </c>
      <c r="S509" t="s">
        <v>328</v>
      </c>
      <c r="T509" t="s">
        <v>4098</v>
      </c>
      <c r="U509" t="s">
        <v>35</v>
      </c>
      <c r="V509" t="s">
        <v>321</v>
      </c>
      <c r="Z509" t="s">
        <v>96</v>
      </c>
    </row>
    <row r="510" spans="1:26" hidden="1" x14ac:dyDescent="0.25">
      <c r="A510" s="2">
        <f>HYPERLINK(URLs!B36 &amp; 88795,88795)</f>
        <v>88795</v>
      </c>
      <c r="B510" s="2">
        <f>HYPERLINK(URLs!B30 &amp; 11934 &amp; URLs!B32,11934)</f>
        <v>11934</v>
      </c>
      <c r="C510" t="s">
        <v>665</v>
      </c>
      <c r="D510" t="s">
        <v>619</v>
      </c>
      <c r="E510" t="s">
        <v>620</v>
      </c>
      <c r="F510" t="s">
        <v>621</v>
      </c>
      <c r="G510" t="s">
        <v>631</v>
      </c>
      <c r="H510" t="s">
        <v>632</v>
      </c>
      <c r="I510" t="s">
        <v>624</v>
      </c>
      <c r="J510" t="s">
        <v>625</v>
      </c>
      <c r="K510" t="s">
        <v>31</v>
      </c>
      <c r="L510" s="5">
        <v>42622</v>
      </c>
      <c r="M510" s="5">
        <v>42634</v>
      </c>
      <c r="N510" s="2">
        <f>HYPERLINK(URLs!B36 &amp; 88795,88795)</f>
        <v>88795</v>
      </c>
      <c r="O510" t="s">
        <v>640</v>
      </c>
      <c r="P510" t="s">
        <v>621</v>
      </c>
      <c r="Q510" t="s">
        <v>724</v>
      </c>
      <c r="R510" t="s">
        <v>305</v>
      </c>
      <c r="S510" t="s">
        <v>304</v>
      </c>
      <c r="T510" t="s">
        <v>107</v>
      </c>
      <c r="U510" t="s">
        <v>316</v>
      </c>
      <c r="V510" t="s">
        <v>35</v>
      </c>
      <c r="W510">
        <v>1</v>
      </c>
      <c r="Z510" t="s">
        <v>96</v>
      </c>
    </row>
    <row r="511" spans="1:26" hidden="1" x14ac:dyDescent="0.25">
      <c r="A511" s="2">
        <f>HYPERLINK(URLs!B36 &amp; 87238,87238)</f>
        <v>87238</v>
      </c>
      <c r="B511" s="2">
        <f>HYPERLINK(URLs!B30 &amp; 11924 &amp; URLs!B32,11924)</f>
        <v>11924</v>
      </c>
      <c r="C511" t="s">
        <v>633</v>
      </c>
      <c r="D511" t="s">
        <v>619</v>
      </c>
      <c r="E511" t="s">
        <v>620</v>
      </c>
      <c r="F511" t="s">
        <v>621</v>
      </c>
      <c r="G511" t="s">
        <v>622</v>
      </c>
      <c r="H511" t="s">
        <v>623</v>
      </c>
      <c r="I511" t="s">
        <v>624</v>
      </c>
      <c r="J511" t="s">
        <v>625</v>
      </c>
      <c r="K511" t="s">
        <v>31</v>
      </c>
      <c r="L511" s="5">
        <v>42621</v>
      </c>
      <c r="M511" s="5">
        <v>43111.353761574072</v>
      </c>
      <c r="N511" s="2">
        <f>HYPERLINK(URLs!B36 &amp; 87238,87238)</f>
        <v>87238</v>
      </c>
      <c r="O511" t="s">
        <v>636</v>
      </c>
      <c r="P511" t="s">
        <v>621</v>
      </c>
      <c r="Q511" t="s">
        <v>725</v>
      </c>
      <c r="R511" t="s">
        <v>305</v>
      </c>
      <c r="S511" t="s">
        <v>353</v>
      </c>
      <c r="T511" t="s">
        <v>4098</v>
      </c>
      <c r="U511" t="s">
        <v>35</v>
      </c>
      <c r="V511" t="s">
        <v>321</v>
      </c>
      <c r="W511">
        <v>1</v>
      </c>
      <c r="Z511" t="s">
        <v>73</v>
      </c>
    </row>
    <row r="512" spans="1:26" hidden="1" x14ac:dyDescent="0.25">
      <c r="A512" s="2">
        <f>HYPERLINK(URLs!B36 &amp; 87735,87735)</f>
        <v>87735</v>
      </c>
      <c r="B512" s="2">
        <f>HYPERLINK(URLs!B30 &amp; 11878 &amp; URLs!B32,11878)</f>
        <v>11878</v>
      </c>
      <c r="C512" t="s">
        <v>665</v>
      </c>
      <c r="D512" t="s">
        <v>619</v>
      </c>
      <c r="E512" t="s">
        <v>850</v>
      </c>
      <c r="F512" t="s">
        <v>621</v>
      </c>
      <c r="G512" t="s">
        <v>855</v>
      </c>
      <c r="H512" t="s">
        <v>856</v>
      </c>
      <c r="I512" t="s">
        <v>624</v>
      </c>
      <c r="J512" t="s">
        <v>629</v>
      </c>
      <c r="K512" t="s">
        <v>68</v>
      </c>
      <c r="L512" s="5">
        <v>42614</v>
      </c>
      <c r="M512" s="5">
        <v>43206.727777777778</v>
      </c>
      <c r="N512" s="2">
        <f>HYPERLINK(URLs!B36 &amp; 88793,88793)</f>
        <v>88793</v>
      </c>
      <c r="O512" t="s">
        <v>636</v>
      </c>
      <c r="P512" t="s">
        <v>621</v>
      </c>
      <c r="Q512" t="s">
        <v>1047</v>
      </c>
      <c r="R512" t="s">
        <v>42</v>
      </c>
      <c r="T512" t="s">
        <v>4098</v>
      </c>
      <c r="U512" t="s">
        <v>35</v>
      </c>
      <c r="V512" t="s">
        <v>35</v>
      </c>
      <c r="Z512" t="s">
        <v>73</v>
      </c>
    </row>
    <row r="513" spans="1:26" hidden="1" x14ac:dyDescent="0.25">
      <c r="A513" s="2"/>
      <c r="B513" s="2">
        <f>HYPERLINK(URLs!B30 &amp; 11874 &amp; URLs!B32,11874)</f>
        <v>11874</v>
      </c>
      <c r="C513" t="s">
        <v>665</v>
      </c>
      <c r="D513" t="s">
        <v>619</v>
      </c>
      <c r="E513" t="s">
        <v>850</v>
      </c>
      <c r="F513" t="s">
        <v>621</v>
      </c>
      <c r="G513" t="s">
        <v>889</v>
      </c>
      <c r="H513" t="s">
        <v>890</v>
      </c>
      <c r="I513" t="s">
        <v>624</v>
      </c>
      <c r="J513" t="s">
        <v>625</v>
      </c>
      <c r="L513" s="5">
        <v>42613</v>
      </c>
      <c r="M513" s="5">
        <v>42822</v>
      </c>
      <c r="N513" s="2">
        <f>HYPERLINK(URLs!B36 &amp; 89686,89686)</f>
        <v>89686</v>
      </c>
      <c r="O513" t="s">
        <v>636</v>
      </c>
      <c r="P513" t="s">
        <v>621</v>
      </c>
      <c r="Q513" t="s">
        <v>1048</v>
      </c>
      <c r="R513" t="s">
        <v>305</v>
      </c>
      <c r="W513">
        <v>1</v>
      </c>
    </row>
    <row r="514" spans="1:26" hidden="1" x14ac:dyDescent="0.25">
      <c r="A514" s="2"/>
      <c r="B514" s="2">
        <f>HYPERLINK(URLs!B30 &amp; 11871 &amp; URLs!B32,11871)</f>
        <v>11871</v>
      </c>
      <c r="C514" t="s">
        <v>665</v>
      </c>
      <c r="D514" t="s">
        <v>619</v>
      </c>
      <c r="E514" t="s">
        <v>850</v>
      </c>
      <c r="F514" t="s">
        <v>621</v>
      </c>
      <c r="G514" t="s">
        <v>875</v>
      </c>
      <c r="H514" t="s">
        <v>876</v>
      </c>
      <c r="I514" t="s">
        <v>624</v>
      </c>
      <c r="J514" t="s">
        <v>642</v>
      </c>
      <c r="L514" s="5">
        <v>42613</v>
      </c>
      <c r="M514" s="5">
        <v>43398.662499999999</v>
      </c>
      <c r="N514" s="2">
        <f>HYPERLINK(URLs!B36 &amp; 118868,118868)</f>
        <v>118868</v>
      </c>
      <c r="O514" t="s">
        <v>636</v>
      </c>
      <c r="P514" t="s">
        <v>621</v>
      </c>
      <c r="Q514" t="s">
        <v>1049</v>
      </c>
      <c r="R514" t="s">
        <v>42</v>
      </c>
    </row>
    <row r="515" spans="1:26" hidden="1" x14ac:dyDescent="0.25">
      <c r="A515" s="2">
        <f>HYPERLINK(URLs!B36 &amp; 88284,88284)</f>
        <v>88284</v>
      </c>
      <c r="B515" s="2">
        <f>HYPERLINK(URLs!B30 &amp; 11853 &amp; URLs!B32,11853)</f>
        <v>11853</v>
      </c>
      <c r="C515" t="s">
        <v>633</v>
      </c>
      <c r="D515" t="s">
        <v>619</v>
      </c>
      <c r="E515" t="s">
        <v>620</v>
      </c>
      <c r="F515" t="s">
        <v>621</v>
      </c>
      <c r="G515" t="s">
        <v>634</v>
      </c>
      <c r="H515" t="s">
        <v>635</v>
      </c>
      <c r="I515" t="s">
        <v>624</v>
      </c>
      <c r="J515" t="s">
        <v>625</v>
      </c>
      <c r="K515" t="s">
        <v>31</v>
      </c>
      <c r="L515" s="5">
        <v>42612</v>
      </c>
      <c r="M515" s="5">
        <v>42647</v>
      </c>
      <c r="N515" s="2">
        <f>HYPERLINK(URLs!B36 &amp; 88689,88689)</f>
        <v>88689</v>
      </c>
      <c r="O515" t="s">
        <v>666</v>
      </c>
      <c r="P515" t="s">
        <v>621</v>
      </c>
      <c r="Q515" t="s">
        <v>726</v>
      </c>
      <c r="R515" t="s">
        <v>305</v>
      </c>
      <c r="S515" t="s">
        <v>304</v>
      </c>
      <c r="T515" t="s">
        <v>107</v>
      </c>
      <c r="U515" t="s">
        <v>316</v>
      </c>
      <c r="V515" t="s">
        <v>321</v>
      </c>
      <c r="W515">
        <v>1</v>
      </c>
      <c r="Z515" t="s">
        <v>380</v>
      </c>
    </row>
    <row r="516" spans="1:26" hidden="1" x14ac:dyDescent="0.25">
      <c r="A516" s="2"/>
      <c r="B516" s="2">
        <f>HYPERLINK(URLs!B30 &amp; 11849 &amp; URLs!B32,11849)</f>
        <v>11849</v>
      </c>
      <c r="C516" t="s">
        <v>633</v>
      </c>
      <c r="D516" t="s">
        <v>619</v>
      </c>
      <c r="E516" t="s">
        <v>850</v>
      </c>
      <c r="F516" t="s">
        <v>621</v>
      </c>
      <c r="G516" t="s">
        <v>889</v>
      </c>
      <c r="H516" t="s">
        <v>890</v>
      </c>
      <c r="I516" t="s">
        <v>624</v>
      </c>
      <c r="J516" t="s">
        <v>642</v>
      </c>
      <c r="L516" s="5">
        <v>42611</v>
      </c>
      <c r="M516" s="5">
        <v>43073.660729166666</v>
      </c>
      <c r="N516" s="2">
        <f>HYPERLINK(URLs!B36 &amp; 87846,87846)</f>
        <v>87846</v>
      </c>
      <c r="O516" t="s">
        <v>645</v>
      </c>
      <c r="P516" t="s">
        <v>621</v>
      </c>
      <c r="Q516" t="s">
        <v>1050</v>
      </c>
    </row>
    <row r="517" spans="1:26" hidden="1" x14ac:dyDescent="0.25">
      <c r="A517" s="2"/>
      <c r="B517" s="2">
        <f>HYPERLINK(URLs!B30 &amp; 11824 &amp; URLs!B32,11824)</f>
        <v>11824</v>
      </c>
      <c r="C517" t="s">
        <v>665</v>
      </c>
      <c r="D517" t="s">
        <v>619</v>
      </c>
      <c r="E517" t="s">
        <v>850</v>
      </c>
      <c r="F517" t="s">
        <v>621</v>
      </c>
      <c r="G517" t="s">
        <v>855</v>
      </c>
      <c r="H517" t="s">
        <v>856</v>
      </c>
      <c r="I517" t="s">
        <v>624</v>
      </c>
      <c r="J517" t="s">
        <v>625</v>
      </c>
      <c r="L517" s="5">
        <v>42607</v>
      </c>
      <c r="M517" s="5">
        <v>42822</v>
      </c>
      <c r="N517" s="2">
        <f>HYPERLINK(URLs!B36 &amp; 88132,88132)</f>
        <v>88132</v>
      </c>
      <c r="O517" t="s">
        <v>636</v>
      </c>
      <c r="P517" t="s">
        <v>621</v>
      </c>
      <c r="Q517" t="s">
        <v>1051</v>
      </c>
      <c r="W517">
        <v>1</v>
      </c>
    </row>
    <row r="518" spans="1:26" hidden="1" x14ac:dyDescent="0.25">
      <c r="A518" s="2">
        <f>HYPERLINK(URLs!B36 &amp; 88277,88277)</f>
        <v>88277</v>
      </c>
      <c r="B518" s="2">
        <f>HYPERLINK(URLs!B30 &amp; 11820 &amp; URLs!B32,11820)</f>
        <v>11820</v>
      </c>
      <c r="C518" t="s">
        <v>633</v>
      </c>
      <c r="D518" t="s">
        <v>619</v>
      </c>
      <c r="E518" t="s">
        <v>620</v>
      </c>
      <c r="F518" t="s">
        <v>621</v>
      </c>
      <c r="G518" t="s">
        <v>634</v>
      </c>
      <c r="H518" t="s">
        <v>635</v>
      </c>
      <c r="I518" t="s">
        <v>624</v>
      </c>
      <c r="J518" t="s">
        <v>625</v>
      </c>
      <c r="K518" t="s">
        <v>31</v>
      </c>
      <c r="L518" s="5">
        <v>42606</v>
      </c>
      <c r="M518" s="5">
        <v>42677</v>
      </c>
      <c r="N518" s="2">
        <f>HYPERLINK(URLs!B36 &amp; 88277,88277)</f>
        <v>88277</v>
      </c>
      <c r="O518" t="s">
        <v>645</v>
      </c>
      <c r="P518" t="s">
        <v>621</v>
      </c>
      <c r="Q518" t="s">
        <v>727</v>
      </c>
      <c r="R518" t="s">
        <v>305</v>
      </c>
      <c r="S518" t="s">
        <v>310</v>
      </c>
      <c r="T518" t="s">
        <v>4098</v>
      </c>
      <c r="U518" t="s">
        <v>35</v>
      </c>
      <c r="V518" t="s">
        <v>35</v>
      </c>
      <c r="Z518" t="s">
        <v>45</v>
      </c>
    </row>
    <row r="519" spans="1:26" hidden="1" x14ac:dyDescent="0.25">
      <c r="A519" s="2">
        <f>HYPERLINK(URLs!B36 &amp; 100824,100824)</f>
        <v>100824</v>
      </c>
      <c r="B519" s="2">
        <f>HYPERLINK(URLs!B30 &amp; 11800 &amp; URLs!B32,11800)</f>
        <v>11800</v>
      </c>
      <c r="C519" t="s">
        <v>633</v>
      </c>
      <c r="D519" t="s">
        <v>619</v>
      </c>
      <c r="E519" t="s">
        <v>850</v>
      </c>
      <c r="F519" t="s">
        <v>621</v>
      </c>
      <c r="G519" t="s">
        <v>853</v>
      </c>
      <c r="H519" t="s">
        <v>876</v>
      </c>
      <c r="I519" t="s">
        <v>624</v>
      </c>
      <c r="J519" t="s">
        <v>625</v>
      </c>
      <c r="K519" t="s">
        <v>57</v>
      </c>
      <c r="L519" s="5">
        <v>42604</v>
      </c>
      <c r="M519" s="5">
        <v>43325.399340277778</v>
      </c>
      <c r="N519" s="2">
        <f>HYPERLINK(URLs!B36 &amp; 87193,87193)</f>
        <v>87193</v>
      </c>
      <c r="O519" t="s">
        <v>645</v>
      </c>
      <c r="P519" t="s">
        <v>621</v>
      </c>
      <c r="Q519" t="s">
        <v>1052</v>
      </c>
      <c r="R519" t="s">
        <v>67</v>
      </c>
      <c r="T519" t="s">
        <v>4143</v>
      </c>
      <c r="U519" t="s">
        <v>35</v>
      </c>
      <c r="V519" t="s">
        <v>35</v>
      </c>
      <c r="W519">
        <v>1</v>
      </c>
      <c r="X519">
        <v>1</v>
      </c>
      <c r="Z519" t="s">
        <v>34</v>
      </c>
    </row>
    <row r="520" spans="1:26" hidden="1" x14ac:dyDescent="0.25">
      <c r="A520" s="2">
        <f>HYPERLINK(URLs!B36 &amp; 87684,87684)</f>
        <v>87684</v>
      </c>
      <c r="B520" s="2">
        <f>HYPERLINK(URLs!B30 &amp; 11774 &amp; URLs!B32,11774)</f>
        <v>11774</v>
      </c>
      <c r="C520" t="s">
        <v>633</v>
      </c>
      <c r="D520" t="s">
        <v>619</v>
      </c>
      <c r="E520" t="s">
        <v>620</v>
      </c>
      <c r="F520" t="s">
        <v>718</v>
      </c>
      <c r="G520" t="s">
        <v>631</v>
      </c>
      <c r="H520" t="s">
        <v>632</v>
      </c>
      <c r="I520" t="s">
        <v>624</v>
      </c>
      <c r="J520" t="s">
        <v>625</v>
      </c>
      <c r="K520" t="s">
        <v>31</v>
      </c>
      <c r="L520" s="5">
        <v>42599</v>
      </c>
      <c r="M520" s="5">
        <v>42748</v>
      </c>
      <c r="N520" s="2">
        <f>HYPERLINK(URLs!B37 &amp; 178896,178896)</f>
        <v>178896</v>
      </c>
      <c r="O520" t="s">
        <v>637</v>
      </c>
      <c r="P520" t="s">
        <v>621</v>
      </c>
      <c r="Q520" t="s">
        <v>728</v>
      </c>
      <c r="R520" t="s">
        <v>305</v>
      </c>
      <c r="S520" t="s">
        <v>1621</v>
      </c>
      <c r="T520" t="s">
        <v>4126</v>
      </c>
      <c r="U520" t="s">
        <v>35</v>
      </c>
      <c r="V520" t="s">
        <v>321</v>
      </c>
      <c r="W520">
        <v>1</v>
      </c>
      <c r="Z520" t="s">
        <v>34</v>
      </c>
    </row>
    <row r="521" spans="1:26" hidden="1" x14ac:dyDescent="0.25">
      <c r="A521" s="2">
        <f>HYPERLINK(URLs!B36 &amp; 87987,87987)</f>
        <v>87987</v>
      </c>
      <c r="B521" s="2">
        <f>HYPERLINK(URLs!B30 &amp; 11767 &amp; URLs!B32,11767)</f>
        <v>11767</v>
      </c>
      <c r="C521" t="s">
        <v>633</v>
      </c>
      <c r="D521" t="s">
        <v>619</v>
      </c>
      <c r="E521" t="s">
        <v>850</v>
      </c>
      <c r="F521" t="s">
        <v>621</v>
      </c>
      <c r="G521" t="s">
        <v>855</v>
      </c>
      <c r="H521" t="s">
        <v>856</v>
      </c>
      <c r="I521" t="s">
        <v>624</v>
      </c>
      <c r="J521" t="s">
        <v>642</v>
      </c>
      <c r="K521" t="s">
        <v>57</v>
      </c>
      <c r="L521" s="5">
        <v>42598</v>
      </c>
      <c r="M521" s="5">
        <v>42822</v>
      </c>
      <c r="N521" s="2">
        <f>HYPERLINK(URLs!B36 &amp; 88602,88602)</f>
        <v>88602</v>
      </c>
      <c r="O521" t="s">
        <v>636</v>
      </c>
      <c r="P521" t="s">
        <v>621</v>
      </c>
      <c r="Q521" t="s">
        <v>1053</v>
      </c>
      <c r="R521" t="s">
        <v>305</v>
      </c>
      <c r="S521" t="s">
        <v>353</v>
      </c>
      <c r="T521" t="s">
        <v>4126</v>
      </c>
      <c r="U521" t="s">
        <v>35</v>
      </c>
      <c r="V521" t="s">
        <v>35</v>
      </c>
      <c r="Z521" t="s">
        <v>34</v>
      </c>
    </row>
    <row r="522" spans="1:26" hidden="1" x14ac:dyDescent="0.25">
      <c r="A522" s="2">
        <f>HYPERLINK(URLs!B36 &amp; 87060,87060)</f>
        <v>87060</v>
      </c>
      <c r="B522" s="2">
        <f>HYPERLINK(URLs!B30 &amp; 11730 &amp; URLs!B32,11730)</f>
        <v>11730</v>
      </c>
      <c r="C522" t="s">
        <v>665</v>
      </c>
      <c r="D522" t="s">
        <v>619</v>
      </c>
      <c r="E522" t="s">
        <v>850</v>
      </c>
      <c r="F522" t="s">
        <v>621</v>
      </c>
      <c r="G522" t="s">
        <v>855</v>
      </c>
      <c r="H522" t="s">
        <v>856</v>
      </c>
      <c r="I522" t="s">
        <v>624</v>
      </c>
      <c r="J522" t="s">
        <v>625</v>
      </c>
      <c r="K522" t="s">
        <v>31</v>
      </c>
      <c r="L522" s="5">
        <v>42592</v>
      </c>
      <c r="M522" s="5">
        <v>42964.280555555553</v>
      </c>
      <c r="N522" s="2">
        <f>HYPERLINK(URLs!B36 &amp; 99929,99929)</f>
        <v>99929</v>
      </c>
      <c r="O522" t="s">
        <v>636</v>
      </c>
      <c r="P522" t="s">
        <v>621</v>
      </c>
      <c r="Q522" t="s">
        <v>1054</v>
      </c>
      <c r="R522" t="s">
        <v>319</v>
      </c>
      <c r="S522" t="s">
        <v>304</v>
      </c>
      <c r="T522" t="s">
        <v>4171</v>
      </c>
      <c r="U522" t="s">
        <v>4003</v>
      </c>
      <c r="V522" t="s">
        <v>35</v>
      </c>
      <c r="W522">
        <v>1</v>
      </c>
      <c r="Z522" t="s">
        <v>73</v>
      </c>
    </row>
    <row r="523" spans="1:26" hidden="1" x14ac:dyDescent="0.25">
      <c r="A523" s="2">
        <f>HYPERLINK(URLs!B36 &amp; 87236,87236)</f>
        <v>87236</v>
      </c>
      <c r="B523" s="2">
        <f>HYPERLINK(URLs!B30 &amp; 11710 &amp; URLs!B32,11710)</f>
        <v>11710</v>
      </c>
      <c r="C523" t="s">
        <v>665</v>
      </c>
      <c r="D523" t="s">
        <v>619</v>
      </c>
      <c r="E523" t="s">
        <v>620</v>
      </c>
      <c r="F523" t="s">
        <v>621</v>
      </c>
      <c r="G523" t="s">
        <v>643</v>
      </c>
      <c r="H523" t="s">
        <v>644</v>
      </c>
      <c r="I523" t="s">
        <v>624</v>
      </c>
      <c r="J523" t="s">
        <v>625</v>
      </c>
      <c r="K523" t="s">
        <v>31</v>
      </c>
      <c r="L523" s="5">
        <v>42587</v>
      </c>
      <c r="M523" s="5">
        <v>43287.345138888886</v>
      </c>
      <c r="N523" s="2">
        <f>HYPERLINK(URLs!B36 &amp; 88622,88622)</f>
        <v>88622</v>
      </c>
      <c r="O523" t="s">
        <v>636</v>
      </c>
      <c r="P523" t="s">
        <v>621</v>
      </c>
      <c r="Q523" t="s">
        <v>729</v>
      </c>
      <c r="R523" t="s">
        <v>305</v>
      </c>
      <c r="S523" t="s">
        <v>304</v>
      </c>
      <c r="T523" t="s">
        <v>4098</v>
      </c>
      <c r="U523" t="s">
        <v>3995</v>
      </c>
      <c r="V523" t="s">
        <v>35</v>
      </c>
      <c r="Z523" t="s">
        <v>34</v>
      </c>
    </row>
    <row r="524" spans="1:26" hidden="1" x14ac:dyDescent="0.25">
      <c r="A524" s="2"/>
      <c r="B524" s="2">
        <f>HYPERLINK(URLs!B30 &amp; 11707 &amp; URLs!B32,11707)</f>
        <v>11707</v>
      </c>
      <c r="C524" t="s">
        <v>633</v>
      </c>
      <c r="D524" t="s">
        <v>619</v>
      </c>
      <c r="E524" t="s">
        <v>850</v>
      </c>
      <c r="F524" t="s">
        <v>621</v>
      </c>
      <c r="G524" t="s">
        <v>875</v>
      </c>
      <c r="H524" t="s">
        <v>876</v>
      </c>
      <c r="I524" t="s">
        <v>624</v>
      </c>
      <c r="J524" t="s">
        <v>642</v>
      </c>
      <c r="L524" s="5">
        <v>42587</v>
      </c>
      <c r="M524" s="5">
        <v>42635</v>
      </c>
      <c r="N524" s="2">
        <f>HYPERLINK(URLs!B36 &amp; 73604,73604)</f>
        <v>73604</v>
      </c>
      <c r="O524" t="s">
        <v>666</v>
      </c>
      <c r="P524" t="s">
        <v>621</v>
      </c>
      <c r="Q524" t="s">
        <v>1055</v>
      </c>
    </row>
    <row r="525" spans="1:26" hidden="1" x14ac:dyDescent="0.25">
      <c r="A525" s="2"/>
      <c r="B525" s="2">
        <f>HYPERLINK(URLs!B30 &amp; 11704 &amp; URLs!B32,11704)</f>
        <v>11704</v>
      </c>
      <c r="C525" t="s">
        <v>633</v>
      </c>
      <c r="D525" t="s">
        <v>619</v>
      </c>
      <c r="E525" t="s">
        <v>850</v>
      </c>
      <c r="F525" t="s">
        <v>621</v>
      </c>
      <c r="G525" t="s">
        <v>889</v>
      </c>
      <c r="H525" t="s">
        <v>890</v>
      </c>
      <c r="I525" t="s">
        <v>624</v>
      </c>
      <c r="J525" t="s">
        <v>642</v>
      </c>
      <c r="L525" s="5">
        <v>42586</v>
      </c>
      <c r="M525" s="5">
        <v>42823.300625000003</v>
      </c>
      <c r="N525" t="s">
        <v>621</v>
      </c>
      <c r="O525" t="s">
        <v>636</v>
      </c>
      <c r="P525" t="s">
        <v>621</v>
      </c>
      <c r="Q525" t="s">
        <v>1056</v>
      </c>
    </row>
    <row r="526" spans="1:26" hidden="1" x14ac:dyDescent="0.25">
      <c r="A526" s="2">
        <f>HYPERLINK(URLs!B36 &amp; 86843,86843)</f>
        <v>86843</v>
      </c>
      <c r="B526" s="2">
        <f>HYPERLINK(URLs!B30 &amp; 11702 &amp; URLs!B32,11702)</f>
        <v>11702</v>
      </c>
      <c r="C526" t="s">
        <v>665</v>
      </c>
      <c r="D526" t="s">
        <v>619</v>
      </c>
      <c r="E526" t="s">
        <v>850</v>
      </c>
      <c r="F526" t="s">
        <v>621</v>
      </c>
      <c r="G526" t="s">
        <v>889</v>
      </c>
      <c r="H526" t="s">
        <v>890</v>
      </c>
      <c r="I526" t="s">
        <v>624</v>
      </c>
      <c r="J526" t="s">
        <v>629</v>
      </c>
      <c r="K526" t="s">
        <v>31</v>
      </c>
      <c r="L526" s="5">
        <v>42586</v>
      </c>
      <c r="M526" s="5">
        <v>42635</v>
      </c>
      <c r="N526" s="2">
        <f>HYPERLINK(URLs!B36 &amp; 86843,86843)</f>
        <v>86843</v>
      </c>
      <c r="O526" t="s">
        <v>666</v>
      </c>
      <c r="P526" t="s">
        <v>621</v>
      </c>
      <c r="Q526" t="s">
        <v>1057</v>
      </c>
      <c r="R526" t="s">
        <v>305</v>
      </c>
      <c r="S526" t="s">
        <v>304</v>
      </c>
      <c r="T526" t="s">
        <v>3911</v>
      </c>
      <c r="U526" t="s">
        <v>35</v>
      </c>
      <c r="V526" t="s">
        <v>321</v>
      </c>
      <c r="Z526" t="s">
        <v>34</v>
      </c>
    </row>
    <row r="527" spans="1:26" hidden="1" x14ac:dyDescent="0.25">
      <c r="A527" s="2">
        <f>HYPERLINK(URLs!B36 &amp; 87008,87008)</f>
        <v>87008</v>
      </c>
      <c r="B527" s="2">
        <f>HYPERLINK(URLs!B30 &amp; 11690 &amp; URLs!B32,11690)</f>
        <v>11690</v>
      </c>
      <c r="C527" t="s">
        <v>665</v>
      </c>
      <c r="D527" t="s">
        <v>619</v>
      </c>
      <c r="E527" t="s">
        <v>620</v>
      </c>
      <c r="F527" t="s">
        <v>621</v>
      </c>
      <c r="G527" t="s">
        <v>622</v>
      </c>
      <c r="H527" t="s">
        <v>623</v>
      </c>
      <c r="I527" t="s">
        <v>624</v>
      </c>
      <c r="J527" t="s">
        <v>629</v>
      </c>
      <c r="K527" t="s">
        <v>68</v>
      </c>
      <c r="L527" s="5">
        <v>42584</v>
      </c>
      <c r="M527" s="5">
        <v>43175.472222222219</v>
      </c>
      <c r="N527" s="2">
        <f>HYPERLINK(URLs!B36 &amp; 87008,87008)</f>
        <v>87008</v>
      </c>
      <c r="O527" t="s">
        <v>645</v>
      </c>
      <c r="P527" t="s">
        <v>621</v>
      </c>
      <c r="Q527" t="s">
        <v>730</v>
      </c>
      <c r="R527" t="s">
        <v>42</v>
      </c>
      <c r="T527" t="s">
        <v>4098</v>
      </c>
      <c r="U527" t="s">
        <v>35</v>
      </c>
      <c r="V527" t="s">
        <v>35</v>
      </c>
      <c r="W527">
        <v>1</v>
      </c>
      <c r="Z527" t="s">
        <v>73</v>
      </c>
    </row>
    <row r="528" spans="1:26" hidden="1" x14ac:dyDescent="0.25">
      <c r="A528" s="2"/>
      <c r="B528" s="2">
        <f>HYPERLINK(URLs!B30 &amp; 11643 &amp; URLs!B32,11643)</f>
        <v>11643</v>
      </c>
      <c r="C528" t="s">
        <v>633</v>
      </c>
      <c r="D528" t="s">
        <v>619</v>
      </c>
      <c r="E528" t="s">
        <v>850</v>
      </c>
      <c r="F528" t="s">
        <v>621</v>
      </c>
      <c r="G528" t="s">
        <v>855</v>
      </c>
      <c r="H528" t="s">
        <v>856</v>
      </c>
      <c r="I528" t="s">
        <v>624</v>
      </c>
      <c r="J528" t="s">
        <v>625</v>
      </c>
      <c r="L528" s="5">
        <v>42579</v>
      </c>
      <c r="M528" s="5">
        <v>42905.493692129632</v>
      </c>
      <c r="N528" s="2">
        <f>HYPERLINK(URLs!B36 &amp; 93655,93655)</f>
        <v>93655</v>
      </c>
      <c r="O528" t="s">
        <v>639</v>
      </c>
      <c r="P528" t="s">
        <v>621</v>
      </c>
      <c r="Q528" t="s">
        <v>1058</v>
      </c>
    </row>
    <row r="529" spans="1:26" hidden="1" x14ac:dyDescent="0.25">
      <c r="A529" s="2"/>
      <c r="B529" s="2">
        <f>HYPERLINK(URLs!B30 &amp; 11625 &amp; URLs!B32,11625)</f>
        <v>11625</v>
      </c>
      <c r="C529" t="s">
        <v>665</v>
      </c>
      <c r="D529" t="s">
        <v>619</v>
      </c>
      <c r="E529" t="s">
        <v>850</v>
      </c>
      <c r="F529" t="s">
        <v>621</v>
      </c>
      <c r="G529" t="s">
        <v>855</v>
      </c>
      <c r="H529" t="s">
        <v>856</v>
      </c>
      <c r="I529" t="s">
        <v>624</v>
      </c>
      <c r="J529" t="s">
        <v>642</v>
      </c>
      <c r="L529" s="5">
        <v>42578</v>
      </c>
      <c r="M529" s="5">
        <v>43332.286111111112</v>
      </c>
      <c r="N529" s="2">
        <f>HYPERLINK(URLs!B36 &amp; 95035,95035)</f>
        <v>95035</v>
      </c>
      <c r="O529" t="s">
        <v>636</v>
      </c>
      <c r="P529" t="s">
        <v>621</v>
      </c>
      <c r="Q529" t="s">
        <v>1059</v>
      </c>
    </row>
    <row r="530" spans="1:26" hidden="1" x14ac:dyDescent="0.25">
      <c r="A530" s="2"/>
      <c r="B530" s="2">
        <f>HYPERLINK(URLs!B30 &amp; 11596 &amp; URLs!B32,11596)</f>
        <v>11596</v>
      </c>
      <c r="C530" t="s">
        <v>665</v>
      </c>
      <c r="D530" t="s">
        <v>619</v>
      </c>
      <c r="E530" t="s">
        <v>850</v>
      </c>
      <c r="F530" t="s">
        <v>621</v>
      </c>
      <c r="G530" t="s">
        <v>870</v>
      </c>
      <c r="H530" t="s">
        <v>871</v>
      </c>
      <c r="I530" t="s">
        <v>624</v>
      </c>
      <c r="J530" t="s">
        <v>642</v>
      </c>
      <c r="L530" s="5">
        <v>42573</v>
      </c>
      <c r="M530" s="5">
        <v>42793</v>
      </c>
      <c r="N530" s="2">
        <f>HYPERLINK(URLs!B36 &amp; 85931,85931)</f>
        <v>85931</v>
      </c>
      <c r="O530" t="s">
        <v>639</v>
      </c>
      <c r="P530" t="s">
        <v>621</v>
      </c>
      <c r="Q530" t="s">
        <v>1060</v>
      </c>
      <c r="R530" t="s">
        <v>305</v>
      </c>
      <c r="W530">
        <v>1</v>
      </c>
    </row>
    <row r="531" spans="1:26" hidden="1" x14ac:dyDescent="0.25">
      <c r="A531" s="2">
        <f>HYPERLINK(URLs!B36 &amp; 86304,86304)</f>
        <v>86304</v>
      </c>
      <c r="B531" s="2">
        <f>HYPERLINK(URLs!B30 &amp; 11594 &amp; URLs!B32,11594)</f>
        <v>11594</v>
      </c>
      <c r="C531" t="s">
        <v>633</v>
      </c>
      <c r="D531" t="s">
        <v>619</v>
      </c>
      <c r="E531" t="s">
        <v>620</v>
      </c>
      <c r="F531" t="s">
        <v>621</v>
      </c>
      <c r="G531" t="s">
        <v>631</v>
      </c>
      <c r="H531" t="s">
        <v>632</v>
      </c>
      <c r="I531" t="s">
        <v>624</v>
      </c>
      <c r="J531" t="s">
        <v>629</v>
      </c>
      <c r="K531" t="s">
        <v>68</v>
      </c>
      <c r="L531" s="5">
        <v>42573</v>
      </c>
      <c r="M531" s="5">
        <v>42748</v>
      </c>
      <c r="N531" s="2">
        <f>HYPERLINK(URLs!B36 &amp; 86304,86304)</f>
        <v>86304</v>
      </c>
      <c r="O531" t="s">
        <v>626</v>
      </c>
      <c r="P531" t="s">
        <v>621</v>
      </c>
      <c r="Q531" t="s">
        <v>731</v>
      </c>
      <c r="R531" t="s">
        <v>305</v>
      </c>
      <c r="S531" t="s">
        <v>337</v>
      </c>
      <c r="T531" t="s">
        <v>4098</v>
      </c>
      <c r="U531" t="s">
        <v>35</v>
      </c>
      <c r="V531" t="s">
        <v>35</v>
      </c>
      <c r="Z531" t="s">
        <v>45</v>
      </c>
    </row>
    <row r="532" spans="1:26" hidden="1" x14ac:dyDescent="0.25">
      <c r="A532" s="2">
        <f>HYPERLINK(URLs!B36 &amp; 85449,85449)</f>
        <v>85449</v>
      </c>
      <c r="B532" s="2">
        <f>HYPERLINK(URLs!B30 &amp; 11573 &amp; URLs!B32,11573)</f>
        <v>11573</v>
      </c>
      <c r="C532" t="s">
        <v>665</v>
      </c>
      <c r="D532" t="s">
        <v>619</v>
      </c>
      <c r="E532" t="s">
        <v>850</v>
      </c>
      <c r="F532" t="s">
        <v>621</v>
      </c>
      <c r="G532" t="s">
        <v>853</v>
      </c>
      <c r="H532" t="s">
        <v>908</v>
      </c>
      <c r="I532" t="s">
        <v>624</v>
      </c>
      <c r="J532" t="s">
        <v>629</v>
      </c>
      <c r="K532" t="s">
        <v>31</v>
      </c>
      <c r="L532" s="5">
        <v>42570</v>
      </c>
      <c r="M532" s="5">
        <v>42635</v>
      </c>
      <c r="N532" s="2">
        <f>HYPERLINK(URLs!B36 &amp; 85449,85449)</f>
        <v>85449</v>
      </c>
      <c r="O532" t="s">
        <v>666</v>
      </c>
      <c r="P532" t="s">
        <v>621</v>
      </c>
      <c r="Q532" t="s">
        <v>1061</v>
      </c>
      <c r="R532" t="s">
        <v>305</v>
      </c>
      <c r="S532" t="s">
        <v>304</v>
      </c>
      <c r="T532" t="s">
        <v>3661</v>
      </c>
      <c r="U532" t="s">
        <v>35</v>
      </c>
      <c r="V532" t="s">
        <v>35</v>
      </c>
      <c r="Z532" t="s">
        <v>73</v>
      </c>
    </row>
    <row r="533" spans="1:26" hidden="1" x14ac:dyDescent="0.25">
      <c r="A533" s="2">
        <f>HYPERLINK(URLs!B36 &amp; 110257,110257)</f>
        <v>110257</v>
      </c>
      <c r="B533" s="2">
        <f>HYPERLINK(URLs!B30 &amp; 11503 &amp; URLs!B32,11503)</f>
        <v>11503</v>
      </c>
      <c r="C533" t="s">
        <v>665</v>
      </c>
      <c r="D533" t="s">
        <v>619</v>
      </c>
      <c r="E533" t="s">
        <v>850</v>
      </c>
      <c r="F533" t="s">
        <v>621</v>
      </c>
      <c r="G533" t="s">
        <v>853</v>
      </c>
      <c r="H533" t="s">
        <v>890</v>
      </c>
      <c r="I533" t="s">
        <v>624</v>
      </c>
      <c r="J533" t="s">
        <v>629</v>
      </c>
      <c r="K533" t="s">
        <v>68</v>
      </c>
      <c r="L533" s="5">
        <v>42558</v>
      </c>
      <c r="M533" s="5">
        <v>43332.283333333333</v>
      </c>
      <c r="N533" s="2">
        <f>HYPERLINK(URLs!B36 &amp; 110717,110717)</f>
        <v>110717</v>
      </c>
      <c r="O533" t="s">
        <v>636</v>
      </c>
      <c r="P533" t="s">
        <v>621</v>
      </c>
      <c r="Q533" t="s">
        <v>1062</v>
      </c>
      <c r="R533" t="s">
        <v>305</v>
      </c>
      <c r="S533" t="s">
        <v>353</v>
      </c>
      <c r="T533" t="s">
        <v>4155</v>
      </c>
      <c r="U533" t="s">
        <v>35</v>
      </c>
      <c r="V533" t="s">
        <v>35</v>
      </c>
      <c r="W533">
        <v>1</v>
      </c>
      <c r="Z533" t="s">
        <v>34</v>
      </c>
    </row>
    <row r="534" spans="1:26" hidden="1" x14ac:dyDescent="0.25">
      <c r="A534" s="2"/>
      <c r="B534" s="2">
        <f>HYPERLINK(URLs!B30 &amp; 11486 &amp; URLs!B32,11486)</f>
        <v>11486</v>
      </c>
      <c r="C534" t="s">
        <v>633</v>
      </c>
      <c r="D534" t="s">
        <v>619</v>
      </c>
      <c r="E534" t="s">
        <v>850</v>
      </c>
      <c r="F534" t="s">
        <v>621</v>
      </c>
      <c r="G534" t="s">
        <v>875</v>
      </c>
      <c r="H534" t="s">
        <v>876</v>
      </c>
      <c r="I534" t="s">
        <v>624</v>
      </c>
      <c r="J534" t="s">
        <v>642</v>
      </c>
      <c r="L534" s="5">
        <v>42557</v>
      </c>
      <c r="M534" s="5">
        <v>43117.614444444444</v>
      </c>
      <c r="N534" s="2">
        <f>HYPERLINK(URLs!B36 &amp; 85656,85656)</f>
        <v>85656</v>
      </c>
      <c r="O534" t="s">
        <v>636</v>
      </c>
      <c r="P534" t="s">
        <v>621</v>
      </c>
      <c r="Q534" t="s">
        <v>1063</v>
      </c>
      <c r="R534" t="s">
        <v>305</v>
      </c>
    </row>
    <row r="535" spans="1:26" hidden="1" x14ac:dyDescent="0.25">
      <c r="A535" s="2"/>
      <c r="B535" s="2">
        <f>HYPERLINK(URLs!B30 &amp; 11474 &amp; URLs!B32,11474)</f>
        <v>11474</v>
      </c>
      <c r="C535" t="s">
        <v>633</v>
      </c>
      <c r="D535" t="s">
        <v>619</v>
      </c>
      <c r="E535" t="s">
        <v>620</v>
      </c>
      <c r="F535" t="s">
        <v>621</v>
      </c>
      <c r="G535" t="s">
        <v>631</v>
      </c>
      <c r="H535" t="s">
        <v>632</v>
      </c>
      <c r="I535" t="s">
        <v>624</v>
      </c>
      <c r="J535" t="s">
        <v>629</v>
      </c>
      <c r="L535" s="5">
        <v>42556</v>
      </c>
      <c r="M535" s="5">
        <v>42929.351273148146</v>
      </c>
      <c r="N535" s="2">
        <f>HYPERLINK(URLs!B36 &amp; 86367,86367)</f>
        <v>86367</v>
      </c>
      <c r="O535" t="s">
        <v>666</v>
      </c>
      <c r="P535" t="s">
        <v>621</v>
      </c>
      <c r="Q535" t="s">
        <v>732</v>
      </c>
    </row>
    <row r="536" spans="1:26" hidden="1" x14ac:dyDescent="0.25">
      <c r="A536" s="2"/>
      <c r="B536" s="2">
        <f>HYPERLINK(URLs!B30 &amp; 11471 &amp; URLs!B32,11471)</f>
        <v>11471</v>
      </c>
      <c r="C536" t="s">
        <v>633</v>
      </c>
      <c r="D536" t="s">
        <v>619</v>
      </c>
      <c r="E536" t="s">
        <v>850</v>
      </c>
      <c r="F536" t="s">
        <v>621</v>
      </c>
      <c r="G536" t="s">
        <v>870</v>
      </c>
      <c r="H536" t="s">
        <v>871</v>
      </c>
      <c r="I536" t="s">
        <v>624</v>
      </c>
      <c r="J536" t="s">
        <v>625</v>
      </c>
      <c r="L536" s="5">
        <v>42555</v>
      </c>
      <c r="M536" s="5">
        <v>42635</v>
      </c>
      <c r="N536" s="2">
        <f>HYPERLINK(URLs!B36 &amp; 85291,85291)</f>
        <v>85291</v>
      </c>
      <c r="O536" t="s">
        <v>666</v>
      </c>
      <c r="P536" t="s">
        <v>621</v>
      </c>
      <c r="Q536" t="s">
        <v>1064</v>
      </c>
      <c r="R536" t="s">
        <v>305</v>
      </c>
      <c r="W536">
        <v>1</v>
      </c>
    </row>
    <row r="537" spans="1:26" hidden="1" x14ac:dyDescent="0.25">
      <c r="A537" s="2"/>
      <c r="B537" s="2">
        <f>HYPERLINK(URLs!B30 &amp; 11453 &amp; URLs!B32,11453)</f>
        <v>11453</v>
      </c>
      <c r="C537" t="s">
        <v>633</v>
      </c>
      <c r="D537" t="s">
        <v>619</v>
      </c>
      <c r="E537" t="s">
        <v>850</v>
      </c>
      <c r="F537" t="s">
        <v>621</v>
      </c>
      <c r="G537" t="s">
        <v>858</v>
      </c>
      <c r="H537" t="s">
        <v>859</v>
      </c>
      <c r="I537" t="s">
        <v>624</v>
      </c>
      <c r="J537" t="s">
        <v>642</v>
      </c>
      <c r="L537" s="5">
        <v>42551</v>
      </c>
      <c r="M537" s="5">
        <v>42851.550219907411</v>
      </c>
      <c r="N537" s="2">
        <f>HYPERLINK(URLs!B36 &amp; 85188,85188)</f>
        <v>85188</v>
      </c>
      <c r="O537" t="s">
        <v>636</v>
      </c>
      <c r="P537" t="s">
        <v>621</v>
      </c>
      <c r="Q537" t="s">
        <v>1065</v>
      </c>
    </row>
    <row r="538" spans="1:26" hidden="1" x14ac:dyDescent="0.25">
      <c r="A538" s="2"/>
      <c r="B538" s="2">
        <f>HYPERLINK(URLs!B30 &amp; 11452 &amp; URLs!B32,11452)</f>
        <v>11452</v>
      </c>
      <c r="C538" t="s">
        <v>633</v>
      </c>
      <c r="D538" t="s">
        <v>619</v>
      </c>
      <c r="E538" t="s">
        <v>850</v>
      </c>
      <c r="F538" t="s">
        <v>621</v>
      </c>
      <c r="G538" t="s">
        <v>875</v>
      </c>
      <c r="H538" t="s">
        <v>876</v>
      </c>
      <c r="I538" t="s">
        <v>624</v>
      </c>
      <c r="J538" t="s">
        <v>642</v>
      </c>
      <c r="L538" s="5">
        <v>42551</v>
      </c>
      <c r="M538" s="5">
        <v>42639</v>
      </c>
      <c r="N538" s="2">
        <f>HYPERLINK(URLs!B36 &amp; 79187,79187)</f>
        <v>79187</v>
      </c>
      <c r="O538" t="s">
        <v>666</v>
      </c>
      <c r="P538" t="s">
        <v>621</v>
      </c>
      <c r="Q538" t="s">
        <v>1066</v>
      </c>
      <c r="R538" t="s">
        <v>305</v>
      </c>
    </row>
    <row r="539" spans="1:26" hidden="1" x14ac:dyDescent="0.25">
      <c r="A539" s="2"/>
      <c r="B539" s="2">
        <f>HYPERLINK(URLs!B30 &amp; 11451 &amp; URLs!B32,11451)</f>
        <v>11451</v>
      </c>
      <c r="C539" t="s">
        <v>665</v>
      </c>
      <c r="D539" t="s">
        <v>619</v>
      </c>
      <c r="E539" t="s">
        <v>850</v>
      </c>
      <c r="F539" t="s">
        <v>621</v>
      </c>
      <c r="G539" t="s">
        <v>855</v>
      </c>
      <c r="H539" t="s">
        <v>856</v>
      </c>
      <c r="I539" t="s">
        <v>624</v>
      </c>
      <c r="J539" t="s">
        <v>642</v>
      </c>
      <c r="L539" s="5">
        <v>42551</v>
      </c>
      <c r="M539" s="5">
        <v>42635</v>
      </c>
      <c r="N539" s="2">
        <f>HYPERLINK(URLs!B36 &amp; 81895,81895)</f>
        <v>81895</v>
      </c>
      <c r="O539" t="s">
        <v>666</v>
      </c>
      <c r="P539" t="s">
        <v>621</v>
      </c>
      <c r="Q539" t="s">
        <v>1067</v>
      </c>
    </row>
    <row r="540" spans="1:26" hidden="1" x14ac:dyDescent="0.25">
      <c r="A540" s="2"/>
      <c r="B540" s="2">
        <f>HYPERLINK(URLs!B30 &amp; 11436 &amp; URLs!B32,11436)</f>
        <v>11436</v>
      </c>
      <c r="C540" t="s">
        <v>665</v>
      </c>
      <c r="D540" t="s">
        <v>619</v>
      </c>
      <c r="E540" t="s">
        <v>850</v>
      </c>
      <c r="F540" t="s">
        <v>621</v>
      </c>
      <c r="G540" t="s">
        <v>962</v>
      </c>
      <c r="H540" t="s">
        <v>887</v>
      </c>
      <c r="I540" t="s">
        <v>624</v>
      </c>
      <c r="J540" t="s">
        <v>625</v>
      </c>
      <c r="L540" s="5">
        <v>42550</v>
      </c>
      <c r="M540" s="5">
        <v>42670</v>
      </c>
      <c r="N540" s="2">
        <f>HYPERLINK(URLs!B36 &amp; 85016,85016)</f>
        <v>85016</v>
      </c>
      <c r="O540" t="s">
        <v>666</v>
      </c>
      <c r="P540" t="s">
        <v>621</v>
      </c>
      <c r="Q540" t="s">
        <v>1068</v>
      </c>
    </row>
    <row r="541" spans="1:26" hidden="1" x14ac:dyDescent="0.25">
      <c r="A541" s="2"/>
      <c r="B541" s="2">
        <f>HYPERLINK(URLs!B30 &amp; 11431 &amp; URLs!B32,11431)</f>
        <v>11431</v>
      </c>
      <c r="C541" t="s">
        <v>633</v>
      </c>
      <c r="D541" t="s">
        <v>619</v>
      </c>
      <c r="E541" t="s">
        <v>850</v>
      </c>
      <c r="F541" t="s">
        <v>621</v>
      </c>
      <c r="G541" t="s">
        <v>867</v>
      </c>
      <c r="H541" t="s">
        <v>868</v>
      </c>
      <c r="I541" t="s">
        <v>624</v>
      </c>
      <c r="J541" t="s">
        <v>625</v>
      </c>
      <c r="L541" s="5">
        <v>42550</v>
      </c>
      <c r="M541" s="5">
        <v>42670</v>
      </c>
      <c r="N541" s="2">
        <f>HYPERLINK(URLs!B36 &amp; 84948,84948)</f>
        <v>84948</v>
      </c>
      <c r="O541" t="s">
        <v>666</v>
      </c>
      <c r="P541" t="s">
        <v>621</v>
      </c>
      <c r="Q541" t="s">
        <v>1069</v>
      </c>
      <c r="R541" t="s">
        <v>305</v>
      </c>
    </row>
    <row r="542" spans="1:26" hidden="1" x14ac:dyDescent="0.25">
      <c r="A542" s="2"/>
      <c r="B542" s="2">
        <f>HYPERLINK(URLs!B30 &amp; 11405 &amp; URLs!B32,11405)</f>
        <v>11405</v>
      </c>
      <c r="C542" t="s">
        <v>633</v>
      </c>
      <c r="D542" t="s">
        <v>619</v>
      </c>
      <c r="E542" t="s">
        <v>850</v>
      </c>
      <c r="F542" t="s">
        <v>621</v>
      </c>
      <c r="G542" t="s">
        <v>870</v>
      </c>
      <c r="H542" t="s">
        <v>871</v>
      </c>
      <c r="I542" t="s">
        <v>624</v>
      </c>
      <c r="J542" t="s">
        <v>625</v>
      </c>
      <c r="L542" s="5">
        <v>42549</v>
      </c>
      <c r="M542" s="5">
        <v>42566</v>
      </c>
      <c r="N542" s="2">
        <f>HYPERLINK(URLs!B36 &amp; 72178,72178)</f>
        <v>72178</v>
      </c>
      <c r="O542" t="s">
        <v>666</v>
      </c>
      <c r="P542" t="s">
        <v>621</v>
      </c>
      <c r="Q542" t="s">
        <v>1070</v>
      </c>
    </row>
    <row r="543" spans="1:26" hidden="1" x14ac:dyDescent="0.25">
      <c r="A543" s="2">
        <f>HYPERLINK(URLs!B36 &amp; 79021,79021)</f>
        <v>79021</v>
      </c>
      <c r="B543" s="2">
        <f>HYPERLINK(URLs!B30 &amp; 11379 &amp; URLs!B32,11379)</f>
        <v>11379</v>
      </c>
      <c r="C543" t="s">
        <v>633</v>
      </c>
      <c r="D543" t="s">
        <v>619</v>
      </c>
      <c r="E543" t="s">
        <v>850</v>
      </c>
      <c r="F543" t="s">
        <v>621</v>
      </c>
      <c r="G543" t="s">
        <v>853</v>
      </c>
      <c r="H543" t="s">
        <v>908</v>
      </c>
      <c r="I543" t="s">
        <v>624</v>
      </c>
      <c r="J543" t="s">
        <v>629</v>
      </c>
      <c r="K543" t="s">
        <v>68</v>
      </c>
      <c r="L543" s="5">
        <v>42545</v>
      </c>
      <c r="M543" s="5">
        <v>42822</v>
      </c>
      <c r="N543" s="2">
        <f>HYPERLINK(URLs!B36 &amp; 79021,79021)</f>
        <v>79021</v>
      </c>
      <c r="O543" t="s">
        <v>636</v>
      </c>
      <c r="P543" t="s">
        <v>621</v>
      </c>
      <c r="Q543" t="s">
        <v>1071</v>
      </c>
      <c r="R543" t="s">
        <v>305</v>
      </c>
      <c r="S543" t="s">
        <v>304</v>
      </c>
      <c r="T543" t="s">
        <v>3555</v>
      </c>
      <c r="U543" t="s">
        <v>35</v>
      </c>
      <c r="V543" t="s">
        <v>35</v>
      </c>
      <c r="Z543" t="s">
        <v>73</v>
      </c>
    </row>
    <row r="544" spans="1:26" hidden="1" x14ac:dyDescent="0.25">
      <c r="A544" s="2"/>
      <c r="B544" s="2">
        <f>HYPERLINK(URLs!B30 &amp; 11377 &amp; URLs!B32,11377)</f>
        <v>11377</v>
      </c>
      <c r="C544" t="s">
        <v>665</v>
      </c>
      <c r="D544" t="s">
        <v>619</v>
      </c>
      <c r="E544" t="s">
        <v>850</v>
      </c>
      <c r="F544" t="s">
        <v>621</v>
      </c>
      <c r="G544" t="s">
        <v>853</v>
      </c>
      <c r="H544" t="s">
        <v>908</v>
      </c>
      <c r="I544" t="s">
        <v>624</v>
      </c>
      <c r="J544" t="s">
        <v>625</v>
      </c>
      <c r="L544" s="5">
        <v>42545</v>
      </c>
      <c r="M544" s="5">
        <v>42670</v>
      </c>
      <c r="N544" s="2">
        <f>HYPERLINK(URLs!B36 &amp; 84773,84773)</f>
        <v>84773</v>
      </c>
      <c r="O544" t="s">
        <v>666</v>
      </c>
      <c r="P544" t="s">
        <v>621</v>
      </c>
      <c r="Q544" t="s">
        <v>1072</v>
      </c>
      <c r="R544" t="s">
        <v>305</v>
      </c>
    </row>
    <row r="545" spans="1:26" hidden="1" x14ac:dyDescent="0.25">
      <c r="A545" s="2"/>
      <c r="B545" s="2">
        <f>HYPERLINK(URLs!B30 &amp; 11360 &amp; URLs!B32,11360)</f>
        <v>11360</v>
      </c>
      <c r="C545" t="s">
        <v>665</v>
      </c>
      <c r="D545" t="s">
        <v>619</v>
      </c>
      <c r="E545" t="s">
        <v>850</v>
      </c>
      <c r="F545" t="s">
        <v>621</v>
      </c>
      <c r="G545" t="s">
        <v>870</v>
      </c>
      <c r="H545" t="s">
        <v>871</v>
      </c>
      <c r="I545" t="s">
        <v>624</v>
      </c>
      <c r="J545" t="s">
        <v>625</v>
      </c>
      <c r="L545" s="5">
        <v>42544</v>
      </c>
      <c r="M545" s="5">
        <v>42744</v>
      </c>
      <c r="N545" s="2">
        <f>HYPERLINK(URLs!B36 &amp; 84627,84627)</f>
        <v>84627</v>
      </c>
      <c r="O545" t="s">
        <v>666</v>
      </c>
      <c r="P545" t="s">
        <v>621</v>
      </c>
      <c r="Q545" t="s">
        <v>1073</v>
      </c>
      <c r="R545" t="s">
        <v>305</v>
      </c>
      <c r="W545">
        <v>1</v>
      </c>
    </row>
    <row r="546" spans="1:26" hidden="1" x14ac:dyDescent="0.25">
      <c r="A546" s="2">
        <f>HYPERLINK(URLs!B36 &amp; 84801,84801)</f>
        <v>84801</v>
      </c>
      <c r="B546" s="2">
        <f>HYPERLINK(URLs!B30 &amp; 11311 &amp; URLs!B32,11311)</f>
        <v>11311</v>
      </c>
      <c r="C546" t="s">
        <v>633</v>
      </c>
      <c r="D546" t="s">
        <v>619</v>
      </c>
      <c r="E546" t="s">
        <v>620</v>
      </c>
      <c r="F546" t="s">
        <v>621</v>
      </c>
      <c r="G546" t="s">
        <v>627</v>
      </c>
      <c r="H546" t="s">
        <v>628</v>
      </c>
      <c r="I546" t="s">
        <v>624</v>
      </c>
      <c r="J546" t="s">
        <v>625</v>
      </c>
      <c r="K546" t="s">
        <v>31</v>
      </c>
      <c r="L546" s="5">
        <v>42540</v>
      </c>
      <c r="M546" s="5">
        <v>42765</v>
      </c>
      <c r="N546" s="2">
        <f>HYPERLINK(URLs!B36 &amp; 84801,84801)</f>
        <v>84801</v>
      </c>
      <c r="O546" t="s">
        <v>666</v>
      </c>
      <c r="P546" t="s">
        <v>621</v>
      </c>
      <c r="Q546" t="s">
        <v>733</v>
      </c>
      <c r="R546" t="s">
        <v>305</v>
      </c>
      <c r="S546" t="s">
        <v>304</v>
      </c>
      <c r="T546" t="s">
        <v>69</v>
      </c>
      <c r="U546" t="s">
        <v>3984</v>
      </c>
      <c r="V546" t="s">
        <v>321</v>
      </c>
      <c r="Z546" t="s">
        <v>45</v>
      </c>
    </row>
    <row r="547" spans="1:26" hidden="1" x14ac:dyDescent="0.25">
      <c r="A547" s="2">
        <f>HYPERLINK(URLs!B36 &amp; 76841,76841)</f>
        <v>76841</v>
      </c>
      <c r="B547" s="2">
        <f>HYPERLINK(URLs!B30 &amp; 11307 &amp; URLs!B32,11307)</f>
        <v>11307</v>
      </c>
      <c r="C547" t="s">
        <v>665</v>
      </c>
      <c r="D547" t="s">
        <v>619</v>
      </c>
      <c r="E547" t="s">
        <v>620</v>
      </c>
      <c r="F547" t="s">
        <v>621</v>
      </c>
      <c r="G547" t="s">
        <v>622</v>
      </c>
      <c r="H547" t="s">
        <v>623</v>
      </c>
      <c r="I547" t="s">
        <v>624</v>
      </c>
      <c r="J547" t="s">
        <v>629</v>
      </c>
      <c r="K547" t="s">
        <v>31</v>
      </c>
      <c r="L547" s="5">
        <v>42538</v>
      </c>
      <c r="M547" s="5">
        <v>42550</v>
      </c>
      <c r="N547" s="2">
        <f>HYPERLINK(URLs!B36 &amp; 84814,84814)</f>
        <v>84814</v>
      </c>
      <c r="O547" t="s">
        <v>680</v>
      </c>
      <c r="P547" t="s">
        <v>621</v>
      </c>
      <c r="Q547" t="s">
        <v>734</v>
      </c>
      <c r="R547" t="s">
        <v>305</v>
      </c>
      <c r="S547" t="s">
        <v>304</v>
      </c>
      <c r="T547" t="s">
        <v>69</v>
      </c>
      <c r="U547" t="s">
        <v>3983</v>
      </c>
      <c r="V547" t="s">
        <v>321</v>
      </c>
      <c r="Z547" t="s">
        <v>73</v>
      </c>
    </row>
    <row r="548" spans="1:26" hidden="1" x14ac:dyDescent="0.25">
      <c r="A548" s="2"/>
      <c r="B548" s="2">
        <f>HYPERLINK(URLs!B30 &amp; 11303 &amp; URLs!B32,11303)</f>
        <v>11303</v>
      </c>
      <c r="C548" t="s">
        <v>633</v>
      </c>
      <c r="D548" t="s">
        <v>619</v>
      </c>
      <c r="E548" t="s">
        <v>850</v>
      </c>
      <c r="F548" t="s">
        <v>621</v>
      </c>
      <c r="G548" t="s">
        <v>853</v>
      </c>
      <c r="H548" t="s">
        <v>908</v>
      </c>
      <c r="I548" t="s">
        <v>624</v>
      </c>
      <c r="J548" t="s">
        <v>629</v>
      </c>
      <c r="L548" s="5">
        <v>42538</v>
      </c>
      <c r="M548" s="5">
        <v>42822</v>
      </c>
      <c r="N548" s="2">
        <f>HYPERLINK(URLs!B36 &amp; 84747,84747)</f>
        <v>84747</v>
      </c>
      <c r="O548" t="s">
        <v>636</v>
      </c>
      <c r="P548" t="s">
        <v>621</v>
      </c>
      <c r="Q548" t="s">
        <v>1074</v>
      </c>
      <c r="R548" t="s">
        <v>305</v>
      </c>
      <c r="W548">
        <v>1</v>
      </c>
    </row>
    <row r="549" spans="1:26" hidden="1" x14ac:dyDescent="0.25">
      <c r="A549" s="2">
        <f>HYPERLINK(URLs!B36 &amp; 85430,85430)</f>
        <v>85430</v>
      </c>
      <c r="B549" s="2">
        <f>HYPERLINK(URLs!B30 &amp; 11301 &amp; URLs!B32,11301)</f>
        <v>11301</v>
      </c>
      <c r="C549" t="s">
        <v>633</v>
      </c>
      <c r="D549" t="s">
        <v>619</v>
      </c>
      <c r="E549" t="s">
        <v>850</v>
      </c>
      <c r="F549" t="s">
        <v>621</v>
      </c>
      <c r="G549" t="s">
        <v>855</v>
      </c>
      <c r="H549" t="s">
        <v>856</v>
      </c>
      <c r="I549" t="s">
        <v>624</v>
      </c>
      <c r="J549" t="s">
        <v>642</v>
      </c>
      <c r="K549" t="s">
        <v>57</v>
      </c>
      <c r="L549" s="5">
        <v>42538</v>
      </c>
      <c r="M549" s="5">
        <v>43117.613194444442</v>
      </c>
      <c r="N549" s="2">
        <f>HYPERLINK(URLs!B36 &amp; 85430,85430)</f>
        <v>85430</v>
      </c>
      <c r="O549" t="s">
        <v>636</v>
      </c>
      <c r="P549" t="s">
        <v>621</v>
      </c>
      <c r="Q549" t="s">
        <v>1075</v>
      </c>
      <c r="R549" t="s">
        <v>305</v>
      </c>
      <c r="S549" t="s">
        <v>304</v>
      </c>
      <c r="T549" t="s">
        <v>3661</v>
      </c>
      <c r="U549" t="s">
        <v>35</v>
      </c>
      <c r="V549" t="s">
        <v>321</v>
      </c>
      <c r="Z549" t="s">
        <v>34</v>
      </c>
    </row>
    <row r="550" spans="1:26" hidden="1" x14ac:dyDescent="0.25">
      <c r="A550" s="2"/>
      <c r="B550" s="2">
        <f>HYPERLINK(URLs!B30 &amp; 11265 &amp; URLs!B32,11265)</f>
        <v>11265</v>
      </c>
      <c r="C550" t="s">
        <v>665</v>
      </c>
      <c r="D550" t="s">
        <v>619</v>
      </c>
      <c r="E550" t="s">
        <v>850</v>
      </c>
      <c r="F550" t="s">
        <v>621</v>
      </c>
      <c r="G550" t="s">
        <v>853</v>
      </c>
      <c r="H550" t="s">
        <v>908</v>
      </c>
      <c r="I550" t="s">
        <v>624</v>
      </c>
      <c r="J550" t="s">
        <v>629</v>
      </c>
      <c r="L550" s="5">
        <v>42535</v>
      </c>
      <c r="M550" s="5">
        <v>43117.695138888892</v>
      </c>
      <c r="N550" s="2">
        <f>HYPERLINK(URLs!B36 &amp; 90450,90450)</f>
        <v>90450</v>
      </c>
      <c r="O550" t="s">
        <v>636</v>
      </c>
      <c r="P550" t="s">
        <v>621</v>
      </c>
      <c r="Q550" t="s">
        <v>1076</v>
      </c>
      <c r="W550">
        <v>1</v>
      </c>
    </row>
    <row r="551" spans="1:26" hidden="1" x14ac:dyDescent="0.25">
      <c r="A551" s="2">
        <f>HYPERLINK(URLs!B36 &amp; 66235,66235)</f>
        <v>66235</v>
      </c>
      <c r="B551" s="2">
        <f>HYPERLINK(URLs!B30 &amp; 11243 &amp; URLs!B32,11243)</f>
        <v>11243</v>
      </c>
      <c r="C551" t="s">
        <v>665</v>
      </c>
      <c r="D551" t="s">
        <v>619</v>
      </c>
      <c r="E551" t="s">
        <v>620</v>
      </c>
      <c r="F551" t="s">
        <v>621</v>
      </c>
      <c r="G551" t="s">
        <v>631</v>
      </c>
      <c r="H551" t="s">
        <v>632</v>
      </c>
      <c r="I551" t="s">
        <v>624</v>
      </c>
      <c r="J551" t="s">
        <v>625</v>
      </c>
      <c r="K551" t="s">
        <v>31</v>
      </c>
      <c r="L551" s="5">
        <v>42534</v>
      </c>
      <c r="M551" s="5">
        <v>43168.603472222225</v>
      </c>
      <c r="N551" s="2">
        <f>HYPERLINK(URLs!B36 &amp; 66235,66235)</f>
        <v>66235</v>
      </c>
      <c r="O551" t="s">
        <v>636</v>
      </c>
      <c r="P551" t="s">
        <v>621</v>
      </c>
      <c r="Q551" t="s">
        <v>735</v>
      </c>
      <c r="R551" t="s">
        <v>305</v>
      </c>
      <c r="S551" t="s">
        <v>304</v>
      </c>
      <c r="T551" t="s">
        <v>190</v>
      </c>
      <c r="U551" t="s">
        <v>3984</v>
      </c>
      <c r="V551" t="s">
        <v>35</v>
      </c>
      <c r="W551">
        <v>1</v>
      </c>
      <c r="Z551" t="s">
        <v>380</v>
      </c>
    </row>
    <row r="552" spans="1:26" hidden="1" x14ac:dyDescent="0.25">
      <c r="A552" s="2"/>
      <c r="B552" s="2">
        <f>HYPERLINK(URLs!B30 &amp; 11220 &amp; URLs!B32,11220)</f>
        <v>11220</v>
      </c>
      <c r="C552" t="s">
        <v>633</v>
      </c>
      <c r="D552" t="s">
        <v>619</v>
      </c>
      <c r="E552" t="s">
        <v>850</v>
      </c>
      <c r="F552" t="s">
        <v>621</v>
      </c>
      <c r="G552" t="s">
        <v>851</v>
      </c>
      <c r="H552" t="s">
        <v>852</v>
      </c>
      <c r="I552" t="s">
        <v>624</v>
      </c>
      <c r="J552" t="s">
        <v>629</v>
      </c>
      <c r="L552" s="5">
        <v>42530</v>
      </c>
      <c r="M552" s="5">
        <v>42635</v>
      </c>
      <c r="N552" s="2">
        <f>HYPERLINK(URLs!B36 &amp; 83567,83567)</f>
        <v>83567</v>
      </c>
      <c r="O552" t="s">
        <v>666</v>
      </c>
      <c r="P552" t="s">
        <v>621</v>
      </c>
      <c r="Q552" t="s">
        <v>1077</v>
      </c>
      <c r="R552" t="s">
        <v>305</v>
      </c>
    </row>
    <row r="553" spans="1:26" hidden="1" x14ac:dyDescent="0.25">
      <c r="A553" s="2"/>
      <c r="B553" s="2">
        <f>HYPERLINK(URLs!B30 &amp; 11214 &amp; URLs!B32,11214)</f>
        <v>11214</v>
      </c>
      <c r="C553" t="s">
        <v>633</v>
      </c>
      <c r="D553" t="s">
        <v>619</v>
      </c>
      <c r="E553" t="s">
        <v>850</v>
      </c>
      <c r="F553" t="s">
        <v>621</v>
      </c>
      <c r="G553" t="s">
        <v>870</v>
      </c>
      <c r="H553" t="s">
        <v>871</v>
      </c>
      <c r="I553" t="s">
        <v>624</v>
      </c>
      <c r="J553" t="s">
        <v>629</v>
      </c>
      <c r="L553" s="5">
        <v>42529</v>
      </c>
      <c r="M553" s="5">
        <v>42822</v>
      </c>
      <c r="N553" s="2">
        <f>HYPERLINK(URLs!B36 &amp; 84227,84227)</f>
        <v>84227</v>
      </c>
      <c r="O553" t="s">
        <v>636</v>
      </c>
      <c r="P553" t="s">
        <v>621</v>
      </c>
      <c r="Q553" t="s">
        <v>1078</v>
      </c>
    </row>
    <row r="554" spans="1:26" hidden="1" x14ac:dyDescent="0.25">
      <c r="A554" s="2">
        <f>HYPERLINK(URLs!B36 &amp; 59656,59656)</f>
        <v>59656</v>
      </c>
      <c r="B554" s="2">
        <f>HYPERLINK(URLs!B30 &amp; 11212 &amp; URLs!B32,11212)</f>
        <v>11212</v>
      </c>
      <c r="C554" t="s">
        <v>665</v>
      </c>
      <c r="D554" t="s">
        <v>619</v>
      </c>
      <c r="E554" t="s">
        <v>620</v>
      </c>
      <c r="F554" t="s">
        <v>621</v>
      </c>
      <c r="G554" t="s">
        <v>627</v>
      </c>
      <c r="H554" t="s">
        <v>628</v>
      </c>
      <c r="I554" t="s">
        <v>624</v>
      </c>
      <c r="J554" t="s">
        <v>629</v>
      </c>
      <c r="K554" t="s">
        <v>68</v>
      </c>
      <c r="L554" s="5">
        <v>42529</v>
      </c>
      <c r="M554" s="5">
        <v>43171.320833333331</v>
      </c>
      <c r="N554" s="2">
        <f>HYPERLINK(URLs!B36 &amp; 67397,67397)</f>
        <v>67397</v>
      </c>
      <c r="O554" t="s">
        <v>636</v>
      </c>
      <c r="P554" t="s">
        <v>621</v>
      </c>
      <c r="Q554" t="s">
        <v>736</v>
      </c>
      <c r="R554" t="s">
        <v>305</v>
      </c>
      <c r="S554" t="s">
        <v>304</v>
      </c>
      <c r="T554" t="s">
        <v>4159</v>
      </c>
      <c r="U554" t="s">
        <v>3982</v>
      </c>
      <c r="V554" t="s">
        <v>35</v>
      </c>
      <c r="W554">
        <v>1</v>
      </c>
      <c r="Z554" t="s">
        <v>34</v>
      </c>
    </row>
    <row r="555" spans="1:26" hidden="1" x14ac:dyDescent="0.25">
      <c r="A555" s="2"/>
      <c r="B555" s="2">
        <f>HYPERLINK(URLs!B30 &amp; 11211 &amp; URLs!B32,11211)</f>
        <v>11211</v>
      </c>
      <c r="C555" t="s">
        <v>633</v>
      </c>
      <c r="D555" t="s">
        <v>619</v>
      </c>
      <c r="E555" t="s">
        <v>850</v>
      </c>
      <c r="F555" t="s">
        <v>621</v>
      </c>
      <c r="G555" t="s">
        <v>851</v>
      </c>
      <c r="H555" t="s">
        <v>852</v>
      </c>
      <c r="I555" t="s">
        <v>624</v>
      </c>
      <c r="J555" t="s">
        <v>629</v>
      </c>
      <c r="L555" s="5">
        <v>42529</v>
      </c>
      <c r="M555" s="5">
        <v>42822</v>
      </c>
      <c r="N555" s="2">
        <f>HYPERLINK(URLs!B36 &amp; 83793,83793)</f>
        <v>83793</v>
      </c>
      <c r="O555" t="s">
        <v>636</v>
      </c>
      <c r="P555" t="s">
        <v>621</v>
      </c>
      <c r="Q555" t="s">
        <v>1079</v>
      </c>
    </row>
    <row r="556" spans="1:26" hidden="1" x14ac:dyDescent="0.25">
      <c r="A556" s="2"/>
      <c r="B556" s="2">
        <f>HYPERLINK(URLs!B30 &amp; 11200 &amp; URLs!B32,11200)</f>
        <v>11200</v>
      </c>
      <c r="C556" t="s">
        <v>665</v>
      </c>
      <c r="D556" t="s">
        <v>619</v>
      </c>
      <c r="E556" t="s">
        <v>850</v>
      </c>
      <c r="F556" t="s">
        <v>621</v>
      </c>
      <c r="G556" t="s">
        <v>889</v>
      </c>
      <c r="H556" t="s">
        <v>890</v>
      </c>
      <c r="I556" t="s">
        <v>624</v>
      </c>
      <c r="J556" t="s">
        <v>629</v>
      </c>
      <c r="L556" s="5">
        <v>42527</v>
      </c>
      <c r="M556" s="5">
        <v>43294.46597222222</v>
      </c>
      <c r="N556" s="2">
        <f>HYPERLINK(URLs!B36 &amp; 88372,88372)</f>
        <v>88372</v>
      </c>
      <c r="O556" t="s">
        <v>645</v>
      </c>
      <c r="P556" t="s">
        <v>621</v>
      </c>
      <c r="Q556" t="s">
        <v>1080</v>
      </c>
    </row>
    <row r="557" spans="1:26" hidden="1" x14ac:dyDescent="0.25">
      <c r="A557" s="2">
        <f>HYPERLINK(URLs!B36 &amp; 82531,82531)</f>
        <v>82531</v>
      </c>
      <c r="B557" s="2">
        <f>HYPERLINK(URLs!B30 &amp; 11198 &amp; URLs!B32,11198)</f>
        <v>11198</v>
      </c>
      <c r="C557" t="s">
        <v>665</v>
      </c>
      <c r="D557" t="s">
        <v>619</v>
      </c>
      <c r="E557" t="s">
        <v>850</v>
      </c>
      <c r="F557" t="s">
        <v>621</v>
      </c>
      <c r="G557" t="s">
        <v>962</v>
      </c>
      <c r="H557" t="s">
        <v>887</v>
      </c>
      <c r="I557" t="s">
        <v>624</v>
      </c>
      <c r="J557" t="s">
        <v>625</v>
      </c>
      <c r="K557" t="s">
        <v>31</v>
      </c>
      <c r="L557" s="5">
        <v>42527</v>
      </c>
      <c r="M557" s="5">
        <v>42635</v>
      </c>
      <c r="N557" s="2">
        <f>HYPERLINK(URLs!B36 &amp; 82531,82531)</f>
        <v>82531</v>
      </c>
      <c r="O557" t="s">
        <v>666</v>
      </c>
      <c r="P557" t="s">
        <v>621</v>
      </c>
      <c r="Q557" t="s">
        <v>1081</v>
      </c>
      <c r="R557" t="s">
        <v>305</v>
      </c>
      <c r="S557" t="s">
        <v>304</v>
      </c>
      <c r="T557" t="s">
        <v>4133</v>
      </c>
      <c r="U557" t="s">
        <v>35</v>
      </c>
      <c r="V557" t="s">
        <v>35</v>
      </c>
      <c r="Z557" t="s">
        <v>73</v>
      </c>
    </row>
    <row r="558" spans="1:26" hidden="1" x14ac:dyDescent="0.25">
      <c r="A558" s="2">
        <f>HYPERLINK(URLs!B36 &amp; 83864,83864)</f>
        <v>83864</v>
      </c>
      <c r="B558" s="2">
        <f>HYPERLINK(URLs!B30 &amp; 11160 &amp; URLs!B32,11160)</f>
        <v>11160</v>
      </c>
      <c r="C558" t="s">
        <v>633</v>
      </c>
      <c r="D558" t="s">
        <v>619</v>
      </c>
      <c r="E558" t="s">
        <v>620</v>
      </c>
      <c r="F558" t="s">
        <v>621</v>
      </c>
      <c r="G558" t="s">
        <v>631</v>
      </c>
      <c r="H558" t="s">
        <v>632</v>
      </c>
      <c r="I558" t="s">
        <v>624</v>
      </c>
      <c r="J558" t="s">
        <v>625</v>
      </c>
      <c r="K558" t="s">
        <v>31</v>
      </c>
      <c r="L558" s="5">
        <v>42523</v>
      </c>
      <c r="M558" s="5">
        <v>42748</v>
      </c>
      <c r="N558" s="2">
        <f>HYPERLINK(URLs!B36 &amp; 83864,83864)</f>
        <v>83864</v>
      </c>
      <c r="O558" t="s">
        <v>640</v>
      </c>
      <c r="P558" t="s">
        <v>621</v>
      </c>
      <c r="Q558" t="s">
        <v>737</v>
      </c>
      <c r="R558" t="s">
        <v>305</v>
      </c>
      <c r="S558" t="s">
        <v>304</v>
      </c>
      <c r="T558" t="s">
        <v>107</v>
      </c>
      <c r="U558" t="s">
        <v>3977</v>
      </c>
      <c r="V558" t="s">
        <v>35</v>
      </c>
      <c r="Z558" t="s">
        <v>106</v>
      </c>
    </row>
    <row r="559" spans="1:26" hidden="1" x14ac:dyDescent="0.25">
      <c r="A559" s="2">
        <f>HYPERLINK(URLs!B36 &amp; 77469,77469)</f>
        <v>77469</v>
      </c>
      <c r="B559" s="2">
        <f>HYPERLINK(URLs!B30 &amp; 11152 &amp; URLs!B32,11152)</f>
        <v>11152</v>
      </c>
      <c r="C559" t="s">
        <v>665</v>
      </c>
      <c r="D559" t="s">
        <v>619</v>
      </c>
      <c r="E559" t="s">
        <v>620</v>
      </c>
      <c r="F559" t="s">
        <v>621</v>
      </c>
      <c r="G559" t="s">
        <v>631</v>
      </c>
      <c r="H559" t="s">
        <v>632</v>
      </c>
      <c r="I559" t="s">
        <v>624</v>
      </c>
      <c r="J559" t="s">
        <v>625</v>
      </c>
      <c r="K559" t="s">
        <v>31</v>
      </c>
      <c r="L559" s="5">
        <v>42522</v>
      </c>
      <c r="M559" s="5">
        <v>42929.589583333334</v>
      </c>
      <c r="N559" s="2">
        <f>HYPERLINK(URLs!B36 &amp; 77469,77469)</f>
        <v>77469</v>
      </c>
      <c r="O559" t="s">
        <v>636</v>
      </c>
      <c r="P559" t="s">
        <v>621</v>
      </c>
      <c r="Q559" t="s">
        <v>738</v>
      </c>
      <c r="R559" t="s">
        <v>305</v>
      </c>
      <c r="S559" t="s">
        <v>304</v>
      </c>
      <c r="T559" t="s">
        <v>69</v>
      </c>
      <c r="U559" t="s">
        <v>3971</v>
      </c>
      <c r="V559" t="s">
        <v>321</v>
      </c>
      <c r="W559">
        <v>1</v>
      </c>
      <c r="Z559" t="s">
        <v>52</v>
      </c>
    </row>
    <row r="560" spans="1:26" hidden="1" x14ac:dyDescent="0.25">
      <c r="A560" s="2"/>
      <c r="B560" s="2">
        <f>HYPERLINK(URLs!B30 &amp; 11145 &amp; URLs!B32,11145)</f>
        <v>11145</v>
      </c>
      <c r="C560" t="s">
        <v>665</v>
      </c>
      <c r="D560" t="s">
        <v>619</v>
      </c>
      <c r="E560" t="s">
        <v>850</v>
      </c>
      <c r="F560" t="s">
        <v>621</v>
      </c>
      <c r="G560" t="s">
        <v>858</v>
      </c>
      <c r="H560" t="s">
        <v>859</v>
      </c>
      <c r="I560" t="s">
        <v>624</v>
      </c>
      <c r="J560" t="s">
        <v>642</v>
      </c>
      <c r="L560" s="5">
        <v>42521</v>
      </c>
      <c r="M560" s="5">
        <v>42822</v>
      </c>
      <c r="N560" s="2">
        <f>HYPERLINK(URLs!B36 &amp; 83738,83738)</f>
        <v>83738</v>
      </c>
      <c r="O560" t="s">
        <v>636</v>
      </c>
      <c r="P560" t="s">
        <v>621</v>
      </c>
      <c r="Q560" t="s">
        <v>1082</v>
      </c>
      <c r="W560">
        <v>1</v>
      </c>
    </row>
    <row r="561" spans="1:26" hidden="1" x14ac:dyDescent="0.25">
      <c r="A561" s="2">
        <f>HYPERLINK(URLs!B36 &amp; 70570,70570)</f>
        <v>70570</v>
      </c>
      <c r="B561" s="2">
        <f>HYPERLINK(URLs!B30 &amp; 11142 &amp; URLs!B32,11142)</f>
        <v>11142</v>
      </c>
      <c r="C561" t="s">
        <v>665</v>
      </c>
      <c r="D561" t="s">
        <v>619</v>
      </c>
      <c r="E561" t="s">
        <v>620</v>
      </c>
      <c r="F561" t="s">
        <v>621</v>
      </c>
      <c r="G561" t="s">
        <v>627</v>
      </c>
      <c r="H561" t="s">
        <v>628</v>
      </c>
      <c r="I561" t="s">
        <v>624</v>
      </c>
      <c r="J561" t="s">
        <v>625</v>
      </c>
      <c r="K561" t="s">
        <v>31</v>
      </c>
      <c r="L561" s="5">
        <v>42520</v>
      </c>
      <c r="M561" s="5">
        <v>43035.509722222225</v>
      </c>
      <c r="N561" s="2">
        <f>HYPERLINK(URLs!B36 &amp; 83715,83715)</f>
        <v>83715</v>
      </c>
      <c r="O561" t="s">
        <v>636</v>
      </c>
      <c r="P561" t="s">
        <v>621</v>
      </c>
      <c r="Q561" t="s">
        <v>739</v>
      </c>
      <c r="R561" t="s">
        <v>305</v>
      </c>
      <c r="S561" t="s">
        <v>304</v>
      </c>
      <c r="T561" t="s">
        <v>428</v>
      </c>
      <c r="U561" t="s">
        <v>3977</v>
      </c>
      <c r="V561" t="s">
        <v>35</v>
      </c>
      <c r="W561">
        <v>1</v>
      </c>
      <c r="Z561" t="s">
        <v>45</v>
      </c>
    </row>
    <row r="562" spans="1:26" hidden="1" x14ac:dyDescent="0.25">
      <c r="A562" s="2">
        <f>HYPERLINK(URLs!B36 &amp; 82495,82495)</f>
        <v>82495</v>
      </c>
      <c r="B562" s="2">
        <f>HYPERLINK(URLs!B30 &amp; 11139 &amp; URLs!B32,11139)</f>
        <v>11139</v>
      </c>
      <c r="C562" t="s">
        <v>633</v>
      </c>
      <c r="D562" t="s">
        <v>619</v>
      </c>
      <c r="E562" t="s">
        <v>620</v>
      </c>
      <c r="F562" t="s">
        <v>621</v>
      </c>
      <c r="G562" t="s">
        <v>631</v>
      </c>
      <c r="H562" t="s">
        <v>632</v>
      </c>
      <c r="I562" t="s">
        <v>624</v>
      </c>
      <c r="J562" t="s">
        <v>625</v>
      </c>
      <c r="K562" t="s">
        <v>31</v>
      </c>
      <c r="L562" s="5">
        <v>42520</v>
      </c>
      <c r="M562" s="5">
        <v>42587</v>
      </c>
      <c r="N562" s="2">
        <f>HYPERLINK(URLs!B36 &amp; 82495,82495)</f>
        <v>82495</v>
      </c>
      <c r="O562" t="s">
        <v>666</v>
      </c>
      <c r="P562" t="s">
        <v>621</v>
      </c>
      <c r="Q562" t="s">
        <v>740</v>
      </c>
      <c r="R562" t="s">
        <v>305</v>
      </c>
      <c r="S562" t="s">
        <v>304</v>
      </c>
      <c r="T562" t="s">
        <v>77</v>
      </c>
      <c r="U562" t="s">
        <v>3979</v>
      </c>
      <c r="V562" t="s">
        <v>35</v>
      </c>
      <c r="Z562" t="s">
        <v>73</v>
      </c>
    </row>
    <row r="563" spans="1:26" hidden="1" x14ac:dyDescent="0.25">
      <c r="A563" s="2"/>
      <c r="B563" s="2">
        <f>HYPERLINK(URLs!B30 &amp; 11127 &amp; URLs!B32,11127)</f>
        <v>11127</v>
      </c>
      <c r="C563" t="s">
        <v>633</v>
      </c>
      <c r="D563" t="s">
        <v>619</v>
      </c>
      <c r="E563" t="s">
        <v>850</v>
      </c>
      <c r="F563" t="s">
        <v>621</v>
      </c>
      <c r="G563" t="s">
        <v>853</v>
      </c>
      <c r="H563" t="s">
        <v>908</v>
      </c>
      <c r="I563" t="s">
        <v>624</v>
      </c>
      <c r="J563" t="s">
        <v>629</v>
      </c>
      <c r="L563" s="5">
        <v>42515</v>
      </c>
      <c r="M563" s="5">
        <v>42878.298634259256</v>
      </c>
      <c r="N563" s="2">
        <f>HYPERLINK(URLs!B36 &amp; 73372,73372)</f>
        <v>73372</v>
      </c>
      <c r="O563" t="s">
        <v>645</v>
      </c>
      <c r="P563" t="s">
        <v>621</v>
      </c>
      <c r="Q563" t="s">
        <v>1083</v>
      </c>
      <c r="R563" t="s">
        <v>305</v>
      </c>
    </row>
    <row r="564" spans="1:26" hidden="1" x14ac:dyDescent="0.25">
      <c r="A564" s="2">
        <f>HYPERLINK(URLs!B36 &amp; 83333,83333)</f>
        <v>83333</v>
      </c>
      <c r="B564" s="2">
        <f>HYPERLINK(URLs!B30 &amp; 11098 &amp; URLs!B32,11098)</f>
        <v>11098</v>
      </c>
      <c r="C564" t="s">
        <v>633</v>
      </c>
      <c r="D564" t="s">
        <v>619</v>
      </c>
      <c r="E564" t="s">
        <v>620</v>
      </c>
      <c r="F564" t="s">
        <v>621</v>
      </c>
      <c r="G564" t="s">
        <v>643</v>
      </c>
      <c r="H564" t="s">
        <v>644</v>
      </c>
      <c r="I564" t="s">
        <v>624</v>
      </c>
      <c r="J564" t="s">
        <v>625</v>
      </c>
      <c r="K564" t="s">
        <v>31</v>
      </c>
      <c r="L564" s="5">
        <v>42511</v>
      </c>
      <c r="M564" s="5">
        <v>43175.390775462962</v>
      </c>
      <c r="N564" s="2">
        <f>HYPERLINK(URLs!B36 &amp; 83333,83333)</f>
        <v>83333</v>
      </c>
      <c r="O564" t="s">
        <v>645</v>
      </c>
      <c r="P564" t="s">
        <v>621</v>
      </c>
      <c r="Q564" t="s">
        <v>741</v>
      </c>
      <c r="R564" t="s">
        <v>29</v>
      </c>
      <c r="T564" t="s">
        <v>4098</v>
      </c>
      <c r="U564" t="s">
        <v>35</v>
      </c>
      <c r="V564" t="s">
        <v>35</v>
      </c>
      <c r="Z564" t="s">
        <v>45</v>
      </c>
    </row>
    <row r="565" spans="1:26" hidden="1" x14ac:dyDescent="0.25">
      <c r="A565" s="2">
        <f>HYPERLINK(URLs!B36 &amp; 77493,77493)</f>
        <v>77493</v>
      </c>
      <c r="B565" s="2">
        <f>HYPERLINK(URLs!B30 &amp; 11065 &amp; URLs!B32,11065)</f>
        <v>11065</v>
      </c>
      <c r="C565" t="s">
        <v>633</v>
      </c>
      <c r="D565" t="s">
        <v>619</v>
      </c>
      <c r="E565" t="s">
        <v>620</v>
      </c>
      <c r="F565" t="s">
        <v>621</v>
      </c>
      <c r="G565" t="s">
        <v>643</v>
      </c>
      <c r="H565" t="s">
        <v>644</v>
      </c>
      <c r="I565" t="s">
        <v>624</v>
      </c>
      <c r="J565" t="s">
        <v>625</v>
      </c>
      <c r="K565" t="s">
        <v>31</v>
      </c>
      <c r="L565" s="5">
        <v>42508</v>
      </c>
      <c r="M565" s="5">
        <v>42586</v>
      </c>
      <c r="N565" s="2">
        <f>HYPERLINK(URLs!B36 &amp; 77493,77493)</f>
        <v>77493</v>
      </c>
      <c r="O565" t="s">
        <v>666</v>
      </c>
      <c r="P565" t="s">
        <v>621</v>
      </c>
      <c r="Q565" t="s">
        <v>742</v>
      </c>
      <c r="R565" t="s">
        <v>305</v>
      </c>
      <c r="S565" t="s">
        <v>304</v>
      </c>
      <c r="T565" t="s">
        <v>77</v>
      </c>
      <c r="U565" t="s">
        <v>3981</v>
      </c>
      <c r="V565" t="s">
        <v>321</v>
      </c>
      <c r="Z565" t="s">
        <v>73</v>
      </c>
    </row>
    <row r="566" spans="1:26" hidden="1" x14ac:dyDescent="0.25">
      <c r="A566" s="2"/>
      <c r="B566" s="2">
        <f>HYPERLINK(URLs!B30 &amp; 11029 &amp; URLs!B32,11029)</f>
        <v>11029</v>
      </c>
      <c r="C566" t="s">
        <v>633</v>
      </c>
      <c r="D566" t="s">
        <v>619</v>
      </c>
      <c r="E566" t="s">
        <v>850</v>
      </c>
      <c r="F566" t="s">
        <v>621</v>
      </c>
      <c r="G566" t="s">
        <v>855</v>
      </c>
      <c r="H566" t="s">
        <v>856</v>
      </c>
      <c r="I566" t="s">
        <v>624</v>
      </c>
      <c r="J566" t="s">
        <v>642</v>
      </c>
      <c r="L566" s="5">
        <v>42503</v>
      </c>
      <c r="M566" s="5">
        <v>43332.198831018519</v>
      </c>
      <c r="N566" s="2">
        <f>HYPERLINK(URLs!B36 &amp; 82298,82298)</f>
        <v>82298</v>
      </c>
      <c r="O566" t="s">
        <v>636</v>
      </c>
      <c r="P566" t="s">
        <v>621</v>
      </c>
      <c r="Q566" t="s">
        <v>1084</v>
      </c>
      <c r="R566" t="s">
        <v>305</v>
      </c>
    </row>
    <row r="567" spans="1:26" hidden="1" x14ac:dyDescent="0.25">
      <c r="A567" s="2"/>
      <c r="B567" s="2">
        <f>HYPERLINK(URLs!B30 &amp; 11028 &amp; URLs!B32,11028)</f>
        <v>11028</v>
      </c>
      <c r="C567" t="s">
        <v>665</v>
      </c>
      <c r="D567" t="s">
        <v>619</v>
      </c>
      <c r="E567" t="s">
        <v>850</v>
      </c>
      <c r="F567" t="s">
        <v>621</v>
      </c>
      <c r="G567" t="s">
        <v>855</v>
      </c>
      <c r="H567" t="s">
        <v>856</v>
      </c>
      <c r="I567" t="s">
        <v>624</v>
      </c>
      <c r="J567" t="s">
        <v>625</v>
      </c>
      <c r="L567" s="5">
        <v>42503</v>
      </c>
      <c r="M567" s="5">
        <v>42681</v>
      </c>
      <c r="N567" s="2">
        <f>HYPERLINK(URLs!B36 &amp; 83228,83228)</f>
        <v>83228</v>
      </c>
      <c r="O567" t="s">
        <v>645</v>
      </c>
      <c r="P567" t="s">
        <v>621</v>
      </c>
      <c r="Q567" t="s">
        <v>1085</v>
      </c>
      <c r="W567">
        <v>1</v>
      </c>
    </row>
    <row r="568" spans="1:26" hidden="1" x14ac:dyDescent="0.25">
      <c r="A568" s="2"/>
      <c r="B568" s="2">
        <f>HYPERLINK(URLs!B30 &amp; 11018 &amp; URLs!B32,11018)</f>
        <v>11018</v>
      </c>
      <c r="C568" t="s">
        <v>633</v>
      </c>
      <c r="D568" t="s">
        <v>619</v>
      </c>
      <c r="E568" t="s">
        <v>850</v>
      </c>
      <c r="F568" t="s">
        <v>621</v>
      </c>
      <c r="G568" t="s">
        <v>855</v>
      </c>
      <c r="H568" t="s">
        <v>856</v>
      </c>
      <c r="I568" t="s">
        <v>624</v>
      </c>
      <c r="J568" t="s">
        <v>629</v>
      </c>
      <c r="L568" s="5">
        <v>42502</v>
      </c>
      <c r="M568" s="5">
        <v>42670</v>
      </c>
      <c r="N568" s="2">
        <f>HYPERLINK(URLs!B36 &amp; 82010,82010)</f>
        <v>82010</v>
      </c>
      <c r="O568" t="s">
        <v>666</v>
      </c>
      <c r="P568" t="s">
        <v>621</v>
      </c>
      <c r="Q568" t="s">
        <v>1086</v>
      </c>
    </row>
    <row r="569" spans="1:26" hidden="1" x14ac:dyDescent="0.25">
      <c r="A569" s="2"/>
      <c r="B569" s="2">
        <f>HYPERLINK(URLs!B30 &amp; 11008 &amp; URLs!B32,11008)</f>
        <v>11008</v>
      </c>
      <c r="C569" t="s">
        <v>665</v>
      </c>
      <c r="D569" t="s">
        <v>619</v>
      </c>
      <c r="E569" t="s">
        <v>850</v>
      </c>
      <c r="F569" t="s">
        <v>621</v>
      </c>
      <c r="G569" t="s">
        <v>875</v>
      </c>
      <c r="H569" t="s">
        <v>876</v>
      </c>
      <c r="I569" t="s">
        <v>624</v>
      </c>
      <c r="J569" t="s">
        <v>625</v>
      </c>
      <c r="L569" s="5">
        <v>42501</v>
      </c>
      <c r="M569" s="5">
        <v>43117.693055555559</v>
      </c>
      <c r="N569" s="2">
        <f>HYPERLINK(URLs!B36 &amp; 103546,103546)</f>
        <v>103546</v>
      </c>
      <c r="O569" t="s">
        <v>636</v>
      </c>
      <c r="P569" t="s">
        <v>621</v>
      </c>
      <c r="Q569" t="s">
        <v>1087</v>
      </c>
      <c r="W569">
        <v>1</v>
      </c>
    </row>
    <row r="570" spans="1:26" hidden="1" x14ac:dyDescent="0.25">
      <c r="A570" s="2">
        <f>HYPERLINK(URLs!B36 &amp; 82252,82252)</f>
        <v>82252</v>
      </c>
      <c r="B570" s="2">
        <f>HYPERLINK(URLs!B30 &amp; 10944 &amp; URLs!B32,10944)</f>
        <v>10944</v>
      </c>
      <c r="C570" t="s">
        <v>633</v>
      </c>
      <c r="D570" t="s">
        <v>619</v>
      </c>
      <c r="E570" t="s">
        <v>620</v>
      </c>
      <c r="F570" t="s">
        <v>621</v>
      </c>
      <c r="G570" t="s">
        <v>622</v>
      </c>
      <c r="H570" t="s">
        <v>623</v>
      </c>
      <c r="I570" t="s">
        <v>624</v>
      </c>
      <c r="J570" t="s">
        <v>629</v>
      </c>
      <c r="K570" t="s">
        <v>68</v>
      </c>
      <c r="L570" s="5">
        <v>42494</v>
      </c>
      <c r="M570" s="5">
        <v>42522</v>
      </c>
      <c r="N570" s="2">
        <f>HYPERLINK(URLs!B36 &amp; 82252,82252)</f>
        <v>82252</v>
      </c>
      <c r="O570" t="s">
        <v>645</v>
      </c>
      <c r="P570" t="s">
        <v>621</v>
      </c>
      <c r="Q570" t="s">
        <v>743</v>
      </c>
      <c r="R570" t="s">
        <v>305</v>
      </c>
      <c r="S570" t="s">
        <v>353</v>
      </c>
      <c r="T570" t="s">
        <v>4098</v>
      </c>
      <c r="U570" t="s">
        <v>35</v>
      </c>
      <c r="V570" t="s">
        <v>35</v>
      </c>
      <c r="Z570" t="s">
        <v>73</v>
      </c>
    </row>
    <row r="571" spans="1:26" hidden="1" x14ac:dyDescent="0.25">
      <c r="A571" s="2">
        <f>HYPERLINK(URLs!B36 &amp; 82156,82156)</f>
        <v>82156</v>
      </c>
      <c r="B571" s="2">
        <f>HYPERLINK(URLs!B30 &amp; 10938 &amp; URLs!B32,10938)</f>
        <v>10938</v>
      </c>
      <c r="C571" t="s">
        <v>665</v>
      </c>
      <c r="D571" t="s">
        <v>619</v>
      </c>
      <c r="E571" t="s">
        <v>620</v>
      </c>
      <c r="F571" t="s">
        <v>621</v>
      </c>
      <c r="G571" t="s">
        <v>622</v>
      </c>
      <c r="H571" t="s">
        <v>623</v>
      </c>
      <c r="I571" t="s">
        <v>624</v>
      </c>
      <c r="J571" t="s">
        <v>625</v>
      </c>
      <c r="K571" t="s">
        <v>31</v>
      </c>
      <c r="L571" s="5">
        <v>42493</v>
      </c>
      <c r="M571" s="5">
        <v>43111.508333333331</v>
      </c>
      <c r="N571" s="2">
        <f>HYPERLINK(URLs!B36 &amp; 82178,82178)</f>
        <v>82178</v>
      </c>
      <c r="O571" t="s">
        <v>636</v>
      </c>
      <c r="P571" t="s">
        <v>621</v>
      </c>
      <c r="Q571" t="s">
        <v>744</v>
      </c>
      <c r="R571" t="s">
        <v>305</v>
      </c>
      <c r="S571" t="s">
        <v>304</v>
      </c>
      <c r="T571" t="s">
        <v>69</v>
      </c>
      <c r="U571" t="s">
        <v>3978</v>
      </c>
      <c r="V571" t="s">
        <v>35</v>
      </c>
      <c r="Z571" t="s">
        <v>73</v>
      </c>
    </row>
    <row r="572" spans="1:26" hidden="1" x14ac:dyDescent="0.25">
      <c r="A572" s="2"/>
      <c r="B572" s="2">
        <f>HYPERLINK(URLs!B30 &amp; 10930 &amp; URLs!B32,10930)</f>
        <v>10930</v>
      </c>
      <c r="C572" t="s">
        <v>665</v>
      </c>
      <c r="D572" t="s">
        <v>619</v>
      </c>
      <c r="E572" t="s">
        <v>850</v>
      </c>
      <c r="F572" t="s">
        <v>621</v>
      </c>
      <c r="G572" t="s">
        <v>962</v>
      </c>
      <c r="H572" t="s">
        <v>887</v>
      </c>
      <c r="I572" t="s">
        <v>624</v>
      </c>
      <c r="J572" t="s">
        <v>625</v>
      </c>
      <c r="L572" s="5">
        <v>42493</v>
      </c>
      <c r="M572" s="5">
        <v>43010.370138888888</v>
      </c>
      <c r="N572" s="2">
        <f>HYPERLINK(URLs!B36 &amp; 93673,93673)</f>
        <v>93673</v>
      </c>
      <c r="O572" t="s">
        <v>666</v>
      </c>
      <c r="P572" t="s">
        <v>621</v>
      </c>
      <c r="Q572" t="s">
        <v>1088</v>
      </c>
      <c r="W572">
        <v>1</v>
      </c>
    </row>
    <row r="573" spans="1:26" hidden="1" x14ac:dyDescent="0.25">
      <c r="A573" s="2"/>
      <c r="B573" s="2">
        <f>HYPERLINK(URLs!B30 &amp; 10914 &amp; URLs!B32,10914)</f>
        <v>10914</v>
      </c>
      <c r="C573" t="s">
        <v>665</v>
      </c>
      <c r="D573" t="s">
        <v>619</v>
      </c>
      <c r="E573" t="s">
        <v>850</v>
      </c>
      <c r="F573" t="s">
        <v>621</v>
      </c>
      <c r="G573" t="s">
        <v>855</v>
      </c>
      <c r="H573" t="s">
        <v>856</v>
      </c>
      <c r="I573" t="s">
        <v>624</v>
      </c>
      <c r="J573" t="s">
        <v>625</v>
      </c>
      <c r="L573" s="5">
        <v>42492</v>
      </c>
      <c r="M573" s="5">
        <v>42822</v>
      </c>
      <c r="N573" s="2">
        <f>HYPERLINK(URLs!B36 &amp; 78450,78450)</f>
        <v>78450</v>
      </c>
      <c r="O573" t="s">
        <v>636</v>
      </c>
      <c r="P573" t="s">
        <v>621</v>
      </c>
      <c r="Q573" t="s">
        <v>1089</v>
      </c>
      <c r="W573">
        <v>1</v>
      </c>
    </row>
    <row r="574" spans="1:26" hidden="1" x14ac:dyDescent="0.25">
      <c r="A574" s="2"/>
      <c r="B574" s="2">
        <f>HYPERLINK(URLs!B30 &amp; 10912 &amp; URLs!B32,10912)</f>
        <v>10912</v>
      </c>
      <c r="C574" t="s">
        <v>633</v>
      </c>
      <c r="D574" t="s">
        <v>619</v>
      </c>
      <c r="E574" t="s">
        <v>850</v>
      </c>
      <c r="F574" t="s">
        <v>621</v>
      </c>
      <c r="G574" t="s">
        <v>855</v>
      </c>
      <c r="H574" t="s">
        <v>856</v>
      </c>
      <c r="I574" t="s">
        <v>624</v>
      </c>
      <c r="J574" t="s">
        <v>642</v>
      </c>
      <c r="L574" s="5">
        <v>42492</v>
      </c>
      <c r="M574" s="5">
        <v>43377.394293981481</v>
      </c>
      <c r="N574" s="2">
        <f>HYPERLINK(URLs!B36 &amp; 81733,81733)</f>
        <v>81733</v>
      </c>
      <c r="O574" t="s">
        <v>636</v>
      </c>
      <c r="P574" t="s">
        <v>621</v>
      </c>
      <c r="Q574" t="s">
        <v>1090</v>
      </c>
    </row>
    <row r="575" spans="1:26" hidden="1" x14ac:dyDescent="0.25">
      <c r="A575" s="2"/>
      <c r="B575" s="2">
        <f>HYPERLINK(URLs!B30 &amp; 10911 &amp; URLs!B32,10911)</f>
        <v>10911</v>
      </c>
      <c r="C575" t="s">
        <v>665</v>
      </c>
      <c r="D575" t="s">
        <v>619</v>
      </c>
      <c r="E575" t="s">
        <v>850</v>
      </c>
      <c r="F575" t="s">
        <v>621</v>
      </c>
      <c r="G575" t="s">
        <v>851</v>
      </c>
      <c r="H575" t="s">
        <v>852</v>
      </c>
      <c r="I575" t="s">
        <v>624</v>
      </c>
      <c r="J575" t="s">
        <v>625</v>
      </c>
      <c r="L575" s="5">
        <v>42492</v>
      </c>
      <c r="M575" s="5">
        <v>42635</v>
      </c>
      <c r="N575" s="2">
        <f>HYPERLINK(URLs!B36 &amp; 83543,83543)</f>
        <v>83543</v>
      </c>
      <c r="O575" t="s">
        <v>666</v>
      </c>
      <c r="P575" t="s">
        <v>621</v>
      </c>
      <c r="Q575" t="s">
        <v>1091</v>
      </c>
      <c r="R575" t="s">
        <v>305</v>
      </c>
      <c r="W575">
        <v>1</v>
      </c>
      <c r="Y575">
        <v>1</v>
      </c>
    </row>
    <row r="576" spans="1:26" hidden="1" x14ac:dyDescent="0.25">
      <c r="A576" s="2">
        <f>HYPERLINK(URLs!B36 &amp; 69932,69932)</f>
        <v>69932</v>
      </c>
      <c r="B576" s="2">
        <f>HYPERLINK(URLs!B30 &amp; 10907 &amp; URLs!B32,10907)</f>
        <v>10907</v>
      </c>
      <c r="C576" t="s">
        <v>633</v>
      </c>
      <c r="D576" t="s">
        <v>619</v>
      </c>
      <c r="E576" t="s">
        <v>620</v>
      </c>
      <c r="F576" t="s">
        <v>621</v>
      </c>
      <c r="G576" t="s">
        <v>622</v>
      </c>
      <c r="H576" t="s">
        <v>623</v>
      </c>
      <c r="I576" t="s">
        <v>624</v>
      </c>
      <c r="J576" t="s">
        <v>629</v>
      </c>
      <c r="K576" t="s">
        <v>68</v>
      </c>
      <c r="L576" s="5">
        <v>42488</v>
      </c>
      <c r="M576" s="5">
        <v>43035.405370370368</v>
      </c>
      <c r="N576" s="2">
        <f>HYPERLINK(URLs!B36 &amp; 69932,69932)</f>
        <v>69932</v>
      </c>
      <c r="O576" t="s">
        <v>636</v>
      </c>
      <c r="P576" t="s">
        <v>621</v>
      </c>
      <c r="Q576" t="s">
        <v>745</v>
      </c>
      <c r="R576" t="s">
        <v>305</v>
      </c>
      <c r="S576" t="s">
        <v>304</v>
      </c>
      <c r="T576" t="s">
        <v>133</v>
      </c>
      <c r="U576" t="s">
        <v>35</v>
      </c>
      <c r="V576" t="s">
        <v>35</v>
      </c>
      <c r="Z576" t="s">
        <v>73</v>
      </c>
    </row>
    <row r="577" spans="1:26" hidden="1" x14ac:dyDescent="0.25">
      <c r="A577" s="2">
        <f>HYPERLINK(URLs!B36 &amp; 81920,81920)</f>
        <v>81920</v>
      </c>
      <c r="B577" s="2">
        <f>HYPERLINK(URLs!B30 &amp; 10905 &amp; URLs!B32,10905)</f>
        <v>10905</v>
      </c>
      <c r="C577" t="s">
        <v>665</v>
      </c>
      <c r="D577" t="s">
        <v>619</v>
      </c>
      <c r="E577" t="s">
        <v>620</v>
      </c>
      <c r="F577" t="s">
        <v>621</v>
      </c>
      <c r="G577" t="s">
        <v>622</v>
      </c>
      <c r="H577" t="s">
        <v>623</v>
      </c>
      <c r="I577" t="s">
        <v>624</v>
      </c>
      <c r="J577" t="s">
        <v>625</v>
      </c>
      <c r="K577" t="s">
        <v>31</v>
      </c>
      <c r="L577" s="5">
        <v>42488</v>
      </c>
      <c r="M577" s="5">
        <v>43111.510416666664</v>
      </c>
      <c r="N577" s="2">
        <f>HYPERLINK(URLs!B36 &amp; 81963,81963)</f>
        <v>81963</v>
      </c>
      <c r="O577" t="s">
        <v>636</v>
      </c>
      <c r="P577" t="s">
        <v>621</v>
      </c>
      <c r="Q577" t="s">
        <v>746</v>
      </c>
      <c r="R577" t="s">
        <v>305</v>
      </c>
      <c r="S577" t="s">
        <v>304</v>
      </c>
      <c r="T577" t="s">
        <v>69</v>
      </c>
      <c r="U577" t="s">
        <v>35</v>
      </c>
      <c r="V577" t="s">
        <v>35</v>
      </c>
      <c r="W577">
        <v>1</v>
      </c>
      <c r="Z577" t="s">
        <v>73</v>
      </c>
    </row>
    <row r="578" spans="1:26" hidden="1" x14ac:dyDescent="0.25">
      <c r="A578" s="2"/>
      <c r="B578" s="2">
        <f>HYPERLINK(URLs!B30 &amp; 10791 &amp; URLs!B32,10791)</f>
        <v>10791</v>
      </c>
      <c r="C578" t="s">
        <v>665</v>
      </c>
      <c r="D578" t="s">
        <v>619</v>
      </c>
      <c r="E578" t="s">
        <v>850</v>
      </c>
      <c r="F578" t="s">
        <v>621</v>
      </c>
      <c r="G578" t="s">
        <v>855</v>
      </c>
      <c r="H578" t="s">
        <v>856</v>
      </c>
      <c r="I578" t="s">
        <v>624</v>
      </c>
      <c r="J578" t="s">
        <v>629</v>
      </c>
      <c r="L578" s="5">
        <v>42475</v>
      </c>
      <c r="M578" s="5">
        <v>42681</v>
      </c>
      <c r="N578" s="2">
        <f>HYPERLINK(URLs!B36 &amp; 67000,67000)</f>
        <v>67000</v>
      </c>
      <c r="O578" t="s">
        <v>645</v>
      </c>
      <c r="P578" t="s">
        <v>621</v>
      </c>
      <c r="Q578" t="s">
        <v>1092</v>
      </c>
    </row>
    <row r="579" spans="1:26" hidden="1" x14ac:dyDescent="0.25">
      <c r="A579" s="2">
        <f>HYPERLINK(URLs!B36 &amp; 80479,80479)</f>
        <v>80479</v>
      </c>
      <c r="B579" s="2">
        <f>HYPERLINK(URLs!B30 &amp; 10750 &amp; URLs!B32,10750)</f>
        <v>10750</v>
      </c>
      <c r="C579" t="s">
        <v>633</v>
      </c>
      <c r="D579" t="s">
        <v>619</v>
      </c>
      <c r="E579" t="s">
        <v>850</v>
      </c>
      <c r="F579" t="s">
        <v>621</v>
      </c>
      <c r="G579" t="s">
        <v>851</v>
      </c>
      <c r="H579" t="s">
        <v>852</v>
      </c>
      <c r="I579" t="s">
        <v>624</v>
      </c>
      <c r="J579" t="s">
        <v>629</v>
      </c>
      <c r="K579" t="s">
        <v>31</v>
      </c>
      <c r="L579" s="5">
        <v>42471</v>
      </c>
      <c r="M579" s="5">
        <v>42513</v>
      </c>
      <c r="N579" s="2">
        <f>HYPERLINK(URLs!B36 &amp; 80479,80479)</f>
        <v>80479</v>
      </c>
      <c r="O579" t="s">
        <v>666</v>
      </c>
      <c r="P579" t="s">
        <v>621</v>
      </c>
      <c r="Q579" t="s">
        <v>1093</v>
      </c>
      <c r="R579" t="s">
        <v>305</v>
      </c>
      <c r="S579" t="s">
        <v>353</v>
      </c>
      <c r="T579" t="s">
        <v>4098</v>
      </c>
      <c r="U579" t="s">
        <v>35</v>
      </c>
      <c r="V579" t="s">
        <v>35</v>
      </c>
      <c r="W579">
        <v>1</v>
      </c>
      <c r="Z579" t="s">
        <v>73</v>
      </c>
    </row>
    <row r="580" spans="1:26" hidden="1" x14ac:dyDescent="0.25">
      <c r="A580" s="2"/>
      <c r="B580" s="2">
        <f>HYPERLINK(URLs!B30 &amp; 10727 &amp; URLs!B32,10727)</f>
        <v>10727</v>
      </c>
      <c r="C580" t="s">
        <v>665</v>
      </c>
      <c r="D580" t="s">
        <v>619</v>
      </c>
      <c r="E580" t="s">
        <v>850</v>
      </c>
      <c r="F580" t="s">
        <v>621</v>
      </c>
      <c r="G580" t="s">
        <v>870</v>
      </c>
      <c r="H580" t="s">
        <v>871</v>
      </c>
      <c r="I580" t="s">
        <v>624</v>
      </c>
      <c r="J580" t="s">
        <v>625</v>
      </c>
      <c r="L580" s="5">
        <v>42467</v>
      </c>
      <c r="M580" s="5">
        <v>42635</v>
      </c>
      <c r="N580" s="2">
        <f>HYPERLINK(URLs!B36 &amp; 67509,67509)</f>
        <v>67509</v>
      </c>
      <c r="O580" t="s">
        <v>666</v>
      </c>
      <c r="P580" t="s">
        <v>621</v>
      </c>
      <c r="Q580" t="s">
        <v>1094</v>
      </c>
    </row>
    <row r="581" spans="1:26" hidden="1" x14ac:dyDescent="0.25">
      <c r="A581" s="2"/>
      <c r="B581" s="2">
        <f>HYPERLINK(URLs!B30 &amp; 10711 &amp; URLs!B32,10711)</f>
        <v>10711</v>
      </c>
      <c r="C581" t="s">
        <v>665</v>
      </c>
      <c r="D581" t="s">
        <v>619</v>
      </c>
      <c r="E581" t="s">
        <v>850</v>
      </c>
      <c r="F581" t="s">
        <v>621</v>
      </c>
      <c r="G581" t="s">
        <v>851</v>
      </c>
      <c r="H581" t="s">
        <v>852</v>
      </c>
      <c r="I581" t="s">
        <v>624</v>
      </c>
      <c r="J581" t="s">
        <v>642</v>
      </c>
      <c r="L581" s="5">
        <v>42466</v>
      </c>
      <c r="M581" s="5">
        <v>42635</v>
      </c>
      <c r="N581" s="2">
        <f>HYPERLINK(URLs!B36 &amp; 80407,80407)</f>
        <v>80407</v>
      </c>
      <c r="O581" t="s">
        <v>666</v>
      </c>
      <c r="P581" t="s">
        <v>621</v>
      </c>
      <c r="Q581" t="s">
        <v>1095</v>
      </c>
      <c r="R581" t="s">
        <v>42</v>
      </c>
      <c r="W581">
        <v>1</v>
      </c>
    </row>
    <row r="582" spans="1:26" hidden="1" x14ac:dyDescent="0.25">
      <c r="A582" s="2"/>
      <c r="B582" s="2">
        <f>HYPERLINK(URLs!B30 &amp; 10709 &amp; URLs!B32,10709)</f>
        <v>10709</v>
      </c>
      <c r="C582" t="s">
        <v>665</v>
      </c>
      <c r="D582" t="s">
        <v>619</v>
      </c>
      <c r="E582" t="s">
        <v>850</v>
      </c>
      <c r="F582" t="s">
        <v>621</v>
      </c>
      <c r="G582" t="s">
        <v>889</v>
      </c>
      <c r="H582" t="s">
        <v>890</v>
      </c>
      <c r="I582" t="s">
        <v>624</v>
      </c>
      <c r="J582" t="s">
        <v>629</v>
      </c>
      <c r="L582" s="5">
        <v>42465</v>
      </c>
      <c r="M582" s="5">
        <v>42822</v>
      </c>
      <c r="N582" s="2">
        <f>HYPERLINK(URLs!B36 &amp; 80183,80183)</f>
        <v>80183</v>
      </c>
      <c r="O582" t="s">
        <v>636</v>
      </c>
      <c r="P582" t="s">
        <v>621</v>
      </c>
      <c r="Q582" t="s">
        <v>1096</v>
      </c>
      <c r="R582" t="s">
        <v>305</v>
      </c>
      <c r="W582">
        <v>1</v>
      </c>
    </row>
    <row r="583" spans="1:26" hidden="1" x14ac:dyDescent="0.25">
      <c r="A583" s="2">
        <f>HYPERLINK(URLs!B36 &amp; 80257,80257)</f>
        <v>80257</v>
      </c>
      <c r="B583" s="2">
        <f>HYPERLINK(URLs!B30 &amp; 10707 &amp; URLs!B32,10707)</f>
        <v>10707</v>
      </c>
      <c r="C583" t="s">
        <v>665</v>
      </c>
      <c r="D583" t="s">
        <v>619</v>
      </c>
      <c r="E583" t="s">
        <v>620</v>
      </c>
      <c r="F583" t="s">
        <v>621</v>
      </c>
      <c r="G583" t="s">
        <v>622</v>
      </c>
      <c r="H583" t="s">
        <v>623</v>
      </c>
      <c r="I583" t="s">
        <v>624</v>
      </c>
      <c r="J583" t="s">
        <v>625</v>
      </c>
      <c r="K583" t="s">
        <v>31</v>
      </c>
      <c r="L583" s="5">
        <v>42465</v>
      </c>
      <c r="M583" s="5">
        <v>43035.397916666669</v>
      </c>
      <c r="N583" s="2">
        <f>HYPERLINK(URLs!B36 &amp; 80257,80257)</f>
        <v>80257</v>
      </c>
      <c r="O583" t="s">
        <v>636</v>
      </c>
      <c r="P583" t="s">
        <v>621</v>
      </c>
      <c r="Q583" t="s">
        <v>747</v>
      </c>
      <c r="R583" t="s">
        <v>305</v>
      </c>
      <c r="S583" t="s">
        <v>304</v>
      </c>
      <c r="T583" t="s">
        <v>107</v>
      </c>
      <c r="U583" t="s">
        <v>3977</v>
      </c>
      <c r="V583" t="s">
        <v>35</v>
      </c>
      <c r="Z583" t="s">
        <v>73</v>
      </c>
    </row>
    <row r="584" spans="1:26" hidden="1" x14ac:dyDescent="0.25">
      <c r="A584" s="2">
        <f>HYPERLINK(URLs!B36 &amp; 79760,79760)</f>
        <v>79760</v>
      </c>
      <c r="B584" s="2">
        <f>HYPERLINK(URLs!B30 &amp; 10688 &amp; URLs!B32,10688)</f>
        <v>10688</v>
      </c>
      <c r="C584" t="s">
        <v>665</v>
      </c>
      <c r="D584" t="s">
        <v>619</v>
      </c>
      <c r="E584" t="s">
        <v>620</v>
      </c>
      <c r="F584" t="s">
        <v>621</v>
      </c>
      <c r="G584" t="s">
        <v>631</v>
      </c>
      <c r="H584" t="s">
        <v>632</v>
      </c>
      <c r="I584" t="s">
        <v>624</v>
      </c>
      <c r="J584" t="s">
        <v>625</v>
      </c>
      <c r="K584" t="s">
        <v>31</v>
      </c>
      <c r="L584" s="5">
        <v>42464</v>
      </c>
      <c r="M584" s="5">
        <v>42865</v>
      </c>
      <c r="N584" s="2">
        <f>HYPERLINK(URLs!B36 &amp; 79760,79760)</f>
        <v>79760</v>
      </c>
      <c r="O584" t="s">
        <v>640</v>
      </c>
      <c r="P584" t="s">
        <v>621</v>
      </c>
      <c r="Q584" t="s">
        <v>748</v>
      </c>
      <c r="R584" t="s">
        <v>305</v>
      </c>
      <c r="S584" t="s">
        <v>304</v>
      </c>
      <c r="T584" t="s">
        <v>133</v>
      </c>
      <c r="U584" t="s">
        <v>3963</v>
      </c>
      <c r="V584" t="s">
        <v>35</v>
      </c>
      <c r="Z584" t="s">
        <v>106</v>
      </c>
    </row>
    <row r="585" spans="1:26" hidden="1" x14ac:dyDescent="0.25">
      <c r="A585" s="2"/>
      <c r="B585" s="2">
        <f>HYPERLINK(URLs!B30 &amp; 10669 &amp; URLs!B32,10669)</f>
        <v>10669</v>
      </c>
      <c r="C585" t="s">
        <v>633</v>
      </c>
      <c r="D585" t="s">
        <v>619</v>
      </c>
      <c r="E585" t="s">
        <v>850</v>
      </c>
      <c r="F585" t="s">
        <v>621</v>
      </c>
      <c r="G585" t="s">
        <v>875</v>
      </c>
      <c r="H585" t="s">
        <v>876</v>
      </c>
      <c r="I585" t="s">
        <v>624</v>
      </c>
      <c r="J585" t="s">
        <v>642</v>
      </c>
      <c r="L585" s="5">
        <v>42460</v>
      </c>
      <c r="M585" s="5">
        <v>42822</v>
      </c>
      <c r="N585" s="2">
        <f>HYPERLINK(URLs!B36 &amp; 78855,78855)</f>
        <v>78855</v>
      </c>
      <c r="O585" t="s">
        <v>636</v>
      </c>
      <c r="P585" t="s">
        <v>621</v>
      </c>
      <c r="Q585" t="s">
        <v>1097</v>
      </c>
    </row>
    <row r="586" spans="1:26" hidden="1" x14ac:dyDescent="0.25">
      <c r="A586" s="2"/>
      <c r="B586" s="2">
        <f>HYPERLINK(URLs!B30 &amp; 10662 &amp; URLs!B32,10662)</f>
        <v>10662</v>
      </c>
      <c r="C586" t="s">
        <v>633</v>
      </c>
      <c r="D586" t="s">
        <v>619</v>
      </c>
      <c r="E586" t="s">
        <v>850</v>
      </c>
      <c r="F586" t="s">
        <v>621</v>
      </c>
      <c r="G586" t="s">
        <v>858</v>
      </c>
      <c r="H586" t="s">
        <v>968</v>
      </c>
      <c r="I586" t="s">
        <v>624</v>
      </c>
      <c r="J586" t="s">
        <v>642</v>
      </c>
      <c r="L586" s="5">
        <v>42460</v>
      </c>
      <c r="M586" s="5">
        <v>43105.365520833337</v>
      </c>
      <c r="N586" t="s">
        <v>621</v>
      </c>
      <c r="O586" t="s">
        <v>666</v>
      </c>
      <c r="P586" t="s">
        <v>621</v>
      </c>
      <c r="Q586" t="s">
        <v>1098</v>
      </c>
    </row>
    <row r="587" spans="1:26" hidden="1" x14ac:dyDescent="0.25">
      <c r="A587" s="2"/>
      <c r="B587" s="2">
        <f>HYPERLINK(URLs!B30 &amp; 10653 &amp; URLs!B32,10653)</f>
        <v>10653</v>
      </c>
      <c r="C587" t="s">
        <v>633</v>
      </c>
      <c r="D587" t="s">
        <v>619</v>
      </c>
      <c r="E587" t="s">
        <v>850</v>
      </c>
      <c r="F587" t="s">
        <v>621</v>
      </c>
      <c r="G587" t="s">
        <v>962</v>
      </c>
      <c r="H587" t="s">
        <v>887</v>
      </c>
      <c r="I587" t="s">
        <v>624</v>
      </c>
      <c r="J587" t="s">
        <v>642</v>
      </c>
      <c r="L587" s="5">
        <v>42459</v>
      </c>
      <c r="M587" s="5">
        <v>42513</v>
      </c>
      <c r="N587" s="2">
        <f>HYPERLINK(URLs!B36 &amp; 79823,79823)</f>
        <v>79823</v>
      </c>
      <c r="O587" t="s">
        <v>666</v>
      </c>
      <c r="P587" t="s">
        <v>621</v>
      </c>
      <c r="Q587" t="s">
        <v>1099</v>
      </c>
    </row>
    <row r="588" spans="1:26" hidden="1" x14ac:dyDescent="0.25">
      <c r="A588" s="2">
        <f>HYPERLINK(URLs!B36 &amp; 79837,79837)</f>
        <v>79837</v>
      </c>
      <c r="B588" s="2">
        <f>HYPERLINK(URLs!B30 &amp; 10652 &amp; URLs!B32,10652)</f>
        <v>10652</v>
      </c>
      <c r="C588" t="s">
        <v>633</v>
      </c>
      <c r="D588" t="s">
        <v>619</v>
      </c>
      <c r="E588" t="s">
        <v>620</v>
      </c>
      <c r="F588" t="s">
        <v>621</v>
      </c>
      <c r="G588" t="s">
        <v>622</v>
      </c>
      <c r="H588" t="s">
        <v>623</v>
      </c>
      <c r="I588" t="s">
        <v>624</v>
      </c>
      <c r="J588" t="s">
        <v>629</v>
      </c>
      <c r="K588" t="s">
        <v>68</v>
      </c>
      <c r="L588" s="5">
        <v>42459</v>
      </c>
      <c r="M588" s="5">
        <v>43111.38009259259</v>
      </c>
      <c r="N588" s="2">
        <f>HYPERLINK(URLs!B37 &amp; 151227,151227)</f>
        <v>151227</v>
      </c>
      <c r="O588" t="s">
        <v>636</v>
      </c>
      <c r="P588" t="s">
        <v>621</v>
      </c>
      <c r="Q588" t="s">
        <v>749</v>
      </c>
      <c r="R588" t="s">
        <v>305</v>
      </c>
      <c r="S588" t="s">
        <v>1621</v>
      </c>
      <c r="T588" t="s">
        <v>4098</v>
      </c>
      <c r="U588" t="s">
        <v>35</v>
      </c>
      <c r="V588" t="s">
        <v>35</v>
      </c>
      <c r="Z588" t="s">
        <v>73</v>
      </c>
    </row>
    <row r="589" spans="1:26" hidden="1" x14ac:dyDescent="0.25">
      <c r="A589" s="2"/>
      <c r="B589" s="2">
        <f>HYPERLINK(URLs!B30 &amp; 10644 &amp; URLs!B32,10644)</f>
        <v>10644</v>
      </c>
      <c r="C589" t="s">
        <v>665</v>
      </c>
      <c r="D589" t="s">
        <v>619</v>
      </c>
      <c r="E589" t="s">
        <v>850</v>
      </c>
      <c r="F589" t="s">
        <v>621</v>
      </c>
      <c r="G589" t="s">
        <v>867</v>
      </c>
      <c r="H589" t="s">
        <v>868</v>
      </c>
      <c r="I589" t="s">
        <v>624</v>
      </c>
      <c r="J589" t="s">
        <v>625</v>
      </c>
      <c r="L589" s="5">
        <v>42458</v>
      </c>
      <c r="M589" s="5">
        <v>42822</v>
      </c>
      <c r="N589" s="2">
        <f>HYPERLINK(URLs!B36 &amp; 66590,66590)</f>
        <v>66590</v>
      </c>
      <c r="O589" t="s">
        <v>636</v>
      </c>
      <c r="P589" t="s">
        <v>621</v>
      </c>
      <c r="Q589" t="s">
        <v>1044</v>
      </c>
      <c r="R589" t="s">
        <v>305</v>
      </c>
      <c r="W589">
        <v>1</v>
      </c>
    </row>
    <row r="590" spans="1:26" hidden="1" x14ac:dyDescent="0.25">
      <c r="A590" s="2">
        <f>HYPERLINK(URLs!B36 &amp; 79538,79538)</f>
        <v>79538</v>
      </c>
      <c r="B590" s="2">
        <f>HYPERLINK(URLs!B30 &amp; 10631 &amp; URLs!B32,10631)</f>
        <v>10631</v>
      </c>
      <c r="C590" t="s">
        <v>633</v>
      </c>
      <c r="D590" t="s">
        <v>619</v>
      </c>
      <c r="E590" t="s">
        <v>620</v>
      </c>
      <c r="F590" t="s">
        <v>621</v>
      </c>
      <c r="G590" t="s">
        <v>622</v>
      </c>
      <c r="H590" t="s">
        <v>623</v>
      </c>
      <c r="I590" t="s">
        <v>624</v>
      </c>
      <c r="J590" t="s">
        <v>625</v>
      </c>
      <c r="K590" t="s">
        <v>31</v>
      </c>
      <c r="L590" s="5">
        <v>42454</v>
      </c>
      <c r="M590" s="5">
        <v>43168.5469212963</v>
      </c>
      <c r="N590" s="2">
        <f>HYPERLINK(URLs!B36 &amp; 79538,79538)</f>
        <v>79538</v>
      </c>
      <c r="O590" t="s">
        <v>645</v>
      </c>
      <c r="P590" t="s">
        <v>621</v>
      </c>
      <c r="Q590" t="s">
        <v>750</v>
      </c>
      <c r="R590" t="s">
        <v>305</v>
      </c>
      <c r="S590" t="s">
        <v>328</v>
      </c>
      <c r="T590" t="s">
        <v>4098</v>
      </c>
      <c r="U590" t="s">
        <v>35</v>
      </c>
      <c r="V590" t="s">
        <v>321</v>
      </c>
      <c r="Z590" t="s">
        <v>34</v>
      </c>
    </row>
    <row r="591" spans="1:26" hidden="1" x14ac:dyDescent="0.25">
      <c r="A591" s="2"/>
      <c r="B591" s="2">
        <f>HYPERLINK(URLs!B30 &amp; 10621 &amp; URLs!B32,10621)</f>
        <v>10621</v>
      </c>
      <c r="C591" t="s">
        <v>633</v>
      </c>
      <c r="D591" t="s">
        <v>619</v>
      </c>
      <c r="E591" t="s">
        <v>850</v>
      </c>
      <c r="F591" t="s">
        <v>621</v>
      </c>
      <c r="G591" t="s">
        <v>1100</v>
      </c>
      <c r="H591" t="s">
        <v>908</v>
      </c>
      <c r="I591" t="s">
        <v>624</v>
      </c>
      <c r="J591" t="s">
        <v>629</v>
      </c>
      <c r="L591" s="5">
        <v>42453</v>
      </c>
      <c r="M591" s="5">
        <v>42635</v>
      </c>
      <c r="N591" s="2">
        <f>HYPERLINK(URLs!B36 &amp; 78500,78500)</f>
        <v>78500</v>
      </c>
      <c r="O591" t="s">
        <v>666</v>
      </c>
      <c r="P591" t="s">
        <v>621</v>
      </c>
      <c r="Q591" t="s">
        <v>1101</v>
      </c>
    </row>
    <row r="592" spans="1:26" hidden="1" x14ac:dyDescent="0.25">
      <c r="A592" s="2"/>
      <c r="B592" s="2">
        <f>HYPERLINK(URLs!B30 &amp; 10588 &amp; URLs!B32,10588)</f>
        <v>10588</v>
      </c>
      <c r="C592" t="s">
        <v>633</v>
      </c>
      <c r="D592" t="s">
        <v>619</v>
      </c>
      <c r="E592" t="s">
        <v>850</v>
      </c>
      <c r="F592" t="s">
        <v>621</v>
      </c>
      <c r="G592" t="s">
        <v>875</v>
      </c>
      <c r="H592" t="s">
        <v>876</v>
      </c>
      <c r="I592" t="s">
        <v>624</v>
      </c>
      <c r="J592" t="s">
        <v>629</v>
      </c>
      <c r="L592" s="5">
        <v>42450</v>
      </c>
      <c r="M592" s="5">
        <v>42513</v>
      </c>
      <c r="N592" s="2">
        <f>HYPERLINK(URLs!B36 &amp; 75203,75203)</f>
        <v>75203</v>
      </c>
      <c r="O592" t="s">
        <v>666</v>
      </c>
      <c r="P592" t="s">
        <v>621</v>
      </c>
      <c r="Q592" t="s">
        <v>1102</v>
      </c>
    </row>
    <row r="593" spans="1:26" hidden="1" x14ac:dyDescent="0.25">
      <c r="A593" s="2"/>
      <c r="B593" s="2">
        <f>HYPERLINK(URLs!B30 &amp; 10563 &amp; URLs!B32,10563)</f>
        <v>10563</v>
      </c>
      <c r="C593" t="s">
        <v>665</v>
      </c>
      <c r="D593" t="s">
        <v>619</v>
      </c>
      <c r="E593" t="s">
        <v>850</v>
      </c>
      <c r="F593" t="s">
        <v>621</v>
      </c>
      <c r="G593" t="s">
        <v>855</v>
      </c>
      <c r="H593" t="s">
        <v>856</v>
      </c>
      <c r="I593" t="s">
        <v>624</v>
      </c>
      <c r="J593" t="s">
        <v>642</v>
      </c>
      <c r="L593" s="5">
        <v>42447</v>
      </c>
      <c r="M593" s="5">
        <v>42635</v>
      </c>
      <c r="N593" s="2">
        <f>HYPERLINK(URLs!B36 &amp; 79025,79025)</f>
        <v>79025</v>
      </c>
      <c r="O593" t="s">
        <v>666</v>
      </c>
      <c r="P593" t="s">
        <v>621</v>
      </c>
      <c r="Q593" t="s">
        <v>1103</v>
      </c>
      <c r="R593" t="s">
        <v>305</v>
      </c>
    </row>
    <row r="594" spans="1:26" hidden="1" x14ac:dyDescent="0.25">
      <c r="A594" s="2">
        <f>HYPERLINK(URLs!B36 &amp; 79031,79031)</f>
        <v>79031</v>
      </c>
      <c r="B594" s="2">
        <f>HYPERLINK(URLs!B30 &amp; 10559 &amp; URLs!B32,10559)</f>
        <v>10559</v>
      </c>
      <c r="C594" t="s">
        <v>665</v>
      </c>
      <c r="D594" t="s">
        <v>619</v>
      </c>
      <c r="E594" t="s">
        <v>620</v>
      </c>
      <c r="F594" t="s">
        <v>621</v>
      </c>
      <c r="G594" t="s">
        <v>622</v>
      </c>
      <c r="H594" t="s">
        <v>623</v>
      </c>
      <c r="I594" t="s">
        <v>624</v>
      </c>
      <c r="J594" t="s">
        <v>629</v>
      </c>
      <c r="K594" t="s">
        <v>68</v>
      </c>
      <c r="L594" s="5">
        <v>42446</v>
      </c>
      <c r="M594" s="5">
        <v>43175.481944444444</v>
      </c>
      <c r="N594" s="2">
        <f>HYPERLINK(URLs!B36 &amp; 79031,79031)</f>
        <v>79031</v>
      </c>
      <c r="O594" t="s">
        <v>645</v>
      </c>
      <c r="P594" t="s">
        <v>621</v>
      </c>
      <c r="Q594" t="s">
        <v>751</v>
      </c>
      <c r="R594" t="s">
        <v>42</v>
      </c>
      <c r="T594" t="s">
        <v>4098</v>
      </c>
      <c r="U594" t="s">
        <v>35</v>
      </c>
      <c r="V594" t="s">
        <v>35</v>
      </c>
      <c r="Z594" t="s">
        <v>73</v>
      </c>
    </row>
    <row r="595" spans="1:26" hidden="1" x14ac:dyDescent="0.25">
      <c r="A595" s="2">
        <f>HYPERLINK(URLs!B36 &amp; 78193,78193)</f>
        <v>78193</v>
      </c>
      <c r="B595" s="2">
        <f>HYPERLINK(URLs!B30 &amp; 10556 &amp; URLs!B32,10556)</f>
        <v>10556</v>
      </c>
      <c r="C595" t="s">
        <v>641</v>
      </c>
      <c r="D595" t="s">
        <v>619</v>
      </c>
      <c r="E595" t="s">
        <v>620</v>
      </c>
      <c r="F595" t="s">
        <v>621</v>
      </c>
      <c r="G595" t="s">
        <v>627</v>
      </c>
      <c r="H595" t="s">
        <v>628</v>
      </c>
      <c r="I595" t="s">
        <v>624</v>
      </c>
      <c r="J595" t="s">
        <v>629</v>
      </c>
      <c r="K595" t="s">
        <v>68</v>
      </c>
      <c r="L595" s="5">
        <v>42446</v>
      </c>
      <c r="M595" s="5">
        <v>42586</v>
      </c>
      <c r="N595" s="2">
        <f>HYPERLINK(URLs!B36 &amp; 101487,101487)</f>
        <v>101487</v>
      </c>
      <c r="O595" t="s">
        <v>640</v>
      </c>
      <c r="P595" t="s">
        <v>621</v>
      </c>
      <c r="Q595" t="s">
        <v>752</v>
      </c>
      <c r="R595" t="s">
        <v>305</v>
      </c>
      <c r="S595" t="s">
        <v>304</v>
      </c>
      <c r="T595" t="s">
        <v>4171</v>
      </c>
      <c r="U595" t="s">
        <v>4022</v>
      </c>
      <c r="V595" t="s">
        <v>35</v>
      </c>
      <c r="Z595" t="s">
        <v>195</v>
      </c>
    </row>
    <row r="596" spans="1:26" hidden="1" x14ac:dyDescent="0.25">
      <c r="A596" s="2">
        <f>HYPERLINK(URLs!B36 &amp; 78873,78873)</f>
        <v>78873</v>
      </c>
      <c r="B596" s="2">
        <f>HYPERLINK(URLs!B30 &amp; 10537 &amp; URLs!B32,10537)</f>
        <v>10537</v>
      </c>
      <c r="C596" t="s">
        <v>633</v>
      </c>
      <c r="D596" t="s">
        <v>619</v>
      </c>
      <c r="E596" t="s">
        <v>620</v>
      </c>
      <c r="F596" t="s">
        <v>621</v>
      </c>
      <c r="G596" t="s">
        <v>622</v>
      </c>
      <c r="H596" t="s">
        <v>623</v>
      </c>
      <c r="I596" t="s">
        <v>624</v>
      </c>
      <c r="J596" t="s">
        <v>625</v>
      </c>
      <c r="K596" t="s">
        <v>31</v>
      </c>
      <c r="L596" s="5">
        <v>42444</v>
      </c>
      <c r="M596" s="5">
        <v>42523</v>
      </c>
      <c r="N596" s="2">
        <f>HYPERLINK(URLs!B36 &amp; 79286,79286)</f>
        <v>79286</v>
      </c>
      <c r="O596" t="s">
        <v>645</v>
      </c>
      <c r="P596" t="s">
        <v>621</v>
      </c>
      <c r="Q596" t="s">
        <v>753</v>
      </c>
      <c r="R596" t="s">
        <v>305</v>
      </c>
      <c r="S596" t="s">
        <v>328</v>
      </c>
      <c r="T596" t="s">
        <v>4098</v>
      </c>
      <c r="U596" t="s">
        <v>35</v>
      </c>
      <c r="V596" t="s">
        <v>35</v>
      </c>
      <c r="Z596" t="s">
        <v>73</v>
      </c>
    </row>
    <row r="597" spans="1:26" hidden="1" x14ac:dyDescent="0.25">
      <c r="A597" s="2"/>
      <c r="B597" s="2">
        <f>HYPERLINK(URLs!B30 &amp; 10514 &amp; URLs!B32,10514)</f>
        <v>10514</v>
      </c>
      <c r="C597" t="s">
        <v>633</v>
      </c>
      <c r="D597" t="s">
        <v>619</v>
      </c>
      <c r="E597" t="s">
        <v>620</v>
      </c>
      <c r="F597" t="s">
        <v>621</v>
      </c>
      <c r="G597" t="s">
        <v>622</v>
      </c>
      <c r="H597" t="s">
        <v>623</v>
      </c>
      <c r="I597" t="s">
        <v>624</v>
      </c>
      <c r="J597" t="s">
        <v>625</v>
      </c>
      <c r="L597" s="5">
        <v>42440</v>
      </c>
      <c r="M597" s="5">
        <v>42459</v>
      </c>
      <c r="N597" s="2">
        <f>HYPERLINK(URLs!B37 &amp; 159715,159715)</f>
        <v>159715</v>
      </c>
      <c r="O597" t="s">
        <v>666</v>
      </c>
      <c r="P597" t="s">
        <v>621</v>
      </c>
      <c r="Q597" t="s">
        <v>754</v>
      </c>
    </row>
    <row r="598" spans="1:26" hidden="1" x14ac:dyDescent="0.25">
      <c r="A598" s="2"/>
      <c r="B598" s="2">
        <f>HYPERLINK(URLs!B30 &amp; 10513 &amp; URLs!B32,10513)</f>
        <v>10513</v>
      </c>
      <c r="C598" t="s">
        <v>633</v>
      </c>
      <c r="D598" t="s">
        <v>619</v>
      </c>
      <c r="E598" t="s">
        <v>850</v>
      </c>
      <c r="F598" t="s">
        <v>621</v>
      </c>
      <c r="G598" t="s">
        <v>1100</v>
      </c>
      <c r="H598" t="s">
        <v>908</v>
      </c>
      <c r="I598" t="s">
        <v>624</v>
      </c>
      <c r="J598" t="s">
        <v>629</v>
      </c>
      <c r="L598" s="5">
        <v>42440</v>
      </c>
      <c r="M598" s="5">
        <v>42635</v>
      </c>
      <c r="N598" s="2">
        <f>HYPERLINK(URLs!B36 &amp; 78659,78659)</f>
        <v>78659</v>
      </c>
      <c r="O598" t="s">
        <v>666</v>
      </c>
      <c r="P598" t="s">
        <v>621</v>
      </c>
      <c r="Q598" t="s">
        <v>1104</v>
      </c>
      <c r="W598">
        <v>1</v>
      </c>
    </row>
    <row r="599" spans="1:26" hidden="1" x14ac:dyDescent="0.25">
      <c r="A599" s="2"/>
      <c r="B599" s="2">
        <f>HYPERLINK(URLs!B30 &amp; 10512 &amp; URLs!B32,10512)</f>
        <v>10512</v>
      </c>
      <c r="C599" t="s">
        <v>633</v>
      </c>
      <c r="D599" t="s">
        <v>619</v>
      </c>
      <c r="E599" t="s">
        <v>620</v>
      </c>
      <c r="F599" t="s">
        <v>621</v>
      </c>
      <c r="G599" t="s">
        <v>634</v>
      </c>
      <c r="H599" t="s">
        <v>635</v>
      </c>
      <c r="I599" t="s">
        <v>624</v>
      </c>
      <c r="J599" t="s">
        <v>629</v>
      </c>
      <c r="L599" s="5">
        <v>42440</v>
      </c>
      <c r="M599" s="5">
        <v>43111.382407407407</v>
      </c>
      <c r="N599" s="2">
        <f>HYPERLINK(URLs!B37 &amp; 159907,159907)</f>
        <v>159907</v>
      </c>
      <c r="O599" t="s">
        <v>636</v>
      </c>
      <c r="P599" t="s">
        <v>621</v>
      </c>
      <c r="Q599" t="s">
        <v>755</v>
      </c>
    </row>
    <row r="600" spans="1:26" hidden="1" x14ac:dyDescent="0.25">
      <c r="A600" s="2"/>
      <c r="B600" s="2">
        <f>HYPERLINK(URLs!B30 &amp; 10511 &amp; URLs!B32,10511)</f>
        <v>10511</v>
      </c>
      <c r="C600" t="s">
        <v>665</v>
      </c>
      <c r="D600" t="s">
        <v>619</v>
      </c>
      <c r="E600" t="s">
        <v>850</v>
      </c>
      <c r="F600" t="s">
        <v>621</v>
      </c>
      <c r="G600" t="s">
        <v>962</v>
      </c>
      <c r="H600" t="s">
        <v>887</v>
      </c>
      <c r="I600" t="s">
        <v>624</v>
      </c>
      <c r="J600" t="s">
        <v>629</v>
      </c>
      <c r="L600" s="5">
        <v>42440</v>
      </c>
      <c r="M600" s="5">
        <v>42635</v>
      </c>
      <c r="N600" s="2">
        <f>HYPERLINK(URLs!B36 &amp; 63535,63535)</f>
        <v>63535</v>
      </c>
      <c r="O600" t="s">
        <v>666</v>
      </c>
      <c r="P600" t="s">
        <v>621</v>
      </c>
      <c r="Q600" t="s">
        <v>1105</v>
      </c>
      <c r="R600" t="s">
        <v>305</v>
      </c>
      <c r="W600">
        <v>1</v>
      </c>
    </row>
    <row r="601" spans="1:26" hidden="1" x14ac:dyDescent="0.25">
      <c r="A601" s="2"/>
      <c r="B601" s="2">
        <f>HYPERLINK(URLs!B30 &amp; 10498 &amp; URLs!B32,10498)</f>
        <v>10498</v>
      </c>
      <c r="C601" t="s">
        <v>633</v>
      </c>
      <c r="D601" t="s">
        <v>619</v>
      </c>
      <c r="E601" t="s">
        <v>850</v>
      </c>
      <c r="F601" t="s">
        <v>621</v>
      </c>
      <c r="G601" t="s">
        <v>867</v>
      </c>
      <c r="H601" t="s">
        <v>868</v>
      </c>
      <c r="I601" t="s">
        <v>624</v>
      </c>
      <c r="J601" t="s">
        <v>625</v>
      </c>
      <c r="L601" s="5">
        <v>42439</v>
      </c>
      <c r="M601" s="5">
        <v>42822</v>
      </c>
      <c r="N601" s="2">
        <f>HYPERLINK(URLs!B36 &amp; 78452,78452)</f>
        <v>78452</v>
      </c>
      <c r="O601" t="s">
        <v>666</v>
      </c>
      <c r="P601" t="s">
        <v>621</v>
      </c>
      <c r="Q601" t="s">
        <v>1106</v>
      </c>
      <c r="R601" t="s">
        <v>305</v>
      </c>
    </row>
    <row r="602" spans="1:26" hidden="1" x14ac:dyDescent="0.25">
      <c r="A602" s="2">
        <f>HYPERLINK(URLs!B36 &amp; 78517,78517)</f>
        <v>78517</v>
      </c>
      <c r="B602" s="2">
        <f>HYPERLINK(URLs!B30 &amp; 10491 &amp; URLs!B32,10491)</f>
        <v>10491</v>
      </c>
      <c r="C602" t="s">
        <v>633</v>
      </c>
      <c r="D602" t="s">
        <v>619</v>
      </c>
      <c r="E602" t="s">
        <v>620</v>
      </c>
      <c r="F602" t="s">
        <v>621</v>
      </c>
      <c r="G602" t="s">
        <v>622</v>
      </c>
      <c r="H602" t="s">
        <v>623</v>
      </c>
      <c r="I602" t="s">
        <v>624</v>
      </c>
      <c r="J602" t="s">
        <v>629</v>
      </c>
      <c r="K602" t="s">
        <v>68</v>
      </c>
      <c r="L602" s="5">
        <v>42438</v>
      </c>
      <c r="M602" s="5">
        <v>43287.259398148148</v>
      </c>
      <c r="N602" s="2">
        <f>HYPERLINK(URLs!B36 &amp; 78517,78517)</f>
        <v>78517</v>
      </c>
      <c r="O602" t="s">
        <v>636</v>
      </c>
      <c r="P602" t="s">
        <v>621</v>
      </c>
      <c r="Q602" t="s">
        <v>756</v>
      </c>
      <c r="R602" t="s">
        <v>305</v>
      </c>
      <c r="S602" t="s">
        <v>304</v>
      </c>
      <c r="T602" t="s">
        <v>307</v>
      </c>
      <c r="U602" t="s">
        <v>35</v>
      </c>
      <c r="V602" t="s">
        <v>35</v>
      </c>
      <c r="Z602" t="s">
        <v>96</v>
      </c>
    </row>
    <row r="603" spans="1:26" hidden="1" x14ac:dyDescent="0.25">
      <c r="A603" s="2">
        <f>HYPERLINK(URLs!B36 &amp; 78515,78515)</f>
        <v>78515</v>
      </c>
      <c r="B603" s="2">
        <f>HYPERLINK(URLs!B30 &amp; 10489 &amp; URLs!B32,10489)</f>
        <v>10489</v>
      </c>
      <c r="C603" t="s">
        <v>633</v>
      </c>
      <c r="D603" t="s">
        <v>619</v>
      </c>
      <c r="E603" t="s">
        <v>620</v>
      </c>
      <c r="F603" t="s">
        <v>621</v>
      </c>
      <c r="G603" t="s">
        <v>622</v>
      </c>
      <c r="H603" t="s">
        <v>623</v>
      </c>
      <c r="I603" t="s">
        <v>624</v>
      </c>
      <c r="J603" t="s">
        <v>629</v>
      </c>
      <c r="K603" t="s">
        <v>68</v>
      </c>
      <c r="L603" s="5">
        <v>42438</v>
      </c>
      <c r="M603" s="5">
        <v>42586</v>
      </c>
      <c r="N603" s="2">
        <f>HYPERLINK(URLs!B36 &amp; 78515,78515)</f>
        <v>78515</v>
      </c>
      <c r="O603" t="s">
        <v>666</v>
      </c>
      <c r="P603" t="s">
        <v>621</v>
      </c>
      <c r="Q603" t="s">
        <v>757</v>
      </c>
      <c r="R603" t="s">
        <v>305</v>
      </c>
      <c r="S603" t="s">
        <v>304</v>
      </c>
      <c r="T603" t="s">
        <v>69</v>
      </c>
      <c r="U603" t="s">
        <v>3976</v>
      </c>
      <c r="V603" t="s">
        <v>35</v>
      </c>
      <c r="Z603" t="s">
        <v>96</v>
      </c>
    </row>
    <row r="604" spans="1:26" hidden="1" x14ac:dyDescent="0.25">
      <c r="A604" s="2"/>
      <c r="B604" s="2">
        <f>HYPERLINK(URLs!B30 &amp; 10488 &amp; URLs!B32,10488)</f>
        <v>10488</v>
      </c>
      <c r="C604" t="s">
        <v>665</v>
      </c>
      <c r="D604" t="s">
        <v>619</v>
      </c>
      <c r="E604" t="s">
        <v>850</v>
      </c>
      <c r="F604" t="s">
        <v>621</v>
      </c>
      <c r="G604" t="s">
        <v>875</v>
      </c>
      <c r="H604" t="s">
        <v>876</v>
      </c>
      <c r="I604" t="s">
        <v>624</v>
      </c>
      <c r="J604" t="s">
        <v>642</v>
      </c>
      <c r="L604" s="5">
        <v>42438</v>
      </c>
      <c r="M604" s="5">
        <v>42822</v>
      </c>
      <c r="N604" s="2">
        <f>HYPERLINK(URLs!B36 &amp; 79187,79187)</f>
        <v>79187</v>
      </c>
      <c r="O604" t="s">
        <v>636</v>
      </c>
      <c r="P604" t="s">
        <v>621</v>
      </c>
      <c r="Q604" t="s">
        <v>1107</v>
      </c>
      <c r="R604" t="s">
        <v>305</v>
      </c>
      <c r="S604" s="2"/>
      <c r="T604" s="2"/>
    </row>
    <row r="605" spans="1:26" hidden="1" x14ac:dyDescent="0.25">
      <c r="A605" s="2"/>
      <c r="B605" s="2">
        <f>HYPERLINK(URLs!B30 &amp; 10487 &amp; URLs!B32,10487)</f>
        <v>10487</v>
      </c>
      <c r="C605" t="s">
        <v>633</v>
      </c>
      <c r="D605" t="s">
        <v>619</v>
      </c>
      <c r="E605" t="s">
        <v>850</v>
      </c>
      <c r="F605" t="s">
        <v>621</v>
      </c>
      <c r="G605" t="s">
        <v>875</v>
      </c>
      <c r="H605" t="s">
        <v>876</v>
      </c>
      <c r="I605" t="s">
        <v>624</v>
      </c>
      <c r="J605" t="s">
        <v>642</v>
      </c>
      <c r="L605" s="5">
        <v>42438</v>
      </c>
      <c r="M605" s="5">
        <v>42635</v>
      </c>
      <c r="N605" s="2">
        <f>HYPERLINK(URLs!B36 &amp; 75087,75087)</f>
        <v>75087</v>
      </c>
      <c r="O605" t="s">
        <v>666</v>
      </c>
      <c r="P605" t="s">
        <v>621</v>
      </c>
      <c r="Q605" t="s">
        <v>1108</v>
      </c>
      <c r="R605" t="s">
        <v>305</v>
      </c>
      <c r="S605" s="2"/>
      <c r="T605" s="2"/>
    </row>
    <row r="606" spans="1:26" hidden="1" x14ac:dyDescent="0.25">
      <c r="A606" s="2">
        <f>HYPERLINK(URLs!B36 &amp; 78509,78509)</f>
        <v>78509</v>
      </c>
      <c r="B606" s="2">
        <f>HYPERLINK(URLs!B30 &amp; 10484 &amp; URLs!B32,10484)</f>
        <v>10484</v>
      </c>
      <c r="C606" t="s">
        <v>633</v>
      </c>
      <c r="D606" t="s">
        <v>619</v>
      </c>
      <c r="E606" t="s">
        <v>620</v>
      </c>
      <c r="F606" t="s">
        <v>621</v>
      </c>
      <c r="G606" t="s">
        <v>622</v>
      </c>
      <c r="H606" t="s">
        <v>623</v>
      </c>
      <c r="I606" t="s">
        <v>624</v>
      </c>
      <c r="J606" t="s">
        <v>625</v>
      </c>
      <c r="K606" t="s">
        <v>31</v>
      </c>
      <c r="L606" s="5">
        <v>42438</v>
      </c>
      <c r="M606" s="5">
        <v>43175.392870370371</v>
      </c>
      <c r="N606" s="2">
        <f>HYPERLINK(URLs!B37 &amp; 143922,143922)</f>
        <v>143922</v>
      </c>
      <c r="O606" t="s">
        <v>645</v>
      </c>
      <c r="P606" t="s">
        <v>621</v>
      </c>
      <c r="Q606" t="s">
        <v>758</v>
      </c>
      <c r="R606" t="s">
        <v>305</v>
      </c>
      <c r="S606" s="2" t="s">
        <v>1621</v>
      </c>
      <c r="T606" s="2" t="s">
        <v>4126</v>
      </c>
      <c r="U606" t="s">
        <v>35</v>
      </c>
      <c r="V606" t="s">
        <v>35</v>
      </c>
      <c r="Z606" t="s">
        <v>2529</v>
      </c>
    </row>
    <row r="607" spans="1:26" hidden="1" x14ac:dyDescent="0.25">
      <c r="A607" s="2">
        <f>HYPERLINK(URLs!B36 &amp; 78501,78501)</f>
        <v>78501</v>
      </c>
      <c r="B607" s="2">
        <f>HYPERLINK(URLs!B30 &amp; 10483 &amp; URLs!B32,10483)</f>
        <v>10483</v>
      </c>
      <c r="C607" t="s">
        <v>633</v>
      </c>
      <c r="D607" t="s">
        <v>619</v>
      </c>
      <c r="E607" t="s">
        <v>620</v>
      </c>
      <c r="F607" t="s">
        <v>621</v>
      </c>
      <c r="G607" t="s">
        <v>622</v>
      </c>
      <c r="H607" t="s">
        <v>623</v>
      </c>
      <c r="I607" t="s">
        <v>624</v>
      </c>
      <c r="J607" t="s">
        <v>629</v>
      </c>
      <c r="K607" t="s">
        <v>68</v>
      </c>
      <c r="L607" s="5">
        <v>42438</v>
      </c>
      <c r="M607" s="5">
        <v>43053.561481481483</v>
      </c>
      <c r="N607" s="2">
        <f>HYPERLINK(URLs!B36 &amp; 78501,78501)</f>
        <v>78501</v>
      </c>
      <c r="O607" t="s">
        <v>636</v>
      </c>
      <c r="P607" t="s">
        <v>621</v>
      </c>
      <c r="Q607" t="s">
        <v>759</v>
      </c>
      <c r="R607" t="s">
        <v>305</v>
      </c>
      <c r="S607" s="2" t="s">
        <v>304</v>
      </c>
      <c r="T607" s="2" t="s">
        <v>69</v>
      </c>
      <c r="U607" t="s">
        <v>35</v>
      </c>
      <c r="V607" t="s">
        <v>35</v>
      </c>
      <c r="Z607" t="s">
        <v>96</v>
      </c>
    </row>
    <row r="608" spans="1:26" hidden="1" x14ac:dyDescent="0.25">
      <c r="A608" s="2">
        <f>HYPERLINK(URLs!B36 &amp; 74808,74808)</f>
        <v>74808</v>
      </c>
      <c r="B608" s="2">
        <f>HYPERLINK(URLs!B30 &amp; 10471 &amp; URLs!B32,10471)</f>
        <v>10471</v>
      </c>
      <c r="C608" t="s">
        <v>633</v>
      </c>
      <c r="D608" t="s">
        <v>619</v>
      </c>
      <c r="E608" t="s">
        <v>620</v>
      </c>
      <c r="F608" t="s">
        <v>621</v>
      </c>
      <c r="G608" t="s">
        <v>622</v>
      </c>
      <c r="H608" t="s">
        <v>623</v>
      </c>
      <c r="I608" t="s">
        <v>624</v>
      </c>
      <c r="J608" t="s">
        <v>625</v>
      </c>
      <c r="K608" t="s">
        <v>31</v>
      </c>
      <c r="L608" s="5">
        <v>42437</v>
      </c>
      <c r="M608" s="5">
        <v>42502</v>
      </c>
      <c r="N608" s="2">
        <f>HYPERLINK(URLs!B36 &amp; 78423,78423)</f>
        <v>78423</v>
      </c>
      <c r="O608" t="s">
        <v>666</v>
      </c>
      <c r="P608" t="s">
        <v>621</v>
      </c>
      <c r="Q608" t="s">
        <v>760</v>
      </c>
      <c r="R608" t="s">
        <v>305</v>
      </c>
      <c r="S608" s="2" t="s">
        <v>304</v>
      </c>
      <c r="T608" s="2" t="s">
        <v>75</v>
      </c>
      <c r="U608" t="s">
        <v>3966</v>
      </c>
      <c r="V608" t="s">
        <v>321</v>
      </c>
      <c r="Z608" t="s">
        <v>73</v>
      </c>
    </row>
    <row r="609" spans="1:26" hidden="1" x14ac:dyDescent="0.25">
      <c r="A609" s="2"/>
      <c r="B609" s="2">
        <f>HYPERLINK(URLs!B30 &amp; 10449 &amp; URLs!B32,10449)</f>
        <v>10449</v>
      </c>
      <c r="C609" t="s">
        <v>665</v>
      </c>
      <c r="D609" t="s">
        <v>619</v>
      </c>
      <c r="E609" t="s">
        <v>850</v>
      </c>
      <c r="F609" t="s">
        <v>621</v>
      </c>
      <c r="G609" t="s">
        <v>889</v>
      </c>
      <c r="H609" t="s">
        <v>890</v>
      </c>
      <c r="I609" t="s">
        <v>624</v>
      </c>
      <c r="J609" t="s">
        <v>625</v>
      </c>
      <c r="L609" s="5">
        <v>42433</v>
      </c>
      <c r="M609" s="5">
        <v>42635</v>
      </c>
      <c r="N609" s="2">
        <f>HYPERLINK(URLs!B36 &amp; 77338,77338)</f>
        <v>77338</v>
      </c>
      <c r="O609" t="s">
        <v>666</v>
      </c>
      <c r="P609" t="s">
        <v>621</v>
      </c>
      <c r="Q609" t="s">
        <v>1109</v>
      </c>
      <c r="S609" s="2"/>
      <c r="T609" s="2"/>
      <c r="W609">
        <v>1</v>
      </c>
    </row>
    <row r="610" spans="1:26" hidden="1" x14ac:dyDescent="0.25">
      <c r="A610" s="2"/>
      <c r="B610" s="2">
        <f>HYPERLINK(URLs!B30 &amp; 10442 &amp; URLs!B32,10442)</f>
        <v>10442</v>
      </c>
      <c r="C610" t="s">
        <v>665</v>
      </c>
      <c r="D610" t="s">
        <v>619</v>
      </c>
      <c r="E610" t="s">
        <v>850</v>
      </c>
      <c r="F610" t="s">
        <v>621</v>
      </c>
      <c r="G610" t="s">
        <v>855</v>
      </c>
      <c r="H610" t="s">
        <v>856</v>
      </c>
      <c r="I610" t="s">
        <v>624</v>
      </c>
      <c r="J610" t="s">
        <v>642</v>
      </c>
      <c r="L610" s="5">
        <v>42433</v>
      </c>
      <c r="M610" s="5">
        <v>42635</v>
      </c>
      <c r="N610" s="2">
        <f>HYPERLINK(URLs!B36 &amp; 78148,78148)</f>
        <v>78148</v>
      </c>
      <c r="O610" t="s">
        <v>666</v>
      </c>
      <c r="P610" t="s">
        <v>621</v>
      </c>
      <c r="Q610" t="s">
        <v>1110</v>
      </c>
      <c r="R610" t="s">
        <v>305</v>
      </c>
      <c r="S610" s="2"/>
      <c r="T610" s="2"/>
    </row>
    <row r="611" spans="1:26" hidden="1" x14ac:dyDescent="0.25">
      <c r="A611" s="2"/>
      <c r="B611" s="2">
        <f>HYPERLINK(URLs!B30 &amp; 10437 &amp; URLs!B32,10437)</f>
        <v>10437</v>
      </c>
      <c r="C611" t="s">
        <v>633</v>
      </c>
      <c r="D611" t="s">
        <v>619</v>
      </c>
      <c r="E611" t="s">
        <v>850</v>
      </c>
      <c r="F611" t="s">
        <v>621</v>
      </c>
      <c r="G611" t="s">
        <v>867</v>
      </c>
      <c r="H611" t="s">
        <v>868</v>
      </c>
      <c r="I611" t="s">
        <v>624</v>
      </c>
      <c r="J611" t="s">
        <v>642</v>
      </c>
      <c r="L611" s="5">
        <v>42432</v>
      </c>
      <c r="M611" s="5">
        <v>42933.474143518521</v>
      </c>
      <c r="N611" s="2">
        <f>HYPERLINK(URLs!B36 &amp; 81970,81970)</f>
        <v>81970</v>
      </c>
      <c r="O611" t="s">
        <v>636</v>
      </c>
      <c r="P611" t="s">
        <v>621</v>
      </c>
      <c r="Q611" t="s">
        <v>1111</v>
      </c>
      <c r="R611" t="s">
        <v>305</v>
      </c>
      <c r="S611" s="2"/>
      <c r="T611" s="2"/>
    </row>
    <row r="612" spans="1:26" hidden="1" x14ac:dyDescent="0.25">
      <c r="A612" s="2"/>
      <c r="B612" s="2">
        <f>HYPERLINK(URLs!B30 &amp; 10416 &amp; URLs!B32,10416)</f>
        <v>10416</v>
      </c>
      <c r="C612" t="s">
        <v>665</v>
      </c>
      <c r="D612" t="s">
        <v>619</v>
      </c>
      <c r="E612" t="s">
        <v>850</v>
      </c>
      <c r="F612" t="s">
        <v>621</v>
      </c>
      <c r="G612" t="s">
        <v>870</v>
      </c>
      <c r="H612" t="s">
        <v>871</v>
      </c>
      <c r="I612" t="s">
        <v>624</v>
      </c>
      <c r="J612" t="s">
        <v>625</v>
      </c>
      <c r="L612" s="5">
        <v>42431</v>
      </c>
      <c r="M612" s="5">
        <v>42485</v>
      </c>
      <c r="N612" t="s">
        <v>621</v>
      </c>
      <c r="O612" t="s">
        <v>666</v>
      </c>
      <c r="P612" t="s">
        <v>621</v>
      </c>
      <c r="Q612" t="s">
        <v>1112</v>
      </c>
      <c r="S612" s="2"/>
      <c r="T612" s="2"/>
    </row>
    <row r="613" spans="1:26" hidden="1" x14ac:dyDescent="0.25">
      <c r="A613" s="2">
        <f>HYPERLINK(URLs!B36 &amp; 67212,67212)</f>
        <v>67212</v>
      </c>
      <c r="B613" s="2">
        <f>HYPERLINK(URLs!B30 &amp; 10408 &amp; URLs!B32,10408)</f>
        <v>10408</v>
      </c>
      <c r="C613" t="s">
        <v>633</v>
      </c>
      <c r="D613" t="s">
        <v>619</v>
      </c>
      <c r="E613" t="s">
        <v>620</v>
      </c>
      <c r="F613" t="s">
        <v>621</v>
      </c>
      <c r="G613" t="s">
        <v>622</v>
      </c>
      <c r="H613" t="s">
        <v>623</v>
      </c>
      <c r="I613" t="s">
        <v>624</v>
      </c>
      <c r="J613" t="s">
        <v>625</v>
      </c>
      <c r="K613" t="s">
        <v>31</v>
      </c>
      <c r="L613" s="5">
        <v>42430</v>
      </c>
      <c r="M613" s="5">
        <v>43175.42287037037</v>
      </c>
      <c r="N613" s="2">
        <f>HYPERLINK(URLs!B36 &amp; 78012,78012)</f>
        <v>78012</v>
      </c>
      <c r="O613" t="s">
        <v>645</v>
      </c>
      <c r="P613" t="s">
        <v>621</v>
      </c>
      <c r="Q613" t="s">
        <v>761</v>
      </c>
      <c r="R613" t="s">
        <v>305</v>
      </c>
      <c r="S613" s="2" t="s">
        <v>337</v>
      </c>
      <c r="T613" s="2" t="s">
        <v>3028</v>
      </c>
      <c r="U613" t="s">
        <v>35</v>
      </c>
      <c r="V613" t="s">
        <v>321</v>
      </c>
      <c r="Z613" t="s">
        <v>73</v>
      </c>
    </row>
    <row r="614" spans="1:26" hidden="1" x14ac:dyDescent="0.25">
      <c r="A614" s="2">
        <f>HYPERLINK(URLs!B36 &amp; 77990,77990)</f>
        <v>77990</v>
      </c>
      <c r="B614" s="2">
        <f>HYPERLINK(URLs!B30 &amp; 10404 &amp; URLs!B32,10404)</f>
        <v>10404</v>
      </c>
      <c r="C614" t="s">
        <v>633</v>
      </c>
      <c r="D614" t="s">
        <v>619</v>
      </c>
      <c r="E614" t="s">
        <v>620</v>
      </c>
      <c r="F614" t="s">
        <v>621</v>
      </c>
      <c r="G614" t="s">
        <v>622</v>
      </c>
      <c r="H614" t="s">
        <v>623</v>
      </c>
      <c r="I614" t="s">
        <v>624</v>
      </c>
      <c r="J614" t="s">
        <v>625</v>
      </c>
      <c r="K614" t="s">
        <v>31</v>
      </c>
      <c r="L614" s="5">
        <v>42430</v>
      </c>
      <c r="M614" s="5">
        <v>43035.308738425927</v>
      </c>
      <c r="N614" s="2">
        <f>HYPERLINK(URLs!B36 &amp; 77990,77990)</f>
        <v>77990</v>
      </c>
      <c r="O614" t="s">
        <v>636</v>
      </c>
      <c r="P614" t="s">
        <v>621</v>
      </c>
      <c r="Q614" t="s">
        <v>762</v>
      </c>
      <c r="R614" t="s">
        <v>305</v>
      </c>
      <c r="S614" s="2" t="s">
        <v>304</v>
      </c>
      <c r="T614" s="2" t="s">
        <v>69</v>
      </c>
      <c r="U614" t="s">
        <v>3975</v>
      </c>
      <c r="V614" t="s">
        <v>35</v>
      </c>
      <c r="Z614" t="s">
        <v>73</v>
      </c>
    </row>
    <row r="615" spans="1:26" hidden="1" x14ac:dyDescent="0.25">
      <c r="A615" s="2"/>
      <c r="B615" s="2">
        <f>HYPERLINK(URLs!B30 &amp; 10394 &amp; URLs!B32,10394)</f>
        <v>10394</v>
      </c>
      <c r="C615" t="s">
        <v>665</v>
      </c>
      <c r="D615" t="s">
        <v>619</v>
      </c>
      <c r="E615" t="s">
        <v>850</v>
      </c>
      <c r="F615" t="s">
        <v>621</v>
      </c>
      <c r="G615" t="s">
        <v>851</v>
      </c>
      <c r="H615" t="s">
        <v>852</v>
      </c>
      <c r="I615" t="s">
        <v>624</v>
      </c>
      <c r="J615" t="s">
        <v>629</v>
      </c>
      <c r="L615" s="5">
        <v>42430</v>
      </c>
      <c r="M615" s="5">
        <v>42702.51458333333</v>
      </c>
      <c r="N615" s="2">
        <f>HYPERLINK(URLs!B36 &amp; 52179,52179)</f>
        <v>52179</v>
      </c>
      <c r="O615" t="s">
        <v>666</v>
      </c>
      <c r="P615" t="s">
        <v>621</v>
      </c>
      <c r="Q615" t="s">
        <v>4564</v>
      </c>
      <c r="S615" s="2"/>
      <c r="T615" s="2"/>
      <c r="W615">
        <v>1</v>
      </c>
      <c r="X615">
        <v>1</v>
      </c>
      <c r="Y615">
        <v>1</v>
      </c>
    </row>
    <row r="616" spans="1:26" hidden="1" x14ac:dyDescent="0.25">
      <c r="A616" s="2"/>
      <c r="B616" s="2">
        <f>HYPERLINK(URLs!B30 &amp; 10387 &amp; URLs!B32,10387)</f>
        <v>10387</v>
      </c>
      <c r="C616" t="s">
        <v>633</v>
      </c>
      <c r="D616" t="s">
        <v>619</v>
      </c>
      <c r="E616" t="s">
        <v>850</v>
      </c>
      <c r="F616" t="s">
        <v>621</v>
      </c>
      <c r="G616" t="s">
        <v>867</v>
      </c>
      <c r="H616" t="s">
        <v>868</v>
      </c>
      <c r="I616" t="s">
        <v>624</v>
      </c>
      <c r="J616" t="s">
        <v>642</v>
      </c>
      <c r="L616" s="5">
        <v>42429</v>
      </c>
      <c r="M616" s="5">
        <v>42639</v>
      </c>
      <c r="N616" t="s">
        <v>621</v>
      </c>
      <c r="O616" t="s">
        <v>645</v>
      </c>
      <c r="P616" t="s">
        <v>621</v>
      </c>
      <c r="Q616" t="s">
        <v>1113</v>
      </c>
      <c r="R616" t="s">
        <v>305</v>
      </c>
      <c r="S616" s="2"/>
      <c r="T616" s="2"/>
    </row>
    <row r="617" spans="1:26" hidden="1" x14ac:dyDescent="0.25">
      <c r="A617" s="2">
        <f>HYPERLINK(URLs!B36 &amp; 77773,77773)</f>
        <v>77773</v>
      </c>
      <c r="B617" s="2">
        <f>HYPERLINK(URLs!B30 &amp; 10375 &amp; URLs!B32,10375)</f>
        <v>10375</v>
      </c>
      <c r="C617" t="s">
        <v>633</v>
      </c>
      <c r="D617" t="s">
        <v>619</v>
      </c>
      <c r="E617" t="s">
        <v>620</v>
      </c>
      <c r="F617" t="s">
        <v>621</v>
      </c>
      <c r="G617" t="s">
        <v>643</v>
      </c>
      <c r="H617" t="s">
        <v>644</v>
      </c>
      <c r="I617" t="s">
        <v>624</v>
      </c>
      <c r="J617" t="s">
        <v>625</v>
      </c>
      <c r="K617" t="s">
        <v>31</v>
      </c>
      <c r="L617" s="5">
        <v>42426</v>
      </c>
      <c r="M617" s="5">
        <v>43175.394293981481</v>
      </c>
      <c r="N617" s="2">
        <f>HYPERLINK(URLs!B36 &amp; 77761,77761)</f>
        <v>77761</v>
      </c>
      <c r="O617" t="s">
        <v>645</v>
      </c>
      <c r="P617" t="s">
        <v>621</v>
      </c>
      <c r="Q617" t="s">
        <v>763</v>
      </c>
      <c r="R617" t="s">
        <v>305</v>
      </c>
      <c r="S617" s="2" t="s">
        <v>337</v>
      </c>
      <c r="T617" s="2" t="s">
        <v>133</v>
      </c>
      <c r="U617" t="s">
        <v>35</v>
      </c>
      <c r="V617" t="s">
        <v>321</v>
      </c>
      <c r="Z617" t="s">
        <v>73</v>
      </c>
    </row>
    <row r="618" spans="1:26" hidden="1" x14ac:dyDescent="0.25">
      <c r="A618" s="2">
        <f>HYPERLINK(URLs!B36 &amp; 77745,77745)</f>
        <v>77745</v>
      </c>
      <c r="B618" s="2">
        <f>HYPERLINK(URLs!B30 &amp; 10354 &amp; URLs!B32,10354)</f>
        <v>10354</v>
      </c>
      <c r="C618" t="s">
        <v>633</v>
      </c>
      <c r="D618" t="s">
        <v>619</v>
      </c>
      <c r="E618" t="s">
        <v>620</v>
      </c>
      <c r="F618" t="s">
        <v>621</v>
      </c>
      <c r="G618" t="s">
        <v>622</v>
      </c>
      <c r="H618" t="s">
        <v>623</v>
      </c>
      <c r="I618" t="s">
        <v>624</v>
      </c>
      <c r="J618" t="s">
        <v>625</v>
      </c>
      <c r="K618" t="s">
        <v>31</v>
      </c>
      <c r="L618" s="5">
        <v>42425</v>
      </c>
      <c r="M618" s="5">
        <v>42587</v>
      </c>
      <c r="N618" s="2">
        <f>HYPERLINK(URLs!B36 &amp; 77745,77745)</f>
        <v>77745</v>
      </c>
      <c r="O618" t="s">
        <v>666</v>
      </c>
      <c r="P618" t="s">
        <v>621</v>
      </c>
      <c r="Q618" t="s">
        <v>764</v>
      </c>
      <c r="R618" t="s">
        <v>305</v>
      </c>
      <c r="S618" s="2" t="s">
        <v>304</v>
      </c>
      <c r="T618" s="2" t="s">
        <v>77</v>
      </c>
      <c r="U618" t="s">
        <v>3965</v>
      </c>
      <c r="V618" t="s">
        <v>35</v>
      </c>
      <c r="Z618" t="s">
        <v>106</v>
      </c>
    </row>
    <row r="619" spans="1:26" hidden="1" x14ac:dyDescent="0.25">
      <c r="A619" s="2"/>
      <c r="B619" s="2">
        <f>HYPERLINK(URLs!B30 &amp; 10326 &amp; URLs!B32,10326)</f>
        <v>10326</v>
      </c>
      <c r="C619" t="s">
        <v>665</v>
      </c>
      <c r="D619" t="s">
        <v>619</v>
      </c>
      <c r="E619" t="s">
        <v>850</v>
      </c>
      <c r="F619" t="s">
        <v>621</v>
      </c>
      <c r="G619" t="s">
        <v>855</v>
      </c>
      <c r="H619" t="s">
        <v>856</v>
      </c>
      <c r="I619" t="s">
        <v>624</v>
      </c>
      <c r="J619" t="s">
        <v>629</v>
      </c>
      <c r="L619" s="5">
        <v>42423</v>
      </c>
      <c r="M619" s="5">
        <v>42635</v>
      </c>
      <c r="N619" s="2">
        <f>HYPERLINK(URLs!B36 &amp; 63673,63673)</f>
        <v>63673</v>
      </c>
      <c r="O619" t="s">
        <v>666</v>
      </c>
      <c r="P619" t="s">
        <v>621</v>
      </c>
      <c r="Q619" t="s">
        <v>1114</v>
      </c>
      <c r="S619" s="2"/>
      <c r="T619" s="2"/>
      <c r="W619">
        <v>1</v>
      </c>
    </row>
    <row r="620" spans="1:26" hidden="1" x14ac:dyDescent="0.25">
      <c r="A620" s="2"/>
      <c r="B620" s="2">
        <f>HYPERLINK(URLs!B30 &amp; 10305 &amp; URLs!B32,10305)</f>
        <v>10305</v>
      </c>
      <c r="C620" t="s">
        <v>633</v>
      </c>
      <c r="D620" t="s">
        <v>619</v>
      </c>
      <c r="E620" t="s">
        <v>850</v>
      </c>
      <c r="F620" t="s">
        <v>621</v>
      </c>
      <c r="G620" t="s">
        <v>875</v>
      </c>
      <c r="H620" t="s">
        <v>876</v>
      </c>
      <c r="I620" t="s">
        <v>624</v>
      </c>
      <c r="J620" t="s">
        <v>642</v>
      </c>
      <c r="L620" s="5">
        <v>42422</v>
      </c>
      <c r="M620" s="5">
        <v>42635</v>
      </c>
      <c r="N620" s="2">
        <f>HYPERLINK(URLs!B36 &amp; 76230,76230)</f>
        <v>76230</v>
      </c>
      <c r="O620" t="s">
        <v>666</v>
      </c>
      <c r="P620" t="s">
        <v>621</v>
      </c>
      <c r="Q620" t="s">
        <v>1115</v>
      </c>
      <c r="S620" s="2"/>
      <c r="T620" s="2"/>
    </row>
    <row r="621" spans="1:26" hidden="1" x14ac:dyDescent="0.25">
      <c r="A621" s="2">
        <f>HYPERLINK(URLs!B36 &amp; 78742,78742)</f>
        <v>78742</v>
      </c>
      <c r="B621" s="2">
        <f>HYPERLINK(URLs!B30 &amp; 10297 &amp; URLs!B32,10297)</f>
        <v>10297</v>
      </c>
      <c r="C621" t="s">
        <v>633</v>
      </c>
      <c r="D621" t="s">
        <v>619</v>
      </c>
      <c r="E621" t="s">
        <v>620</v>
      </c>
      <c r="F621" t="s">
        <v>621</v>
      </c>
      <c r="G621" t="s">
        <v>622</v>
      </c>
      <c r="H621" t="s">
        <v>623</v>
      </c>
      <c r="I621" t="s">
        <v>624</v>
      </c>
      <c r="J621" t="s">
        <v>625</v>
      </c>
      <c r="K621" t="s">
        <v>31</v>
      </c>
      <c r="L621" s="5">
        <v>42422</v>
      </c>
      <c r="M621" s="5">
        <v>43035.466053240743</v>
      </c>
      <c r="N621" s="2">
        <f>HYPERLINK(URLs!B37 &amp; 161206,161206)</f>
        <v>161206</v>
      </c>
      <c r="O621" t="s">
        <v>636</v>
      </c>
      <c r="P621" t="s">
        <v>621</v>
      </c>
      <c r="Q621" t="s">
        <v>765</v>
      </c>
      <c r="R621" t="s">
        <v>305</v>
      </c>
      <c r="S621" s="2" t="s">
        <v>304</v>
      </c>
      <c r="T621" s="2" t="s">
        <v>307</v>
      </c>
      <c r="U621" t="s">
        <v>4009</v>
      </c>
      <c r="V621" t="s">
        <v>35</v>
      </c>
      <c r="Z621" t="s">
        <v>34</v>
      </c>
    </row>
    <row r="622" spans="1:26" hidden="1" x14ac:dyDescent="0.25">
      <c r="A622" s="2"/>
      <c r="B622" s="2">
        <f>HYPERLINK(URLs!B30 &amp; 10293 &amp; URLs!B32,10293)</f>
        <v>10293</v>
      </c>
      <c r="C622" t="s">
        <v>633</v>
      </c>
      <c r="D622" t="s">
        <v>619</v>
      </c>
      <c r="E622" t="s">
        <v>850</v>
      </c>
      <c r="F622" t="s">
        <v>621</v>
      </c>
      <c r="G622" t="s">
        <v>855</v>
      </c>
      <c r="H622" t="s">
        <v>856</v>
      </c>
      <c r="I622" t="s">
        <v>624</v>
      </c>
      <c r="J622" t="s">
        <v>625</v>
      </c>
      <c r="L622" s="5">
        <v>42422</v>
      </c>
      <c r="M622" s="5">
        <v>43332.197384259256</v>
      </c>
      <c r="N622" s="2">
        <f>HYPERLINK(URLs!B36 &amp; 106642,106642)</f>
        <v>106642</v>
      </c>
      <c r="O622" t="s">
        <v>636</v>
      </c>
      <c r="P622" t="s">
        <v>621</v>
      </c>
      <c r="Q622" t="s">
        <v>1116</v>
      </c>
      <c r="R622" t="s">
        <v>305</v>
      </c>
      <c r="S622" s="2"/>
      <c r="T622" s="2"/>
      <c r="W622">
        <v>1</v>
      </c>
    </row>
    <row r="623" spans="1:26" hidden="1" x14ac:dyDescent="0.25">
      <c r="A623" s="2">
        <f>HYPERLINK(URLs!B36 &amp; 76497,76497)</f>
        <v>76497</v>
      </c>
      <c r="B623" s="2">
        <f>HYPERLINK(URLs!B30 &amp; 10281 &amp; URLs!B32,10281)</f>
        <v>10281</v>
      </c>
      <c r="C623" t="s">
        <v>633</v>
      </c>
      <c r="D623" t="s">
        <v>619</v>
      </c>
      <c r="E623" t="s">
        <v>620</v>
      </c>
      <c r="F623" t="s">
        <v>621</v>
      </c>
      <c r="G623" t="s">
        <v>622</v>
      </c>
      <c r="H623" t="s">
        <v>623</v>
      </c>
      <c r="I623" t="s">
        <v>624</v>
      </c>
      <c r="J623" t="s">
        <v>625</v>
      </c>
      <c r="K623" t="s">
        <v>31</v>
      </c>
      <c r="L623" s="5">
        <v>42418</v>
      </c>
      <c r="M623" s="5">
        <v>42471</v>
      </c>
      <c r="N623" s="2">
        <f>HYPERLINK(URLs!B36 &amp; 76497,76497)</f>
        <v>76497</v>
      </c>
      <c r="O623" t="s">
        <v>666</v>
      </c>
      <c r="P623" t="s">
        <v>621</v>
      </c>
      <c r="Q623" t="s">
        <v>766</v>
      </c>
      <c r="R623" t="s">
        <v>305</v>
      </c>
      <c r="S623" s="2" t="s">
        <v>304</v>
      </c>
      <c r="T623" s="2" t="s">
        <v>133</v>
      </c>
      <c r="U623" t="s">
        <v>35</v>
      </c>
      <c r="V623" t="s">
        <v>321</v>
      </c>
      <c r="Z623" t="s">
        <v>52</v>
      </c>
    </row>
    <row r="624" spans="1:26" hidden="1" x14ac:dyDescent="0.25">
      <c r="A624" s="2">
        <f>HYPERLINK(URLs!B36 &amp; 76402,76402)</f>
        <v>76402</v>
      </c>
      <c r="B624" s="2">
        <f>HYPERLINK(URLs!B30 &amp; 10260 &amp; URLs!B32,10260)</f>
        <v>10260</v>
      </c>
      <c r="C624" t="s">
        <v>633</v>
      </c>
      <c r="D624" t="s">
        <v>619</v>
      </c>
      <c r="E624" t="s">
        <v>620</v>
      </c>
      <c r="F624" t="s">
        <v>621</v>
      </c>
      <c r="G624" t="s">
        <v>627</v>
      </c>
      <c r="H624" t="s">
        <v>628</v>
      </c>
      <c r="I624" t="s">
        <v>624</v>
      </c>
      <c r="J624" t="s">
        <v>625</v>
      </c>
      <c r="K624" t="s">
        <v>31</v>
      </c>
      <c r="L624" s="5">
        <v>42417</v>
      </c>
      <c r="M624" s="5">
        <v>43168.62703703704</v>
      </c>
      <c r="N624" s="2">
        <f>HYPERLINK(URLs!B36 &amp; 76402,76402)</f>
        <v>76402</v>
      </c>
      <c r="O624" t="s">
        <v>666</v>
      </c>
      <c r="P624" t="s">
        <v>621</v>
      </c>
      <c r="Q624" t="s">
        <v>767</v>
      </c>
      <c r="R624" t="s">
        <v>305</v>
      </c>
      <c r="S624" s="2" t="s">
        <v>328</v>
      </c>
      <c r="T624" s="2" t="s">
        <v>4098</v>
      </c>
      <c r="U624" t="s">
        <v>35</v>
      </c>
      <c r="V624" t="s">
        <v>321</v>
      </c>
      <c r="Z624" t="s">
        <v>73</v>
      </c>
    </row>
    <row r="625" spans="1:26" hidden="1" x14ac:dyDescent="0.25">
      <c r="A625" s="2"/>
      <c r="B625" s="2">
        <f>HYPERLINK(URLs!B30 &amp; 10256 &amp; URLs!B32,10256)</f>
        <v>10256</v>
      </c>
      <c r="C625" t="s">
        <v>665</v>
      </c>
      <c r="D625" t="s">
        <v>619</v>
      </c>
      <c r="E625" t="s">
        <v>850</v>
      </c>
      <c r="F625" t="s">
        <v>621</v>
      </c>
      <c r="G625" t="s">
        <v>855</v>
      </c>
      <c r="H625" t="s">
        <v>856</v>
      </c>
      <c r="I625" t="s">
        <v>624</v>
      </c>
      <c r="J625" t="s">
        <v>642</v>
      </c>
      <c r="L625" s="5">
        <v>42416</v>
      </c>
      <c r="M625" s="5">
        <v>43117.69027777778</v>
      </c>
      <c r="N625" s="2">
        <f>HYPERLINK(URLs!B36 &amp; 80717,80717)</f>
        <v>80717</v>
      </c>
      <c r="O625" t="s">
        <v>636</v>
      </c>
      <c r="P625" t="s">
        <v>621</v>
      </c>
      <c r="Q625" t="s">
        <v>1117</v>
      </c>
      <c r="S625" s="2"/>
      <c r="T625" s="2"/>
      <c r="W625">
        <v>1</v>
      </c>
    </row>
    <row r="626" spans="1:26" hidden="1" x14ac:dyDescent="0.25">
      <c r="A626" s="2"/>
      <c r="B626" s="2">
        <f>HYPERLINK(URLs!B30 &amp; 10251 &amp; URLs!B32,10251)</f>
        <v>10251</v>
      </c>
      <c r="C626" t="s">
        <v>665</v>
      </c>
      <c r="D626" t="s">
        <v>619</v>
      </c>
      <c r="E626" t="s">
        <v>850</v>
      </c>
      <c r="F626" t="s">
        <v>621</v>
      </c>
      <c r="G626" t="s">
        <v>855</v>
      </c>
      <c r="H626" t="s">
        <v>856</v>
      </c>
      <c r="I626" t="s">
        <v>624</v>
      </c>
      <c r="J626" t="s">
        <v>642</v>
      </c>
      <c r="L626" s="5">
        <v>42415</v>
      </c>
      <c r="M626" s="5">
        <v>42681</v>
      </c>
      <c r="N626" s="2">
        <f>HYPERLINK(URLs!B36 &amp; 77547,77547)</f>
        <v>77547</v>
      </c>
      <c r="O626" t="s">
        <v>645</v>
      </c>
      <c r="P626" t="s">
        <v>621</v>
      </c>
      <c r="Q626" t="s">
        <v>1118</v>
      </c>
      <c r="R626" t="s">
        <v>305</v>
      </c>
      <c r="S626" s="2"/>
      <c r="T626" s="2"/>
    </row>
    <row r="627" spans="1:26" hidden="1" x14ac:dyDescent="0.25">
      <c r="A627" s="2">
        <f>HYPERLINK(URLs!B36 &amp; 68132,68132)</f>
        <v>68132</v>
      </c>
      <c r="B627" s="2">
        <f>HYPERLINK(URLs!B30 &amp; 10248 &amp; URLs!B32,10248)</f>
        <v>10248</v>
      </c>
      <c r="C627" t="s">
        <v>633</v>
      </c>
      <c r="D627" t="s">
        <v>619</v>
      </c>
      <c r="E627" t="s">
        <v>620</v>
      </c>
      <c r="F627" t="s">
        <v>621</v>
      </c>
      <c r="G627" t="s">
        <v>634</v>
      </c>
      <c r="H627" t="s">
        <v>635</v>
      </c>
      <c r="I627" t="s">
        <v>624</v>
      </c>
      <c r="J627" t="s">
        <v>625</v>
      </c>
      <c r="K627" t="s">
        <v>31</v>
      </c>
      <c r="L627" s="5">
        <v>42412</v>
      </c>
      <c r="M627" s="5">
        <v>42587</v>
      </c>
      <c r="N627" s="2">
        <f>HYPERLINK(URLs!B36 &amp; 77248,77248)</f>
        <v>77248</v>
      </c>
      <c r="O627" t="s">
        <v>666</v>
      </c>
      <c r="P627" t="s">
        <v>621</v>
      </c>
      <c r="Q627" t="s">
        <v>768</v>
      </c>
      <c r="R627" t="s">
        <v>305</v>
      </c>
      <c r="S627" s="2" t="s">
        <v>304</v>
      </c>
      <c r="T627" s="2" t="s">
        <v>69</v>
      </c>
      <c r="U627" t="s">
        <v>3972</v>
      </c>
      <c r="V627" t="s">
        <v>321</v>
      </c>
      <c r="Z627" t="s">
        <v>195</v>
      </c>
    </row>
    <row r="628" spans="1:26" hidden="1" x14ac:dyDescent="0.25">
      <c r="A628" s="2"/>
      <c r="B628" s="2">
        <f>HYPERLINK(URLs!B30 &amp; 10243 &amp; URLs!B32,10243)</f>
        <v>10243</v>
      </c>
      <c r="C628" t="s">
        <v>665</v>
      </c>
      <c r="D628" t="s">
        <v>619</v>
      </c>
      <c r="E628" t="s">
        <v>850</v>
      </c>
      <c r="F628" t="s">
        <v>621</v>
      </c>
      <c r="G628" t="s">
        <v>867</v>
      </c>
      <c r="H628" t="s">
        <v>868</v>
      </c>
      <c r="I628" t="s">
        <v>624</v>
      </c>
      <c r="J628" t="s">
        <v>629</v>
      </c>
      <c r="L628" s="5">
        <v>42412</v>
      </c>
      <c r="M628" s="5">
        <v>42543</v>
      </c>
      <c r="N628" s="2">
        <f>HYPERLINK(URLs!B36 &amp; 77016,77016)</f>
        <v>77016</v>
      </c>
      <c r="O628" t="s">
        <v>666</v>
      </c>
      <c r="P628" t="s">
        <v>621</v>
      </c>
      <c r="Q628" t="s">
        <v>1119</v>
      </c>
      <c r="S628" s="2"/>
      <c r="T628" s="2"/>
      <c r="W628">
        <v>1</v>
      </c>
    </row>
    <row r="629" spans="1:26" hidden="1" x14ac:dyDescent="0.25">
      <c r="A629" s="2">
        <f>HYPERLINK(URLs!B36 &amp; 76907,76907)</f>
        <v>76907</v>
      </c>
      <c r="B629" s="2">
        <f>HYPERLINK(URLs!B30 &amp; 10225 &amp; URLs!B32,10225)</f>
        <v>10225</v>
      </c>
      <c r="C629" t="s">
        <v>633</v>
      </c>
      <c r="D629" t="s">
        <v>619</v>
      </c>
      <c r="E629" t="s">
        <v>620</v>
      </c>
      <c r="F629" t="s">
        <v>621</v>
      </c>
      <c r="G629" t="s">
        <v>622</v>
      </c>
      <c r="H629" t="s">
        <v>623</v>
      </c>
      <c r="I629" t="s">
        <v>624</v>
      </c>
      <c r="J629" t="s">
        <v>629</v>
      </c>
      <c r="K629" t="s">
        <v>68</v>
      </c>
      <c r="L629" s="5">
        <v>42410</v>
      </c>
      <c r="M629" s="5">
        <v>43171.256157407406</v>
      </c>
      <c r="N629" s="2">
        <f>HYPERLINK(URLs!B36 &amp; 76907,76907)</f>
        <v>76907</v>
      </c>
      <c r="O629" t="s">
        <v>645</v>
      </c>
      <c r="P629" t="s">
        <v>621</v>
      </c>
      <c r="Q629" t="s">
        <v>769</v>
      </c>
      <c r="R629" t="s">
        <v>305</v>
      </c>
      <c r="S629" s="2" t="s">
        <v>328</v>
      </c>
      <c r="T629" s="2" t="s">
        <v>4098</v>
      </c>
      <c r="U629" t="s">
        <v>35</v>
      </c>
      <c r="V629" t="s">
        <v>35</v>
      </c>
      <c r="Z629" t="s">
        <v>73</v>
      </c>
    </row>
    <row r="630" spans="1:26" hidden="1" x14ac:dyDescent="0.25">
      <c r="A630" s="2">
        <f>HYPERLINK(URLs!B36 &amp; 78745,78745)</f>
        <v>78745</v>
      </c>
      <c r="B630" s="2">
        <f>HYPERLINK(URLs!B30 &amp; 10216 &amp; URLs!B32,10216)</f>
        <v>10216</v>
      </c>
      <c r="C630" t="s">
        <v>665</v>
      </c>
      <c r="D630" t="s">
        <v>619</v>
      </c>
      <c r="E630" t="s">
        <v>850</v>
      </c>
      <c r="F630" t="s">
        <v>621</v>
      </c>
      <c r="G630" t="s">
        <v>851</v>
      </c>
      <c r="H630" t="s">
        <v>852</v>
      </c>
      <c r="I630" t="s">
        <v>624</v>
      </c>
      <c r="J630" t="s">
        <v>629</v>
      </c>
      <c r="K630" t="s">
        <v>68</v>
      </c>
      <c r="L630" s="5">
        <v>42410</v>
      </c>
      <c r="M630" s="5">
        <v>42635</v>
      </c>
      <c r="N630" s="2">
        <f>HYPERLINK(URLs!B36 &amp; 75345,75345)</f>
        <v>75345</v>
      </c>
      <c r="O630" t="s">
        <v>666</v>
      </c>
      <c r="P630" t="s">
        <v>621</v>
      </c>
      <c r="Q630" t="s">
        <v>1120</v>
      </c>
      <c r="R630" t="s">
        <v>305</v>
      </c>
      <c r="S630" s="2" t="s">
        <v>304</v>
      </c>
      <c r="T630" s="2" t="s">
        <v>428</v>
      </c>
      <c r="U630" t="s">
        <v>35</v>
      </c>
      <c r="V630" t="s">
        <v>35</v>
      </c>
      <c r="W630">
        <v>1</v>
      </c>
      <c r="Z630" t="s">
        <v>45</v>
      </c>
    </row>
    <row r="631" spans="1:26" hidden="1" x14ac:dyDescent="0.25">
      <c r="A631" s="2">
        <f>HYPERLINK(URLs!B36 &amp; 76841,76841)</f>
        <v>76841</v>
      </c>
      <c r="B631" s="2">
        <f>HYPERLINK(URLs!B30 &amp; 10211 &amp; URLs!B32,10211)</f>
        <v>10211</v>
      </c>
      <c r="C631" t="s">
        <v>665</v>
      </c>
      <c r="D631" t="s">
        <v>619</v>
      </c>
      <c r="E631" t="s">
        <v>620</v>
      </c>
      <c r="F631" t="s">
        <v>621</v>
      </c>
      <c r="G631" t="s">
        <v>631</v>
      </c>
      <c r="H631" t="s">
        <v>632</v>
      </c>
      <c r="I631" t="s">
        <v>624</v>
      </c>
      <c r="J631" t="s">
        <v>625</v>
      </c>
      <c r="K631" t="s">
        <v>31</v>
      </c>
      <c r="L631" s="5">
        <v>42410</v>
      </c>
      <c r="M631" s="5">
        <v>43035.34097222222</v>
      </c>
      <c r="N631" s="2">
        <f>HYPERLINK(URLs!B36 &amp; 76841,76841)</f>
        <v>76841</v>
      </c>
      <c r="O631" t="s">
        <v>636</v>
      </c>
      <c r="P631" t="s">
        <v>621</v>
      </c>
      <c r="Q631" t="s">
        <v>770</v>
      </c>
      <c r="R631" t="s">
        <v>305</v>
      </c>
      <c r="S631" s="2" t="s">
        <v>304</v>
      </c>
      <c r="T631" s="2" t="s">
        <v>69</v>
      </c>
      <c r="U631" t="s">
        <v>3983</v>
      </c>
      <c r="V631" t="s">
        <v>321</v>
      </c>
      <c r="Z631" t="s">
        <v>73</v>
      </c>
    </row>
    <row r="632" spans="1:26" hidden="1" x14ac:dyDescent="0.25">
      <c r="A632" s="2"/>
      <c r="B632" s="2">
        <f>HYPERLINK(URLs!B30 &amp; 10180 &amp; URLs!B32,10180)</f>
        <v>10180</v>
      </c>
      <c r="C632" t="s">
        <v>633</v>
      </c>
      <c r="D632" t="s">
        <v>619</v>
      </c>
      <c r="E632" t="s">
        <v>850</v>
      </c>
      <c r="F632" t="s">
        <v>621</v>
      </c>
      <c r="G632" t="s">
        <v>889</v>
      </c>
      <c r="H632" t="s">
        <v>890</v>
      </c>
      <c r="I632" t="s">
        <v>624</v>
      </c>
      <c r="J632" t="s">
        <v>642</v>
      </c>
      <c r="L632" s="5">
        <v>42405</v>
      </c>
      <c r="M632" s="5">
        <v>42674</v>
      </c>
      <c r="N632" t="s">
        <v>621</v>
      </c>
      <c r="O632" t="s">
        <v>666</v>
      </c>
      <c r="P632" t="s">
        <v>621</v>
      </c>
      <c r="Q632" t="s">
        <v>1121</v>
      </c>
      <c r="R632" t="s">
        <v>305</v>
      </c>
      <c r="S632" s="2"/>
      <c r="T632" s="2"/>
    </row>
    <row r="633" spans="1:26" hidden="1" x14ac:dyDescent="0.25">
      <c r="A633" s="2"/>
      <c r="B633" s="2">
        <f>HYPERLINK(URLs!B30 &amp; 10168 &amp; URLs!B32,10168)</f>
        <v>10168</v>
      </c>
      <c r="C633" t="s">
        <v>665</v>
      </c>
      <c r="D633" t="s">
        <v>619</v>
      </c>
      <c r="E633" t="s">
        <v>850</v>
      </c>
      <c r="F633" t="s">
        <v>621</v>
      </c>
      <c r="G633" t="s">
        <v>962</v>
      </c>
      <c r="H633" t="s">
        <v>887</v>
      </c>
      <c r="I633" t="s">
        <v>624</v>
      </c>
      <c r="J633" t="s">
        <v>629</v>
      </c>
      <c r="L633" s="5">
        <v>42404</v>
      </c>
      <c r="M633" s="5">
        <v>42583</v>
      </c>
      <c r="N633" t="s">
        <v>621</v>
      </c>
      <c r="O633" t="s">
        <v>645</v>
      </c>
      <c r="P633" t="s">
        <v>621</v>
      </c>
      <c r="Q633" t="s">
        <v>1122</v>
      </c>
      <c r="S633" s="2"/>
      <c r="T633" s="2"/>
      <c r="W633">
        <v>1</v>
      </c>
    </row>
    <row r="634" spans="1:26" hidden="1" x14ac:dyDescent="0.25">
      <c r="A634" s="2"/>
      <c r="B634" s="2">
        <f>HYPERLINK(URLs!B30 &amp; 10154 &amp; URLs!B32,10154)</f>
        <v>10154</v>
      </c>
      <c r="C634" t="s">
        <v>665</v>
      </c>
      <c r="D634" t="s">
        <v>619</v>
      </c>
      <c r="E634" t="s">
        <v>850</v>
      </c>
      <c r="F634" t="s">
        <v>621</v>
      </c>
      <c r="G634" t="s">
        <v>855</v>
      </c>
      <c r="H634" t="s">
        <v>856</v>
      </c>
      <c r="I634" t="s">
        <v>624</v>
      </c>
      <c r="J634" t="s">
        <v>642</v>
      </c>
      <c r="L634" s="5">
        <v>42403</v>
      </c>
      <c r="M634" s="5">
        <v>42635</v>
      </c>
      <c r="N634" s="2">
        <f>HYPERLINK(URLs!B36 &amp; 63384,63384)</f>
        <v>63384</v>
      </c>
      <c r="O634" t="s">
        <v>666</v>
      </c>
      <c r="P634" t="s">
        <v>621</v>
      </c>
      <c r="Q634" t="s">
        <v>1123</v>
      </c>
      <c r="S634" s="2"/>
      <c r="T634" s="2"/>
    </row>
    <row r="635" spans="1:26" hidden="1" x14ac:dyDescent="0.25">
      <c r="A635" s="2">
        <f>HYPERLINK(URLs!B36 &amp; 76380,76380)</f>
        <v>76380</v>
      </c>
      <c r="B635" s="2">
        <f>HYPERLINK(URLs!B30 &amp; 10139 &amp; URLs!B32,10139)</f>
        <v>10139</v>
      </c>
      <c r="C635" t="s">
        <v>633</v>
      </c>
      <c r="D635" t="s">
        <v>619</v>
      </c>
      <c r="E635" t="s">
        <v>620</v>
      </c>
      <c r="F635" t="s">
        <v>621</v>
      </c>
      <c r="G635" t="s">
        <v>643</v>
      </c>
      <c r="H635" t="s">
        <v>644</v>
      </c>
      <c r="I635" t="s">
        <v>624</v>
      </c>
      <c r="J635" t="s">
        <v>625</v>
      </c>
      <c r="K635" t="s">
        <v>31</v>
      </c>
      <c r="L635" s="5">
        <v>42401</v>
      </c>
      <c r="M635" s="5">
        <v>42587</v>
      </c>
      <c r="N635" s="2">
        <f>HYPERLINK(URLs!B36 &amp; 76380,76380)</f>
        <v>76380</v>
      </c>
      <c r="O635" t="s">
        <v>666</v>
      </c>
      <c r="P635" t="s">
        <v>621</v>
      </c>
      <c r="Q635" t="s">
        <v>771</v>
      </c>
      <c r="R635" t="s">
        <v>305</v>
      </c>
      <c r="S635" s="2" t="s">
        <v>304</v>
      </c>
      <c r="T635" s="2" t="s">
        <v>133</v>
      </c>
      <c r="U635" t="s">
        <v>3958</v>
      </c>
      <c r="V635" t="s">
        <v>321</v>
      </c>
      <c r="Z635" t="s">
        <v>73</v>
      </c>
    </row>
    <row r="636" spans="1:26" hidden="1" x14ac:dyDescent="0.25">
      <c r="A636" s="2">
        <f>HYPERLINK(URLs!B36 &amp; 76375,76375)</f>
        <v>76375</v>
      </c>
      <c r="B636" s="2">
        <f>HYPERLINK(URLs!B30 &amp; 10136 &amp; URLs!B32,10136)</f>
        <v>10136</v>
      </c>
      <c r="C636" t="s">
        <v>633</v>
      </c>
      <c r="D636" t="s">
        <v>619</v>
      </c>
      <c r="E636" t="s">
        <v>620</v>
      </c>
      <c r="F636" t="s">
        <v>621</v>
      </c>
      <c r="G636" t="s">
        <v>643</v>
      </c>
      <c r="H636" t="s">
        <v>644</v>
      </c>
      <c r="I636" t="s">
        <v>624</v>
      </c>
      <c r="J636" t="s">
        <v>625</v>
      </c>
      <c r="K636" t="s">
        <v>31</v>
      </c>
      <c r="L636" s="5">
        <v>42401</v>
      </c>
      <c r="M636" s="5">
        <v>42587</v>
      </c>
      <c r="N636" s="2">
        <f>HYPERLINK(URLs!B36 &amp; 76375,76375)</f>
        <v>76375</v>
      </c>
      <c r="O636" t="s">
        <v>666</v>
      </c>
      <c r="P636" t="s">
        <v>621</v>
      </c>
      <c r="Q636" t="s">
        <v>772</v>
      </c>
      <c r="R636" t="s">
        <v>305</v>
      </c>
      <c r="S636" s="2" t="s">
        <v>304</v>
      </c>
      <c r="T636" s="2" t="s">
        <v>4152</v>
      </c>
      <c r="U636" t="s">
        <v>3970</v>
      </c>
      <c r="V636" t="s">
        <v>35</v>
      </c>
      <c r="Z636" t="s">
        <v>34</v>
      </c>
    </row>
    <row r="637" spans="1:26" hidden="1" x14ac:dyDescent="0.25">
      <c r="A637" s="2"/>
      <c r="B637" s="2">
        <f>HYPERLINK(URLs!B30 &amp; 10128 &amp; URLs!B32,10128)</f>
        <v>10128</v>
      </c>
      <c r="C637" t="s">
        <v>665</v>
      </c>
      <c r="D637" t="s">
        <v>619</v>
      </c>
      <c r="E637" t="s">
        <v>850</v>
      </c>
      <c r="F637" t="s">
        <v>621</v>
      </c>
      <c r="G637" t="s">
        <v>855</v>
      </c>
      <c r="H637" t="s">
        <v>856</v>
      </c>
      <c r="I637" t="s">
        <v>624</v>
      </c>
      <c r="J637" t="s">
        <v>642</v>
      </c>
      <c r="L637" s="5">
        <v>42401</v>
      </c>
      <c r="M637" s="5">
        <v>42635</v>
      </c>
      <c r="N637" s="2">
        <f>HYPERLINK(URLs!B36 &amp; 61738,61738)</f>
        <v>61738</v>
      </c>
      <c r="O637" t="s">
        <v>666</v>
      </c>
      <c r="P637" t="s">
        <v>621</v>
      </c>
      <c r="Q637" t="s">
        <v>1124</v>
      </c>
      <c r="S637" s="2"/>
      <c r="T637" s="2"/>
    </row>
    <row r="638" spans="1:26" hidden="1" x14ac:dyDescent="0.25">
      <c r="A638" s="2"/>
      <c r="B638" s="2">
        <f>HYPERLINK(URLs!B30 &amp; 10103 &amp; URLs!B32,10103)</f>
        <v>10103</v>
      </c>
      <c r="C638" t="s">
        <v>633</v>
      </c>
      <c r="D638" t="s">
        <v>619</v>
      </c>
      <c r="E638" t="s">
        <v>850</v>
      </c>
      <c r="F638" t="s">
        <v>621</v>
      </c>
      <c r="G638" t="s">
        <v>858</v>
      </c>
      <c r="H638" t="s">
        <v>968</v>
      </c>
      <c r="I638" t="s">
        <v>624</v>
      </c>
      <c r="J638" t="s">
        <v>642</v>
      </c>
      <c r="L638" s="5">
        <v>42397</v>
      </c>
      <c r="M638" s="5">
        <v>42590</v>
      </c>
      <c r="N638" s="2">
        <f>HYPERLINK(URLs!B36 &amp; 72248,72248)</f>
        <v>72248</v>
      </c>
      <c r="O638" t="s">
        <v>645</v>
      </c>
      <c r="P638" t="s">
        <v>621</v>
      </c>
      <c r="Q638" t="s">
        <v>1125</v>
      </c>
      <c r="S638" s="2"/>
      <c r="T638" s="2"/>
    </row>
    <row r="639" spans="1:26" hidden="1" x14ac:dyDescent="0.25">
      <c r="A639" s="2">
        <f>HYPERLINK(URLs!B36 &amp; 75946,75946)</f>
        <v>75946</v>
      </c>
      <c r="B639" s="2">
        <f>HYPERLINK(URLs!B30 &amp; 10083 &amp; URLs!B32,10083)</f>
        <v>10083</v>
      </c>
      <c r="C639" t="s">
        <v>633</v>
      </c>
      <c r="D639" t="s">
        <v>619</v>
      </c>
      <c r="E639" t="s">
        <v>620</v>
      </c>
      <c r="F639" t="s">
        <v>621</v>
      </c>
      <c r="G639" t="s">
        <v>643</v>
      </c>
      <c r="H639" t="s">
        <v>644</v>
      </c>
      <c r="I639" t="s">
        <v>624</v>
      </c>
      <c r="J639" t="s">
        <v>625</v>
      </c>
      <c r="K639" t="s">
        <v>31</v>
      </c>
      <c r="L639" s="5">
        <v>42395</v>
      </c>
      <c r="M639" s="5">
        <v>43035.28292824074</v>
      </c>
      <c r="N639" s="2">
        <f>HYPERLINK(URLs!B36 &amp; 76211,76211)</f>
        <v>76211</v>
      </c>
      <c r="O639" t="s">
        <v>636</v>
      </c>
      <c r="P639" t="s">
        <v>621</v>
      </c>
      <c r="Q639" t="s">
        <v>773</v>
      </c>
      <c r="R639" t="s">
        <v>305</v>
      </c>
      <c r="S639" s="2" t="s">
        <v>304</v>
      </c>
      <c r="T639" s="2" t="s">
        <v>133</v>
      </c>
      <c r="U639" t="s">
        <v>3969</v>
      </c>
      <c r="V639" t="s">
        <v>35</v>
      </c>
      <c r="Z639" t="s">
        <v>45</v>
      </c>
    </row>
    <row r="640" spans="1:26" hidden="1" x14ac:dyDescent="0.25">
      <c r="A640" s="2">
        <f>HYPERLINK(URLs!B36 &amp; 72280,72280)</f>
        <v>72280</v>
      </c>
      <c r="B640" s="2">
        <f>HYPERLINK(URLs!B30 &amp; 10061 &amp; URLs!B32,10061)</f>
        <v>10061</v>
      </c>
      <c r="C640" t="s">
        <v>633</v>
      </c>
      <c r="D640" t="s">
        <v>619</v>
      </c>
      <c r="E640" t="s">
        <v>620</v>
      </c>
      <c r="F640" t="s">
        <v>621</v>
      </c>
      <c r="G640" t="s">
        <v>622</v>
      </c>
      <c r="H640" t="s">
        <v>623</v>
      </c>
      <c r="I640" t="s">
        <v>624</v>
      </c>
      <c r="J640" t="s">
        <v>629</v>
      </c>
      <c r="K640" t="s">
        <v>31</v>
      </c>
      <c r="L640" s="5">
        <v>42394</v>
      </c>
      <c r="M640" s="5">
        <v>42443</v>
      </c>
      <c r="N640" s="2">
        <f>HYPERLINK(URLs!B36 &amp; 72280,72280)</f>
        <v>72280</v>
      </c>
      <c r="O640" t="s">
        <v>666</v>
      </c>
      <c r="P640" t="s">
        <v>621</v>
      </c>
      <c r="Q640" t="s">
        <v>774</v>
      </c>
      <c r="R640" t="s">
        <v>305</v>
      </c>
      <c r="S640" s="2" t="s">
        <v>304</v>
      </c>
      <c r="T640" s="2" t="s">
        <v>133</v>
      </c>
      <c r="U640" t="s">
        <v>3959</v>
      </c>
      <c r="V640" t="s">
        <v>35</v>
      </c>
      <c r="Z640" t="s">
        <v>73</v>
      </c>
    </row>
    <row r="641" spans="1:26" hidden="1" x14ac:dyDescent="0.25">
      <c r="A641" s="2"/>
      <c r="B641" s="2">
        <f>HYPERLINK(URLs!B30 &amp; 10052 &amp; URLs!B32,10052)</f>
        <v>10052</v>
      </c>
      <c r="C641" t="s">
        <v>633</v>
      </c>
      <c r="D641" t="s">
        <v>619</v>
      </c>
      <c r="E641" t="s">
        <v>850</v>
      </c>
      <c r="F641" t="s">
        <v>621</v>
      </c>
      <c r="G641" t="s">
        <v>855</v>
      </c>
      <c r="H641" t="s">
        <v>856</v>
      </c>
      <c r="I641" t="s">
        <v>624</v>
      </c>
      <c r="J641" t="s">
        <v>629</v>
      </c>
      <c r="L641" s="5">
        <v>42394</v>
      </c>
      <c r="M641" s="5">
        <v>42635</v>
      </c>
      <c r="N641" s="2">
        <f>HYPERLINK(URLs!B36 &amp; 76207,76207)</f>
        <v>76207</v>
      </c>
      <c r="O641" t="s">
        <v>666</v>
      </c>
      <c r="P641" t="s">
        <v>621</v>
      </c>
      <c r="Q641" t="s">
        <v>1126</v>
      </c>
      <c r="R641" t="s">
        <v>305</v>
      </c>
      <c r="S641" s="2"/>
      <c r="T641" s="2"/>
    </row>
    <row r="642" spans="1:26" hidden="1" x14ac:dyDescent="0.25">
      <c r="A642" s="2">
        <f>HYPERLINK(URLs!B36 &amp; 75758,75758)</f>
        <v>75758</v>
      </c>
      <c r="B642" s="2">
        <f>HYPERLINK(URLs!B30 &amp; 10049 &amp; URLs!B32,10049)</f>
        <v>10049</v>
      </c>
      <c r="C642" t="s">
        <v>633</v>
      </c>
      <c r="D642" t="s">
        <v>619</v>
      </c>
      <c r="E642" t="s">
        <v>620</v>
      </c>
      <c r="F642" t="s">
        <v>621</v>
      </c>
      <c r="G642" t="s">
        <v>622</v>
      </c>
      <c r="H642" t="s">
        <v>623</v>
      </c>
      <c r="I642" t="s">
        <v>624</v>
      </c>
      <c r="J642" t="s">
        <v>625</v>
      </c>
      <c r="K642" t="s">
        <v>31</v>
      </c>
      <c r="L642" s="5">
        <v>42391</v>
      </c>
      <c r="M642" s="5">
        <v>43168.632222222222</v>
      </c>
      <c r="N642" s="2">
        <f>HYPERLINK(URLs!B36 &amp; 75758,75758)</f>
        <v>75758</v>
      </c>
      <c r="O642" t="s">
        <v>645</v>
      </c>
      <c r="P642" t="s">
        <v>621</v>
      </c>
      <c r="Q642" t="s">
        <v>775</v>
      </c>
      <c r="R642" t="s">
        <v>305</v>
      </c>
      <c r="S642" s="2" t="s">
        <v>328</v>
      </c>
      <c r="T642" s="2" t="s">
        <v>4098</v>
      </c>
      <c r="U642" t="s">
        <v>35</v>
      </c>
      <c r="V642" t="s">
        <v>321</v>
      </c>
      <c r="Z642" t="s">
        <v>73</v>
      </c>
    </row>
    <row r="643" spans="1:26" hidden="1" x14ac:dyDescent="0.25">
      <c r="A643" s="2"/>
      <c r="B643" s="2">
        <f>HYPERLINK(URLs!B30 &amp; 10046 &amp; URLs!B32,10046)</f>
        <v>10046</v>
      </c>
      <c r="C643" t="s">
        <v>633</v>
      </c>
      <c r="D643" t="s">
        <v>619</v>
      </c>
      <c r="E643" t="s">
        <v>620</v>
      </c>
      <c r="F643" t="s">
        <v>621</v>
      </c>
      <c r="G643" t="s">
        <v>622</v>
      </c>
      <c r="H643" t="s">
        <v>623</v>
      </c>
      <c r="I643" t="s">
        <v>624</v>
      </c>
      <c r="J643" t="s">
        <v>625</v>
      </c>
      <c r="L643" s="5">
        <v>42391</v>
      </c>
      <c r="M643" s="5">
        <v>42587</v>
      </c>
      <c r="N643" s="2">
        <f>HYPERLINK(URLs!B37 &amp; 155198,155198)</f>
        <v>155198</v>
      </c>
      <c r="O643" t="s">
        <v>666</v>
      </c>
      <c r="P643" t="s">
        <v>621</v>
      </c>
      <c r="Q643" t="s">
        <v>776</v>
      </c>
      <c r="S643" s="2"/>
      <c r="T643" s="2"/>
      <c r="W643">
        <v>1</v>
      </c>
    </row>
    <row r="644" spans="1:26" hidden="1" x14ac:dyDescent="0.25">
      <c r="A644" s="2">
        <f>HYPERLINK(URLs!B36 &amp; 75402,75402)</f>
        <v>75402</v>
      </c>
      <c r="B644" s="2">
        <f>HYPERLINK(URLs!B30 &amp; 10008 &amp; URLs!B32,10008)</f>
        <v>10008</v>
      </c>
      <c r="C644" t="s">
        <v>633</v>
      </c>
      <c r="D644" t="s">
        <v>619</v>
      </c>
      <c r="E644" t="s">
        <v>620</v>
      </c>
      <c r="F644" t="s">
        <v>621</v>
      </c>
      <c r="G644" t="s">
        <v>622</v>
      </c>
      <c r="H644" t="s">
        <v>623</v>
      </c>
      <c r="I644" t="s">
        <v>624</v>
      </c>
      <c r="J644" t="s">
        <v>625</v>
      </c>
      <c r="K644" t="s">
        <v>31</v>
      </c>
      <c r="L644" s="5">
        <v>42388</v>
      </c>
      <c r="M644" s="5">
        <v>42443</v>
      </c>
      <c r="N644" s="2">
        <f>HYPERLINK(URLs!B37 &amp; 145764,145764)</f>
        <v>145764</v>
      </c>
      <c r="O644" t="s">
        <v>666</v>
      </c>
      <c r="P644" t="s">
        <v>621</v>
      </c>
      <c r="Q644" t="s">
        <v>777</v>
      </c>
      <c r="R644" t="s">
        <v>305</v>
      </c>
      <c r="S644" s="2" t="s">
        <v>1621</v>
      </c>
      <c r="T644" s="2" t="s">
        <v>4126</v>
      </c>
      <c r="U644" t="s">
        <v>35</v>
      </c>
      <c r="V644" t="s">
        <v>35</v>
      </c>
      <c r="Z644" t="s">
        <v>34</v>
      </c>
    </row>
    <row r="645" spans="1:26" hidden="1" x14ac:dyDescent="0.25">
      <c r="A645" s="2">
        <f>HYPERLINK(URLs!B36 &amp; 75304,75304)</f>
        <v>75304</v>
      </c>
      <c r="B645" s="2">
        <f>HYPERLINK(URLs!B30 &amp; 10004 &amp; URLs!B32,10004)</f>
        <v>10004</v>
      </c>
      <c r="C645" t="s">
        <v>633</v>
      </c>
      <c r="D645" t="s">
        <v>619</v>
      </c>
      <c r="E645" t="s">
        <v>620</v>
      </c>
      <c r="F645" t="s">
        <v>621</v>
      </c>
      <c r="G645" t="s">
        <v>622</v>
      </c>
      <c r="H645" t="s">
        <v>623</v>
      </c>
      <c r="I645" t="s">
        <v>624</v>
      </c>
      <c r="J645" t="s">
        <v>625</v>
      </c>
      <c r="K645" t="s">
        <v>31</v>
      </c>
      <c r="L645" s="5">
        <v>42387</v>
      </c>
      <c r="M645" s="5">
        <v>42404</v>
      </c>
      <c r="N645" s="2">
        <f>HYPERLINK(URLs!B36 &amp; 75304,75304)</f>
        <v>75304</v>
      </c>
      <c r="O645" t="s">
        <v>645</v>
      </c>
      <c r="P645" t="s">
        <v>621</v>
      </c>
      <c r="Q645" t="s">
        <v>778</v>
      </c>
      <c r="R645" t="s">
        <v>305</v>
      </c>
      <c r="S645" s="2" t="s">
        <v>310</v>
      </c>
      <c r="T645" s="2" t="s">
        <v>4098</v>
      </c>
      <c r="U645" t="s">
        <v>35</v>
      </c>
      <c r="V645" t="s">
        <v>321</v>
      </c>
      <c r="Z645" t="s">
        <v>73</v>
      </c>
    </row>
    <row r="646" spans="1:26" hidden="1" x14ac:dyDescent="0.25">
      <c r="A646" s="2"/>
      <c r="B646" s="2">
        <f>HYPERLINK(URLs!B30 &amp; 9994 &amp; URLs!B32,9994)</f>
        <v>9994</v>
      </c>
      <c r="C646" t="s">
        <v>633</v>
      </c>
      <c r="D646" t="s">
        <v>619</v>
      </c>
      <c r="E646" t="s">
        <v>850</v>
      </c>
      <c r="F646" t="s">
        <v>621</v>
      </c>
      <c r="G646" t="s">
        <v>962</v>
      </c>
      <c r="H646" t="s">
        <v>887</v>
      </c>
      <c r="I646" t="s">
        <v>624</v>
      </c>
      <c r="J646" t="s">
        <v>625</v>
      </c>
      <c r="L646" s="5">
        <v>42383</v>
      </c>
      <c r="M646" s="5">
        <v>42485</v>
      </c>
      <c r="N646" s="2">
        <f>HYPERLINK(URLs!B36 &amp; 75202,75202)</f>
        <v>75202</v>
      </c>
      <c r="O646" t="s">
        <v>666</v>
      </c>
      <c r="P646" t="s">
        <v>621</v>
      </c>
      <c r="Q646" t="s">
        <v>1127</v>
      </c>
      <c r="R646" t="s">
        <v>305</v>
      </c>
      <c r="S646" s="2"/>
      <c r="T646" s="2"/>
    </row>
    <row r="647" spans="1:26" hidden="1" x14ac:dyDescent="0.25">
      <c r="A647" s="2"/>
      <c r="B647" s="2">
        <f>HYPERLINK(URLs!B30 &amp; 9956 &amp; URLs!B32,9956)</f>
        <v>9956</v>
      </c>
      <c r="C647" t="s">
        <v>665</v>
      </c>
      <c r="D647" t="s">
        <v>619</v>
      </c>
      <c r="E647" t="s">
        <v>850</v>
      </c>
      <c r="F647" t="s">
        <v>621</v>
      </c>
      <c r="G647" t="s">
        <v>855</v>
      </c>
      <c r="H647" t="s">
        <v>856</v>
      </c>
      <c r="I647" t="s">
        <v>624</v>
      </c>
      <c r="J647" t="s">
        <v>642</v>
      </c>
      <c r="L647" s="5">
        <v>42381</v>
      </c>
      <c r="M647" s="5">
        <v>42527</v>
      </c>
      <c r="N647" s="2">
        <f>HYPERLINK(URLs!B36 &amp; 75198,75198)</f>
        <v>75198</v>
      </c>
      <c r="O647" t="s">
        <v>666</v>
      </c>
      <c r="P647" t="s">
        <v>621</v>
      </c>
      <c r="Q647" t="s">
        <v>1128</v>
      </c>
      <c r="R647" t="s">
        <v>305</v>
      </c>
      <c r="S647" s="2"/>
      <c r="T647" s="2"/>
    </row>
    <row r="648" spans="1:26" hidden="1" x14ac:dyDescent="0.25">
      <c r="A648" s="2"/>
      <c r="B648" s="2">
        <f>HYPERLINK(URLs!B30 &amp; 9952 &amp; URLs!B32,9952)</f>
        <v>9952</v>
      </c>
      <c r="C648" t="s">
        <v>665</v>
      </c>
      <c r="D648" t="s">
        <v>619</v>
      </c>
      <c r="E648" t="s">
        <v>850</v>
      </c>
      <c r="F648" t="s">
        <v>621</v>
      </c>
      <c r="G648" t="s">
        <v>855</v>
      </c>
      <c r="H648" t="s">
        <v>856</v>
      </c>
      <c r="I648" t="s">
        <v>624</v>
      </c>
      <c r="J648" t="s">
        <v>629</v>
      </c>
      <c r="L648" s="5">
        <v>42381</v>
      </c>
      <c r="M648" s="5">
        <v>42822</v>
      </c>
      <c r="N648" s="2">
        <f>HYPERLINK(URLs!B36 &amp; 78482,78482)</f>
        <v>78482</v>
      </c>
      <c r="O648" t="s">
        <v>636</v>
      </c>
      <c r="P648" t="s">
        <v>621</v>
      </c>
      <c r="Q648" t="s">
        <v>1129</v>
      </c>
      <c r="S648" s="2"/>
      <c r="T648" s="2"/>
    </row>
    <row r="649" spans="1:26" hidden="1" x14ac:dyDescent="0.25">
      <c r="A649" s="2">
        <f>HYPERLINK(URLs!B36 &amp; 74747,74747)</f>
        <v>74747</v>
      </c>
      <c r="B649" s="2">
        <f>HYPERLINK(URLs!B30 &amp; 9886 &amp; URLs!B32,9886)</f>
        <v>9886</v>
      </c>
      <c r="C649" t="s">
        <v>633</v>
      </c>
      <c r="D649" t="s">
        <v>619</v>
      </c>
      <c r="E649" t="s">
        <v>620</v>
      </c>
      <c r="F649" t="s">
        <v>621</v>
      </c>
      <c r="G649" t="s">
        <v>622</v>
      </c>
      <c r="H649" t="s">
        <v>623</v>
      </c>
      <c r="I649" t="s">
        <v>624</v>
      </c>
      <c r="J649" t="s">
        <v>625</v>
      </c>
      <c r="K649" t="s">
        <v>31</v>
      </c>
      <c r="L649" s="5">
        <v>42373</v>
      </c>
      <c r="M649" s="5">
        <v>42443</v>
      </c>
      <c r="N649" s="2">
        <f>HYPERLINK(URLs!B36 &amp; 74747,74747)</f>
        <v>74747</v>
      </c>
      <c r="O649" t="s">
        <v>666</v>
      </c>
      <c r="P649" t="s">
        <v>621</v>
      </c>
      <c r="Q649" t="s">
        <v>779</v>
      </c>
      <c r="R649" t="s">
        <v>305</v>
      </c>
      <c r="S649" s="2" t="s">
        <v>304</v>
      </c>
      <c r="T649" s="2" t="s">
        <v>133</v>
      </c>
      <c r="U649" t="s">
        <v>3961</v>
      </c>
      <c r="V649" t="s">
        <v>321</v>
      </c>
      <c r="Z649" t="s">
        <v>73</v>
      </c>
    </row>
    <row r="650" spans="1:26" hidden="1" x14ac:dyDescent="0.25">
      <c r="A650" s="2"/>
      <c r="B650" s="2">
        <f>HYPERLINK(URLs!B30 &amp; 9868 &amp; URLs!B32,9868)</f>
        <v>9868</v>
      </c>
      <c r="C650" t="s">
        <v>633</v>
      </c>
      <c r="D650" t="s">
        <v>619</v>
      </c>
      <c r="E650" t="s">
        <v>850</v>
      </c>
      <c r="F650" t="s">
        <v>621</v>
      </c>
      <c r="G650" t="s">
        <v>858</v>
      </c>
      <c r="H650" t="s">
        <v>968</v>
      </c>
      <c r="I650" t="s">
        <v>624</v>
      </c>
      <c r="J650" t="s">
        <v>642</v>
      </c>
      <c r="L650" s="5">
        <v>42361</v>
      </c>
      <c r="M650" s="5">
        <v>42422</v>
      </c>
      <c r="N650" t="s">
        <v>621</v>
      </c>
      <c r="O650" t="s">
        <v>645</v>
      </c>
      <c r="P650" t="s">
        <v>621</v>
      </c>
      <c r="Q650" t="s">
        <v>1130</v>
      </c>
      <c r="S650" s="2"/>
      <c r="T650" s="2"/>
    </row>
    <row r="651" spans="1:26" hidden="1" x14ac:dyDescent="0.25">
      <c r="A651" s="2"/>
      <c r="B651" s="2">
        <f>HYPERLINK(URLs!B30 &amp; 9805 &amp; URLs!B32,9805)</f>
        <v>9805</v>
      </c>
      <c r="C651" t="s">
        <v>665</v>
      </c>
      <c r="D651" t="s">
        <v>619</v>
      </c>
      <c r="E651" t="s">
        <v>850</v>
      </c>
      <c r="F651" t="s">
        <v>621</v>
      </c>
      <c r="G651" t="s">
        <v>962</v>
      </c>
      <c r="H651" t="s">
        <v>887</v>
      </c>
      <c r="I651" t="s">
        <v>624</v>
      </c>
      <c r="J651" t="s">
        <v>629</v>
      </c>
      <c r="L651" s="5">
        <v>42353</v>
      </c>
      <c r="M651" s="5">
        <v>42513</v>
      </c>
      <c r="N651" s="2">
        <f>HYPERLINK(URLs!B36 &amp; 72655,72655)</f>
        <v>72655</v>
      </c>
      <c r="O651" t="s">
        <v>666</v>
      </c>
      <c r="P651" t="s">
        <v>621</v>
      </c>
      <c r="Q651" t="s">
        <v>1131</v>
      </c>
      <c r="R651" t="s">
        <v>305</v>
      </c>
      <c r="S651" s="2"/>
      <c r="T651" s="2"/>
    </row>
    <row r="652" spans="1:26" hidden="1" x14ac:dyDescent="0.25">
      <c r="A652" s="2"/>
      <c r="B652" s="2">
        <f>HYPERLINK(URLs!B30 &amp; 9786 &amp; URLs!B32,9786)</f>
        <v>9786</v>
      </c>
      <c r="C652" t="s">
        <v>665</v>
      </c>
      <c r="D652" t="s">
        <v>619</v>
      </c>
      <c r="E652" t="s">
        <v>850</v>
      </c>
      <c r="F652" t="s">
        <v>621</v>
      </c>
      <c r="G652" t="s">
        <v>851</v>
      </c>
      <c r="H652" t="s">
        <v>852</v>
      </c>
      <c r="I652" t="s">
        <v>624</v>
      </c>
      <c r="J652" t="s">
        <v>642</v>
      </c>
      <c r="L652" s="5">
        <v>42352</v>
      </c>
      <c r="M652" s="5">
        <v>43117.688888888886</v>
      </c>
      <c r="N652" s="2">
        <f>HYPERLINK(URLs!B36 &amp; 74097,74097)</f>
        <v>74097</v>
      </c>
      <c r="O652" t="s">
        <v>636</v>
      </c>
      <c r="P652" t="s">
        <v>621</v>
      </c>
      <c r="Q652" t="s">
        <v>1132</v>
      </c>
      <c r="S652" s="2"/>
      <c r="T652" s="2"/>
    </row>
    <row r="653" spans="1:26" hidden="1" x14ac:dyDescent="0.25">
      <c r="A653" s="2">
        <f>HYPERLINK(URLs!B36 &amp; 74055,74055)</f>
        <v>74055</v>
      </c>
      <c r="B653" s="2">
        <f>HYPERLINK(URLs!B30 &amp; 9783 &amp; URLs!B32,9783)</f>
        <v>9783</v>
      </c>
      <c r="C653" t="s">
        <v>665</v>
      </c>
      <c r="D653" t="s">
        <v>619</v>
      </c>
      <c r="E653" t="s">
        <v>620</v>
      </c>
      <c r="F653" t="s">
        <v>621</v>
      </c>
      <c r="G653" t="s">
        <v>622</v>
      </c>
      <c r="H653" t="s">
        <v>623</v>
      </c>
      <c r="I653" t="s">
        <v>624</v>
      </c>
      <c r="J653" t="s">
        <v>625</v>
      </c>
      <c r="K653" t="s">
        <v>31</v>
      </c>
      <c r="L653" s="5">
        <v>42349</v>
      </c>
      <c r="M653" s="5">
        <v>42443</v>
      </c>
      <c r="N653" s="2">
        <f>HYPERLINK(URLs!B36 &amp; 74055,74055)</f>
        <v>74055</v>
      </c>
      <c r="O653" t="s">
        <v>666</v>
      </c>
      <c r="P653" t="s">
        <v>621</v>
      </c>
      <c r="Q653" t="s">
        <v>780</v>
      </c>
      <c r="R653" t="s">
        <v>305</v>
      </c>
      <c r="S653" s="2" t="s">
        <v>304</v>
      </c>
      <c r="T653" s="2" t="s">
        <v>69</v>
      </c>
      <c r="U653" t="s">
        <v>3962</v>
      </c>
      <c r="V653" t="s">
        <v>35</v>
      </c>
      <c r="Z653" t="s">
        <v>34</v>
      </c>
    </row>
    <row r="654" spans="1:26" hidden="1" x14ac:dyDescent="0.25">
      <c r="A654" s="2">
        <f>HYPERLINK(URLs!B36 &amp; 73720,73720)</f>
        <v>73720</v>
      </c>
      <c r="B654" s="2">
        <f>HYPERLINK(URLs!B30 &amp; 9707 &amp; URLs!B32,9707)</f>
        <v>9707</v>
      </c>
      <c r="C654" t="s">
        <v>665</v>
      </c>
      <c r="D654" t="s">
        <v>619</v>
      </c>
      <c r="E654" t="s">
        <v>620</v>
      </c>
      <c r="F654" t="s">
        <v>621</v>
      </c>
      <c r="G654" t="s">
        <v>622</v>
      </c>
      <c r="H654" t="s">
        <v>623</v>
      </c>
      <c r="I654" t="s">
        <v>624</v>
      </c>
      <c r="J654" t="s">
        <v>625</v>
      </c>
      <c r="K654" t="s">
        <v>31</v>
      </c>
      <c r="L654" s="5">
        <v>42342</v>
      </c>
      <c r="M654" s="5">
        <v>43035.355555555558</v>
      </c>
      <c r="N654" s="2">
        <f>HYPERLINK(URLs!B37 &amp; 154036,154036)</f>
        <v>154036</v>
      </c>
      <c r="O654" t="s">
        <v>636</v>
      </c>
      <c r="P654" t="s">
        <v>621</v>
      </c>
      <c r="Q654" t="s">
        <v>781</v>
      </c>
      <c r="R654" t="s">
        <v>305</v>
      </c>
      <c r="S654" s="2" t="s">
        <v>328</v>
      </c>
      <c r="T654" s="2" t="s">
        <v>4098</v>
      </c>
      <c r="U654" t="s">
        <v>35</v>
      </c>
      <c r="V654" t="s">
        <v>321</v>
      </c>
      <c r="Z654" t="s">
        <v>73</v>
      </c>
    </row>
    <row r="655" spans="1:26" hidden="1" x14ac:dyDescent="0.25">
      <c r="A655" s="2">
        <f>HYPERLINK(URLs!B36 &amp; 73715,73715)</f>
        <v>73715</v>
      </c>
      <c r="B655" s="2">
        <f>HYPERLINK(URLs!B30 &amp; 9701 &amp; URLs!B32,9701)</f>
        <v>9701</v>
      </c>
      <c r="C655" t="s">
        <v>633</v>
      </c>
      <c r="D655" t="s">
        <v>619</v>
      </c>
      <c r="E655" t="s">
        <v>620</v>
      </c>
      <c r="F655" t="s">
        <v>621</v>
      </c>
      <c r="G655" t="s">
        <v>622</v>
      </c>
      <c r="H655" t="s">
        <v>623</v>
      </c>
      <c r="I655" t="s">
        <v>624</v>
      </c>
      <c r="J655" t="s">
        <v>625</v>
      </c>
      <c r="K655" t="s">
        <v>31</v>
      </c>
      <c r="L655" s="5">
        <v>42342</v>
      </c>
      <c r="M655" s="5">
        <v>42417</v>
      </c>
      <c r="N655" s="2">
        <f>HYPERLINK(URLs!B36 &amp; 73715,73715)</f>
        <v>73715</v>
      </c>
      <c r="O655" t="s">
        <v>626</v>
      </c>
      <c r="P655" t="s">
        <v>621</v>
      </c>
      <c r="Q655" t="s">
        <v>782</v>
      </c>
      <c r="R655" t="s">
        <v>305</v>
      </c>
      <c r="S655" s="2" t="s">
        <v>328</v>
      </c>
      <c r="T655" s="2" t="s">
        <v>4098</v>
      </c>
      <c r="U655" t="s">
        <v>35</v>
      </c>
      <c r="V655" t="s">
        <v>321</v>
      </c>
      <c r="W655">
        <v>1</v>
      </c>
      <c r="Z655" t="s">
        <v>380</v>
      </c>
    </row>
    <row r="656" spans="1:26" hidden="1" x14ac:dyDescent="0.25">
      <c r="A656" s="2"/>
      <c r="B656" s="2">
        <f>HYPERLINK(URLs!B30 &amp; 9696 &amp; URLs!B32,9696)</f>
        <v>9696</v>
      </c>
      <c r="C656" t="s">
        <v>665</v>
      </c>
      <c r="D656" t="s">
        <v>619</v>
      </c>
      <c r="E656" t="s">
        <v>850</v>
      </c>
      <c r="F656" t="s">
        <v>621</v>
      </c>
      <c r="G656" t="s">
        <v>787</v>
      </c>
      <c r="H656" t="s">
        <v>788</v>
      </c>
      <c r="I656" t="s">
        <v>624</v>
      </c>
      <c r="J656" t="s">
        <v>629</v>
      </c>
      <c r="L656" s="5">
        <v>42342</v>
      </c>
      <c r="M656" s="5">
        <v>42635</v>
      </c>
      <c r="N656" s="2">
        <f>HYPERLINK(URLs!B36 &amp; 72328,72328)</f>
        <v>72328</v>
      </c>
      <c r="O656" t="s">
        <v>666</v>
      </c>
      <c r="P656" t="s">
        <v>621</v>
      </c>
      <c r="Q656" t="s">
        <v>1133</v>
      </c>
      <c r="R656" t="s">
        <v>305</v>
      </c>
      <c r="S656" s="2"/>
      <c r="T656" s="2"/>
    </row>
    <row r="657" spans="1:26" hidden="1" x14ac:dyDescent="0.25">
      <c r="A657" s="2"/>
      <c r="B657" s="2">
        <f>HYPERLINK(URLs!B30 &amp; 9686 &amp; URLs!B32,9686)</f>
        <v>9686</v>
      </c>
      <c r="C657" t="s">
        <v>665</v>
      </c>
      <c r="D657" t="s">
        <v>619</v>
      </c>
      <c r="E657" t="s">
        <v>850</v>
      </c>
      <c r="F657" t="s">
        <v>621</v>
      </c>
      <c r="G657" t="s">
        <v>962</v>
      </c>
      <c r="H657" t="s">
        <v>887</v>
      </c>
      <c r="I657" t="s">
        <v>624</v>
      </c>
      <c r="J657" t="s">
        <v>629</v>
      </c>
      <c r="L657" s="5">
        <v>42341</v>
      </c>
      <c r="M657" s="5">
        <v>42635</v>
      </c>
      <c r="N657" s="2">
        <f>HYPERLINK(URLs!B36 &amp; 73618,73618)</f>
        <v>73618</v>
      </c>
      <c r="O657" t="s">
        <v>666</v>
      </c>
      <c r="P657" t="s">
        <v>621</v>
      </c>
      <c r="Q657" t="s">
        <v>1134</v>
      </c>
      <c r="R657" t="s">
        <v>305</v>
      </c>
      <c r="S657" s="2"/>
      <c r="T657" s="2"/>
    </row>
    <row r="658" spans="1:26" hidden="1" x14ac:dyDescent="0.25">
      <c r="A658" s="2">
        <f>HYPERLINK(URLs!B36 &amp; 75113,75113)</f>
        <v>75113</v>
      </c>
      <c r="B658" s="2">
        <f>HYPERLINK(URLs!B30 &amp; 9676 &amp; URLs!B32,9676)</f>
        <v>9676</v>
      </c>
      <c r="C658" t="s">
        <v>665</v>
      </c>
      <c r="D658" t="s">
        <v>619</v>
      </c>
      <c r="E658" t="s">
        <v>850</v>
      </c>
      <c r="F658" t="s">
        <v>621</v>
      </c>
      <c r="G658" t="s">
        <v>875</v>
      </c>
      <c r="H658" t="s">
        <v>876</v>
      </c>
      <c r="I658" t="s">
        <v>624</v>
      </c>
      <c r="J658" t="s">
        <v>629</v>
      </c>
      <c r="K658" t="s">
        <v>31</v>
      </c>
      <c r="L658" s="5">
        <v>42340</v>
      </c>
      <c r="M658" s="5">
        <v>42635</v>
      </c>
      <c r="N658" s="2">
        <f>HYPERLINK(URLs!B36 &amp; 75113,75113)</f>
        <v>75113</v>
      </c>
      <c r="O658" t="s">
        <v>666</v>
      </c>
      <c r="P658" t="s">
        <v>621</v>
      </c>
      <c r="Q658" t="s">
        <v>1093</v>
      </c>
      <c r="R658" t="s">
        <v>305</v>
      </c>
      <c r="S658" s="2" t="s">
        <v>304</v>
      </c>
      <c r="T658" s="2" t="s">
        <v>3661</v>
      </c>
      <c r="U658" t="s">
        <v>35</v>
      </c>
      <c r="V658" t="s">
        <v>35</v>
      </c>
      <c r="W658">
        <v>1</v>
      </c>
      <c r="Z658" t="s">
        <v>73</v>
      </c>
    </row>
    <row r="659" spans="1:26" hidden="1" x14ac:dyDescent="0.25">
      <c r="A659" s="2">
        <f>HYPERLINK(URLs!B36 &amp; 73572,73572)</f>
        <v>73572</v>
      </c>
      <c r="B659" s="2">
        <f>HYPERLINK(URLs!B30 &amp; 9675 &amp; URLs!B32,9675)</f>
        <v>9675</v>
      </c>
      <c r="C659" t="s">
        <v>633</v>
      </c>
      <c r="D659" t="s">
        <v>619</v>
      </c>
      <c r="E659" t="s">
        <v>620</v>
      </c>
      <c r="F659" t="s">
        <v>621</v>
      </c>
      <c r="G659" t="s">
        <v>622</v>
      </c>
      <c r="H659" t="s">
        <v>623</v>
      </c>
      <c r="I659" t="s">
        <v>624</v>
      </c>
      <c r="J659" t="s">
        <v>625</v>
      </c>
      <c r="K659" t="s">
        <v>31</v>
      </c>
      <c r="L659" s="5">
        <v>42340</v>
      </c>
      <c r="M659" s="5">
        <v>42471</v>
      </c>
      <c r="N659" s="2">
        <f>HYPERLINK(URLs!B36 &amp; 73572,73572)</f>
        <v>73572</v>
      </c>
      <c r="O659" t="s">
        <v>666</v>
      </c>
      <c r="P659" t="s">
        <v>621</v>
      </c>
      <c r="Q659" t="s">
        <v>783</v>
      </c>
      <c r="R659" t="s">
        <v>305</v>
      </c>
      <c r="S659" s="2" t="s">
        <v>304</v>
      </c>
      <c r="T659" s="2" t="s">
        <v>75</v>
      </c>
      <c r="U659" t="s">
        <v>3966</v>
      </c>
      <c r="V659" t="s">
        <v>35</v>
      </c>
      <c r="Z659" t="s">
        <v>73</v>
      </c>
    </row>
    <row r="660" spans="1:26" hidden="1" x14ac:dyDescent="0.25">
      <c r="A660" s="2">
        <f>HYPERLINK(URLs!B36 &amp; 74511,74511)</f>
        <v>74511</v>
      </c>
      <c r="B660" s="2">
        <f>HYPERLINK(URLs!B30 &amp; 9663 &amp; URLs!B32,9663)</f>
        <v>9663</v>
      </c>
      <c r="C660" t="s">
        <v>665</v>
      </c>
      <c r="D660" t="s">
        <v>619</v>
      </c>
      <c r="E660" t="s">
        <v>620</v>
      </c>
      <c r="F660" t="s">
        <v>621</v>
      </c>
      <c r="G660" t="s">
        <v>622</v>
      </c>
      <c r="H660" t="s">
        <v>623</v>
      </c>
      <c r="I660" t="s">
        <v>624</v>
      </c>
      <c r="J660" t="s">
        <v>625</v>
      </c>
      <c r="K660" t="s">
        <v>31</v>
      </c>
      <c r="L660" s="5">
        <v>42339</v>
      </c>
      <c r="M660" s="5">
        <v>42586</v>
      </c>
      <c r="N660" s="2">
        <f>HYPERLINK(URLs!B36 &amp; 74511,74511)</f>
        <v>74511</v>
      </c>
      <c r="O660" t="s">
        <v>666</v>
      </c>
      <c r="P660" t="s">
        <v>621</v>
      </c>
      <c r="Q660" t="s">
        <v>784</v>
      </c>
      <c r="R660" t="s">
        <v>305</v>
      </c>
      <c r="S660" s="2" t="s">
        <v>304</v>
      </c>
      <c r="T660" s="2" t="s">
        <v>77</v>
      </c>
      <c r="U660" t="s">
        <v>3967</v>
      </c>
      <c r="V660" t="s">
        <v>35</v>
      </c>
      <c r="Z660" t="s">
        <v>34</v>
      </c>
    </row>
    <row r="661" spans="1:26" hidden="1" x14ac:dyDescent="0.25">
      <c r="A661" s="2"/>
      <c r="B661" s="2">
        <f>HYPERLINK(URLs!B30 &amp; 9654 &amp; URLs!B32,9654)</f>
        <v>9654</v>
      </c>
      <c r="C661" t="s">
        <v>633</v>
      </c>
      <c r="D661" t="s">
        <v>619</v>
      </c>
      <c r="E661" t="s">
        <v>850</v>
      </c>
      <c r="F661" t="s">
        <v>621</v>
      </c>
      <c r="G661" t="s">
        <v>962</v>
      </c>
      <c r="H661" t="s">
        <v>887</v>
      </c>
      <c r="I661" t="s">
        <v>624</v>
      </c>
      <c r="J661" t="s">
        <v>642</v>
      </c>
      <c r="L661" s="5">
        <v>42338</v>
      </c>
      <c r="M661" s="5">
        <v>42576</v>
      </c>
      <c r="N661" s="2">
        <f>HYPERLINK(URLs!B36 &amp; 73449,73449)</f>
        <v>73449</v>
      </c>
      <c r="O661" t="s">
        <v>645</v>
      </c>
      <c r="P661" t="s">
        <v>621</v>
      </c>
      <c r="Q661" t="s">
        <v>1135</v>
      </c>
      <c r="R661" t="s">
        <v>305</v>
      </c>
      <c r="S661" s="2"/>
      <c r="T661" s="2"/>
    </row>
    <row r="662" spans="1:26" hidden="1" x14ac:dyDescent="0.25">
      <c r="A662" s="2"/>
      <c r="B662" s="2">
        <f>HYPERLINK(URLs!B30 &amp; 9652 &amp; URLs!B32,9652)</f>
        <v>9652</v>
      </c>
      <c r="C662" t="s">
        <v>633</v>
      </c>
      <c r="D662" t="s">
        <v>619</v>
      </c>
      <c r="E662" t="s">
        <v>850</v>
      </c>
      <c r="F662" t="s">
        <v>621</v>
      </c>
      <c r="G662" t="s">
        <v>870</v>
      </c>
      <c r="H662" t="s">
        <v>871</v>
      </c>
      <c r="I662" t="s">
        <v>624</v>
      </c>
      <c r="J662" t="s">
        <v>629</v>
      </c>
      <c r="L662" s="5">
        <v>42335</v>
      </c>
      <c r="M662" s="5">
        <v>42485</v>
      </c>
      <c r="N662" s="2">
        <f>HYPERLINK(URLs!B36 &amp; 72987,72987)</f>
        <v>72987</v>
      </c>
      <c r="O662" t="s">
        <v>666</v>
      </c>
      <c r="P662" t="s">
        <v>621</v>
      </c>
      <c r="Q662" t="s">
        <v>1136</v>
      </c>
      <c r="S662" s="2"/>
      <c r="T662" s="2"/>
    </row>
    <row r="663" spans="1:26" hidden="1" x14ac:dyDescent="0.25">
      <c r="A663" s="2"/>
      <c r="B663" s="2">
        <f>HYPERLINK(URLs!B30 &amp; 9647 &amp; URLs!B32,9647)</f>
        <v>9647</v>
      </c>
      <c r="C663" t="s">
        <v>665</v>
      </c>
      <c r="D663" t="s">
        <v>619</v>
      </c>
      <c r="E663" t="s">
        <v>850</v>
      </c>
      <c r="F663" t="s">
        <v>621</v>
      </c>
      <c r="G663" t="s">
        <v>858</v>
      </c>
      <c r="H663" t="s">
        <v>968</v>
      </c>
      <c r="I663" t="s">
        <v>624</v>
      </c>
      <c r="J663" t="s">
        <v>629</v>
      </c>
      <c r="L663" s="5">
        <v>42333</v>
      </c>
      <c r="M663" s="5">
        <v>42485</v>
      </c>
      <c r="N663" s="2">
        <f>HYPERLINK(URLs!B36 &amp; 73210,73210)</f>
        <v>73210</v>
      </c>
      <c r="O663" t="s">
        <v>666</v>
      </c>
      <c r="P663" t="s">
        <v>621</v>
      </c>
      <c r="Q663" t="s">
        <v>1137</v>
      </c>
      <c r="R663" t="s">
        <v>305</v>
      </c>
      <c r="S663" s="2"/>
      <c r="T663" s="2"/>
    </row>
    <row r="664" spans="1:26" hidden="1" x14ac:dyDescent="0.25">
      <c r="A664" s="2">
        <f>HYPERLINK(URLs!B36 &amp; 49413,49413)</f>
        <v>49413</v>
      </c>
      <c r="B664" s="2">
        <f>HYPERLINK(URLs!B30 &amp; 9576 &amp; URLs!B32,9576)</f>
        <v>9576</v>
      </c>
      <c r="C664" t="s">
        <v>633</v>
      </c>
      <c r="D664" t="s">
        <v>619</v>
      </c>
      <c r="E664" t="s">
        <v>620</v>
      </c>
      <c r="F664" t="s">
        <v>621</v>
      </c>
      <c r="G664" t="s">
        <v>622</v>
      </c>
      <c r="H664" t="s">
        <v>623</v>
      </c>
      <c r="I664" t="s">
        <v>624</v>
      </c>
      <c r="J664" t="s">
        <v>629</v>
      </c>
      <c r="K664" t="s">
        <v>68</v>
      </c>
      <c r="L664" s="5">
        <v>42324</v>
      </c>
      <c r="M664" s="5">
        <v>42443</v>
      </c>
      <c r="N664" s="2">
        <f>HYPERLINK(URLs!B36 &amp; 49413,49413)</f>
        <v>49413</v>
      </c>
      <c r="O664" t="s">
        <v>666</v>
      </c>
      <c r="P664" t="s">
        <v>621</v>
      </c>
      <c r="Q664" t="s">
        <v>785</v>
      </c>
      <c r="R664" t="s">
        <v>305</v>
      </c>
      <c r="S664" s="2" t="s">
        <v>304</v>
      </c>
      <c r="T664" s="2" t="s">
        <v>428</v>
      </c>
      <c r="U664" t="s">
        <v>35</v>
      </c>
      <c r="V664" t="s">
        <v>35</v>
      </c>
      <c r="Z664" t="s">
        <v>73</v>
      </c>
    </row>
    <row r="665" spans="1:26" hidden="1" x14ac:dyDescent="0.25">
      <c r="A665" s="2"/>
      <c r="B665" s="2">
        <f>HYPERLINK(URLs!B30 &amp; 9569 &amp; URLs!B32,9569)</f>
        <v>9569</v>
      </c>
      <c r="C665" t="s">
        <v>665</v>
      </c>
      <c r="D665" t="s">
        <v>619</v>
      </c>
      <c r="E665" t="s">
        <v>850</v>
      </c>
      <c r="F665" t="s">
        <v>621</v>
      </c>
      <c r="G665" t="s">
        <v>851</v>
      </c>
      <c r="H665" t="s">
        <v>852</v>
      </c>
      <c r="I665" t="s">
        <v>624</v>
      </c>
      <c r="J665" t="s">
        <v>629</v>
      </c>
      <c r="L665" s="5">
        <v>42324</v>
      </c>
      <c r="M665" s="5">
        <v>42485</v>
      </c>
      <c r="N665" s="2">
        <f>HYPERLINK(URLs!B36 &amp; 72663,72663)</f>
        <v>72663</v>
      </c>
      <c r="O665" t="s">
        <v>666</v>
      </c>
      <c r="P665" t="s">
        <v>621</v>
      </c>
      <c r="Q665" t="s">
        <v>1138</v>
      </c>
      <c r="S665" s="2"/>
      <c r="T665" s="2"/>
    </row>
    <row r="666" spans="1:26" hidden="1" x14ac:dyDescent="0.25">
      <c r="A666" s="2">
        <f>HYPERLINK(URLs!B36 &amp; 71325,71325)</f>
        <v>71325</v>
      </c>
      <c r="B666" s="2">
        <f>HYPERLINK(URLs!B30 &amp; 9558 &amp; URLs!B32,9558)</f>
        <v>9558</v>
      </c>
      <c r="C666" t="s">
        <v>665</v>
      </c>
      <c r="D666" t="s">
        <v>619</v>
      </c>
      <c r="E666" t="s">
        <v>620</v>
      </c>
      <c r="F666" t="s">
        <v>621</v>
      </c>
      <c r="G666" t="s">
        <v>643</v>
      </c>
      <c r="H666" t="s">
        <v>644</v>
      </c>
      <c r="I666" t="s">
        <v>624</v>
      </c>
      <c r="J666" t="s">
        <v>625</v>
      </c>
      <c r="K666" t="s">
        <v>31</v>
      </c>
      <c r="L666" s="5">
        <v>42321</v>
      </c>
      <c r="M666" s="5">
        <v>42586</v>
      </c>
      <c r="N666" s="2">
        <f>HYPERLINK(URLs!B36 &amp; 71325,71325)</f>
        <v>71325</v>
      </c>
      <c r="O666" t="s">
        <v>666</v>
      </c>
      <c r="P666" t="s">
        <v>621</v>
      </c>
      <c r="Q666" t="s">
        <v>786</v>
      </c>
      <c r="R666" t="s">
        <v>305</v>
      </c>
      <c r="S666" s="2" t="s">
        <v>304</v>
      </c>
      <c r="T666" s="2" t="s">
        <v>69</v>
      </c>
      <c r="U666" t="s">
        <v>3965</v>
      </c>
      <c r="V666" t="s">
        <v>321</v>
      </c>
      <c r="Z666" t="s">
        <v>73</v>
      </c>
    </row>
    <row r="667" spans="1:26" hidden="1" x14ac:dyDescent="0.25">
      <c r="A667" s="2">
        <f>HYPERLINK(URLs!B36 &amp; 68487,68487)</f>
        <v>68487</v>
      </c>
      <c r="B667" s="2">
        <f>HYPERLINK(URLs!B30 &amp; 9539 &amp; URLs!B32,9539)</f>
        <v>9539</v>
      </c>
      <c r="C667" t="s">
        <v>633</v>
      </c>
      <c r="D667" t="s">
        <v>619</v>
      </c>
      <c r="E667" t="s">
        <v>620</v>
      </c>
      <c r="F667" t="s">
        <v>621</v>
      </c>
      <c r="G667" t="s">
        <v>787</v>
      </c>
      <c r="H667" t="s">
        <v>788</v>
      </c>
      <c r="I667" t="s">
        <v>624</v>
      </c>
      <c r="J667" t="s">
        <v>625</v>
      </c>
      <c r="K667" t="s">
        <v>31</v>
      </c>
      <c r="L667" s="5">
        <v>42319</v>
      </c>
      <c r="M667" s="5">
        <v>42443</v>
      </c>
      <c r="N667" s="2">
        <f>HYPERLINK(URLs!B37 &amp; 152616,152616)</f>
        <v>152616</v>
      </c>
      <c r="O667" t="s">
        <v>666</v>
      </c>
      <c r="P667" t="s">
        <v>621</v>
      </c>
      <c r="Q667" t="s">
        <v>789</v>
      </c>
      <c r="R667" t="s">
        <v>305</v>
      </c>
      <c r="S667" s="2" t="s">
        <v>304</v>
      </c>
      <c r="T667" s="2" t="s">
        <v>133</v>
      </c>
      <c r="U667" t="s">
        <v>3957</v>
      </c>
      <c r="V667" t="s">
        <v>35</v>
      </c>
      <c r="Z667" t="s">
        <v>34</v>
      </c>
    </row>
    <row r="668" spans="1:26" hidden="1" x14ac:dyDescent="0.25">
      <c r="A668" s="2">
        <f>HYPERLINK(URLs!B36 &amp; 72280,72280)</f>
        <v>72280</v>
      </c>
      <c r="B668" s="2">
        <f>HYPERLINK(URLs!B30 &amp; 9501 &amp; URLs!B32,9501)</f>
        <v>9501</v>
      </c>
      <c r="C668" t="s">
        <v>633</v>
      </c>
      <c r="D668" t="s">
        <v>619</v>
      </c>
      <c r="E668" t="s">
        <v>620</v>
      </c>
      <c r="F668" t="s">
        <v>621</v>
      </c>
      <c r="G668" t="s">
        <v>622</v>
      </c>
      <c r="H668" t="s">
        <v>623</v>
      </c>
      <c r="I668" t="s">
        <v>624</v>
      </c>
      <c r="J668" t="s">
        <v>625</v>
      </c>
      <c r="K668" t="s">
        <v>31</v>
      </c>
      <c r="L668" s="5">
        <v>42317</v>
      </c>
      <c r="M668" s="5">
        <v>42443</v>
      </c>
      <c r="N668" s="2">
        <f>HYPERLINK(URLs!B36 &amp; 72280,72280)</f>
        <v>72280</v>
      </c>
      <c r="O668" t="s">
        <v>666</v>
      </c>
      <c r="P668" t="s">
        <v>621</v>
      </c>
      <c r="Q668" t="s">
        <v>790</v>
      </c>
      <c r="R668" t="s">
        <v>305</v>
      </c>
      <c r="S668" s="2" t="s">
        <v>304</v>
      </c>
      <c r="T668" s="2" t="s">
        <v>133</v>
      </c>
      <c r="U668" t="s">
        <v>3959</v>
      </c>
      <c r="V668" t="s">
        <v>35</v>
      </c>
      <c r="Z668" t="s">
        <v>73</v>
      </c>
    </row>
    <row r="669" spans="1:26" hidden="1" x14ac:dyDescent="0.25">
      <c r="A669" s="2">
        <f>HYPERLINK(URLs!B36 &amp; 72371,72371)</f>
        <v>72371</v>
      </c>
      <c r="B669" s="2">
        <f>HYPERLINK(URLs!B30 &amp; 9500 &amp; URLs!B32,9500)</f>
        <v>9500</v>
      </c>
      <c r="C669" t="s">
        <v>633</v>
      </c>
      <c r="D669" t="s">
        <v>619</v>
      </c>
      <c r="E669" t="s">
        <v>620</v>
      </c>
      <c r="F669" t="s">
        <v>621</v>
      </c>
      <c r="G669" t="s">
        <v>622</v>
      </c>
      <c r="H669" t="s">
        <v>623</v>
      </c>
      <c r="I669" t="s">
        <v>624</v>
      </c>
      <c r="J669" t="s">
        <v>625</v>
      </c>
      <c r="K669" t="s">
        <v>31</v>
      </c>
      <c r="L669" s="5">
        <v>42317</v>
      </c>
      <c r="M669" s="5">
        <v>42443</v>
      </c>
      <c r="N669" s="2">
        <f>HYPERLINK(URLs!B36 &amp; 72544,72544)</f>
        <v>72544</v>
      </c>
      <c r="O669" t="s">
        <v>666</v>
      </c>
      <c r="P669" t="s">
        <v>621</v>
      </c>
      <c r="Q669" t="s">
        <v>791</v>
      </c>
      <c r="R669" t="s">
        <v>305</v>
      </c>
      <c r="S669" s="2" t="s">
        <v>304</v>
      </c>
      <c r="T669" s="2" t="s">
        <v>133</v>
      </c>
      <c r="U669" t="s">
        <v>3960</v>
      </c>
      <c r="V669" t="s">
        <v>321</v>
      </c>
      <c r="Z669" t="s">
        <v>73</v>
      </c>
    </row>
    <row r="670" spans="1:26" hidden="1" x14ac:dyDescent="0.25">
      <c r="A670" s="2">
        <f>HYPERLINK(URLs!B36 &amp; 72378,72378)</f>
        <v>72378</v>
      </c>
      <c r="B670" s="2">
        <f>HYPERLINK(URLs!B30 &amp; 9499 &amp; URLs!B32,9499)</f>
        <v>9499</v>
      </c>
      <c r="C670" t="s">
        <v>665</v>
      </c>
      <c r="D670" t="s">
        <v>619</v>
      </c>
      <c r="E670" t="s">
        <v>620</v>
      </c>
      <c r="F670" t="s">
        <v>621</v>
      </c>
      <c r="G670" t="s">
        <v>622</v>
      </c>
      <c r="H670" t="s">
        <v>623</v>
      </c>
      <c r="I670" t="s">
        <v>624</v>
      </c>
      <c r="J670" t="s">
        <v>625</v>
      </c>
      <c r="K670" t="s">
        <v>31</v>
      </c>
      <c r="L670" s="5">
        <v>42317</v>
      </c>
      <c r="M670" s="5">
        <v>42443</v>
      </c>
      <c r="N670" s="2">
        <f>HYPERLINK(URLs!B36 &amp; 72544,72544)</f>
        <v>72544</v>
      </c>
      <c r="O670" t="s">
        <v>666</v>
      </c>
      <c r="P670" t="s">
        <v>621</v>
      </c>
      <c r="Q670" t="s">
        <v>792</v>
      </c>
      <c r="R670" t="s">
        <v>305</v>
      </c>
      <c r="S670" s="2" t="s">
        <v>304</v>
      </c>
      <c r="T670" s="2" t="s">
        <v>133</v>
      </c>
      <c r="U670" t="s">
        <v>3960</v>
      </c>
      <c r="V670" t="s">
        <v>321</v>
      </c>
      <c r="Z670" t="s">
        <v>73</v>
      </c>
    </row>
    <row r="671" spans="1:26" hidden="1" x14ac:dyDescent="0.25">
      <c r="A671" s="2"/>
      <c r="B671" s="2">
        <f>HYPERLINK(URLs!B30 &amp; 9479 &amp; URLs!B32,9479)</f>
        <v>9479</v>
      </c>
      <c r="C671" t="s">
        <v>665</v>
      </c>
      <c r="D671" t="s">
        <v>619</v>
      </c>
      <c r="E671" t="s">
        <v>850</v>
      </c>
      <c r="F671" t="s">
        <v>621</v>
      </c>
      <c r="G671" t="s">
        <v>851</v>
      </c>
      <c r="H671" t="s">
        <v>852</v>
      </c>
      <c r="I671" t="s">
        <v>624</v>
      </c>
      <c r="J671" t="s">
        <v>629</v>
      </c>
      <c r="L671" s="5">
        <v>42314</v>
      </c>
      <c r="M671" s="5">
        <v>42331</v>
      </c>
      <c r="N671" s="2">
        <f>HYPERLINK(URLs!B36 &amp; 58550,58550)</f>
        <v>58550</v>
      </c>
      <c r="O671" t="s">
        <v>666</v>
      </c>
      <c r="P671" t="s">
        <v>621</v>
      </c>
      <c r="Q671" t="s">
        <v>1139</v>
      </c>
      <c r="S671" s="2"/>
      <c r="T671" s="2"/>
      <c r="W671">
        <v>1</v>
      </c>
    </row>
    <row r="672" spans="1:26" hidden="1" x14ac:dyDescent="0.25">
      <c r="A672" s="2"/>
      <c r="B672" s="2">
        <f>HYPERLINK(URLs!B30 &amp; 9476 &amp; URLs!B32,9476)</f>
        <v>9476</v>
      </c>
      <c r="C672" t="s">
        <v>633</v>
      </c>
      <c r="D672" t="s">
        <v>619</v>
      </c>
      <c r="E672" t="s">
        <v>850</v>
      </c>
      <c r="F672" t="s">
        <v>621</v>
      </c>
      <c r="G672" t="s">
        <v>851</v>
      </c>
      <c r="H672" t="s">
        <v>852</v>
      </c>
      <c r="I672" t="s">
        <v>624</v>
      </c>
      <c r="J672" t="s">
        <v>629</v>
      </c>
      <c r="L672" s="5">
        <v>42314</v>
      </c>
      <c r="M672" s="5">
        <v>42485</v>
      </c>
      <c r="N672" s="2">
        <f>HYPERLINK(URLs!B36 &amp; 72456,72456)</f>
        <v>72456</v>
      </c>
      <c r="O672" t="s">
        <v>666</v>
      </c>
      <c r="P672" t="s">
        <v>621</v>
      </c>
      <c r="Q672" t="s">
        <v>1140</v>
      </c>
      <c r="S672" s="2"/>
      <c r="T672" s="2"/>
    </row>
    <row r="673" spans="1:26" hidden="1" x14ac:dyDescent="0.25">
      <c r="A673" s="2"/>
      <c r="B673" s="2">
        <f>HYPERLINK(URLs!B30 &amp; 9458 &amp; URLs!B32,9458)</f>
        <v>9458</v>
      </c>
      <c r="C673" t="s">
        <v>665</v>
      </c>
      <c r="D673" t="s">
        <v>619</v>
      </c>
      <c r="E673" t="s">
        <v>850</v>
      </c>
      <c r="F673" t="s">
        <v>621</v>
      </c>
      <c r="G673" t="s">
        <v>855</v>
      </c>
      <c r="H673" t="s">
        <v>856</v>
      </c>
      <c r="I673" t="s">
        <v>624</v>
      </c>
      <c r="J673" t="s">
        <v>642</v>
      </c>
      <c r="L673" s="5">
        <v>42312</v>
      </c>
      <c r="M673" s="5">
        <v>42485</v>
      </c>
      <c r="N673" s="2">
        <f>HYPERLINK(URLs!B36 &amp; 75641,75641)</f>
        <v>75641</v>
      </c>
      <c r="O673" t="s">
        <v>666</v>
      </c>
      <c r="P673" t="s">
        <v>621</v>
      </c>
      <c r="Q673" t="s">
        <v>1141</v>
      </c>
      <c r="S673" s="2"/>
      <c r="T673" s="2"/>
    </row>
    <row r="674" spans="1:26" hidden="1" x14ac:dyDescent="0.25">
      <c r="A674" s="2">
        <f>HYPERLINK(URLs!B36 &amp; 76233,76233)</f>
        <v>76233</v>
      </c>
      <c r="B674" s="2">
        <f>HYPERLINK(URLs!B30 &amp; 9436 &amp; URLs!B32,9436)</f>
        <v>9436</v>
      </c>
      <c r="C674" t="s">
        <v>633</v>
      </c>
      <c r="D674" t="s">
        <v>619</v>
      </c>
      <c r="E674" t="s">
        <v>850</v>
      </c>
      <c r="F674" t="s">
        <v>621</v>
      </c>
      <c r="G674" t="s">
        <v>889</v>
      </c>
      <c r="H674" t="s">
        <v>890</v>
      </c>
      <c r="I674" t="s">
        <v>624</v>
      </c>
      <c r="J674" t="s">
        <v>629</v>
      </c>
      <c r="K674" t="s">
        <v>57</v>
      </c>
      <c r="L674" s="5">
        <v>42311</v>
      </c>
      <c r="M674" s="5">
        <v>42635</v>
      </c>
      <c r="N674" s="2">
        <f>HYPERLINK(URLs!B36 &amp; 64625,64625)</f>
        <v>64625</v>
      </c>
      <c r="O674" t="s">
        <v>666</v>
      </c>
      <c r="P674" t="s">
        <v>621</v>
      </c>
      <c r="Q674" t="s">
        <v>1142</v>
      </c>
      <c r="R674" t="s">
        <v>305</v>
      </c>
      <c r="S674" s="2" t="s">
        <v>337</v>
      </c>
      <c r="T674" s="2" t="s">
        <v>92</v>
      </c>
      <c r="U674" t="s">
        <v>35</v>
      </c>
      <c r="V674" t="s">
        <v>35</v>
      </c>
      <c r="Z674" t="s">
        <v>34</v>
      </c>
    </row>
    <row r="675" spans="1:26" hidden="1" x14ac:dyDescent="0.25">
      <c r="A675" s="2"/>
      <c r="B675" s="2">
        <f>HYPERLINK(URLs!B30 &amp; 9435 &amp; URLs!B32,9435)</f>
        <v>9435</v>
      </c>
      <c r="C675" t="s">
        <v>633</v>
      </c>
      <c r="D675" t="s">
        <v>619</v>
      </c>
      <c r="E675" t="s">
        <v>850</v>
      </c>
      <c r="F675" t="s">
        <v>621</v>
      </c>
      <c r="G675" t="s">
        <v>962</v>
      </c>
      <c r="H675" t="s">
        <v>887</v>
      </c>
      <c r="I675" t="s">
        <v>624</v>
      </c>
      <c r="J675" t="s">
        <v>629</v>
      </c>
      <c r="L675" s="5">
        <v>42311</v>
      </c>
      <c r="M675" s="5">
        <v>42513</v>
      </c>
      <c r="N675" s="2">
        <f>HYPERLINK(URLs!B36 &amp; 72010,72010)</f>
        <v>72010</v>
      </c>
      <c r="O675" t="s">
        <v>645</v>
      </c>
      <c r="P675" t="s">
        <v>621</v>
      </c>
      <c r="Q675" t="s">
        <v>1143</v>
      </c>
      <c r="R675" t="s">
        <v>305</v>
      </c>
      <c r="S675" s="2"/>
      <c r="T675" s="2"/>
      <c r="W675">
        <v>1</v>
      </c>
    </row>
    <row r="676" spans="1:26" hidden="1" x14ac:dyDescent="0.25">
      <c r="A676" s="2">
        <f>HYPERLINK(URLs!B36 &amp; 63140,63140)</f>
        <v>63140</v>
      </c>
      <c r="B676" s="2">
        <f>HYPERLINK(URLs!B30 &amp; 9418 &amp; URLs!B32,9418)</f>
        <v>9418</v>
      </c>
      <c r="C676" t="s">
        <v>633</v>
      </c>
      <c r="D676" t="s">
        <v>619</v>
      </c>
      <c r="E676" t="s">
        <v>620</v>
      </c>
      <c r="F676" t="s">
        <v>621</v>
      </c>
      <c r="G676" t="s">
        <v>631</v>
      </c>
      <c r="H676" t="s">
        <v>632</v>
      </c>
      <c r="I676" t="s">
        <v>624</v>
      </c>
      <c r="J676" t="s">
        <v>625</v>
      </c>
      <c r="K676" t="s">
        <v>31</v>
      </c>
      <c r="L676" s="5">
        <v>42310</v>
      </c>
      <c r="M676" s="5">
        <v>42443</v>
      </c>
      <c r="N676" s="2">
        <f>HYPERLINK(URLs!B36 &amp; 63140,63140)</f>
        <v>63140</v>
      </c>
      <c r="O676" t="s">
        <v>666</v>
      </c>
      <c r="P676" t="s">
        <v>621</v>
      </c>
      <c r="Q676" t="s">
        <v>793</v>
      </c>
      <c r="R676" t="s">
        <v>305</v>
      </c>
      <c r="S676" s="2" t="s">
        <v>304</v>
      </c>
      <c r="T676" s="2" t="s">
        <v>133</v>
      </c>
      <c r="U676" t="s">
        <v>3953</v>
      </c>
      <c r="V676" t="s">
        <v>35</v>
      </c>
      <c r="Z676" t="s">
        <v>45</v>
      </c>
    </row>
    <row r="677" spans="1:26" hidden="1" x14ac:dyDescent="0.25">
      <c r="A677" s="2"/>
      <c r="B677" s="2">
        <f>HYPERLINK(URLs!B30 &amp; 9271 &amp; URLs!B32,9271)</f>
        <v>9271</v>
      </c>
      <c r="C677" t="s">
        <v>633</v>
      </c>
      <c r="D677" t="s">
        <v>619</v>
      </c>
      <c r="E677" t="s">
        <v>850</v>
      </c>
      <c r="F677" t="s">
        <v>621</v>
      </c>
      <c r="G677" t="s">
        <v>851</v>
      </c>
      <c r="H677" t="s">
        <v>852</v>
      </c>
      <c r="I677" t="s">
        <v>624</v>
      </c>
      <c r="J677" t="s">
        <v>642</v>
      </c>
      <c r="L677" s="5">
        <v>42293</v>
      </c>
      <c r="M677" s="5">
        <v>42485</v>
      </c>
      <c r="N677" s="2">
        <f>HYPERLINK(URLs!B36 &amp; 71374,71374)</f>
        <v>71374</v>
      </c>
      <c r="O677" t="s">
        <v>666</v>
      </c>
      <c r="P677" t="s">
        <v>621</v>
      </c>
      <c r="Q677" t="s">
        <v>1144</v>
      </c>
      <c r="R677" t="s">
        <v>305</v>
      </c>
      <c r="S677" s="2"/>
      <c r="T677" s="2"/>
    </row>
    <row r="678" spans="1:26" hidden="1" x14ac:dyDescent="0.25">
      <c r="A678" s="2"/>
      <c r="B678" s="2">
        <f>HYPERLINK(URLs!B30 &amp; 9251 &amp; URLs!B32,9251)</f>
        <v>9251</v>
      </c>
      <c r="C678" t="s">
        <v>665</v>
      </c>
      <c r="D678" t="s">
        <v>619</v>
      </c>
      <c r="E678" t="s">
        <v>850</v>
      </c>
      <c r="F678" t="s">
        <v>621</v>
      </c>
      <c r="G678" t="s">
        <v>858</v>
      </c>
      <c r="H678" t="s">
        <v>859</v>
      </c>
      <c r="I678" t="s">
        <v>624</v>
      </c>
      <c r="J678" t="s">
        <v>642</v>
      </c>
      <c r="L678" s="5">
        <v>42291</v>
      </c>
      <c r="M678" s="5">
        <v>42499</v>
      </c>
      <c r="N678" s="2">
        <f>HYPERLINK(URLs!B36 &amp; 48165,48165)</f>
        <v>48165</v>
      </c>
      <c r="O678" t="s">
        <v>666</v>
      </c>
      <c r="P678" t="s">
        <v>621</v>
      </c>
      <c r="Q678" t="s">
        <v>1145</v>
      </c>
      <c r="S678" s="2"/>
      <c r="T678" s="2"/>
    </row>
    <row r="679" spans="1:26" hidden="1" x14ac:dyDescent="0.25">
      <c r="A679" s="2"/>
      <c r="B679" s="2">
        <f>HYPERLINK(URLs!B30 &amp; 9234 &amp; URLs!B32,9234)</f>
        <v>9234</v>
      </c>
      <c r="C679" t="s">
        <v>665</v>
      </c>
      <c r="D679" t="s">
        <v>619</v>
      </c>
      <c r="E679" t="s">
        <v>850</v>
      </c>
      <c r="F679" t="s">
        <v>621</v>
      </c>
      <c r="G679" t="s">
        <v>875</v>
      </c>
      <c r="H679" t="s">
        <v>876</v>
      </c>
      <c r="I679" t="s">
        <v>624</v>
      </c>
      <c r="J679" t="s">
        <v>629</v>
      </c>
      <c r="L679" s="5">
        <v>42289</v>
      </c>
      <c r="M679" s="5">
        <v>42593</v>
      </c>
      <c r="N679" s="2">
        <f>HYPERLINK(URLs!B36 &amp; 50617,50617)</f>
        <v>50617</v>
      </c>
      <c r="O679" t="s">
        <v>666</v>
      </c>
      <c r="P679" t="s">
        <v>621</v>
      </c>
      <c r="Q679" t="s">
        <v>1146</v>
      </c>
      <c r="S679" s="2"/>
      <c r="T679" s="2"/>
    </row>
    <row r="680" spans="1:26" hidden="1" x14ac:dyDescent="0.25">
      <c r="A680" s="2"/>
      <c r="B680" s="2">
        <f>HYPERLINK(URLs!B30 &amp; 9209 &amp; URLs!B32,9209)</f>
        <v>9209</v>
      </c>
      <c r="C680" t="s">
        <v>665</v>
      </c>
      <c r="D680" t="s">
        <v>619</v>
      </c>
      <c r="E680" t="s">
        <v>620</v>
      </c>
      <c r="F680" t="s">
        <v>621</v>
      </c>
      <c r="G680" t="s">
        <v>794</v>
      </c>
      <c r="H680" t="s">
        <v>795</v>
      </c>
      <c r="I680" t="s">
        <v>624</v>
      </c>
      <c r="J680" t="s">
        <v>625</v>
      </c>
      <c r="L680" s="5">
        <v>42285</v>
      </c>
      <c r="M680" s="5">
        <v>42317</v>
      </c>
      <c r="N680" s="2">
        <f>HYPERLINK(URLs!B37 &amp; 149312,149312)</f>
        <v>149312</v>
      </c>
      <c r="O680" t="s">
        <v>645</v>
      </c>
      <c r="P680" t="s">
        <v>621</v>
      </c>
      <c r="Q680" t="s">
        <v>796</v>
      </c>
      <c r="S680" s="2"/>
      <c r="T680" s="2"/>
    </row>
    <row r="681" spans="1:26" hidden="1" x14ac:dyDescent="0.25">
      <c r="A681" s="2"/>
      <c r="B681" s="2">
        <f>HYPERLINK(URLs!B30 &amp; 9157 &amp; URLs!B32,9157)</f>
        <v>9157</v>
      </c>
      <c r="C681" t="s">
        <v>633</v>
      </c>
      <c r="D681" t="s">
        <v>619</v>
      </c>
      <c r="E681" t="s">
        <v>850</v>
      </c>
      <c r="F681" t="s">
        <v>621</v>
      </c>
      <c r="G681" t="s">
        <v>867</v>
      </c>
      <c r="H681" t="s">
        <v>868</v>
      </c>
      <c r="I681" t="s">
        <v>624</v>
      </c>
      <c r="J681" t="s">
        <v>625</v>
      </c>
      <c r="L681" s="5">
        <v>42279</v>
      </c>
      <c r="M681" s="5">
        <v>42290</v>
      </c>
      <c r="N681" t="s">
        <v>621</v>
      </c>
      <c r="O681" t="s">
        <v>680</v>
      </c>
      <c r="P681" t="s">
        <v>621</v>
      </c>
      <c r="Q681" t="s">
        <v>1147</v>
      </c>
      <c r="S681" s="2"/>
      <c r="T681" s="2"/>
      <c r="W681">
        <v>1</v>
      </c>
    </row>
    <row r="682" spans="1:26" hidden="1" x14ac:dyDescent="0.25">
      <c r="A682" s="2"/>
      <c r="B682" s="2">
        <f>HYPERLINK(URLs!B30 &amp; 9149 &amp; URLs!B32,9149)</f>
        <v>9149</v>
      </c>
      <c r="C682" t="s">
        <v>633</v>
      </c>
      <c r="D682" t="s">
        <v>619</v>
      </c>
      <c r="E682" t="s">
        <v>850</v>
      </c>
      <c r="F682" t="s">
        <v>621</v>
      </c>
      <c r="G682" t="s">
        <v>962</v>
      </c>
      <c r="H682" t="s">
        <v>887</v>
      </c>
      <c r="I682" t="s">
        <v>624</v>
      </c>
      <c r="J682" t="s">
        <v>625</v>
      </c>
      <c r="L682" s="5">
        <v>42278</v>
      </c>
      <c r="M682" s="5">
        <v>42371</v>
      </c>
      <c r="N682" s="2">
        <f>HYPERLINK(URLs!B36 &amp; 71127,71127)</f>
        <v>71127</v>
      </c>
      <c r="O682" t="s">
        <v>666</v>
      </c>
      <c r="P682" t="s">
        <v>621</v>
      </c>
      <c r="Q682" t="s">
        <v>1148</v>
      </c>
      <c r="R682" t="s">
        <v>305</v>
      </c>
      <c r="S682" s="2"/>
      <c r="T682" s="2"/>
    </row>
    <row r="683" spans="1:26" hidden="1" x14ac:dyDescent="0.25">
      <c r="A683" s="2"/>
      <c r="B683" s="2">
        <f>HYPERLINK(URLs!B30 &amp; 9136 &amp; URLs!B32,9136)</f>
        <v>9136</v>
      </c>
      <c r="C683" t="s">
        <v>665</v>
      </c>
      <c r="D683" t="s">
        <v>619</v>
      </c>
      <c r="E683" t="s">
        <v>850</v>
      </c>
      <c r="F683" t="s">
        <v>621</v>
      </c>
      <c r="G683" t="s">
        <v>1149</v>
      </c>
      <c r="H683" t="s">
        <v>1150</v>
      </c>
      <c r="I683" t="s">
        <v>624</v>
      </c>
      <c r="J683" t="s">
        <v>642</v>
      </c>
      <c r="L683" s="5">
        <v>42277</v>
      </c>
      <c r="M683" s="5">
        <v>42296</v>
      </c>
      <c r="N683" t="s">
        <v>1151</v>
      </c>
      <c r="O683" t="s">
        <v>645</v>
      </c>
      <c r="P683" t="s">
        <v>621</v>
      </c>
      <c r="Q683" t="s">
        <v>1152</v>
      </c>
      <c r="S683" s="2"/>
      <c r="T683" s="2"/>
    </row>
    <row r="684" spans="1:26" hidden="1" x14ac:dyDescent="0.25">
      <c r="A684" s="2"/>
      <c r="B684" s="2">
        <f>HYPERLINK(URLs!B30 &amp; 9115 &amp; URLs!B32,9115)</f>
        <v>9115</v>
      </c>
      <c r="C684" t="s">
        <v>633</v>
      </c>
      <c r="D684" t="s">
        <v>619</v>
      </c>
      <c r="E684" t="s">
        <v>850</v>
      </c>
      <c r="F684" t="s">
        <v>621</v>
      </c>
      <c r="G684" t="s">
        <v>875</v>
      </c>
      <c r="H684" t="s">
        <v>876</v>
      </c>
      <c r="I684" t="s">
        <v>624</v>
      </c>
      <c r="J684" t="s">
        <v>642</v>
      </c>
      <c r="L684" s="5">
        <v>42272</v>
      </c>
      <c r="M684" s="5">
        <v>42485</v>
      </c>
      <c r="N684" s="2">
        <f>HYPERLINK(URLs!B36 &amp; 51569,51569)</f>
        <v>51569</v>
      </c>
      <c r="O684" t="s">
        <v>666</v>
      </c>
      <c r="P684" t="s">
        <v>621</v>
      </c>
      <c r="Q684" t="s">
        <v>1153</v>
      </c>
      <c r="R684" t="s">
        <v>305</v>
      </c>
      <c r="S684" s="2"/>
      <c r="T684" s="2"/>
    </row>
    <row r="685" spans="1:26" hidden="1" x14ac:dyDescent="0.25">
      <c r="A685" s="2"/>
      <c r="B685" s="2">
        <f>HYPERLINK(URLs!B30 &amp; 9037 &amp; URLs!B32,9037)</f>
        <v>9037</v>
      </c>
      <c r="C685" t="s">
        <v>633</v>
      </c>
      <c r="D685" t="s">
        <v>619</v>
      </c>
      <c r="E685" t="s">
        <v>850</v>
      </c>
      <c r="F685" t="s">
        <v>621</v>
      </c>
      <c r="G685" t="s">
        <v>855</v>
      </c>
      <c r="H685" t="s">
        <v>856</v>
      </c>
      <c r="I685" t="s">
        <v>624</v>
      </c>
      <c r="J685" t="s">
        <v>642</v>
      </c>
      <c r="L685" s="5">
        <v>42263</v>
      </c>
      <c r="M685" s="5">
        <v>42268</v>
      </c>
      <c r="N685" s="2">
        <f>HYPERLINK(URLs!B36 &amp; 44804,44804)</f>
        <v>44804</v>
      </c>
      <c r="O685" t="s">
        <v>666</v>
      </c>
      <c r="P685" t="s">
        <v>621</v>
      </c>
      <c r="Q685" t="s">
        <v>1154</v>
      </c>
      <c r="S685" s="2"/>
      <c r="T685" s="2"/>
    </row>
    <row r="686" spans="1:26" hidden="1" x14ac:dyDescent="0.25">
      <c r="A686" s="2"/>
      <c r="B686" s="2">
        <f>HYPERLINK(URLs!B30 &amp; 9019 &amp; URLs!B32,9019)</f>
        <v>9019</v>
      </c>
      <c r="C686" t="s">
        <v>665</v>
      </c>
      <c r="D686" t="s">
        <v>619</v>
      </c>
      <c r="E686" t="s">
        <v>850</v>
      </c>
      <c r="F686" t="s">
        <v>621</v>
      </c>
      <c r="G686" t="s">
        <v>962</v>
      </c>
      <c r="H686" t="s">
        <v>887</v>
      </c>
      <c r="I686" t="s">
        <v>624</v>
      </c>
      <c r="J686" t="s">
        <v>629</v>
      </c>
      <c r="L686" s="5">
        <v>42261</v>
      </c>
      <c r="M686" s="5">
        <v>42268</v>
      </c>
      <c r="N686" t="s">
        <v>621</v>
      </c>
      <c r="O686" t="s">
        <v>645</v>
      </c>
      <c r="P686" t="s">
        <v>621</v>
      </c>
      <c r="Q686" t="s">
        <v>1155</v>
      </c>
      <c r="S686" s="2"/>
      <c r="T686" s="2"/>
    </row>
    <row r="687" spans="1:26" hidden="1" x14ac:dyDescent="0.25">
      <c r="A687" s="2"/>
      <c r="B687" s="2">
        <f>HYPERLINK(URLs!B30 &amp; 9018 &amp; URLs!B32,9018)</f>
        <v>9018</v>
      </c>
      <c r="C687" t="s">
        <v>665</v>
      </c>
      <c r="D687" t="s">
        <v>619</v>
      </c>
      <c r="E687" t="s">
        <v>850</v>
      </c>
      <c r="F687" t="s">
        <v>621</v>
      </c>
      <c r="G687" t="s">
        <v>962</v>
      </c>
      <c r="H687" t="s">
        <v>887</v>
      </c>
      <c r="I687" t="s">
        <v>624</v>
      </c>
      <c r="J687" t="s">
        <v>625</v>
      </c>
      <c r="L687" s="5">
        <v>42261</v>
      </c>
      <c r="M687" s="5">
        <v>42439</v>
      </c>
      <c r="N687" s="2">
        <f>HYPERLINK(URLs!B36 &amp; 71142,71142)</f>
        <v>71142</v>
      </c>
      <c r="O687" t="s">
        <v>666</v>
      </c>
      <c r="P687" t="s">
        <v>621</v>
      </c>
      <c r="Q687" t="s">
        <v>1156</v>
      </c>
      <c r="S687" s="2"/>
      <c r="T687" s="2"/>
    </row>
    <row r="688" spans="1:26" hidden="1" x14ac:dyDescent="0.25">
      <c r="A688" s="2">
        <f>HYPERLINK(URLs!B36 &amp; 67747,67747)</f>
        <v>67747</v>
      </c>
      <c r="B688" s="2">
        <f>HYPERLINK(URLs!B30 &amp; 9005 &amp; URLs!B32,9005)</f>
        <v>9005</v>
      </c>
      <c r="C688" t="s">
        <v>633</v>
      </c>
      <c r="D688" t="s">
        <v>619</v>
      </c>
      <c r="E688" t="s">
        <v>620</v>
      </c>
      <c r="F688" t="s">
        <v>621</v>
      </c>
      <c r="G688" t="s">
        <v>787</v>
      </c>
      <c r="H688" t="s">
        <v>788</v>
      </c>
      <c r="I688" t="s">
        <v>624</v>
      </c>
      <c r="J688" t="s">
        <v>629</v>
      </c>
      <c r="K688" t="s">
        <v>68</v>
      </c>
      <c r="L688" s="5">
        <v>42257</v>
      </c>
      <c r="M688" s="5">
        <v>43171.267118055555</v>
      </c>
      <c r="N688" s="2">
        <f>HYPERLINK(URLs!B36 &amp; 67747,67747)</f>
        <v>67747</v>
      </c>
      <c r="O688" t="s">
        <v>645</v>
      </c>
      <c r="P688" t="s">
        <v>621</v>
      </c>
      <c r="Q688" t="s">
        <v>797</v>
      </c>
      <c r="R688" t="s">
        <v>305</v>
      </c>
      <c r="S688" s="2" t="s">
        <v>395</v>
      </c>
      <c r="T688" s="2" t="s">
        <v>4098</v>
      </c>
      <c r="U688" t="s">
        <v>35</v>
      </c>
      <c r="V688" t="s">
        <v>35</v>
      </c>
      <c r="Z688" t="s">
        <v>73</v>
      </c>
    </row>
    <row r="689" spans="1:26" hidden="1" x14ac:dyDescent="0.25">
      <c r="A689" s="2"/>
      <c r="B689" s="2">
        <f>HYPERLINK(URLs!B30 &amp; 9002 &amp; URLs!B32,9002)</f>
        <v>9002</v>
      </c>
      <c r="C689" t="s">
        <v>665</v>
      </c>
      <c r="D689" t="s">
        <v>619</v>
      </c>
      <c r="E689" t="s">
        <v>850</v>
      </c>
      <c r="F689" t="s">
        <v>621</v>
      </c>
      <c r="G689" t="s">
        <v>863</v>
      </c>
      <c r="H689" t="s">
        <v>864</v>
      </c>
      <c r="I689" t="s">
        <v>624</v>
      </c>
      <c r="J689" t="s">
        <v>642</v>
      </c>
      <c r="L689" s="5">
        <v>42257</v>
      </c>
      <c r="M689" s="5">
        <v>42810</v>
      </c>
      <c r="N689" s="2">
        <f>HYPERLINK(URLs!B36 &amp; 68566,68566)</f>
        <v>68566</v>
      </c>
      <c r="O689" t="s">
        <v>645</v>
      </c>
      <c r="P689" t="s">
        <v>621</v>
      </c>
      <c r="Q689" t="s">
        <v>1157</v>
      </c>
      <c r="S689" s="2"/>
      <c r="T689" s="2"/>
    </row>
    <row r="690" spans="1:26" hidden="1" x14ac:dyDescent="0.25">
      <c r="A690" s="2">
        <f>HYPERLINK(URLs!B36 &amp; 68800,68800)</f>
        <v>68800</v>
      </c>
      <c r="B690" s="2">
        <f>HYPERLINK(URLs!B30 &amp; 8994 &amp; URLs!B32,8994)</f>
        <v>8994</v>
      </c>
      <c r="C690" t="s">
        <v>665</v>
      </c>
      <c r="D690" t="s">
        <v>619</v>
      </c>
      <c r="E690" t="s">
        <v>620</v>
      </c>
      <c r="F690" t="s">
        <v>621</v>
      </c>
      <c r="G690" t="s">
        <v>634</v>
      </c>
      <c r="H690" t="s">
        <v>635</v>
      </c>
      <c r="I690" t="s">
        <v>624</v>
      </c>
      <c r="J690" t="s">
        <v>629</v>
      </c>
      <c r="K690" t="s">
        <v>68</v>
      </c>
      <c r="L690" s="5">
        <v>42256</v>
      </c>
      <c r="M690" s="5">
        <v>43175.48333333333</v>
      </c>
      <c r="N690" s="2">
        <f>HYPERLINK(URLs!B37 &amp; 146146,146146)</f>
        <v>146146</v>
      </c>
      <c r="O690" t="s">
        <v>636</v>
      </c>
      <c r="P690" t="s">
        <v>621</v>
      </c>
      <c r="Q690" t="s">
        <v>798</v>
      </c>
      <c r="R690" t="s">
        <v>305</v>
      </c>
      <c r="S690" s="2" t="s">
        <v>1621</v>
      </c>
      <c r="T690" s="2" t="s">
        <v>4126</v>
      </c>
      <c r="U690" t="s">
        <v>35</v>
      </c>
      <c r="V690" t="s">
        <v>35</v>
      </c>
      <c r="Z690" t="s">
        <v>195</v>
      </c>
    </row>
    <row r="691" spans="1:26" hidden="1" x14ac:dyDescent="0.25">
      <c r="A691" s="2"/>
      <c r="B691" s="2">
        <f>HYPERLINK(URLs!B30 &amp; 8980 &amp; URLs!B32,8980)</f>
        <v>8980</v>
      </c>
      <c r="C691" t="s">
        <v>633</v>
      </c>
      <c r="D691" t="s">
        <v>619</v>
      </c>
      <c r="E691" t="s">
        <v>850</v>
      </c>
      <c r="F691" t="s">
        <v>621</v>
      </c>
      <c r="G691" t="s">
        <v>855</v>
      </c>
      <c r="H691" t="s">
        <v>856</v>
      </c>
      <c r="I691" t="s">
        <v>624</v>
      </c>
      <c r="J691" t="s">
        <v>642</v>
      </c>
      <c r="L691" s="5">
        <v>42255</v>
      </c>
      <c r="M691" s="5">
        <v>42485</v>
      </c>
      <c r="N691" s="2">
        <f>HYPERLINK(URLs!B36 &amp; 68466,68466)</f>
        <v>68466</v>
      </c>
      <c r="O691" t="s">
        <v>666</v>
      </c>
      <c r="P691" t="s">
        <v>621</v>
      </c>
      <c r="Q691" t="s">
        <v>1158</v>
      </c>
      <c r="R691" t="s">
        <v>305</v>
      </c>
      <c r="S691" s="2"/>
      <c r="T691" s="2"/>
    </row>
    <row r="692" spans="1:26" hidden="1" x14ac:dyDescent="0.25">
      <c r="A692" s="2"/>
      <c r="B692" s="2">
        <f>HYPERLINK(URLs!B30 &amp; 8955 &amp; URLs!B32,8955)</f>
        <v>8955</v>
      </c>
      <c r="C692" t="s">
        <v>633</v>
      </c>
      <c r="D692" t="s">
        <v>619</v>
      </c>
      <c r="E692" t="s">
        <v>850</v>
      </c>
      <c r="F692" t="s">
        <v>621</v>
      </c>
      <c r="G692" t="s">
        <v>875</v>
      </c>
      <c r="H692" t="s">
        <v>876</v>
      </c>
      <c r="I692" t="s">
        <v>624</v>
      </c>
      <c r="J692" t="s">
        <v>642</v>
      </c>
      <c r="L692" s="5">
        <v>42250</v>
      </c>
      <c r="M692" s="5">
        <v>42371</v>
      </c>
      <c r="N692" s="2">
        <f>HYPERLINK(URLs!B36 &amp; 67164,67164)</f>
        <v>67164</v>
      </c>
      <c r="O692" t="s">
        <v>666</v>
      </c>
      <c r="P692" t="s">
        <v>621</v>
      </c>
      <c r="Q692" t="s">
        <v>1159</v>
      </c>
      <c r="S692" s="2"/>
      <c r="T692" s="2"/>
    </row>
    <row r="693" spans="1:26" hidden="1" x14ac:dyDescent="0.25">
      <c r="A693" s="2"/>
      <c r="B693" s="2">
        <f>HYPERLINK(URLs!B30 &amp; 8910 &amp; URLs!B32,8910)</f>
        <v>8910</v>
      </c>
      <c r="C693" t="s">
        <v>633</v>
      </c>
      <c r="D693" t="s">
        <v>619</v>
      </c>
      <c r="E693" t="s">
        <v>850</v>
      </c>
      <c r="F693" t="s">
        <v>621</v>
      </c>
      <c r="G693" t="s">
        <v>867</v>
      </c>
      <c r="H693" t="s">
        <v>868</v>
      </c>
      <c r="I693" t="s">
        <v>624</v>
      </c>
      <c r="J693" t="s">
        <v>642</v>
      </c>
      <c r="L693" s="5">
        <v>42244</v>
      </c>
      <c r="M693" s="5">
        <v>42485</v>
      </c>
      <c r="N693" s="2">
        <f>HYPERLINK(URLs!B36 &amp; 68774,68774)</f>
        <v>68774</v>
      </c>
      <c r="O693" t="s">
        <v>666</v>
      </c>
      <c r="P693" t="s">
        <v>621</v>
      </c>
      <c r="Q693" t="s">
        <v>1160</v>
      </c>
      <c r="R693" t="s">
        <v>305</v>
      </c>
      <c r="S693" s="2"/>
      <c r="T693" s="2"/>
    </row>
    <row r="694" spans="1:26" hidden="1" x14ac:dyDescent="0.25">
      <c r="A694" s="2"/>
      <c r="B694" s="2">
        <f>HYPERLINK(URLs!B30 &amp; 8893 &amp; URLs!B32,8893)</f>
        <v>8893</v>
      </c>
      <c r="C694" t="s">
        <v>633</v>
      </c>
      <c r="D694" t="s">
        <v>619</v>
      </c>
      <c r="E694" t="s">
        <v>850</v>
      </c>
      <c r="F694" t="s">
        <v>621</v>
      </c>
      <c r="G694" t="s">
        <v>863</v>
      </c>
      <c r="H694" t="s">
        <v>864</v>
      </c>
      <c r="I694" t="s">
        <v>624</v>
      </c>
      <c r="J694" t="s">
        <v>629</v>
      </c>
      <c r="L694" s="5">
        <v>42243</v>
      </c>
      <c r="M694" s="5">
        <v>42371</v>
      </c>
      <c r="N694" s="2">
        <f>HYPERLINK(URLs!B36 &amp; 67726,67726)</f>
        <v>67726</v>
      </c>
      <c r="O694" t="s">
        <v>666</v>
      </c>
      <c r="P694" t="s">
        <v>621</v>
      </c>
      <c r="Q694" t="s">
        <v>1161</v>
      </c>
      <c r="R694" t="s">
        <v>305</v>
      </c>
      <c r="S694" s="2"/>
      <c r="T694" s="2"/>
    </row>
    <row r="695" spans="1:26" hidden="1" x14ac:dyDescent="0.25">
      <c r="A695" s="2">
        <f>HYPERLINK(URLs!B36 &amp; 55128,55128)</f>
        <v>55128</v>
      </c>
      <c r="B695" s="2">
        <f>HYPERLINK(URLs!B30 &amp; 8888 &amp; URLs!B32,8888)</f>
        <v>8888</v>
      </c>
      <c r="C695" t="s">
        <v>633</v>
      </c>
      <c r="D695" t="s">
        <v>619</v>
      </c>
      <c r="E695" t="s">
        <v>620</v>
      </c>
      <c r="F695" t="s">
        <v>621</v>
      </c>
      <c r="G695" t="s">
        <v>631</v>
      </c>
      <c r="H695" t="s">
        <v>632</v>
      </c>
      <c r="I695" t="s">
        <v>624</v>
      </c>
      <c r="J695" t="s">
        <v>625</v>
      </c>
      <c r="K695" t="s">
        <v>31</v>
      </c>
      <c r="L695" s="5">
        <v>42242</v>
      </c>
      <c r="M695" s="5">
        <v>42443</v>
      </c>
      <c r="N695" s="2">
        <f>HYPERLINK(URLs!B36 &amp; 55128,55128)</f>
        <v>55128</v>
      </c>
      <c r="O695" t="s">
        <v>666</v>
      </c>
      <c r="P695" t="s">
        <v>621</v>
      </c>
      <c r="Q695" t="s">
        <v>799</v>
      </c>
      <c r="R695" t="s">
        <v>305</v>
      </c>
      <c r="S695" s="2" t="s">
        <v>304</v>
      </c>
      <c r="T695" s="2" t="s">
        <v>65</v>
      </c>
      <c r="U695" t="s">
        <v>3934</v>
      </c>
      <c r="V695" t="s">
        <v>321</v>
      </c>
      <c r="Z695" t="s">
        <v>380</v>
      </c>
    </row>
    <row r="696" spans="1:26" hidden="1" x14ac:dyDescent="0.25">
      <c r="A696" s="2"/>
      <c r="B696" s="2">
        <f>HYPERLINK(URLs!B30 &amp; 8885 &amp; URLs!B32,8885)</f>
        <v>8885</v>
      </c>
      <c r="C696" t="s">
        <v>665</v>
      </c>
      <c r="D696" t="s">
        <v>619</v>
      </c>
      <c r="E696" t="s">
        <v>850</v>
      </c>
      <c r="F696" t="s">
        <v>621</v>
      </c>
      <c r="G696" t="s">
        <v>889</v>
      </c>
      <c r="H696" t="s">
        <v>890</v>
      </c>
      <c r="I696" t="s">
        <v>624</v>
      </c>
      <c r="J696" t="s">
        <v>629</v>
      </c>
      <c r="L696" s="5">
        <v>42241</v>
      </c>
      <c r="M696" s="5">
        <v>42371</v>
      </c>
      <c r="N696" s="2">
        <f>HYPERLINK(URLs!B36 &amp; 50530,50530)</f>
        <v>50530</v>
      </c>
      <c r="O696" t="s">
        <v>666</v>
      </c>
      <c r="P696" t="s">
        <v>621</v>
      </c>
      <c r="Q696" t="s">
        <v>1162</v>
      </c>
      <c r="S696" s="2"/>
      <c r="T696" s="2"/>
      <c r="W696">
        <v>1</v>
      </c>
    </row>
    <row r="697" spans="1:26" hidden="1" x14ac:dyDescent="0.25">
      <c r="A697" s="2">
        <f>HYPERLINK(URLs!B36 &amp; 67608,67608)</f>
        <v>67608</v>
      </c>
      <c r="B697" s="2">
        <f>HYPERLINK(URLs!B30 &amp; 8869 &amp; URLs!B32,8869)</f>
        <v>8869</v>
      </c>
      <c r="C697" t="s">
        <v>633</v>
      </c>
      <c r="D697" t="s">
        <v>619</v>
      </c>
      <c r="E697" t="s">
        <v>620</v>
      </c>
      <c r="F697" t="s">
        <v>621</v>
      </c>
      <c r="G697" t="s">
        <v>643</v>
      </c>
      <c r="H697" t="s">
        <v>644</v>
      </c>
      <c r="I697" t="s">
        <v>624</v>
      </c>
      <c r="J697" t="s">
        <v>625</v>
      </c>
      <c r="K697" t="s">
        <v>31</v>
      </c>
      <c r="L697" s="5">
        <v>42237</v>
      </c>
      <c r="M697" s="5">
        <v>42443</v>
      </c>
      <c r="N697" s="2">
        <f>HYPERLINK(URLs!B36 &amp; 67608,67608)</f>
        <v>67608</v>
      </c>
      <c r="O697" t="s">
        <v>666</v>
      </c>
      <c r="P697" t="s">
        <v>621</v>
      </c>
      <c r="Q697" t="s">
        <v>800</v>
      </c>
      <c r="R697" t="s">
        <v>305</v>
      </c>
      <c r="S697" s="2" t="s">
        <v>304</v>
      </c>
      <c r="T697" s="2" t="s">
        <v>65</v>
      </c>
      <c r="U697" t="s">
        <v>3955</v>
      </c>
      <c r="V697" t="s">
        <v>321</v>
      </c>
      <c r="Z697" t="s">
        <v>73</v>
      </c>
    </row>
    <row r="698" spans="1:26" hidden="1" x14ac:dyDescent="0.25">
      <c r="A698" s="2"/>
      <c r="B698" s="2">
        <f>HYPERLINK(URLs!B30 &amp; 8864 &amp; URLs!B32,8864)</f>
        <v>8864</v>
      </c>
      <c r="C698" t="s">
        <v>633</v>
      </c>
      <c r="D698" t="s">
        <v>619</v>
      </c>
      <c r="E698" t="s">
        <v>850</v>
      </c>
      <c r="F698" t="s">
        <v>621</v>
      </c>
      <c r="G698" t="s">
        <v>875</v>
      </c>
      <c r="H698" t="s">
        <v>876</v>
      </c>
      <c r="I698" t="s">
        <v>624</v>
      </c>
      <c r="J698" t="s">
        <v>629</v>
      </c>
      <c r="L698" s="5">
        <v>42237</v>
      </c>
      <c r="M698" s="5">
        <v>42352</v>
      </c>
      <c r="N698" t="s">
        <v>621</v>
      </c>
      <c r="O698" t="s">
        <v>645</v>
      </c>
      <c r="P698" t="s">
        <v>621</v>
      </c>
      <c r="Q698" t="s">
        <v>1163</v>
      </c>
      <c r="S698" s="2"/>
      <c r="T698" s="2"/>
    </row>
    <row r="699" spans="1:26" hidden="1" x14ac:dyDescent="0.25">
      <c r="A699" s="2"/>
      <c r="B699" s="2">
        <f>HYPERLINK(URLs!B30 &amp; 8835 &amp; URLs!B32,8835)</f>
        <v>8835</v>
      </c>
      <c r="C699" t="s">
        <v>633</v>
      </c>
      <c r="D699" t="s">
        <v>619</v>
      </c>
      <c r="E699" t="s">
        <v>620</v>
      </c>
      <c r="F699" t="s">
        <v>621</v>
      </c>
      <c r="G699" t="s">
        <v>634</v>
      </c>
      <c r="H699" t="s">
        <v>635</v>
      </c>
      <c r="I699" t="s">
        <v>624</v>
      </c>
      <c r="J699" t="s">
        <v>629</v>
      </c>
      <c r="L699" s="5">
        <v>42234</v>
      </c>
      <c r="M699" s="5">
        <v>42269</v>
      </c>
      <c r="N699" s="2">
        <f>HYPERLINK(URLs!B37 &amp; 146440,146440)</f>
        <v>146440</v>
      </c>
      <c r="O699" t="s">
        <v>649</v>
      </c>
      <c r="P699" t="s">
        <v>621</v>
      </c>
      <c r="Q699" t="s">
        <v>801</v>
      </c>
      <c r="S699" s="2"/>
      <c r="T699" s="2"/>
    </row>
    <row r="700" spans="1:26" hidden="1" x14ac:dyDescent="0.25">
      <c r="A700" s="2"/>
      <c r="B700" s="2">
        <f>HYPERLINK(URLs!B30 &amp; 8833 &amp; URLs!B32,8833)</f>
        <v>8833</v>
      </c>
      <c r="C700" t="s">
        <v>665</v>
      </c>
      <c r="D700" t="s">
        <v>619</v>
      </c>
      <c r="E700" t="s">
        <v>850</v>
      </c>
      <c r="F700" t="s">
        <v>621</v>
      </c>
      <c r="G700" t="s">
        <v>875</v>
      </c>
      <c r="H700" t="s">
        <v>876</v>
      </c>
      <c r="I700" t="s">
        <v>624</v>
      </c>
      <c r="J700" t="s">
        <v>629</v>
      </c>
      <c r="L700" s="5">
        <v>42234</v>
      </c>
      <c r="M700" s="5">
        <v>42371</v>
      </c>
      <c r="N700" s="2">
        <f>HYPERLINK(URLs!B36 &amp; 67164,67164)</f>
        <v>67164</v>
      </c>
      <c r="O700" t="s">
        <v>666</v>
      </c>
      <c r="P700" t="s">
        <v>621</v>
      </c>
      <c r="Q700" t="s">
        <v>1164</v>
      </c>
      <c r="S700" s="2"/>
      <c r="T700" s="2"/>
    </row>
    <row r="701" spans="1:26" hidden="1" x14ac:dyDescent="0.25">
      <c r="A701" s="2">
        <f>HYPERLINK(URLs!B36 &amp; 67205,67205)</f>
        <v>67205</v>
      </c>
      <c r="B701" s="2">
        <f>HYPERLINK(URLs!B30 &amp; 8824 &amp; URLs!B32,8824)</f>
        <v>8824</v>
      </c>
      <c r="C701" t="s">
        <v>665</v>
      </c>
      <c r="D701" t="s">
        <v>619</v>
      </c>
      <c r="E701" t="s">
        <v>620</v>
      </c>
      <c r="F701" t="s">
        <v>621</v>
      </c>
      <c r="G701" t="s">
        <v>622</v>
      </c>
      <c r="H701" t="s">
        <v>623</v>
      </c>
      <c r="I701" t="s">
        <v>624</v>
      </c>
      <c r="J701" t="s">
        <v>625</v>
      </c>
      <c r="K701" t="s">
        <v>31</v>
      </c>
      <c r="L701" s="5">
        <v>42233</v>
      </c>
      <c r="M701" s="5">
        <v>43111.512499999997</v>
      </c>
      <c r="N701" s="2">
        <f>HYPERLINK(URLs!B36 &amp; 67205,67205)</f>
        <v>67205</v>
      </c>
      <c r="O701" t="s">
        <v>636</v>
      </c>
      <c r="P701" t="s">
        <v>621</v>
      </c>
      <c r="Q701" t="s">
        <v>802</v>
      </c>
      <c r="R701" t="s">
        <v>305</v>
      </c>
      <c r="S701" s="2" t="s">
        <v>304</v>
      </c>
      <c r="T701" s="2" t="s">
        <v>69</v>
      </c>
      <c r="U701" t="s">
        <v>3946</v>
      </c>
      <c r="V701" t="s">
        <v>321</v>
      </c>
      <c r="W701">
        <v>1</v>
      </c>
      <c r="Z701" t="s">
        <v>73</v>
      </c>
    </row>
    <row r="702" spans="1:26" hidden="1" x14ac:dyDescent="0.25">
      <c r="A702" s="2"/>
      <c r="B702" s="2">
        <f>HYPERLINK(URLs!B30 &amp; 8791 &amp; URLs!B32,8791)</f>
        <v>8791</v>
      </c>
      <c r="C702" t="s">
        <v>633</v>
      </c>
      <c r="D702" t="s">
        <v>619</v>
      </c>
      <c r="E702" t="s">
        <v>850</v>
      </c>
      <c r="F702" t="s">
        <v>621</v>
      </c>
      <c r="G702" t="s">
        <v>1165</v>
      </c>
      <c r="H702" t="s">
        <v>1166</v>
      </c>
      <c r="I702" t="s">
        <v>624</v>
      </c>
      <c r="J702" t="s">
        <v>642</v>
      </c>
      <c r="L702" s="5">
        <v>42229</v>
      </c>
      <c r="M702" s="5">
        <v>42352</v>
      </c>
      <c r="N702" s="2">
        <f>HYPERLINK(URLs!B36 &amp; 67192,67192)</f>
        <v>67192</v>
      </c>
      <c r="O702" t="s">
        <v>666</v>
      </c>
      <c r="P702" t="s">
        <v>621</v>
      </c>
      <c r="Q702" t="s">
        <v>1167</v>
      </c>
      <c r="R702" t="s">
        <v>305</v>
      </c>
      <c r="S702" s="2"/>
      <c r="T702" s="2"/>
    </row>
    <row r="703" spans="1:26" hidden="1" x14ac:dyDescent="0.25">
      <c r="A703" s="2">
        <f>HYPERLINK(URLs!B36 &amp; 66819,66819)</f>
        <v>66819</v>
      </c>
      <c r="B703" s="2">
        <f>HYPERLINK(URLs!B30 &amp; 8789 &amp; URLs!B32,8789)</f>
        <v>8789</v>
      </c>
      <c r="C703" t="s">
        <v>665</v>
      </c>
      <c r="D703" t="s">
        <v>619</v>
      </c>
      <c r="E703" t="s">
        <v>850</v>
      </c>
      <c r="F703" t="s">
        <v>621</v>
      </c>
      <c r="G703" t="s">
        <v>889</v>
      </c>
      <c r="H703" t="s">
        <v>890</v>
      </c>
      <c r="I703" t="s">
        <v>624</v>
      </c>
      <c r="J703" t="s">
        <v>625</v>
      </c>
      <c r="K703" t="s">
        <v>31</v>
      </c>
      <c r="L703" s="5">
        <v>42228</v>
      </c>
      <c r="M703" s="5">
        <v>42371</v>
      </c>
      <c r="N703" s="2">
        <f>HYPERLINK(URLs!B36 &amp; 68467,68467)</f>
        <v>68467</v>
      </c>
      <c r="O703" t="s">
        <v>666</v>
      </c>
      <c r="P703" t="s">
        <v>621</v>
      </c>
      <c r="Q703" t="s">
        <v>1168</v>
      </c>
      <c r="R703" t="s">
        <v>305</v>
      </c>
      <c r="S703" s="2" t="s">
        <v>304</v>
      </c>
      <c r="T703" s="2" t="s">
        <v>4148</v>
      </c>
      <c r="U703" t="s">
        <v>35</v>
      </c>
      <c r="V703" t="s">
        <v>321</v>
      </c>
      <c r="W703">
        <v>1</v>
      </c>
      <c r="X703">
        <v>1</v>
      </c>
      <c r="Z703" t="s">
        <v>34</v>
      </c>
    </row>
    <row r="704" spans="1:26" hidden="1" x14ac:dyDescent="0.25">
      <c r="A704" s="2">
        <f>HYPERLINK(URLs!B36 &amp; 52720,52720)</f>
        <v>52720</v>
      </c>
      <c r="B704" s="2">
        <f>HYPERLINK(URLs!B30 &amp; 8776 &amp; URLs!B32,8776)</f>
        <v>8776</v>
      </c>
      <c r="C704" t="s">
        <v>665</v>
      </c>
      <c r="D704" t="s">
        <v>619</v>
      </c>
      <c r="E704" t="s">
        <v>620</v>
      </c>
      <c r="F704" t="s">
        <v>621</v>
      </c>
      <c r="G704" t="s">
        <v>622</v>
      </c>
      <c r="H704" t="s">
        <v>623</v>
      </c>
      <c r="I704" t="s">
        <v>624</v>
      </c>
      <c r="J704" t="s">
        <v>625</v>
      </c>
      <c r="K704" t="s">
        <v>31</v>
      </c>
      <c r="L704" s="5">
        <v>42227</v>
      </c>
      <c r="M704" s="5">
        <v>42278</v>
      </c>
      <c r="N704" s="2">
        <f>HYPERLINK(URLs!B36 &amp; 52720,52720)</f>
        <v>52720</v>
      </c>
      <c r="O704" t="s">
        <v>666</v>
      </c>
      <c r="P704" t="s">
        <v>621</v>
      </c>
      <c r="Q704" t="s">
        <v>803</v>
      </c>
      <c r="R704" t="s">
        <v>305</v>
      </c>
      <c r="S704" s="2" t="s">
        <v>304</v>
      </c>
      <c r="T704" s="2" t="s">
        <v>61</v>
      </c>
      <c r="U704" t="s">
        <v>3939</v>
      </c>
      <c r="V704" t="s">
        <v>321</v>
      </c>
      <c r="W704">
        <v>1</v>
      </c>
      <c r="Z704" t="s">
        <v>96</v>
      </c>
    </row>
    <row r="705" spans="1:26" hidden="1" x14ac:dyDescent="0.25">
      <c r="A705" s="2"/>
      <c r="B705" s="2">
        <f>HYPERLINK(URLs!B30 &amp; 8769 &amp; URLs!B32,8769)</f>
        <v>8769</v>
      </c>
      <c r="C705" t="s">
        <v>633</v>
      </c>
      <c r="D705" t="s">
        <v>619</v>
      </c>
      <c r="E705" t="s">
        <v>850</v>
      </c>
      <c r="F705" t="s">
        <v>621</v>
      </c>
      <c r="G705" t="s">
        <v>962</v>
      </c>
      <c r="H705" t="s">
        <v>887</v>
      </c>
      <c r="I705" t="s">
        <v>624</v>
      </c>
      <c r="J705" t="s">
        <v>629</v>
      </c>
      <c r="L705" s="5">
        <v>42227</v>
      </c>
      <c r="M705" s="5">
        <v>42422</v>
      </c>
      <c r="N705" s="2">
        <f>HYPERLINK(URLs!B36 &amp; 67020,67020)</f>
        <v>67020</v>
      </c>
      <c r="O705" t="s">
        <v>645</v>
      </c>
      <c r="P705" t="s">
        <v>621</v>
      </c>
      <c r="Q705" t="s">
        <v>1169</v>
      </c>
      <c r="S705" s="2"/>
      <c r="T705" s="2"/>
    </row>
    <row r="706" spans="1:26" hidden="1" x14ac:dyDescent="0.25">
      <c r="A706" s="2">
        <f>HYPERLINK(URLs!B36 &amp; 52920,52920)</f>
        <v>52920</v>
      </c>
      <c r="B706" s="2">
        <f>HYPERLINK(URLs!B30 &amp; 8746 &amp; URLs!B32,8746)</f>
        <v>8746</v>
      </c>
      <c r="C706" t="s">
        <v>633</v>
      </c>
      <c r="D706" t="s">
        <v>619</v>
      </c>
      <c r="E706" t="s">
        <v>620</v>
      </c>
      <c r="F706" t="s">
        <v>621</v>
      </c>
      <c r="G706" t="s">
        <v>622</v>
      </c>
      <c r="H706" t="s">
        <v>623</v>
      </c>
      <c r="I706" t="s">
        <v>624</v>
      </c>
      <c r="J706" t="s">
        <v>625</v>
      </c>
      <c r="K706" t="s">
        <v>31</v>
      </c>
      <c r="L706" s="5">
        <v>42223</v>
      </c>
      <c r="M706" s="5">
        <v>42278</v>
      </c>
      <c r="N706" s="2">
        <f>HYPERLINK(URLs!B36 &amp; 52920,52920)</f>
        <v>52920</v>
      </c>
      <c r="O706" t="s">
        <v>666</v>
      </c>
      <c r="P706" t="s">
        <v>621</v>
      </c>
      <c r="Q706" t="s">
        <v>804</v>
      </c>
      <c r="R706" t="s">
        <v>305</v>
      </c>
      <c r="S706" s="2" t="s">
        <v>304</v>
      </c>
      <c r="T706" s="2" t="s">
        <v>61</v>
      </c>
      <c r="U706" t="s">
        <v>3937</v>
      </c>
      <c r="V706" t="s">
        <v>321</v>
      </c>
      <c r="Z706" t="s">
        <v>195</v>
      </c>
    </row>
    <row r="707" spans="1:26" hidden="1" x14ac:dyDescent="0.25">
      <c r="A707" s="2">
        <f>HYPERLINK(URLs!B36 &amp; 66713,66713)</f>
        <v>66713</v>
      </c>
      <c r="B707" s="2">
        <f>HYPERLINK(URLs!B30 &amp; 8737 &amp; URLs!B32,8737)</f>
        <v>8737</v>
      </c>
      <c r="C707" t="s">
        <v>633</v>
      </c>
      <c r="D707" t="s">
        <v>619</v>
      </c>
      <c r="E707" t="s">
        <v>620</v>
      </c>
      <c r="F707" t="s">
        <v>621</v>
      </c>
      <c r="G707" t="s">
        <v>643</v>
      </c>
      <c r="H707" t="s">
        <v>644</v>
      </c>
      <c r="I707" t="s">
        <v>624</v>
      </c>
      <c r="J707" t="s">
        <v>625</v>
      </c>
      <c r="K707" t="s">
        <v>31</v>
      </c>
      <c r="L707" s="5">
        <v>42222</v>
      </c>
      <c r="M707" s="5">
        <v>43168.634884259256</v>
      </c>
      <c r="N707" s="2">
        <f>HYPERLINK(URLs!B36 &amp; 66713,66713)</f>
        <v>66713</v>
      </c>
      <c r="O707" t="s">
        <v>645</v>
      </c>
      <c r="P707" t="s">
        <v>621</v>
      </c>
      <c r="Q707" t="s">
        <v>805</v>
      </c>
      <c r="R707" t="s">
        <v>305</v>
      </c>
      <c r="S707" s="2" t="s">
        <v>328</v>
      </c>
      <c r="T707" s="2" t="s">
        <v>4098</v>
      </c>
      <c r="U707" t="s">
        <v>35</v>
      </c>
      <c r="V707" t="s">
        <v>321</v>
      </c>
      <c r="Z707" t="s">
        <v>73</v>
      </c>
    </row>
    <row r="708" spans="1:26" hidden="1" x14ac:dyDescent="0.25">
      <c r="A708" s="2"/>
      <c r="B708" s="2">
        <f>HYPERLINK(URLs!B30 &amp; 8143 &amp; URLs!B32,8143)</f>
        <v>8143</v>
      </c>
      <c r="C708" t="s">
        <v>633</v>
      </c>
      <c r="D708" t="s">
        <v>619</v>
      </c>
      <c r="E708" t="s">
        <v>850</v>
      </c>
      <c r="F708" t="s">
        <v>621</v>
      </c>
      <c r="G708" t="s">
        <v>889</v>
      </c>
      <c r="H708" t="s">
        <v>890</v>
      </c>
      <c r="I708" t="s">
        <v>624</v>
      </c>
      <c r="J708" t="s">
        <v>642</v>
      </c>
      <c r="L708" s="5">
        <v>42214</v>
      </c>
      <c r="M708" s="5">
        <v>42485</v>
      </c>
      <c r="N708" s="2">
        <f>HYPERLINK(URLs!B36 &amp; 65899,65899)</f>
        <v>65899</v>
      </c>
      <c r="O708" t="s">
        <v>666</v>
      </c>
      <c r="P708" t="s">
        <v>621</v>
      </c>
      <c r="Q708" t="s">
        <v>1170</v>
      </c>
      <c r="S708" s="2"/>
      <c r="T708" s="2"/>
    </row>
    <row r="709" spans="1:26" hidden="1" x14ac:dyDescent="0.25">
      <c r="A709" s="2"/>
      <c r="B709" s="2">
        <f>HYPERLINK(URLs!B30 &amp; 8097 &amp; URLs!B32,8097)</f>
        <v>8097</v>
      </c>
      <c r="C709" t="s">
        <v>633</v>
      </c>
      <c r="D709" t="s">
        <v>619</v>
      </c>
      <c r="E709" t="s">
        <v>850</v>
      </c>
      <c r="F709" t="s">
        <v>621</v>
      </c>
      <c r="G709" t="s">
        <v>1165</v>
      </c>
      <c r="H709" t="s">
        <v>1166</v>
      </c>
      <c r="I709" t="s">
        <v>624</v>
      </c>
      <c r="J709" t="s">
        <v>642</v>
      </c>
      <c r="L709" s="5">
        <v>42207</v>
      </c>
      <c r="M709" s="5">
        <v>42380</v>
      </c>
      <c r="N709" t="s">
        <v>621</v>
      </c>
      <c r="O709" t="s">
        <v>645</v>
      </c>
      <c r="P709" t="s">
        <v>621</v>
      </c>
      <c r="Q709" t="s">
        <v>1171</v>
      </c>
      <c r="R709" t="s">
        <v>305</v>
      </c>
      <c r="S709" s="2"/>
      <c r="T709" s="2"/>
    </row>
    <row r="710" spans="1:26" hidden="1" x14ac:dyDescent="0.25">
      <c r="A710" s="2"/>
      <c r="B710" s="2">
        <f>HYPERLINK(URLs!B30 &amp; 8072 &amp; URLs!B32,8072)</f>
        <v>8072</v>
      </c>
      <c r="C710" t="s">
        <v>665</v>
      </c>
      <c r="D710" t="s">
        <v>619</v>
      </c>
      <c r="E710" t="s">
        <v>850</v>
      </c>
      <c r="F710" t="s">
        <v>621</v>
      </c>
      <c r="G710" t="s">
        <v>855</v>
      </c>
      <c r="H710" t="s">
        <v>856</v>
      </c>
      <c r="I710" t="s">
        <v>624</v>
      </c>
      <c r="J710" t="s">
        <v>625</v>
      </c>
      <c r="L710" s="5">
        <v>42206</v>
      </c>
      <c r="M710" s="5">
        <v>42440</v>
      </c>
      <c r="N710" s="2">
        <f>HYPERLINK(URLs!B36 &amp; 65832,65832)</f>
        <v>65832</v>
      </c>
      <c r="O710" t="s">
        <v>666</v>
      </c>
      <c r="P710" t="s">
        <v>621</v>
      </c>
      <c r="Q710" t="s">
        <v>1172</v>
      </c>
      <c r="S710" s="2"/>
      <c r="T710" s="2"/>
      <c r="W710">
        <v>1</v>
      </c>
    </row>
    <row r="711" spans="1:26" hidden="1" x14ac:dyDescent="0.25">
      <c r="A711" s="2"/>
      <c r="B711" s="2">
        <f>HYPERLINK(URLs!B30 &amp; 8057 &amp; URLs!B32,8057)</f>
        <v>8057</v>
      </c>
      <c r="C711" t="s">
        <v>665</v>
      </c>
      <c r="D711" t="s">
        <v>619</v>
      </c>
      <c r="E711" t="s">
        <v>850</v>
      </c>
      <c r="F711" t="s">
        <v>621</v>
      </c>
      <c r="G711" t="s">
        <v>962</v>
      </c>
      <c r="H711" t="s">
        <v>887</v>
      </c>
      <c r="I711" t="s">
        <v>624</v>
      </c>
      <c r="J711" t="s">
        <v>629</v>
      </c>
      <c r="L711" s="5">
        <v>42201</v>
      </c>
      <c r="M711" s="5">
        <v>42822</v>
      </c>
      <c r="N711" s="2">
        <f>HYPERLINK(URLs!B36 &amp; 81588,81588)</f>
        <v>81588</v>
      </c>
      <c r="O711" t="s">
        <v>636</v>
      </c>
      <c r="P711" t="s">
        <v>621</v>
      </c>
      <c r="Q711" t="s">
        <v>1173</v>
      </c>
      <c r="S711" s="2"/>
      <c r="T711" s="2"/>
      <c r="W711">
        <v>1</v>
      </c>
    </row>
    <row r="712" spans="1:26" hidden="1" x14ac:dyDescent="0.25">
      <c r="A712" s="2"/>
      <c r="B712" s="2">
        <f>HYPERLINK(URLs!B30 &amp; 8050 &amp; URLs!B32,8050)</f>
        <v>8050</v>
      </c>
      <c r="C712" t="s">
        <v>633</v>
      </c>
      <c r="D712" t="s">
        <v>619</v>
      </c>
      <c r="E712" t="s">
        <v>620</v>
      </c>
      <c r="F712" t="s">
        <v>621</v>
      </c>
      <c r="G712" t="s">
        <v>643</v>
      </c>
      <c r="H712" t="s">
        <v>644</v>
      </c>
      <c r="I712" t="s">
        <v>624</v>
      </c>
      <c r="J712" t="s">
        <v>625</v>
      </c>
      <c r="L712" s="5">
        <v>42200</v>
      </c>
      <c r="M712" s="5">
        <v>42222</v>
      </c>
      <c r="N712" s="2">
        <f>HYPERLINK(URLs!B36 &amp; 64168,64168)</f>
        <v>64168</v>
      </c>
      <c r="O712" t="s">
        <v>645</v>
      </c>
      <c r="P712" t="s">
        <v>621</v>
      </c>
      <c r="Q712" t="s">
        <v>806</v>
      </c>
      <c r="S712" s="2"/>
      <c r="T712" s="2"/>
    </row>
    <row r="713" spans="1:26" hidden="1" x14ac:dyDescent="0.25">
      <c r="A713" s="2"/>
      <c r="B713" s="2">
        <f>HYPERLINK(URLs!B30 &amp; 8030 &amp; URLs!B32,8030)</f>
        <v>8030</v>
      </c>
      <c r="C713" t="s">
        <v>665</v>
      </c>
      <c r="D713" t="s">
        <v>619</v>
      </c>
      <c r="E713" t="s">
        <v>850</v>
      </c>
      <c r="F713" t="s">
        <v>621</v>
      </c>
      <c r="G713" t="s">
        <v>863</v>
      </c>
      <c r="H713" t="s">
        <v>864</v>
      </c>
      <c r="I713" t="s">
        <v>624</v>
      </c>
      <c r="J713" t="s">
        <v>625</v>
      </c>
      <c r="L713" s="5">
        <v>42199</v>
      </c>
      <c r="M713" s="5">
        <v>42371</v>
      </c>
      <c r="N713" s="2">
        <f>HYPERLINK(URLs!B36 &amp; 63704,63704)</f>
        <v>63704</v>
      </c>
      <c r="O713" t="s">
        <v>666</v>
      </c>
      <c r="P713" t="s">
        <v>621</v>
      </c>
      <c r="Q713" t="s">
        <v>1174</v>
      </c>
      <c r="R713" t="s">
        <v>305</v>
      </c>
      <c r="S713" s="2"/>
      <c r="T713" s="2"/>
    </row>
    <row r="714" spans="1:26" hidden="1" x14ac:dyDescent="0.25">
      <c r="A714" s="2"/>
      <c r="B714" s="2">
        <f>HYPERLINK(URLs!B30 &amp; 8023 &amp; URLs!B32,8023)</f>
        <v>8023</v>
      </c>
      <c r="C714" t="s">
        <v>665</v>
      </c>
      <c r="D714" t="s">
        <v>619</v>
      </c>
      <c r="E714" t="s">
        <v>850</v>
      </c>
      <c r="F714" t="s">
        <v>621</v>
      </c>
      <c r="G714" t="s">
        <v>962</v>
      </c>
      <c r="H714" t="s">
        <v>887</v>
      </c>
      <c r="I714" t="s">
        <v>624</v>
      </c>
      <c r="J714" t="s">
        <v>629</v>
      </c>
      <c r="L714" s="5">
        <v>42198</v>
      </c>
      <c r="M714" s="5">
        <v>42702.518750000003</v>
      </c>
      <c r="N714" s="2">
        <f>HYPERLINK(URLs!B36 &amp; 65410,65410)</f>
        <v>65410</v>
      </c>
      <c r="O714" t="s">
        <v>666</v>
      </c>
      <c r="P714" t="s">
        <v>621</v>
      </c>
      <c r="Q714" t="s">
        <v>1175</v>
      </c>
      <c r="R714" t="s">
        <v>305</v>
      </c>
      <c r="S714" s="2"/>
      <c r="T714" s="2"/>
    </row>
    <row r="715" spans="1:26" hidden="1" x14ac:dyDescent="0.25">
      <c r="A715" s="2">
        <f>HYPERLINK(URLs!B36 &amp; 65346,65346)</f>
        <v>65346</v>
      </c>
      <c r="B715" s="2">
        <f>HYPERLINK(URLs!B30 &amp; 8018 &amp; URLs!B32,8018)</f>
        <v>8018</v>
      </c>
      <c r="C715" t="s">
        <v>633</v>
      </c>
      <c r="D715" t="s">
        <v>619</v>
      </c>
      <c r="E715" t="s">
        <v>620</v>
      </c>
      <c r="F715" t="s">
        <v>621</v>
      </c>
      <c r="G715" t="s">
        <v>622</v>
      </c>
      <c r="H715" t="s">
        <v>623</v>
      </c>
      <c r="I715" t="s">
        <v>624</v>
      </c>
      <c r="J715" t="s">
        <v>625</v>
      </c>
      <c r="K715" t="s">
        <v>31</v>
      </c>
      <c r="L715" s="5">
        <v>42195</v>
      </c>
      <c r="M715" s="5">
        <v>42503</v>
      </c>
      <c r="N715" s="2">
        <f>HYPERLINK(URLs!B36 &amp; 65346,65346)</f>
        <v>65346</v>
      </c>
      <c r="O715" t="s">
        <v>649</v>
      </c>
      <c r="P715" t="s">
        <v>621</v>
      </c>
      <c r="Q715" t="s">
        <v>807</v>
      </c>
      <c r="R715" t="s">
        <v>305</v>
      </c>
      <c r="S715" s="2" t="s">
        <v>395</v>
      </c>
      <c r="T715" s="2" t="s">
        <v>4098</v>
      </c>
      <c r="U715" t="s">
        <v>35</v>
      </c>
      <c r="V715" t="s">
        <v>321</v>
      </c>
      <c r="Z715" t="s">
        <v>73</v>
      </c>
    </row>
    <row r="716" spans="1:26" hidden="1" x14ac:dyDescent="0.25">
      <c r="A716" s="2"/>
      <c r="B716" s="2">
        <f>HYPERLINK(URLs!B30 &amp; 8010 &amp; URLs!B32,8010)</f>
        <v>8010</v>
      </c>
      <c r="C716" t="s">
        <v>633</v>
      </c>
      <c r="D716" t="s">
        <v>619</v>
      </c>
      <c r="E716" t="s">
        <v>620</v>
      </c>
      <c r="F716" t="s">
        <v>621</v>
      </c>
      <c r="G716" t="s">
        <v>622</v>
      </c>
      <c r="H716" t="s">
        <v>623</v>
      </c>
      <c r="I716" t="s">
        <v>624</v>
      </c>
      <c r="J716" t="s">
        <v>625</v>
      </c>
      <c r="L716" s="5">
        <v>42194</v>
      </c>
      <c r="M716" s="5">
        <v>42248</v>
      </c>
      <c r="N716" s="2">
        <f>HYPERLINK(URLs!B36 &amp; 136406,136406)</f>
        <v>136406</v>
      </c>
      <c r="O716" t="s">
        <v>645</v>
      </c>
      <c r="P716" t="s">
        <v>621</v>
      </c>
      <c r="Q716" t="s">
        <v>808</v>
      </c>
      <c r="S716" s="2"/>
      <c r="T716" s="2"/>
    </row>
    <row r="717" spans="1:26" hidden="1" x14ac:dyDescent="0.25">
      <c r="A717" s="2">
        <f>HYPERLINK(URLs!B36 &amp; 65136,65136)</f>
        <v>65136</v>
      </c>
      <c r="B717" s="2">
        <f>HYPERLINK(URLs!B30 &amp; 7965 &amp; URLs!B32,7965)</f>
        <v>7965</v>
      </c>
      <c r="C717" t="s">
        <v>665</v>
      </c>
      <c r="D717" t="s">
        <v>619</v>
      </c>
      <c r="E717" t="s">
        <v>620</v>
      </c>
      <c r="F717" t="s">
        <v>621</v>
      </c>
      <c r="G717" t="s">
        <v>634</v>
      </c>
      <c r="H717" t="s">
        <v>635</v>
      </c>
      <c r="I717" t="s">
        <v>624</v>
      </c>
      <c r="J717" t="s">
        <v>625</v>
      </c>
      <c r="K717" t="s">
        <v>31</v>
      </c>
      <c r="L717" s="5">
        <v>42192</v>
      </c>
      <c r="M717" s="5">
        <v>42200</v>
      </c>
      <c r="N717" s="2">
        <f>HYPERLINK(URLs!B36 &amp; 65136,65136)</f>
        <v>65136</v>
      </c>
      <c r="O717" t="s">
        <v>645</v>
      </c>
      <c r="P717" t="s">
        <v>621</v>
      </c>
      <c r="Q717" t="s">
        <v>809</v>
      </c>
      <c r="R717" t="s">
        <v>305</v>
      </c>
      <c r="S717" s="2" t="s">
        <v>310</v>
      </c>
      <c r="T717" s="2" t="s">
        <v>4126</v>
      </c>
      <c r="U717" t="s">
        <v>35</v>
      </c>
      <c r="V717" t="s">
        <v>35</v>
      </c>
      <c r="Z717" t="s">
        <v>45</v>
      </c>
    </row>
    <row r="718" spans="1:26" hidden="1" x14ac:dyDescent="0.25">
      <c r="A718" s="2"/>
      <c r="B718" s="2">
        <f>HYPERLINK(URLs!B30 &amp; 7948 &amp; URLs!B32,7948)</f>
        <v>7948</v>
      </c>
      <c r="C718" t="s">
        <v>665</v>
      </c>
      <c r="D718" t="s">
        <v>619</v>
      </c>
      <c r="E718" t="s">
        <v>850</v>
      </c>
      <c r="F718" t="s">
        <v>621</v>
      </c>
      <c r="G718" t="s">
        <v>851</v>
      </c>
      <c r="H718" t="s">
        <v>852</v>
      </c>
      <c r="I718" t="s">
        <v>624</v>
      </c>
      <c r="J718" t="s">
        <v>642</v>
      </c>
      <c r="L718" s="5">
        <v>42191</v>
      </c>
      <c r="M718" s="5">
        <v>42258</v>
      </c>
      <c r="N718" s="2">
        <f>HYPERLINK(URLs!B36 &amp; 58635,58635)</f>
        <v>58635</v>
      </c>
      <c r="O718" t="s">
        <v>666</v>
      </c>
      <c r="P718" t="s">
        <v>621</v>
      </c>
      <c r="Q718" t="s">
        <v>1176</v>
      </c>
      <c r="S718" s="2"/>
      <c r="T718" s="2"/>
      <c r="W718">
        <v>1</v>
      </c>
    </row>
    <row r="719" spans="1:26" hidden="1" x14ac:dyDescent="0.25">
      <c r="A719" s="2">
        <f>HYPERLINK(URLs!B36 &amp; 57761,57761)</f>
        <v>57761</v>
      </c>
      <c r="B719" s="2">
        <f>HYPERLINK(URLs!B30 &amp; 7943 &amp; URLs!B32,7943)</f>
        <v>7943</v>
      </c>
      <c r="C719" t="s">
        <v>665</v>
      </c>
      <c r="D719" t="s">
        <v>619</v>
      </c>
      <c r="E719" t="s">
        <v>620</v>
      </c>
      <c r="F719" t="s">
        <v>621</v>
      </c>
      <c r="G719" t="s">
        <v>810</v>
      </c>
      <c r="H719" t="s">
        <v>811</v>
      </c>
      <c r="I719" t="s">
        <v>624</v>
      </c>
      <c r="J719" t="s">
        <v>629</v>
      </c>
      <c r="K719" t="s">
        <v>31</v>
      </c>
      <c r="L719" s="5">
        <v>42187</v>
      </c>
      <c r="M719" s="5">
        <v>43171.367361111108</v>
      </c>
      <c r="N719" s="2">
        <f>HYPERLINK(URLs!B36 &amp; 57761,57761)</f>
        <v>57761</v>
      </c>
      <c r="O719" t="s">
        <v>645</v>
      </c>
      <c r="P719" t="s">
        <v>621</v>
      </c>
      <c r="Q719" t="s">
        <v>812</v>
      </c>
      <c r="R719" t="s">
        <v>305</v>
      </c>
      <c r="S719" s="2" t="s">
        <v>328</v>
      </c>
      <c r="T719" s="2" t="s">
        <v>4098</v>
      </c>
      <c r="U719" t="s">
        <v>35</v>
      </c>
      <c r="V719" t="s">
        <v>35</v>
      </c>
      <c r="Z719" t="s">
        <v>73</v>
      </c>
    </row>
    <row r="720" spans="1:26" hidden="1" x14ac:dyDescent="0.25">
      <c r="A720" s="2"/>
      <c r="B720" s="2">
        <f>HYPERLINK(URLs!B30 &amp; 7908 &amp; URLs!B32,7908)</f>
        <v>7908</v>
      </c>
      <c r="C720" t="s">
        <v>665</v>
      </c>
      <c r="D720" t="s">
        <v>619</v>
      </c>
      <c r="E720" t="s">
        <v>850</v>
      </c>
      <c r="F720" t="s">
        <v>621</v>
      </c>
      <c r="G720" t="s">
        <v>855</v>
      </c>
      <c r="H720" t="s">
        <v>856</v>
      </c>
      <c r="I720" t="s">
        <v>624</v>
      </c>
      <c r="J720" t="s">
        <v>625</v>
      </c>
      <c r="L720" s="5">
        <v>42184</v>
      </c>
      <c r="M720" s="5">
        <v>42258</v>
      </c>
      <c r="N720" s="2">
        <f>HYPERLINK(URLs!B36 &amp; 62765,62765)</f>
        <v>62765</v>
      </c>
      <c r="O720" t="s">
        <v>666</v>
      </c>
      <c r="P720" t="s">
        <v>621</v>
      </c>
      <c r="Q720" t="s">
        <v>1177</v>
      </c>
      <c r="R720" t="s">
        <v>305</v>
      </c>
      <c r="S720" s="2"/>
      <c r="T720" s="2"/>
      <c r="X720">
        <v>1</v>
      </c>
    </row>
    <row r="721" spans="1:26" hidden="1" x14ac:dyDescent="0.25">
      <c r="A721" s="2"/>
      <c r="B721" s="2">
        <f>HYPERLINK(URLs!B30 &amp; 7900 &amp; URLs!B32,7900)</f>
        <v>7900</v>
      </c>
      <c r="C721" t="s">
        <v>665</v>
      </c>
      <c r="D721" t="s">
        <v>619</v>
      </c>
      <c r="E721" t="s">
        <v>850</v>
      </c>
      <c r="F721" t="s">
        <v>621</v>
      </c>
      <c r="G721" t="s">
        <v>863</v>
      </c>
      <c r="H721" t="s">
        <v>864</v>
      </c>
      <c r="I721" t="s">
        <v>624</v>
      </c>
      <c r="J721" t="s">
        <v>642</v>
      </c>
      <c r="L721" s="5">
        <v>42181</v>
      </c>
      <c r="M721" s="5">
        <v>42447</v>
      </c>
      <c r="N721" t="s">
        <v>621</v>
      </c>
      <c r="O721" t="s">
        <v>645</v>
      </c>
      <c r="P721" t="s">
        <v>621</v>
      </c>
      <c r="Q721" t="s">
        <v>1178</v>
      </c>
      <c r="R721" t="s">
        <v>305</v>
      </c>
      <c r="S721" s="2"/>
      <c r="T721" s="2"/>
    </row>
    <row r="722" spans="1:26" hidden="1" x14ac:dyDescent="0.25">
      <c r="A722" s="2">
        <f>HYPERLINK(URLs!B36 &amp; 64578,64578)</f>
        <v>64578</v>
      </c>
      <c r="B722" s="2">
        <f>HYPERLINK(URLs!B30 &amp; 7896 &amp; URLs!B32,7896)</f>
        <v>7896</v>
      </c>
      <c r="C722" t="s">
        <v>665</v>
      </c>
      <c r="D722" t="s">
        <v>619</v>
      </c>
      <c r="E722" t="s">
        <v>620</v>
      </c>
      <c r="F722" t="s">
        <v>813</v>
      </c>
      <c r="G722" t="s">
        <v>622</v>
      </c>
      <c r="H722" t="s">
        <v>623</v>
      </c>
      <c r="I722" t="s">
        <v>624</v>
      </c>
      <c r="J722" t="s">
        <v>629</v>
      </c>
      <c r="K722" t="s">
        <v>68</v>
      </c>
      <c r="L722" s="5">
        <v>42180</v>
      </c>
      <c r="M722" s="5">
        <v>42349</v>
      </c>
      <c r="N722" s="2">
        <f>HYPERLINK(URLs!B36 &amp; 109508,109508)</f>
        <v>109508</v>
      </c>
      <c r="O722" t="s">
        <v>705</v>
      </c>
      <c r="P722" t="s">
        <v>621</v>
      </c>
      <c r="Q722" t="s">
        <v>814</v>
      </c>
      <c r="R722" t="s">
        <v>305</v>
      </c>
      <c r="S722" s="2" t="s">
        <v>1621</v>
      </c>
      <c r="T722" s="2" t="s">
        <v>4098</v>
      </c>
      <c r="U722" t="s">
        <v>35</v>
      </c>
      <c r="V722" t="s">
        <v>35</v>
      </c>
      <c r="Z722" t="s">
        <v>2529</v>
      </c>
    </row>
    <row r="723" spans="1:26" hidden="1" x14ac:dyDescent="0.25">
      <c r="A723" s="2"/>
      <c r="B723" s="2">
        <f>HYPERLINK(URLs!B30 &amp; 7857 &amp; URLs!B32,7857)</f>
        <v>7857</v>
      </c>
      <c r="C723" t="s">
        <v>665</v>
      </c>
      <c r="D723" t="s">
        <v>619</v>
      </c>
      <c r="E723" t="s">
        <v>850</v>
      </c>
      <c r="F723" t="s">
        <v>621</v>
      </c>
      <c r="G723" t="s">
        <v>962</v>
      </c>
      <c r="H723" t="s">
        <v>887</v>
      </c>
      <c r="I723" t="s">
        <v>624</v>
      </c>
      <c r="J723" t="s">
        <v>642</v>
      </c>
      <c r="L723" s="5">
        <v>42173</v>
      </c>
      <c r="M723" s="5">
        <v>42485</v>
      </c>
      <c r="N723" s="2">
        <f>HYPERLINK(URLs!B36 &amp; 55696,55696)</f>
        <v>55696</v>
      </c>
      <c r="O723" t="s">
        <v>666</v>
      </c>
      <c r="P723" t="s">
        <v>621</v>
      </c>
      <c r="Q723" t="s">
        <v>1179</v>
      </c>
      <c r="R723" t="s">
        <v>305</v>
      </c>
      <c r="S723" s="2"/>
      <c r="T723" s="2"/>
      <c r="W723">
        <v>1</v>
      </c>
    </row>
    <row r="724" spans="1:26" hidden="1" x14ac:dyDescent="0.25">
      <c r="A724" s="2"/>
      <c r="B724" s="2">
        <f>HYPERLINK(URLs!B30 &amp; 7849 &amp; URLs!B32,7849)</f>
        <v>7849</v>
      </c>
      <c r="C724" t="s">
        <v>665</v>
      </c>
      <c r="D724" t="s">
        <v>619</v>
      </c>
      <c r="E724" t="s">
        <v>850</v>
      </c>
      <c r="F724" t="s">
        <v>621</v>
      </c>
      <c r="G724" t="s">
        <v>863</v>
      </c>
      <c r="H724" t="s">
        <v>864</v>
      </c>
      <c r="I724" t="s">
        <v>624</v>
      </c>
      <c r="J724" t="s">
        <v>625</v>
      </c>
      <c r="L724" s="5">
        <v>42173</v>
      </c>
      <c r="M724" s="5">
        <v>42258</v>
      </c>
      <c r="N724" s="2">
        <f>HYPERLINK(URLs!B36 &amp; 64423,64423)</f>
        <v>64423</v>
      </c>
      <c r="O724" t="s">
        <v>666</v>
      </c>
      <c r="P724" t="s">
        <v>621</v>
      </c>
      <c r="Q724" t="s">
        <v>1180</v>
      </c>
      <c r="S724" s="2"/>
      <c r="T724" s="2"/>
    </row>
    <row r="725" spans="1:26" hidden="1" x14ac:dyDescent="0.25">
      <c r="A725" s="2"/>
      <c r="B725" s="2">
        <f>HYPERLINK(URLs!B30 &amp; 7836 &amp; URLs!B32,7836)</f>
        <v>7836</v>
      </c>
      <c r="C725" t="s">
        <v>633</v>
      </c>
      <c r="D725" t="s">
        <v>619</v>
      </c>
      <c r="E725" t="s">
        <v>850</v>
      </c>
      <c r="F725" t="s">
        <v>621</v>
      </c>
      <c r="G725" t="s">
        <v>962</v>
      </c>
      <c r="H725" t="s">
        <v>887</v>
      </c>
      <c r="I725" t="s">
        <v>624</v>
      </c>
      <c r="J725" t="s">
        <v>642</v>
      </c>
      <c r="L725" s="5">
        <v>42172</v>
      </c>
      <c r="M725" s="5">
        <v>42422</v>
      </c>
      <c r="N725" t="s">
        <v>1151</v>
      </c>
      <c r="O725" t="s">
        <v>645</v>
      </c>
      <c r="P725" t="s">
        <v>621</v>
      </c>
      <c r="Q725" t="s">
        <v>1181</v>
      </c>
      <c r="S725" s="2"/>
      <c r="T725" s="2"/>
    </row>
    <row r="726" spans="1:26" hidden="1" x14ac:dyDescent="0.25">
      <c r="A726" s="2">
        <f>HYPERLINK(URLs!B36 &amp; 59193,59193)</f>
        <v>59193</v>
      </c>
      <c r="B726" s="2">
        <f>HYPERLINK(URLs!B30 &amp; 7812 &amp; URLs!B32,7812)</f>
        <v>7812</v>
      </c>
      <c r="C726" t="s">
        <v>665</v>
      </c>
      <c r="D726" t="s">
        <v>619</v>
      </c>
      <c r="E726" t="s">
        <v>620</v>
      </c>
      <c r="F726" t="s">
        <v>621</v>
      </c>
      <c r="G726" t="s">
        <v>622</v>
      </c>
      <c r="H726" t="s">
        <v>623</v>
      </c>
      <c r="I726" t="s">
        <v>624</v>
      </c>
      <c r="J726" t="s">
        <v>625</v>
      </c>
      <c r="K726" t="s">
        <v>31</v>
      </c>
      <c r="L726" s="5">
        <v>42170</v>
      </c>
      <c r="M726" s="5">
        <v>42278</v>
      </c>
      <c r="N726" s="2">
        <f>HYPERLINK(URLs!B36 &amp; 59193,59193)</f>
        <v>59193</v>
      </c>
      <c r="O726" t="s">
        <v>666</v>
      </c>
      <c r="P726" t="s">
        <v>621</v>
      </c>
      <c r="Q726" t="s">
        <v>815</v>
      </c>
      <c r="R726" t="s">
        <v>305</v>
      </c>
      <c r="S726" s="2" t="s">
        <v>304</v>
      </c>
      <c r="T726" s="2" t="s">
        <v>428</v>
      </c>
      <c r="U726" t="s">
        <v>3941</v>
      </c>
      <c r="V726" t="s">
        <v>35</v>
      </c>
      <c r="W726">
        <v>1</v>
      </c>
      <c r="Z726" t="s">
        <v>45</v>
      </c>
    </row>
    <row r="727" spans="1:26" hidden="1" x14ac:dyDescent="0.25">
      <c r="A727" s="2">
        <f>HYPERLINK(URLs!B36 &amp; 66294,66294)</f>
        <v>66294</v>
      </c>
      <c r="B727" s="2">
        <f>HYPERLINK(URLs!B30 &amp; 7807 &amp; URLs!B32,7807)</f>
        <v>7807</v>
      </c>
      <c r="C727" t="s">
        <v>665</v>
      </c>
      <c r="D727" t="s">
        <v>619</v>
      </c>
      <c r="E727" t="s">
        <v>850</v>
      </c>
      <c r="F727" t="s">
        <v>621</v>
      </c>
      <c r="G727" t="s">
        <v>867</v>
      </c>
      <c r="H727" t="s">
        <v>868</v>
      </c>
      <c r="I727" t="s">
        <v>624</v>
      </c>
      <c r="J727" t="s">
        <v>629</v>
      </c>
      <c r="K727" t="s">
        <v>31</v>
      </c>
      <c r="L727" s="5">
        <v>42170</v>
      </c>
      <c r="M727" s="5">
        <v>42371</v>
      </c>
      <c r="N727" s="2">
        <f>HYPERLINK(URLs!B36 &amp; 66291,66291)</f>
        <v>66291</v>
      </c>
      <c r="O727" t="s">
        <v>666</v>
      </c>
      <c r="P727" t="s">
        <v>621</v>
      </c>
      <c r="Q727" t="s">
        <v>1182</v>
      </c>
      <c r="R727" t="s">
        <v>305</v>
      </c>
      <c r="S727" s="2" t="s">
        <v>304</v>
      </c>
      <c r="T727" s="2" t="s">
        <v>428</v>
      </c>
      <c r="U727" t="s">
        <v>35</v>
      </c>
      <c r="V727" t="s">
        <v>35</v>
      </c>
      <c r="W727">
        <v>1</v>
      </c>
      <c r="Z727" t="s">
        <v>45</v>
      </c>
    </row>
    <row r="728" spans="1:26" hidden="1" x14ac:dyDescent="0.25">
      <c r="A728" s="2"/>
      <c r="B728" s="2">
        <f>HYPERLINK(URLs!B30 &amp; 7803 &amp; URLs!B32,7803)</f>
        <v>7803</v>
      </c>
      <c r="C728" t="s">
        <v>665</v>
      </c>
      <c r="D728" t="s">
        <v>619</v>
      </c>
      <c r="E728" t="s">
        <v>850</v>
      </c>
      <c r="F728" t="s">
        <v>621</v>
      </c>
      <c r="G728" t="s">
        <v>624</v>
      </c>
      <c r="H728" t="s">
        <v>715</v>
      </c>
      <c r="I728" t="s">
        <v>624</v>
      </c>
      <c r="J728" t="s">
        <v>629</v>
      </c>
      <c r="L728" s="5">
        <v>42170</v>
      </c>
      <c r="M728" s="5">
        <v>42371</v>
      </c>
      <c r="N728" s="2">
        <f>HYPERLINK(URLs!B36 &amp; 61851,61851)</f>
        <v>61851</v>
      </c>
      <c r="O728" t="s">
        <v>666</v>
      </c>
      <c r="P728" t="s">
        <v>621</v>
      </c>
      <c r="Q728" t="s">
        <v>1183</v>
      </c>
      <c r="R728" t="s">
        <v>305</v>
      </c>
      <c r="S728" s="2"/>
      <c r="T728" s="2"/>
      <c r="W728">
        <v>1</v>
      </c>
    </row>
    <row r="729" spans="1:26" hidden="1" x14ac:dyDescent="0.25">
      <c r="A729" s="2"/>
      <c r="B729" s="2">
        <f>HYPERLINK(URLs!B30 &amp; 7756 &amp; URLs!B32,7756)</f>
        <v>7756</v>
      </c>
      <c r="C729" t="s">
        <v>665</v>
      </c>
      <c r="D729" t="s">
        <v>619</v>
      </c>
      <c r="E729" t="s">
        <v>850</v>
      </c>
      <c r="F729" t="s">
        <v>621</v>
      </c>
      <c r="G729" t="s">
        <v>624</v>
      </c>
      <c r="H729" t="s">
        <v>715</v>
      </c>
      <c r="I729" t="s">
        <v>624</v>
      </c>
      <c r="J729" t="s">
        <v>642</v>
      </c>
      <c r="L729" s="5">
        <v>42166</v>
      </c>
      <c r="M729" s="5">
        <v>43117.6875</v>
      </c>
      <c r="N729" s="2">
        <f>HYPERLINK(URLs!B36 &amp; 63089,63089)</f>
        <v>63089</v>
      </c>
      <c r="O729" t="s">
        <v>636</v>
      </c>
      <c r="P729" t="s">
        <v>621</v>
      </c>
      <c r="Q729" t="s">
        <v>1184</v>
      </c>
      <c r="S729" s="2"/>
      <c r="T729" s="2"/>
      <c r="W729">
        <v>1</v>
      </c>
    </row>
    <row r="730" spans="1:26" hidden="1" x14ac:dyDescent="0.25">
      <c r="A730" s="2">
        <f>HYPERLINK(URLs!B36 &amp; 63811,63811)</f>
        <v>63811</v>
      </c>
      <c r="B730" s="2">
        <f>HYPERLINK(URLs!B30 &amp; 7742 &amp; URLs!B32,7742)</f>
        <v>7742</v>
      </c>
      <c r="C730" t="s">
        <v>633</v>
      </c>
      <c r="D730" t="s">
        <v>619</v>
      </c>
      <c r="E730" t="s">
        <v>620</v>
      </c>
      <c r="F730" t="s">
        <v>621</v>
      </c>
      <c r="G730" t="s">
        <v>631</v>
      </c>
      <c r="H730" t="s">
        <v>632</v>
      </c>
      <c r="I730" t="s">
        <v>624</v>
      </c>
      <c r="J730" t="s">
        <v>625</v>
      </c>
      <c r="K730" t="s">
        <v>31</v>
      </c>
      <c r="L730" s="5">
        <v>42165</v>
      </c>
      <c r="M730" s="5">
        <v>42278</v>
      </c>
      <c r="N730" s="2">
        <f>HYPERLINK(URLs!B36 &amp; 63811,63811)</f>
        <v>63811</v>
      </c>
      <c r="O730" t="s">
        <v>666</v>
      </c>
      <c r="P730" t="s">
        <v>621</v>
      </c>
      <c r="Q730" t="s">
        <v>816</v>
      </c>
      <c r="R730" t="s">
        <v>305</v>
      </c>
      <c r="S730" s="2" t="s">
        <v>304</v>
      </c>
      <c r="T730" s="2" t="s">
        <v>65</v>
      </c>
      <c r="U730" t="s">
        <v>3952</v>
      </c>
      <c r="V730" t="s">
        <v>321</v>
      </c>
      <c r="Z730" t="s">
        <v>52</v>
      </c>
    </row>
    <row r="731" spans="1:26" hidden="1" x14ac:dyDescent="0.25">
      <c r="A731" s="2"/>
      <c r="B731" s="2">
        <f>HYPERLINK(URLs!B30 &amp; 7701 &amp; URLs!B32,7701)</f>
        <v>7701</v>
      </c>
      <c r="C731" t="s">
        <v>633</v>
      </c>
      <c r="D731" t="s">
        <v>619</v>
      </c>
      <c r="E731" t="s">
        <v>850</v>
      </c>
      <c r="F731" t="s">
        <v>621</v>
      </c>
      <c r="G731" t="s">
        <v>1185</v>
      </c>
      <c r="H731" t="s">
        <v>1186</v>
      </c>
      <c r="I731" t="s">
        <v>624</v>
      </c>
      <c r="J731" t="s">
        <v>629</v>
      </c>
      <c r="L731" s="5">
        <v>42163</v>
      </c>
      <c r="M731" s="5">
        <v>42290</v>
      </c>
      <c r="N731" t="s">
        <v>621</v>
      </c>
      <c r="O731" t="s">
        <v>645</v>
      </c>
      <c r="P731" t="s">
        <v>621</v>
      </c>
      <c r="Q731" t="s">
        <v>1187</v>
      </c>
      <c r="R731" t="s">
        <v>305</v>
      </c>
      <c r="S731" s="2"/>
      <c r="T731" s="2"/>
    </row>
    <row r="732" spans="1:26" hidden="1" x14ac:dyDescent="0.25">
      <c r="A732" s="2">
        <f>HYPERLINK(URLs!B36 &amp; 63488,63488)</f>
        <v>63488</v>
      </c>
      <c r="B732" s="2">
        <f>HYPERLINK(URLs!B30 &amp; 7700 &amp; URLs!B32,7700)</f>
        <v>7700</v>
      </c>
      <c r="C732" t="s">
        <v>665</v>
      </c>
      <c r="D732" t="s">
        <v>619</v>
      </c>
      <c r="E732" t="s">
        <v>620</v>
      </c>
      <c r="F732" t="s">
        <v>813</v>
      </c>
      <c r="G732" t="s">
        <v>622</v>
      </c>
      <c r="H732" t="s">
        <v>623</v>
      </c>
      <c r="I732" t="s">
        <v>624</v>
      </c>
      <c r="J732" t="s">
        <v>625</v>
      </c>
      <c r="K732" t="s">
        <v>31</v>
      </c>
      <c r="L732" s="5">
        <v>42163</v>
      </c>
      <c r="M732" s="5">
        <v>42278</v>
      </c>
      <c r="N732" s="2">
        <f>HYPERLINK(URLs!B36 &amp; 63488,63488)</f>
        <v>63488</v>
      </c>
      <c r="O732" t="s">
        <v>666</v>
      </c>
      <c r="P732" t="s">
        <v>621</v>
      </c>
      <c r="Q732" t="s">
        <v>817</v>
      </c>
      <c r="R732" t="s">
        <v>305</v>
      </c>
      <c r="S732" s="2" t="s">
        <v>304</v>
      </c>
      <c r="T732" s="2" t="s">
        <v>133</v>
      </c>
      <c r="U732" t="s">
        <v>3949</v>
      </c>
      <c r="V732" t="s">
        <v>35</v>
      </c>
      <c r="Z732" t="s">
        <v>34</v>
      </c>
    </row>
    <row r="733" spans="1:26" hidden="1" x14ac:dyDescent="0.25">
      <c r="A733" s="2">
        <f>HYPERLINK(URLs!B36 &amp; 62645,62645)</f>
        <v>62645</v>
      </c>
      <c r="B733" s="2">
        <f>HYPERLINK(URLs!B30 &amp; 7699 &amp; URLs!B32,7699)</f>
        <v>7699</v>
      </c>
      <c r="C733" t="s">
        <v>633</v>
      </c>
      <c r="D733" t="s">
        <v>619</v>
      </c>
      <c r="E733" t="s">
        <v>620</v>
      </c>
      <c r="F733" t="s">
        <v>621</v>
      </c>
      <c r="G733" t="s">
        <v>622</v>
      </c>
      <c r="H733" t="s">
        <v>623</v>
      </c>
      <c r="I733" t="s">
        <v>624</v>
      </c>
      <c r="J733" t="s">
        <v>625</v>
      </c>
      <c r="K733" t="s">
        <v>31</v>
      </c>
      <c r="L733" s="5">
        <v>42163</v>
      </c>
      <c r="M733" s="5">
        <v>42278</v>
      </c>
      <c r="N733" s="2">
        <f>HYPERLINK(URLs!B36 &amp; 62645,62645)</f>
        <v>62645</v>
      </c>
      <c r="O733" t="s">
        <v>666</v>
      </c>
      <c r="P733" t="s">
        <v>621</v>
      </c>
      <c r="Q733" t="s">
        <v>818</v>
      </c>
      <c r="R733" t="s">
        <v>305</v>
      </c>
      <c r="S733" s="2" t="s">
        <v>304</v>
      </c>
      <c r="T733" s="2" t="s">
        <v>377</v>
      </c>
      <c r="U733" t="s">
        <v>3944</v>
      </c>
      <c r="V733" t="s">
        <v>35</v>
      </c>
      <c r="Z733" t="s">
        <v>34</v>
      </c>
    </row>
    <row r="734" spans="1:26" hidden="1" x14ac:dyDescent="0.25">
      <c r="A734" s="2">
        <f>HYPERLINK(URLs!B36 &amp; 62801,62801)</f>
        <v>62801</v>
      </c>
      <c r="B734" s="2">
        <f>HYPERLINK(URLs!B30 &amp; 7697 &amp; URLs!B32,7697)</f>
        <v>7697</v>
      </c>
      <c r="C734" t="s">
        <v>633</v>
      </c>
      <c r="D734" t="s">
        <v>619</v>
      </c>
      <c r="E734" t="s">
        <v>620</v>
      </c>
      <c r="F734" t="s">
        <v>621</v>
      </c>
      <c r="G734" t="s">
        <v>622</v>
      </c>
      <c r="H734" t="s">
        <v>623</v>
      </c>
      <c r="I734" t="s">
        <v>624</v>
      </c>
      <c r="J734" t="s">
        <v>629</v>
      </c>
      <c r="K734" t="s">
        <v>68</v>
      </c>
      <c r="L734" s="5">
        <v>42163</v>
      </c>
      <c r="M734" s="5">
        <v>42447</v>
      </c>
      <c r="N734" t="s">
        <v>621</v>
      </c>
      <c r="O734" t="s">
        <v>666</v>
      </c>
      <c r="P734" t="s">
        <v>621</v>
      </c>
      <c r="Q734" t="s">
        <v>819</v>
      </c>
      <c r="R734" t="s">
        <v>305</v>
      </c>
      <c r="S734" s="2" t="s">
        <v>304</v>
      </c>
      <c r="T734" s="2" t="s">
        <v>4098</v>
      </c>
      <c r="U734" t="s">
        <v>35</v>
      </c>
      <c r="V734" t="s">
        <v>35</v>
      </c>
      <c r="Z734" t="s">
        <v>73</v>
      </c>
    </row>
    <row r="735" spans="1:26" hidden="1" x14ac:dyDescent="0.25">
      <c r="A735" s="2"/>
      <c r="B735" s="2">
        <f>HYPERLINK(URLs!B30 &amp; 7692 &amp; URLs!B32,7692)</f>
        <v>7692</v>
      </c>
      <c r="C735" t="s">
        <v>665</v>
      </c>
      <c r="D735" t="s">
        <v>619</v>
      </c>
      <c r="E735" t="s">
        <v>850</v>
      </c>
      <c r="F735" t="s">
        <v>621</v>
      </c>
      <c r="G735" t="s">
        <v>962</v>
      </c>
      <c r="H735" t="s">
        <v>887</v>
      </c>
      <c r="I735" t="s">
        <v>624</v>
      </c>
      <c r="J735" t="s">
        <v>629</v>
      </c>
      <c r="L735" s="5">
        <v>42160</v>
      </c>
      <c r="M735" s="5">
        <v>42422</v>
      </c>
      <c r="N735" s="2">
        <f>HYPERLINK(URLs!B36 &amp; 63400,63400)</f>
        <v>63400</v>
      </c>
      <c r="O735" t="s">
        <v>645</v>
      </c>
      <c r="P735" t="s">
        <v>621</v>
      </c>
      <c r="Q735" t="s">
        <v>1188</v>
      </c>
      <c r="S735" s="2"/>
      <c r="T735" s="2"/>
    </row>
    <row r="736" spans="1:26" hidden="1" x14ac:dyDescent="0.25">
      <c r="A736" s="2">
        <f>HYPERLINK(URLs!B36 &amp; 63480,63480)</f>
        <v>63480</v>
      </c>
      <c r="B736" s="2">
        <f>HYPERLINK(URLs!B30 &amp; 7686 &amp; URLs!B32,7686)</f>
        <v>7686</v>
      </c>
      <c r="C736" t="s">
        <v>665</v>
      </c>
      <c r="D736" t="s">
        <v>619</v>
      </c>
      <c r="E736" t="s">
        <v>620</v>
      </c>
      <c r="F736" t="s">
        <v>813</v>
      </c>
      <c r="G736" t="s">
        <v>622</v>
      </c>
      <c r="H736" t="s">
        <v>623</v>
      </c>
      <c r="I736" t="s">
        <v>624</v>
      </c>
      <c r="J736" t="s">
        <v>629</v>
      </c>
      <c r="K736" t="s">
        <v>68</v>
      </c>
      <c r="L736" s="5">
        <v>42159</v>
      </c>
      <c r="M736" s="5">
        <v>42278</v>
      </c>
      <c r="N736" s="2">
        <f>HYPERLINK(URLs!B36 &amp; 63480,63480)</f>
        <v>63480</v>
      </c>
      <c r="O736" t="s">
        <v>666</v>
      </c>
      <c r="P736" t="s">
        <v>621</v>
      </c>
      <c r="Q736" t="s">
        <v>820</v>
      </c>
      <c r="R736" t="s">
        <v>305</v>
      </c>
      <c r="S736" s="2" t="s">
        <v>304</v>
      </c>
      <c r="T736" s="2" t="s">
        <v>4141</v>
      </c>
      <c r="U736" t="s">
        <v>3947</v>
      </c>
      <c r="V736" t="s">
        <v>35</v>
      </c>
      <c r="Z736" t="s">
        <v>73</v>
      </c>
    </row>
    <row r="737" spans="1:26" hidden="1" x14ac:dyDescent="0.25">
      <c r="A737" s="2"/>
      <c r="B737" s="2">
        <f>HYPERLINK(URLs!B30 &amp; 7666 &amp; URLs!B32,7666)</f>
        <v>7666</v>
      </c>
      <c r="C737" t="s">
        <v>633</v>
      </c>
      <c r="D737" t="s">
        <v>619</v>
      </c>
      <c r="E737" t="s">
        <v>850</v>
      </c>
      <c r="F737" t="s">
        <v>621</v>
      </c>
      <c r="G737" t="s">
        <v>889</v>
      </c>
      <c r="H737" t="s">
        <v>890</v>
      </c>
      <c r="I737" t="s">
        <v>624</v>
      </c>
      <c r="J737" t="s">
        <v>642</v>
      </c>
      <c r="L737" s="5">
        <v>42157</v>
      </c>
      <c r="M737" s="5">
        <v>42255</v>
      </c>
      <c r="N737" s="2">
        <f>HYPERLINK(URLs!B36 &amp; 61446,61446)</f>
        <v>61446</v>
      </c>
      <c r="O737" t="s">
        <v>666</v>
      </c>
      <c r="P737" t="s">
        <v>621</v>
      </c>
      <c r="Q737" t="s">
        <v>1189</v>
      </c>
      <c r="S737" s="2"/>
      <c r="T737" s="2"/>
    </row>
    <row r="738" spans="1:26" hidden="1" x14ac:dyDescent="0.25">
      <c r="A738" s="2"/>
      <c r="B738" s="2">
        <f>HYPERLINK(URLs!B30 &amp; 7664 &amp; URLs!B32,7664)</f>
        <v>7664</v>
      </c>
      <c r="C738" t="s">
        <v>665</v>
      </c>
      <c r="D738" t="s">
        <v>619</v>
      </c>
      <c r="E738" t="s">
        <v>850</v>
      </c>
      <c r="F738" t="s">
        <v>621</v>
      </c>
      <c r="G738" t="s">
        <v>889</v>
      </c>
      <c r="H738" t="s">
        <v>890</v>
      </c>
      <c r="I738" t="s">
        <v>624</v>
      </c>
      <c r="J738" t="s">
        <v>625</v>
      </c>
      <c r="L738" s="5">
        <v>42157</v>
      </c>
      <c r="M738" s="5">
        <v>42177</v>
      </c>
      <c r="N738" s="2">
        <f>HYPERLINK(URLs!B36 &amp; 63258,63258)</f>
        <v>63258</v>
      </c>
      <c r="O738" t="s">
        <v>680</v>
      </c>
      <c r="P738" t="s">
        <v>621</v>
      </c>
      <c r="Q738" t="s">
        <v>1190</v>
      </c>
      <c r="R738" t="s">
        <v>305</v>
      </c>
      <c r="S738" s="2"/>
      <c r="T738" s="2"/>
      <c r="W738">
        <v>1</v>
      </c>
    </row>
    <row r="739" spans="1:26" hidden="1" x14ac:dyDescent="0.25">
      <c r="A739" s="2">
        <f>HYPERLINK(URLs!B36 &amp; 63278,63278)</f>
        <v>63278</v>
      </c>
      <c r="B739" s="2">
        <f>HYPERLINK(URLs!B30 &amp; 7657 &amp; URLs!B32,7657)</f>
        <v>7657</v>
      </c>
      <c r="C739" t="s">
        <v>633</v>
      </c>
      <c r="D739" t="s">
        <v>619</v>
      </c>
      <c r="E739" t="s">
        <v>620</v>
      </c>
      <c r="F739" t="s">
        <v>621</v>
      </c>
      <c r="G739" t="s">
        <v>622</v>
      </c>
      <c r="H739" t="s">
        <v>623</v>
      </c>
      <c r="I739" t="s">
        <v>624</v>
      </c>
      <c r="J739" t="s">
        <v>625</v>
      </c>
      <c r="K739" t="s">
        <v>31</v>
      </c>
      <c r="L739" s="5">
        <v>42156</v>
      </c>
      <c r="M739" s="5">
        <v>43175.420844907407</v>
      </c>
      <c r="N739" s="2">
        <f>HYPERLINK(URLs!B36 &amp; 63278,63278)</f>
        <v>63278</v>
      </c>
      <c r="O739" t="s">
        <v>636</v>
      </c>
      <c r="P739" t="s">
        <v>621</v>
      </c>
      <c r="Q739" t="s">
        <v>821</v>
      </c>
      <c r="R739" t="s">
        <v>305</v>
      </c>
      <c r="S739" s="2" t="s">
        <v>304</v>
      </c>
      <c r="T739" s="2" t="s">
        <v>65</v>
      </c>
      <c r="U739" t="s">
        <v>35</v>
      </c>
      <c r="V739" t="s">
        <v>35</v>
      </c>
      <c r="Z739" t="s">
        <v>73</v>
      </c>
    </row>
    <row r="740" spans="1:26" hidden="1" x14ac:dyDescent="0.25">
      <c r="A740" s="2"/>
      <c r="B740" s="2">
        <f>HYPERLINK(URLs!B30 &amp; 7656 &amp; URLs!B32,7656)</f>
        <v>7656</v>
      </c>
      <c r="C740" t="s">
        <v>665</v>
      </c>
      <c r="D740" t="s">
        <v>619</v>
      </c>
      <c r="E740" t="s">
        <v>850</v>
      </c>
      <c r="F740" t="s">
        <v>621</v>
      </c>
      <c r="G740" t="s">
        <v>962</v>
      </c>
      <c r="H740" t="s">
        <v>887</v>
      </c>
      <c r="I740" t="s">
        <v>624</v>
      </c>
      <c r="J740" t="s">
        <v>629</v>
      </c>
      <c r="L740" s="5">
        <v>42156</v>
      </c>
      <c r="M740" s="5">
        <v>42258</v>
      </c>
      <c r="N740" s="2">
        <f>HYPERLINK(URLs!B36 &amp; 63258,63258)</f>
        <v>63258</v>
      </c>
      <c r="O740" t="s">
        <v>666</v>
      </c>
      <c r="P740" t="s">
        <v>621</v>
      </c>
      <c r="Q740" t="s">
        <v>1191</v>
      </c>
      <c r="S740" s="2"/>
      <c r="T740" s="2"/>
      <c r="W740">
        <v>1</v>
      </c>
    </row>
    <row r="741" spans="1:26" hidden="1" x14ac:dyDescent="0.25">
      <c r="A741" s="2">
        <f>HYPERLINK(URLs!B36 &amp; 50530,50530)</f>
        <v>50530</v>
      </c>
      <c r="B741" s="2">
        <f>HYPERLINK(URLs!B30 &amp; 7646 &amp; URLs!B32,7646)</f>
        <v>7646</v>
      </c>
      <c r="C741" t="s">
        <v>665</v>
      </c>
      <c r="D741" t="s">
        <v>619</v>
      </c>
      <c r="E741" t="s">
        <v>850</v>
      </c>
      <c r="F741" t="s">
        <v>621</v>
      </c>
      <c r="G741" t="s">
        <v>624</v>
      </c>
      <c r="H741" t="s">
        <v>715</v>
      </c>
      <c r="I741" t="s">
        <v>624</v>
      </c>
      <c r="J741" t="s">
        <v>629</v>
      </c>
      <c r="K741" t="s">
        <v>31</v>
      </c>
      <c r="L741" s="5">
        <v>42153</v>
      </c>
      <c r="M741" s="5">
        <v>43117.686111111114</v>
      </c>
      <c r="N741" s="2">
        <f>HYPERLINK(URLs!B36 &amp; 63550,63550)</f>
        <v>63550</v>
      </c>
      <c r="O741" t="s">
        <v>636</v>
      </c>
      <c r="P741" t="s">
        <v>621</v>
      </c>
      <c r="Q741" t="s">
        <v>1192</v>
      </c>
      <c r="R741" t="s">
        <v>305</v>
      </c>
      <c r="S741" s="2" t="s">
        <v>304</v>
      </c>
      <c r="T741" s="2" t="s">
        <v>4098</v>
      </c>
      <c r="U741" t="s">
        <v>35</v>
      </c>
      <c r="V741" t="s">
        <v>35</v>
      </c>
      <c r="W741">
        <v>1</v>
      </c>
      <c r="Z741" t="s">
        <v>34</v>
      </c>
    </row>
    <row r="742" spans="1:26" hidden="1" x14ac:dyDescent="0.25">
      <c r="A742" s="2"/>
      <c r="B742" s="2">
        <f>HYPERLINK(URLs!B30 &amp; 7394 &amp; URLs!B32,7394)</f>
        <v>7394</v>
      </c>
      <c r="C742" t="s">
        <v>665</v>
      </c>
      <c r="D742" t="s">
        <v>619</v>
      </c>
      <c r="E742" t="s">
        <v>850</v>
      </c>
      <c r="F742" t="s">
        <v>621</v>
      </c>
      <c r="G742" t="s">
        <v>867</v>
      </c>
      <c r="H742" t="s">
        <v>868</v>
      </c>
      <c r="I742" t="s">
        <v>624</v>
      </c>
      <c r="J742" t="s">
        <v>629</v>
      </c>
      <c r="L742" s="5">
        <v>42153</v>
      </c>
      <c r="M742" s="5">
        <v>42310</v>
      </c>
      <c r="N742" s="2">
        <f>HYPERLINK(URLs!B36 &amp; 63384,63384)</f>
        <v>63384</v>
      </c>
      <c r="O742" t="s">
        <v>666</v>
      </c>
      <c r="P742" t="s">
        <v>621</v>
      </c>
      <c r="Q742" t="s">
        <v>1193</v>
      </c>
      <c r="R742" t="s">
        <v>305</v>
      </c>
      <c r="S742" s="2"/>
      <c r="T742" s="2"/>
    </row>
    <row r="743" spans="1:26" hidden="1" x14ac:dyDescent="0.25">
      <c r="A743" s="2"/>
      <c r="B743" s="2">
        <f>HYPERLINK(URLs!B30 &amp; 7366 &amp; URLs!B32,7366)</f>
        <v>7366</v>
      </c>
      <c r="C743" t="s">
        <v>665</v>
      </c>
      <c r="D743" t="s">
        <v>619</v>
      </c>
      <c r="E743" t="s">
        <v>850</v>
      </c>
      <c r="F743" t="s">
        <v>621</v>
      </c>
      <c r="G743" t="s">
        <v>867</v>
      </c>
      <c r="H743" t="s">
        <v>868</v>
      </c>
      <c r="I743" t="s">
        <v>624</v>
      </c>
      <c r="J743" t="s">
        <v>629</v>
      </c>
      <c r="L743" s="5">
        <v>42151</v>
      </c>
      <c r="M743" s="5">
        <v>42258</v>
      </c>
      <c r="N743" s="2">
        <f>HYPERLINK(URLs!B36 &amp; 63105,63105)</f>
        <v>63105</v>
      </c>
      <c r="O743" t="s">
        <v>666</v>
      </c>
      <c r="P743" t="s">
        <v>621</v>
      </c>
      <c r="Q743" t="s">
        <v>1194</v>
      </c>
      <c r="S743" s="2"/>
      <c r="T743" s="2"/>
    </row>
    <row r="744" spans="1:26" hidden="1" x14ac:dyDescent="0.25">
      <c r="A744" s="2">
        <f>HYPERLINK(URLs!B36 &amp; 62808,62808)</f>
        <v>62808</v>
      </c>
      <c r="B744" s="2">
        <f>HYPERLINK(URLs!B30 &amp; 7342 &amp; URLs!B32,7342)</f>
        <v>7342</v>
      </c>
      <c r="C744" t="s">
        <v>633</v>
      </c>
      <c r="D744" t="s">
        <v>619</v>
      </c>
      <c r="E744" t="s">
        <v>620</v>
      </c>
      <c r="F744" t="s">
        <v>813</v>
      </c>
      <c r="G744" t="s">
        <v>643</v>
      </c>
      <c r="H744" t="s">
        <v>644</v>
      </c>
      <c r="I744" t="s">
        <v>624</v>
      </c>
      <c r="J744" t="s">
        <v>625</v>
      </c>
      <c r="K744" t="s">
        <v>31</v>
      </c>
      <c r="L744" s="5">
        <v>42145</v>
      </c>
      <c r="M744" s="5">
        <v>42278</v>
      </c>
      <c r="N744" s="2">
        <f>HYPERLINK(URLs!B36 &amp; 62808,62808)</f>
        <v>62808</v>
      </c>
      <c r="O744" t="s">
        <v>666</v>
      </c>
      <c r="P744" t="s">
        <v>621</v>
      </c>
      <c r="Q744" t="s">
        <v>822</v>
      </c>
      <c r="R744" t="s">
        <v>305</v>
      </c>
      <c r="S744" s="2" t="s">
        <v>304</v>
      </c>
      <c r="T744" s="2" t="s">
        <v>65</v>
      </c>
      <c r="U744" t="s">
        <v>3934</v>
      </c>
      <c r="V744" t="s">
        <v>35</v>
      </c>
      <c r="Z744" t="s">
        <v>45</v>
      </c>
    </row>
    <row r="745" spans="1:26" hidden="1" x14ac:dyDescent="0.25">
      <c r="A745" s="2"/>
      <c r="B745" s="2">
        <f>HYPERLINK(URLs!B30 &amp; 7335 &amp; URLs!B32,7335)</f>
        <v>7335</v>
      </c>
      <c r="C745" t="s">
        <v>633</v>
      </c>
      <c r="D745" t="s">
        <v>619</v>
      </c>
      <c r="E745" t="s">
        <v>850</v>
      </c>
      <c r="F745" t="s">
        <v>621</v>
      </c>
      <c r="G745" t="s">
        <v>962</v>
      </c>
      <c r="H745" t="s">
        <v>887</v>
      </c>
      <c r="I745" t="s">
        <v>624</v>
      </c>
      <c r="J745" t="s">
        <v>629</v>
      </c>
      <c r="L745" s="5">
        <v>42144</v>
      </c>
      <c r="M745" s="5">
        <v>42674</v>
      </c>
      <c r="N745" s="2">
        <f>HYPERLINK(URLs!B36 &amp; 63103,63103)</f>
        <v>63103</v>
      </c>
      <c r="O745" t="s">
        <v>666</v>
      </c>
      <c r="P745" t="s">
        <v>621</v>
      </c>
      <c r="Q745" t="s">
        <v>1195</v>
      </c>
      <c r="S745" s="2"/>
      <c r="T745" s="2"/>
    </row>
    <row r="746" spans="1:26" hidden="1" x14ac:dyDescent="0.25">
      <c r="A746" s="2"/>
      <c r="B746" s="2">
        <f>HYPERLINK(URLs!B30 &amp; 7324 &amp; URLs!B32,7324)</f>
        <v>7324</v>
      </c>
      <c r="C746" t="s">
        <v>633</v>
      </c>
      <c r="D746" t="s">
        <v>619</v>
      </c>
      <c r="E746" t="s">
        <v>850</v>
      </c>
      <c r="F746" t="s">
        <v>621</v>
      </c>
      <c r="G746" t="s">
        <v>867</v>
      </c>
      <c r="H746" t="s">
        <v>868</v>
      </c>
      <c r="I746" t="s">
        <v>624</v>
      </c>
      <c r="J746" t="s">
        <v>642</v>
      </c>
      <c r="L746" s="5">
        <v>42143</v>
      </c>
      <c r="M746" s="5">
        <v>42255</v>
      </c>
      <c r="N746" s="2">
        <f>HYPERLINK(URLs!B36 &amp; 62683,62683)</f>
        <v>62683</v>
      </c>
      <c r="O746" t="s">
        <v>666</v>
      </c>
      <c r="P746" t="s">
        <v>621</v>
      </c>
      <c r="Q746" t="s">
        <v>1196</v>
      </c>
      <c r="S746" s="2"/>
      <c r="T746" s="2"/>
      <c r="W746">
        <v>1</v>
      </c>
    </row>
    <row r="747" spans="1:26" hidden="1" x14ac:dyDescent="0.25">
      <c r="A747" s="2">
        <f>HYPERLINK(URLs!B36 &amp; 61232,61232)</f>
        <v>61232</v>
      </c>
      <c r="B747" s="2">
        <f>HYPERLINK(URLs!B30 &amp; 7298 &amp; URLs!B32,7298)</f>
        <v>7298</v>
      </c>
      <c r="C747" t="s">
        <v>665</v>
      </c>
      <c r="D747" t="s">
        <v>619</v>
      </c>
      <c r="E747" t="s">
        <v>850</v>
      </c>
      <c r="F747" t="s">
        <v>621</v>
      </c>
      <c r="G747" t="s">
        <v>624</v>
      </c>
      <c r="H747" t="s">
        <v>715</v>
      </c>
      <c r="I747" t="s">
        <v>624</v>
      </c>
      <c r="J747" t="s">
        <v>625</v>
      </c>
      <c r="K747" t="s">
        <v>31</v>
      </c>
      <c r="L747" s="5">
        <v>42139</v>
      </c>
      <c r="M747" s="5">
        <v>42258</v>
      </c>
      <c r="N747" s="2">
        <f>HYPERLINK(URLs!B36 &amp; 61452,61452)</f>
        <v>61452</v>
      </c>
      <c r="O747" t="s">
        <v>666</v>
      </c>
      <c r="P747" t="s">
        <v>621</v>
      </c>
      <c r="Q747" t="s">
        <v>1197</v>
      </c>
      <c r="R747" t="s">
        <v>305</v>
      </c>
      <c r="S747" s="2" t="s">
        <v>304</v>
      </c>
      <c r="T747" s="2" t="s">
        <v>2708</v>
      </c>
      <c r="U747" t="s">
        <v>35</v>
      </c>
      <c r="V747" t="s">
        <v>35</v>
      </c>
      <c r="Z747" t="s">
        <v>73</v>
      </c>
    </row>
    <row r="748" spans="1:26" hidden="1" x14ac:dyDescent="0.25">
      <c r="A748" s="2"/>
      <c r="B748" s="2">
        <f>HYPERLINK(URLs!B30 &amp; 7293 &amp; URLs!B32,7293)</f>
        <v>7293</v>
      </c>
      <c r="C748" t="s">
        <v>665</v>
      </c>
      <c r="D748" t="s">
        <v>619</v>
      </c>
      <c r="E748" t="s">
        <v>850</v>
      </c>
      <c r="F748" t="s">
        <v>621</v>
      </c>
      <c r="G748" t="s">
        <v>889</v>
      </c>
      <c r="H748" t="s">
        <v>890</v>
      </c>
      <c r="I748" t="s">
        <v>624</v>
      </c>
      <c r="J748" t="s">
        <v>642</v>
      </c>
      <c r="L748" s="5">
        <v>42138</v>
      </c>
      <c r="M748" s="5">
        <v>42177</v>
      </c>
      <c r="N748" t="s">
        <v>621</v>
      </c>
      <c r="O748" t="s">
        <v>645</v>
      </c>
      <c r="P748" t="s">
        <v>621</v>
      </c>
      <c r="Q748" t="s">
        <v>1198</v>
      </c>
      <c r="R748" t="s">
        <v>305</v>
      </c>
      <c r="S748" s="2"/>
      <c r="T748" s="2"/>
      <c r="W748">
        <v>1</v>
      </c>
    </row>
    <row r="749" spans="1:26" hidden="1" x14ac:dyDescent="0.25">
      <c r="A749" s="2"/>
      <c r="B749" s="2">
        <f>HYPERLINK(URLs!B30 &amp; 7286 &amp; URLs!B32,7286)</f>
        <v>7286</v>
      </c>
      <c r="C749" t="s">
        <v>665</v>
      </c>
      <c r="D749" t="s">
        <v>619</v>
      </c>
      <c r="E749" t="s">
        <v>850</v>
      </c>
      <c r="F749" t="s">
        <v>621</v>
      </c>
      <c r="G749" t="s">
        <v>875</v>
      </c>
      <c r="H749" t="s">
        <v>876</v>
      </c>
      <c r="I749" t="s">
        <v>624</v>
      </c>
      <c r="J749" t="s">
        <v>629</v>
      </c>
      <c r="L749" s="5">
        <v>42138</v>
      </c>
      <c r="M749" s="5">
        <v>42258</v>
      </c>
      <c r="N749" s="2">
        <f>HYPERLINK(URLs!B36 &amp; 60933,60933)</f>
        <v>60933</v>
      </c>
      <c r="O749" t="s">
        <v>666</v>
      </c>
      <c r="P749" t="s">
        <v>621</v>
      </c>
      <c r="Q749" t="s">
        <v>1199</v>
      </c>
      <c r="S749" s="2"/>
      <c r="T749" s="2"/>
      <c r="W749">
        <v>1</v>
      </c>
    </row>
    <row r="750" spans="1:26" hidden="1" x14ac:dyDescent="0.25">
      <c r="A750" s="2"/>
      <c r="B750" s="2">
        <f>HYPERLINK(URLs!B30 &amp; 7277 &amp; URLs!B32,7277)</f>
        <v>7277</v>
      </c>
      <c r="C750" t="s">
        <v>633</v>
      </c>
      <c r="D750" t="s">
        <v>619</v>
      </c>
      <c r="E750" t="s">
        <v>850</v>
      </c>
      <c r="F750" t="s">
        <v>621</v>
      </c>
      <c r="G750" t="s">
        <v>1165</v>
      </c>
      <c r="H750" t="s">
        <v>1166</v>
      </c>
      <c r="I750" t="s">
        <v>624</v>
      </c>
      <c r="J750" t="s">
        <v>629</v>
      </c>
      <c r="L750" s="5">
        <v>42137</v>
      </c>
      <c r="M750" s="5">
        <v>42258</v>
      </c>
      <c r="N750" s="2">
        <f>HYPERLINK(URLs!B36 &amp; 56594,56594)</f>
        <v>56594</v>
      </c>
      <c r="O750" t="s">
        <v>666</v>
      </c>
      <c r="P750" t="s">
        <v>621</v>
      </c>
      <c r="Q750" t="s">
        <v>1200</v>
      </c>
      <c r="S750" s="2"/>
      <c r="T750" s="2"/>
    </row>
    <row r="751" spans="1:26" hidden="1" x14ac:dyDescent="0.25">
      <c r="A751" s="2">
        <f>HYPERLINK(URLs!B36 &amp; 62222,62222)</f>
        <v>62222</v>
      </c>
      <c r="B751" s="2">
        <f>HYPERLINK(URLs!B30 &amp; 7273 &amp; URLs!B32,7273)</f>
        <v>7273</v>
      </c>
      <c r="C751" t="s">
        <v>665</v>
      </c>
      <c r="D751" t="s">
        <v>619</v>
      </c>
      <c r="E751" t="s">
        <v>850</v>
      </c>
      <c r="F751" t="s">
        <v>621</v>
      </c>
      <c r="G751" t="s">
        <v>851</v>
      </c>
      <c r="H751" t="s">
        <v>852</v>
      </c>
      <c r="I751" t="s">
        <v>624</v>
      </c>
      <c r="J751" t="s">
        <v>629</v>
      </c>
      <c r="K751" t="s">
        <v>31</v>
      </c>
      <c r="L751" s="5">
        <v>42136</v>
      </c>
      <c r="M751" s="5">
        <v>42255</v>
      </c>
      <c r="N751" s="2">
        <f>HYPERLINK(URLs!B36 &amp; 62264,62264)</f>
        <v>62264</v>
      </c>
      <c r="O751" t="s">
        <v>666</v>
      </c>
      <c r="P751" t="s">
        <v>621</v>
      </c>
      <c r="Q751" t="s">
        <v>1201</v>
      </c>
      <c r="R751" t="s">
        <v>305</v>
      </c>
      <c r="S751" s="2" t="s">
        <v>304</v>
      </c>
      <c r="T751" s="2" t="s">
        <v>4169</v>
      </c>
      <c r="U751" t="s">
        <v>35</v>
      </c>
      <c r="V751" t="s">
        <v>35</v>
      </c>
      <c r="Z751" t="s">
        <v>73</v>
      </c>
    </row>
    <row r="752" spans="1:26" hidden="1" x14ac:dyDescent="0.25">
      <c r="A752" s="2">
        <f>HYPERLINK(URLs!B36 &amp; 62176,62176)</f>
        <v>62176</v>
      </c>
      <c r="B752" s="2">
        <f>HYPERLINK(URLs!B30 &amp; 7270 &amp; URLs!B32,7270)</f>
        <v>7270</v>
      </c>
      <c r="C752" t="s">
        <v>633</v>
      </c>
      <c r="D752" t="s">
        <v>619</v>
      </c>
      <c r="E752" t="s">
        <v>620</v>
      </c>
      <c r="F752" t="s">
        <v>813</v>
      </c>
      <c r="G752" t="s">
        <v>631</v>
      </c>
      <c r="H752" t="s">
        <v>632</v>
      </c>
      <c r="I752" t="s">
        <v>624</v>
      </c>
      <c r="J752" t="s">
        <v>629</v>
      </c>
      <c r="K752" t="s">
        <v>31</v>
      </c>
      <c r="L752" s="5">
        <v>42136</v>
      </c>
      <c r="M752" s="5">
        <v>42278</v>
      </c>
      <c r="N752" s="2">
        <f>HYPERLINK(URLs!B36 &amp; 62176,62176)</f>
        <v>62176</v>
      </c>
      <c r="O752" t="s">
        <v>666</v>
      </c>
      <c r="P752" t="s">
        <v>621</v>
      </c>
      <c r="Q752" t="s">
        <v>823</v>
      </c>
      <c r="R752" t="s">
        <v>305</v>
      </c>
      <c r="S752" s="2" t="s">
        <v>304</v>
      </c>
      <c r="T752" s="2" t="s">
        <v>61</v>
      </c>
      <c r="U752" t="s">
        <v>3946</v>
      </c>
      <c r="V752" t="s">
        <v>35</v>
      </c>
      <c r="Z752" t="s">
        <v>408</v>
      </c>
    </row>
    <row r="753" spans="1:26" hidden="1" x14ac:dyDescent="0.25">
      <c r="A753" s="2"/>
      <c r="B753" s="2">
        <f>HYPERLINK(URLs!B30 &amp; 7244 &amp; URLs!B32,7244)</f>
        <v>7244</v>
      </c>
      <c r="C753" t="s">
        <v>665</v>
      </c>
      <c r="D753" t="s">
        <v>619</v>
      </c>
      <c r="E753" t="s">
        <v>850</v>
      </c>
      <c r="F753" t="s">
        <v>621</v>
      </c>
      <c r="G753" t="s">
        <v>1165</v>
      </c>
      <c r="H753" t="s">
        <v>1166</v>
      </c>
      <c r="I753" t="s">
        <v>624</v>
      </c>
      <c r="J753" t="s">
        <v>629</v>
      </c>
      <c r="L753" s="5">
        <v>42132</v>
      </c>
      <c r="M753" s="5">
        <v>42258</v>
      </c>
      <c r="N753" s="2">
        <f>HYPERLINK(URLs!B36 &amp; 61674,61674)</f>
        <v>61674</v>
      </c>
      <c r="O753" t="s">
        <v>666</v>
      </c>
      <c r="P753" t="s">
        <v>621</v>
      </c>
      <c r="Q753" t="s">
        <v>1202</v>
      </c>
      <c r="S753" s="2"/>
      <c r="T753" s="2"/>
    </row>
    <row r="754" spans="1:26" hidden="1" x14ac:dyDescent="0.25">
      <c r="A754" s="2"/>
      <c r="B754" s="2">
        <f>HYPERLINK(URLs!B30 &amp; 7213 &amp; URLs!B32,7213)</f>
        <v>7213</v>
      </c>
      <c r="C754" t="s">
        <v>633</v>
      </c>
      <c r="D754" t="s">
        <v>619</v>
      </c>
      <c r="E754" t="s">
        <v>850</v>
      </c>
      <c r="F754" t="s">
        <v>621</v>
      </c>
      <c r="G754" t="s">
        <v>1165</v>
      </c>
      <c r="H754" t="s">
        <v>1166</v>
      </c>
      <c r="I754" t="s">
        <v>624</v>
      </c>
      <c r="J754" t="s">
        <v>642</v>
      </c>
      <c r="L754" s="5">
        <v>42128</v>
      </c>
      <c r="M754" s="5">
        <v>42635</v>
      </c>
      <c r="N754" s="2">
        <f>HYPERLINK(URLs!B36 &amp; 60344,60344)</f>
        <v>60344</v>
      </c>
      <c r="O754" t="s">
        <v>666</v>
      </c>
      <c r="P754" t="s">
        <v>621</v>
      </c>
      <c r="Q754" t="s">
        <v>1203</v>
      </c>
      <c r="S754" s="2"/>
      <c r="T754" s="2"/>
    </row>
    <row r="755" spans="1:26" hidden="1" x14ac:dyDescent="0.25">
      <c r="A755" s="2">
        <f>HYPERLINK(URLs!B36 &amp; 61543,61543)</f>
        <v>61543</v>
      </c>
      <c r="B755" s="2">
        <f>HYPERLINK(URLs!B30 &amp; 7211 &amp; URLs!B32,7211)</f>
        <v>7211</v>
      </c>
      <c r="C755" t="s">
        <v>633</v>
      </c>
      <c r="D755" t="s">
        <v>619</v>
      </c>
      <c r="E755" t="s">
        <v>620</v>
      </c>
      <c r="F755" t="s">
        <v>813</v>
      </c>
      <c r="G755" t="s">
        <v>824</v>
      </c>
      <c r="H755" t="s">
        <v>825</v>
      </c>
      <c r="I755" t="s">
        <v>624</v>
      </c>
      <c r="J755" t="s">
        <v>625</v>
      </c>
      <c r="K755" t="s">
        <v>31</v>
      </c>
      <c r="L755" s="5">
        <v>42128</v>
      </c>
      <c r="M755" s="5">
        <v>42278</v>
      </c>
      <c r="N755" s="2">
        <f>HYPERLINK(URLs!B36 &amp; 61543,61543)</f>
        <v>61543</v>
      </c>
      <c r="O755" t="s">
        <v>666</v>
      </c>
      <c r="P755" t="s">
        <v>621</v>
      </c>
      <c r="Q755" t="s">
        <v>826</v>
      </c>
      <c r="R755" t="s">
        <v>305</v>
      </c>
      <c r="S755" s="2" t="s">
        <v>304</v>
      </c>
      <c r="T755" s="2" t="s">
        <v>47</v>
      </c>
      <c r="U755" t="s">
        <v>3942</v>
      </c>
      <c r="V755" t="s">
        <v>35</v>
      </c>
      <c r="Z755" t="s">
        <v>73</v>
      </c>
    </row>
    <row r="756" spans="1:26" hidden="1" x14ac:dyDescent="0.25">
      <c r="A756" s="2"/>
      <c r="B756" s="2">
        <f>HYPERLINK(URLs!B30 &amp; 7178 &amp; URLs!B32,7178)</f>
        <v>7178</v>
      </c>
      <c r="C756" t="s">
        <v>665</v>
      </c>
      <c r="D756" t="s">
        <v>619</v>
      </c>
      <c r="E756" t="s">
        <v>850</v>
      </c>
      <c r="F756" t="s">
        <v>621</v>
      </c>
      <c r="G756" t="s">
        <v>962</v>
      </c>
      <c r="H756" t="s">
        <v>887</v>
      </c>
      <c r="I756" t="s">
        <v>624</v>
      </c>
      <c r="J756" t="s">
        <v>625</v>
      </c>
      <c r="L756" s="5">
        <v>42123</v>
      </c>
      <c r="M756" s="5">
        <v>42258</v>
      </c>
      <c r="N756" s="2">
        <f>HYPERLINK(URLs!B36 &amp; 61787,61787)</f>
        <v>61787</v>
      </c>
      <c r="O756" t="s">
        <v>666</v>
      </c>
      <c r="P756" t="s">
        <v>621</v>
      </c>
      <c r="Q756" t="s">
        <v>1204</v>
      </c>
      <c r="R756" t="s">
        <v>305</v>
      </c>
      <c r="S756" s="2"/>
      <c r="T756" s="2"/>
    </row>
    <row r="757" spans="1:26" hidden="1" x14ac:dyDescent="0.25">
      <c r="A757" s="2"/>
      <c r="B757" s="2">
        <f>HYPERLINK(URLs!B30 &amp; 7139 &amp; URLs!B32,7139)</f>
        <v>7139</v>
      </c>
      <c r="C757" t="s">
        <v>633</v>
      </c>
      <c r="D757" t="s">
        <v>619</v>
      </c>
      <c r="E757" t="s">
        <v>850</v>
      </c>
      <c r="F757" t="s">
        <v>621</v>
      </c>
      <c r="G757" t="s">
        <v>962</v>
      </c>
      <c r="H757" t="s">
        <v>887</v>
      </c>
      <c r="I757" t="s">
        <v>624</v>
      </c>
      <c r="J757" t="s">
        <v>642</v>
      </c>
      <c r="L757" s="5">
        <v>42117</v>
      </c>
      <c r="M757" s="5">
        <v>42261</v>
      </c>
      <c r="N757" t="s">
        <v>621</v>
      </c>
      <c r="O757" t="s">
        <v>645</v>
      </c>
      <c r="P757" t="s">
        <v>621</v>
      </c>
      <c r="Q757" t="s">
        <v>1205</v>
      </c>
      <c r="S757" s="2"/>
      <c r="T757" s="2"/>
    </row>
    <row r="758" spans="1:26" hidden="1" x14ac:dyDescent="0.25">
      <c r="A758" s="2"/>
      <c r="B758" s="2">
        <f>HYPERLINK(URLs!B30 &amp; 7086 &amp; URLs!B32,7086)</f>
        <v>7086</v>
      </c>
      <c r="C758" t="s">
        <v>633</v>
      </c>
      <c r="D758" t="s">
        <v>619</v>
      </c>
      <c r="E758" t="s">
        <v>850</v>
      </c>
      <c r="F758" t="s">
        <v>621</v>
      </c>
      <c r="G758" t="s">
        <v>1165</v>
      </c>
      <c r="H758" t="s">
        <v>1166</v>
      </c>
      <c r="I758" t="s">
        <v>624</v>
      </c>
      <c r="J758" t="s">
        <v>642</v>
      </c>
      <c r="L758" s="5">
        <v>42110</v>
      </c>
      <c r="M758" s="5">
        <v>42258</v>
      </c>
      <c r="N758" t="s">
        <v>621</v>
      </c>
      <c r="O758" t="s">
        <v>666</v>
      </c>
      <c r="P758" t="s">
        <v>621</v>
      </c>
      <c r="Q758" t="s">
        <v>1206</v>
      </c>
      <c r="R758" t="s">
        <v>305</v>
      </c>
      <c r="S758" s="2"/>
      <c r="T758" s="2"/>
    </row>
    <row r="759" spans="1:26" hidden="1" x14ac:dyDescent="0.25">
      <c r="A759" s="2"/>
      <c r="B759" s="2">
        <f>HYPERLINK(URLs!B30 &amp; 7084 &amp; URLs!B32,7084)</f>
        <v>7084</v>
      </c>
      <c r="C759" t="s">
        <v>665</v>
      </c>
      <c r="D759" t="s">
        <v>619</v>
      </c>
      <c r="E759" t="s">
        <v>850</v>
      </c>
      <c r="F759" t="s">
        <v>621</v>
      </c>
      <c r="G759" t="s">
        <v>787</v>
      </c>
      <c r="H759" t="s">
        <v>788</v>
      </c>
      <c r="I759" t="s">
        <v>624</v>
      </c>
      <c r="J759" t="s">
        <v>625</v>
      </c>
      <c r="L759" s="5">
        <v>42110</v>
      </c>
      <c r="M759" s="5">
        <v>42258</v>
      </c>
      <c r="N759" s="2">
        <f>HYPERLINK(URLs!B36 &amp; 63634,63634)</f>
        <v>63634</v>
      </c>
      <c r="O759" t="s">
        <v>666</v>
      </c>
      <c r="P759" t="s">
        <v>621</v>
      </c>
      <c r="Q759" t="s">
        <v>1207</v>
      </c>
      <c r="S759" s="2"/>
      <c r="T759" s="2"/>
    </row>
    <row r="760" spans="1:26" hidden="1" x14ac:dyDescent="0.25">
      <c r="A760" s="2"/>
      <c r="B760" s="2">
        <f>HYPERLINK(URLs!B30 &amp; 7082 &amp; URLs!B32,7082)</f>
        <v>7082</v>
      </c>
      <c r="C760" t="s">
        <v>665</v>
      </c>
      <c r="D760" t="s">
        <v>619</v>
      </c>
      <c r="E760" t="s">
        <v>850</v>
      </c>
      <c r="F760" t="s">
        <v>621</v>
      </c>
      <c r="G760" t="s">
        <v>1165</v>
      </c>
      <c r="H760" t="s">
        <v>1166</v>
      </c>
      <c r="I760" t="s">
        <v>624</v>
      </c>
      <c r="J760" t="s">
        <v>629</v>
      </c>
      <c r="L760" s="5">
        <v>42110</v>
      </c>
      <c r="M760" s="5">
        <v>42635</v>
      </c>
      <c r="N760" s="2">
        <f>HYPERLINK(URLs!B36 &amp; 54586,54586)</f>
        <v>54586</v>
      </c>
      <c r="O760" t="s">
        <v>666</v>
      </c>
      <c r="P760" t="s">
        <v>621</v>
      </c>
      <c r="Q760" t="s">
        <v>1208</v>
      </c>
      <c r="S760" s="2"/>
      <c r="T760" s="2"/>
    </row>
    <row r="761" spans="1:26" hidden="1" x14ac:dyDescent="0.25">
      <c r="A761" s="2">
        <f>HYPERLINK(URLs!B36 &amp; 59294,59294)</f>
        <v>59294</v>
      </c>
      <c r="B761" s="2">
        <f>HYPERLINK(URLs!B30 &amp; 7044 &amp; URLs!B32,7044)</f>
        <v>7044</v>
      </c>
      <c r="C761" t="s">
        <v>665</v>
      </c>
      <c r="D761" t="s">
        <v>619</v>
      </c>
      <c r="E761" t="s">
        <v>850</v>
      </c>
      <c r="F761" t="s">
        <v>621</v>
      </c>
      <c r="G761" t="s">
        <v>867</v>
      </c>
      <c r="H761" t="s">
        <v>868</v>
      </c>
      <c r="I761" t="s">
        <v>624</v>
      </c>
      <c r="J761" t="s">
        <v>625</v>
      </c>
      <c r="K761" t="s">
        <v>31</v>
      </c>
      <c r="L761" s="5">
        <v>42104</v>
      </c>
      <c r="M761" s="5">
        <v>42258</v>
      </c>
      <c r="N761" s="2">
        <f>HYPERLINK(URLs!B36 &amp; 59333,59333)</f>
        <v>59333</v>
      </c>
      <c r="O761" t="s">
        <v>666</v>
      </c>
      <c r="P761" t="s">
        <v>621</v>
      </c>
      <c r="Q761" t="s">
        <v>1209</v>
      </c>
      <c r="R761" t="s">
        <v>305</v>
      </c>
      <c r="S761" s="2" t="s">
        <v>304</v>
      </c>
      <c r="T761" s="2" t="s">
        <v>4169</v>
      </c>
      <c r="U761" t="s">
        <v>35</v>
      </c>
      <c r="V761" t="s">
        <v>321</v>
      </c>
      <c r="W761">
        <v>1</v>
      </c>
      <c r="Z761" t="s">
        <v>96</v>
      </c>
    </row>
    <row r="762" spans="1:26" hidden="1" x14ac:dyDescent="0.25">
      <c r="A762" s="2"/>
      <c r="B762" s="2">
        <f>HYPERLINK(URLs!B30 &amp; 7029 &amp; URLs!B32,7029)</f>
        <v>7029</v>
      </c>
      <c r="C762" t="s">
        <v>633</v>
      </c>
      <c r="D762" t="s">
        <v>619</v>
      </c>
      <c r="E762" t="s">
        <v>850</v>
      </c>
      <c r="F762" t="s">
        <v>621</v>
      </c>
      <c r="G762" t="s">
        <v>1165</v>
      </c>
      <c r="H762" t="s">
        <v>1166</v>
      </c>
      <c r="I762" t="s">
        <v>624</v>
      </c>
      <c r="J762" t="s">
        <v>642</v>
      </c>
      <c r="L762" s="5">
        <v>42102</v>
      </c>
      <c r="M762" s="5">
        <v>42258</v>
      </c>
      <c r="N762" s="2">
        <f>HYPERLINK(URLs!B36 &amp; 60028,60028)</f>
        <v>60028</v>
      </c>
      <c r="O762" t="s">
        <v>666</v>
      </c>
      <c r="P762" t="s">
        <v>621</v>
      </c>
      <c r="Q762" t="s">
        <v>1210</v>
      </c>
      <c r="R762" t="s">
        <v>305</v>
      </c>
      <c r="S762" s="2"/>
      <c r="T762" s="2"/>
    </row>
    <row r="763" spans="1:26" hidden="1" x14ac:dyDescent="0.25">
      <c r="A763" s="2"/>
      <c r="B763" s="2">
        <f>HYPERLINK(URLs!B30 &amp; 6994 &amp; URLs!B32,6994)</f>
        <v>6994</v>
      </c>
      <c r="C763" t="s">
        <v>665</v>
      </c>
      <c r="D763" t="s">
        <v>619</v>
      </c>
      <c r="E763" t="s">
        <v>850</v>
      </c>
      <c r="F763" t="s">
        <v>621</v>
      </c>
      <c r="G763" t="s">
        <v>962</v>
      </c>
      <c r="H763" t="s">
        <v>887</v>
      </c>
      <c r="I763" t="s">
        <v>624</v>
      </c>
      <c r="J763" t="s">
        <v>642</v>
      </c>
      <c r="L763" s="5">
        <v>42097</v>
      </c>
      <c r="M763" s="5">
        <v>43241.509027777778</v>
      </c>
      <c r="N763" s="2">
        <f>HYPERLINK(URLs!B36 &amp; 107854,107854)</f>
        <v>107854</v>
      </c>
      <c r="O763" t="s">
        <v>666</v>
      </c>
      <c r="P763" t="s">
        <v>621</v>
      </c>
      <c r="Q763" t="s">
        <v>1211</v>
      </c>
      <c r="R763" t="s">
        <v>305</v>
      </c>
      <c r="S763" s="2"/>
      <c r="T763" s="2"/>
    </row>
    <row r="764" spans="1:26" hidden="1" x14ac:dyDescent="0.25">
      <c r="A764" s="2"/>
      <c r="B764" s="2">
        <f>HYPERLINK(URLs!B30 &amp; 6993 &amp; URLs!B32,6993)</f>
        <v>6993</v>
      </c>
      <c r="C764" t="s">
        <v>633</v>
      </c>
      <c r="D764" t="s">
        <v>619</v>
      </c>
      <c r="E764" t="s">
        <v>850</v>
      </c>
      <c r="F764" t="s">
        <v>621</v>
      </c>
      <c r="G764" t="s">
        <v>962</v>
      </c>
      <c r="H764" t="s">
        <v>887</v>
      </c>
      <c r="I764" t="s">
        <v>624</v>
      </c>
      <c r="J764" t="s">
        <v>642</v>
      </c>
      <c r="L764" s="5">
        <v>42097</v>
      </c>
      <c r="M764" s="5">
        <v>42306</v>
      </c>
      <c r="N764" s="2">
        <f>HYPERLINK(URLs!B36 &amp; 60254,60254)</f>
        <v>60254</v>
      </c>
      <c r="O764" t="s">
        <v>666</v>
      </c>
      <c r="P764" t="s">
        <v>621</v>
      </c>
      <c r="Q764" t="s">
        <v>1212</v>
      </c>
      <c r="R764" t="s">
        <v>305</v>
      </c>
      <c r="S764" s="2"/>
      <c r="T764" s="2"/>
    </row>
    <row r="765" spans="1:26" hidden="1" x14ac:dyDescent="0.25">
      <c r="A765" s="2"/>
      <c r="B765" s="2">
        <f>HYPERLINK(URLs!B30 &amp; 6992 &amp; URLs!B32,6992)</f>
        <v>6992</v>
      </c>
      <c r="C765" t="s">
        <v>665</v>
      </c>
      <c r="D765" t="s">
        <v>619</v>
      </c>
      <c r="E765" t="s">
        <v>850</v>
      </c>
      <c r="F765" t="s">
        <v>621</v>
      </c>
      <c r="G765" t="s">
        <v>851</v>
      </c>
      <c r="H765" t="s">
        <v>852</v>
      </c>
      <c r="I765" t="s">
        <v>624</v>
      </c>
      <c r="J765" t="s">
        <v>642</v>
      </c>
      <c r="L765" s="5">
        <v>42097</v>
      </c>
      <c r="M765" s="5">
        <v>42184</v>
      </c>
      <c r="N765" t="s">
        <v>1213</v>
      </c>
      <c r="O765" t="s">
        <v>666</v>
      </c>
      <c r="P765" t="s">
        <v>621</v>
      </c>
      <c r="Q765" t="s">
        <v>1214</v>
      </c>
      <c r="R765" t="s">
        <v>305</v>
      </c>
      <c r="S765" s="2"/>
      <c r="T765" s="2"/>
      <c r="W765">
        <v>1</v>
      </c>
    </row>
    <row r="766" spans="1:26" hidden="1" x14ac:dyDescent="0.25">
      <c r="A766" s="2"/>
      <c r="B766" s="2">
        <f>HYPERLINK(URLs!B30 &amp; 6950 &amp; URLs!B32,6950)</f>
        <v>6950</v>
      </c>
      <c r="C766" t="s">
        <v>633</v>
      </c>
      <c r="D766" t="s">
        <v>619</v>
      </c>
      <c r="E766" t="s">
        <v>850</v>
      </c>
      <c r="F766" t="s">
        <v>621</v>
      </c>
      <c r="G766" t="s">
        <v>858</v>
      </c>
      <c r="H766" t="s">
        <v>859</v>
      </c>
      <c r="I766" t="s">
        <v>624</v>
      </c>
      <c r="J766" t="s">
        <v>642</v>
      </c>
      <c r="L766" s="5">
        <v>42094</v>
      </c>
      <c r="M766" s="5">
        <v>42290</v>
      </c>
      <c r="N766" t="s">
        <v>621</v>
      </c>
      <c r="O766" t="s">
        <v>645</v>
      </c>
      <c r="P766" t="s">
        <v>621</v>
      </c>
      <c r="Q766" t="s">
        <v>1215</v>
      </c>
      <c r="R766" t="s">
        <v>305</v>
      </c>
      <c r="S766" s="2"/>
      <c r="T766" s="2"/>
    </row>
    <row r="767" spans="1:26" hidden="1" x14ac:dyDescent="0.25">
      <c r="A767" s="2"/>
      <c r="B767" s="2">
        <f>HYPERLINK(URLs!B30 &amp; 6914 &amp; URLs!B32,6914)</f>
        <v>6914</v>
      </c>
      <c r="C767" t="s">
        <v>665</v>
      </c>
      <c r="D767" t="s">
        <v>619</v>
      </c>
      <c r="E767" t="s">
        <v>620</v>
      </c>
      <c r="F767" t="s">
        <v>827</v>
      </c>
      <c r="G767" t="s">
        <v>828</v>
      </c>
      <c r="H767" t="s">
        <v>829</v>
      </c>
      <c r="I767" t="s">
        <v>624</v>
      </c>
      <c r="J767" t="s">
        <v>629</v>
      </c>
      <c r="L767" s="5">
        <v>42090</v>
      </c>
      <c r="M767" s="5">
        <v>42153</v>
      </c>
      <c r="N767" s="2">
        <f>HYPERLINK(URLs!B36 &amp; 128243,128243)</f>
        <v>128243</v>
      </c>
      <c r="O767" t="s">
        <v>666</v>
      </c>
      <c r="P767" t="s">
        <v>621</v>
      </c>
      <c r="Q767" t="s">
        <v>830</v>
      </c>
      <c r="R767" t="s">
        <v>305</v>
      </c>
      <c r="S767" s="2"/>
      <c r="T767" s="2"/>
    </row>
    <row r="768" spans="1:26" hidden="1" x14ac:dyDescent="0.25">
      <c r="A768" s="2"/>
      <c r="B768" s="2">
        <f>HYPERLINK(URLs!B30 &amp; 6913 &amp; URLs!B32,6913)</f>
        <v>6913</v>
      </c>
      <c r="C768" t="s">
        <v>633</v>
      </c>
      <c r="D768" t="s">
        <v>619</v>
      </c>
      <c r="E768" t="s">
        <v>620</v>
      </c>
      <c r="F768" t="s">
        <v>827</v>
      </c>
      <c r="G768" t="s">
        <v>828</v>
      </c>
      <c r="H768" t="s">
        <v>829</v>
      </c>
      <c r="I768" t="s">
        <v>624</v>
      </c>
      <c r="J768" t="s">
        <v>642</v>
      </c>
      <c r="L768" s="5">
        <v>42090</v>
      </c>
      <c r="M768" s="5">
        <v>42278</v>
      </c>
      <c r="N768" s="2">
        <f>HYPERLINK(URLs!B36 &amp; 130935,130935)</f>
        <v>130935</v>
      </c>
      <c r="O768" t="s">
        <v>666</v>
      </c>
      <c r="P768" t="s">
        <v>621</v>
      </c>
      <c r="Q768" t="s">
        <v>831</v>
      </c>
      <c r="S768" s="2"/>
      <c r="T768" s="2"/>
    </row>
    <row r="769" spans="1:26" hidden="1" x14ac:dyDescent="0.25">
      <c r="A769" s="2">
        <f>HYPERLINK(URLs!B36 &amp; 61875,61875)</f>
        <v>61875</v>
      </c>
      <c r="B769" s="2">
        <f>HYPERLINK(URLs!B30 &amp; 6912 &amp; URLs!B32,6912)</f>
        <v>6912</v>
      </c>
      <c r="C769" t="s">
        <v>633</v>
      </c>
      <c r="D769" t="s">
        <v>619</v>
      </c>
      <c r="E769" t="s">
        <v>620</v>
      </c>
      <c r="F769" t="s">
        <v>827</v>
      </c>
      <c r="G769" t="s">
        <v>828</v>
      </c>
      <c r="H769" t="s">
        <v>829</v>
      </c>
      <c r="I769" t="s">
        <v>624</v>
      </c>
      <c r="J769" t="s">
        <v>642</v>
      </c>
      <c r="K769" t="s">
        <v>68</v>
      </c>
      <c r="L769" s="5">
        <v>42090</v>
      </c>
      <c r="M769" s="5">
        <v>42443</v>
      </c>
      <c r="N769" s="2">
        <f>HYPERLINK(URLs!B36 &amp; 129073,129073)</f>
        <v>129073</v>
      </c>
      <c r="O769" t="s">
        <v>666</v>
      </c>
      <c r="P769" t="s">
        <v>621</v>
      </c>
      <c r="Q769" t="s">
        <v>832</v>
      </c>
      <c r="R769" t="s">
        <v>305</v>
      </c>
      <c r="S769" s="2" t="s">
        <v>304</v>
      </c>
      <c r="T769" s="2" t="s">
        <v>65</v>
      </c>
      <c r="U769" t="s">
        <v>35</v>
      </c>
      <c r="V769" t="s">
        <v>35</v>
      </c>
      <c r="Z769" t="s">
        <v>96</v>
      </c>
    </row>
    <row r="770" spans="1:26" hidden="1" x14ac:dyDescent="0.25">
      <c r="A770" s="2"/>
      <c r="B770" s="2">
        <f>HYPERLINK(URLs!B30 &amp; 6911 &amp; URLs!B32,6911)</f>
        <v>6911</v>
      </c>
      <c r="C770" t="s">
        <v>633</v>
      </c>
      <c r="D770" t="s">
        <v>619</v>
      </c>
      <c r="E770" t="s">
        <v>620</v>
      </c>
      <c r="F770" t="s">
        <v>833</v>
      </c>
      <c r="G770" t="s">
        <v>828</v>
      </c>
      <c r="H770" t="s">
        <v>829</v>
      </c>
      <c r="I770" t="s">
        <v>624</v>
      </c>
      <c r="J770" t="s">
        <v>629</v>
      </c>
      <c r="L770" s="5">
        <v>42090</v>
      </c>
      <c r="M770" s="5">
        <v>42136</v>
      </c>
      <c r="N770" s="2">
        <f>HYPERLINK(URLs!B36 &amp; 128820,128820)</f>
        <v>128820</v>
      </c>
      <c r="O770" t="s">
        <v>645</v>
      </c>
      <c r="P770" t="s">
        <v>621</v>
      </c>
      <c r="Q770" t="s">
        <v>834</v>
      </c>
      <c r="R770" t="s">
        <v>305</v>
      </c>
      <c r="S770" s="2"/>
      <c r="T770" s="2"/>
    </row>
    <row r="771" spans="1:26" hidden="1" x14ac:dyDescent="0.25">
      <c r="A771" s="2">
        <f>HYPERLINK(URLs!B36 &amp; 62982,62982)</f>
        <v>62982</v>
      </c>
      <c r="B771" s="2">
        <f>HYPERLINK(URLs!B30 &amp; 6910 &amp; URLs!B32,6910)</f>
        <v>6910</v>
      </c>
      <c r="C771" t="s">
        <v>633</v>
      </c>
      <c r="D771" t="s">
        <v>619</v>
      </c>
      <c r="E771" t="s">
        <v>620</v>
      </c>
      <c r="F771" t="s">
        <v>827</v>
      </c>
      <c r="G771" t="s">
        <v>828</v>
      </c>
      <c r="H771" t="s">
        <v>829</v>
      </c>
      <c r="I771" t="s">
        <v>624</v>
      </c>
      <c r="J771" t="s">
        <v>629</v>
      </c>
      <c r="K771" t="s">
        <v>31</v>
      </c>
      <c r="L771" s="5">
        <v>42090</v>
      </c>
      <c r="M771" s="5">
        <v>42278</v>
      </c>
      <c r="N771" s="2">
        <f>HYPERLINK(URLs!B36 &amp; 129294,129294)</f>
        <v>129294</v>
      </c>
      <c r="O771" t="s">
        <v>666</v>
      </c>
      <c r="P771" t="s">
        <v>621</v>
      </c>
      <c r="Q771" t="s">
        <v>835</v>
      </c>
      <c r="R771" t="s">
        <v>305</v>
      </c>
      <c r="S771" s="2" t="s">
        <v>304</v>
      </c>
      <c r="T771" s="2" t="s">
        <v>118</v>
      </c>
      <c r="U771" t="s">
        <v>3945</v>
      </c>
      <c r="V771" t="s">
        <v>35</v>
      </c>
      <c r="Z771" t="s">
        <v>34</v>
      </c>
    </row>
    <row r="772" spans="1:26" hidden="1" x14ac:dyDescent="0.25">
      <c r="A772" s="2"/>
      <c r="B772" s="2">
        <f>HYPERLINK(URLs!B30 &amp; 6908 &amp; URLs!B32,6908)</f>
        <v>6908</v>
      </c>
      <c r="C772" t="s">
        <v>665</v>
      </c>
      <c r="D772" t="s">
        <v>619</v>
      </c>
      <c r="E772" t="s">
        <v>620</v>
      </c>
      <c r="F772" t="s">
        <v>833</v>
      </c>
      <c r="G772" t="s">
        <v>828</v>
      </c>
      <c r="H772" t="s">
        <v>829</v>
      </c>
      <c r="I772" t="s">
        <v>624</v>
      </c>
      <c r="J772" t="s">
        <v>642</v>
      </c>
      <c r="L772" s="5">
        <v>42090</v>
      </c>
      <c r="M772" s="5">
        <v>42136</v>
      </c>
      <c r="N772" s="2">
        <f>HYPERLINK(URLs!B36 &amp; 130228,130228)</f>
        <v>130228</v>
      </c>
      <c r="O772" t="s">
        <v>645</v>
      </c>
      <c r="P772" t="s">
        <v>621</v>
      </c>
      <c r="Q772" t="s">
        <v>836</v>
      </c>
      <c r="S772" s="2"/>
      <c r="T772" s="2"/>
    </row>
    <row r="773" spans="1:26" hidden="1" x14ac:dyDescent="0.25">
      <c r="A773" s="2"/>
      <c r="B773" s="2">
        <f>HYPERLINK(URLs!B30 &amp; 6907 &amp; URLs!B32,6907)</f>
        <v>6907</v>
      </c>
      <c r="C773" t="s">
        <v>633</v>
      </c>
      <c r="D773" t="s">
        <v>619</v>
      </c>
      <c r="E773" t="s">
        <v>620</v>
      </c>
      <c r="F773" t="s">
        <v>833</v>
      </c>
      <c r="G773" t="s">
        <v>828</v>
      </c>
      <c r="H773" t="s">
        <v>829</v>
      </c>
      <c r="I773" t="s">
        <v>624</v>
      </c>
      <c r="J773" t="s">
        <v>629</v>
      </c>
      <c r="L773" s="5">
        <v>42090</v>
      </c>
      <c r="M773" s="5">
        <v>42153</v>
      </c>
      <c r="N773" s="2">
        <f>HYPERLINK(URLs!B36 &amp; 128026,128026)</f>
        <v>128026</v>
      </c>
      <c r="O773" t="s">
        <v>666</v>
      </c>
      <c r="P773" t="s">
        <v>621</v>
      </c>
      <c r="Q773" t="s">
        <v>837</v>
      </c>
      <c r="S773" s="2"/>
      <c r="T773" s="2"/>
    </row>
    <row r="774" spans="1:26" hidden="1" x14ac:dyDescent="0.25">
      <c r="A774" s="2">
        <f>HYPERLINK(URLs!B36 &amp; 59164,59164)</f>
        <v>59164</v>
      </c>
      <c r="B774" s="2">
        <f>HYPERLINK(URLs!B30 &amp; 6906 &amp; URLs!B32,6906)</f>
        <v>6906</v>
      </c>
      <c r="C774" t="s">
        <v>633</v>
      </c>
      <c r="D774" t="s">
        <v>619</v>
      </c>
      <c r="E774" t="s">
        <v>620</v>
      </c>
      <c r="F774" t="s">
        <v>813</v>
      </c>
      <c r="G774" t="s">
        <v>828</v>
      </c>
      <c r="H774" t="s">
        <v>829</v>
      </c>
      <c r="I774" t="s">
        <v>624</v>
      </c>
      <c r="J774" t="s">
        <v>629</v>
      </c>
      <c r="K774" t="s">
        <v>68</v>
      </c>
      <c r="L774" s="5">
        <v>42090</v>
      </c>
      <c r="M774" s="5">
        <v>42523</v>
      </c>
      <c r="N774" s="2">
        <f>HYPERLINK(URLs!B36 &amp; 59164,59164)</f>
        <v>59164</v>
      </c>
      <c r="O774" t="s">
        <v>626</v>
      </c>
      <c r="P774" t="s">
        <v>621</v>
      </c>
      <c r="Q774" t="s">
        <v>838</v>
      </c>
      <c r="R774" t="s">
        <v>305</v>
      </c>
      <c r="S774" s="2" t="s">
        <v>310</v>
      </c>
      <c r="T774" s="2" t="s">
        <v>4098</v>
      </c>
      <c r="U774" t="s">
        <v>35</v>
      </c>
      <c r="V774" t="s">
        <v>35</v>
      </c>
      <c r="Z774" t="s">
        <v>96</v>
      </c>
    </row>
    <row r="775" spans="1:26" hidden="1" x14ac:dyDescent="0.25">
      <c r="A775" s="2">
        <f>HYPERLINK(URLs!B36 &amp; 59129,59129)</f>
        <v>59129</v>
      </c>
      <c r="B775" s="2">
        <f>HYPERLINK(URLs!B30 &amp; 6905 &amp; URLs!B32,6905)</f>
        <v>6905</v>
      </c>
      <c r="C775" t="s">
        <v>633</v>
      </c>
      <c r="D775" t="s">
        <v>619</v>
      </c>
      <c r="E775" t="s">
        <v>620</v>
      </c>
      <c r="F775" t="s">
        <v>621</v>
      </c>
      <c r="G775" t="s">
        <v>828</v>
      </c>
      <c r="H775" t="s">
        <v>829</v>
      </c>
      <c r="I775" t="s">
        <v>624</v>
      </c>
      <c r="J775" t="s">
        <v>629</v>
      </c>
      <c r="K775" t="s">
        <v>68</v>
      </c>
      <c r="L775" s="5">
        <v>42090</v>
      </c>
      <c r="M775" s="5">
        <v>42180</v>
      </c>
      <c r="N775" s="2">
        <f>HYPERLINK(URLs!B36 &amp; 59129,59129)</f>
        <v>59129</v>
      </c>
      <c r="O775" t="s">
        <v>640</v>
      </c>
      <c r="P775" t="s">
        <v>621</v>
      </c>
      <c r="Q775" t="s">
        <v>839</v>
      </c>
      <c r="R775" t="s">
        <v>305</v>
      </c>
      <c r="S775" s="2" t="s">
        <v>310</v>
      </c>
      <c r="T775" s="2" t="s">
        <v>4098</v>
      </c>
      <c r="U775" t="s">
        <v>35</v>
      </c>
      <c r="V775" t="s">
        <v>35</v>
      </c>
      <c r="Z775" t="s">
        <v>73</v>
      </c>
    </row>
    <row r="776" spans="1:26" hidden="1" x14ac:dyDescent="0.25">
      <c r="A776" s="2">
        <f>HYPERLINK(URLs!B36 &amp; 59048,59048)</f>
        <v>59048</v>
      </c>
      <c r="B776" s="2">
        <f>HYPERLINK(URLs!B30 &amp; 6904 &amp; URLs!B32,6904)</f>
        <v>6904</v>
      </c>
      <c r="C776" t="s">
        <v>633</v>
      </c>
      <c r="D776" t="s">
        <v>619</v>
      </c>
      <c r="E776" t="s">
        <v>620</v>
      </c>
      <c r="F776" t="s">
        <v>813</v>
      </c>
      <c r="G776" t="s">
        <v>828</v>
      </c>
      <c r="H776" t="s">
        <v>829</v>
      </c>
      <c r="I776" t="s">
        <v>624</v>
      </c>
      <c r="J776" t="s">
        <v>629</v>
      </c>
      <c r="K776" t="s">
        <v>68</v>
      </c>
      <c r="L776" s="5">
        <v>42090</v>
      </c>
      <c r="M776" s="5">
        <v>42278</v>
      </c>
      <c r="N776" s="2">
        <f>HYPERLINK(URLs!B36 &amp; 59048,59048)</f>
        <v>59048</v>
      </c>
      <c r="O776" t="s">
        <v>666</v>
      </c>
      <c r="P776" t="s">
        <v>621</v>
      </c>
      <c r="Q776" t="s">
        <v>840</v>
      </c>
      <c r="R776" t="s">
        <v>305</v>
      </c>
      <c r="S776" s="2" t="s">
        <v>304</v>
      </c>
      <c r="T776" s="2" t="s">
        <v>118</v>
      </c>
      <c r="U776" t="s">
        <v>3938</v>
      </c>
      <c r="V776" t="s">
        <v>35</v>
      </c>
      <c r="Z776" t="s">
        <v>34</v>
      </c>
    </row>
    <row r="777" spans="1:26" hidden="1" x14ac:dyDescent="0.25">
      <c r="A777" s="2">
        <f>HYPERLINK(URLs!B36 &amp; 58798,58798)</f>
        <v>58798</v>
      </c>
      <c r="B777" s="2">
        <f>HYPERLINK(URLs!B30 &amp; 6903 &amp; URLs!B32,6903)</f>
        <v>6903</v>
      </c>
      <c r="C777" t="s">
        <v>665</v>
      </c>
      <c r="D777" t="s">
        <v>619</v>
      </c>
      <c r="E777" t="s">
        <v>620</v>
      </c>
      <c r="F777" t="s">
        <v>813</v>
      </c>
      <c r="G777" t="s">
        <v>828</v>
      </c>
      <c r="H777" t="s">
        <v>829</v>
      </c>
      <c r="I777" t="s">
        <v>624</v>
      </c>
      <c r="J777" t="s">
        <v>642</v>
      </c>
      <c r="K777" t="s">
        <v>57</v>
      </c>
      <c r="L777" s="5">
        <v>42090</v>
      </c>
      <c r="M777" s="5">
        <v>42136</v>
      </c>
      <c r="N777" s="2">
        <f>HYPERLINK(URLs!B36 &amp; 58798,58798)</f>
        <v>58798</v>
      </c>
      <c r="O777" t="s">
        <v>666</v>
      </c>
      <c r="P777" t="s">
        <v>621</v>
      </c>
      <c r="Q777" t="s">
        <v>841</v>
      </c>
      <c r="R777" t="s">
        <v>305</v>
      </c>
      <c r="S777" s="2" t="s">
        <v>304</v>
      </c>
      <c r="T777" s="2" t="s">
        <v>428</v>
      </c>
      <c r="U777" t="s">
        <v>35</v>
      </c>
      <c r="V777" t="s">
        <v>35</v>
      </c>
      <c r="Z777" t="s">
        <v>45</v>
      </c>
    </row>
    <row r="778" spans="1:26" hidden="1" x14ac:dyDescent="0.25">
      <c r="A778" s="2">
        <f>HYPERLINK(URLs!B36 &amp; 56087,56087)</f>
        <v>56087</v>
      </c>
      <c r="B778" s="2">
        <f>HYPERLINK(URLs!B30 &amp; 6902 &amp; URLs!B32,6902)</f>
        <v>6902</v>
      </c>
      <c r="C778" t="s">
        <v>633</v>
      </c>
      <c r="D778" t="s">
        <v>619</v>
      </c>
      <c r="E778" t="s">
        <v>620</v>
      </c>
      <c r="F778" t="s">
        <v>813</v>
      </c>
      <c r="G778" t="s">
        <v>828</v>
      </c>
      <c r="H778" t="s">
        <v>829</v>
      </c>
      <c r="I778" t="s">
        <v>624</v>
      </c>
      <c r="J778" t="s">
        <v>625</v>
      </c>
      <c r="K778" t="s">
        <v>31</v>
      </c>
      <c r="L778" s="5">
        <v>42090</v>
      </c>
      <c r="M778" s="5">
        <v>42278</v>
      </c>
      <c r="N778" s="2">
        <f>HYPERLINK(URLs!B36 &amp; 56087,56087)</f>
        <v>56087</v>
      </c>
      <c r="O778" t="s">
        <v>666</v>
      </c>
      <c r="P778" t="s">
        <v>621</v>
      </c>
      <c r="Q778" t="s">
        <v>842</v>
      </c>
      <c r="R778" t="s">
        <v>305</v>
      </c>
      <c r="S778" s="2" t="s">
        <v>304</v>
      </c>
      <c r="T778" s="2" t="s">
        <v>65</v>
      </c>
      <c r="U778" t="s">
        <v>35</v>
      </c>
      <c r="V778" t="s">
        <v>35</v>
      </c>
      <c r="Z778" t="s">
        <v>73</v>
      </c>
    </row>
    <row r="779" spans="1:26" hidden="1" x14ac:dyDescent="0.25">
      <c r="A779" s="2">
        <f>HYPERLINK(URLs!B36 &amp; 56399,56399)</f>
        <v>56399</v>
      </c>
      <c r="B779" s="2">
        <f>HYPERLINK(URLs!B30 &amp; 6901 &amp; URLs!B32,6901)</f>
        <v>6901</v>
      </c>
      <c r="C779" t="s">
        <v>633</v>
      </c>
      <c r="D779" t="s">
        <v>619</v>
      </c>
      <c r="E779" t="s">
        <v>620</v>
      </c>
      <c r="F779" t="s">
        <v>813</v>
      </c>
      <c r="G779" t="s">
        <v>828</v>
      </c>
      <c r="H779" t="s">
        <v>829</v>
      </c>
      <c r="I779" t="s">
        <v>624</v>
      </c>
      <c r="J779" t="s">
        <v>625</v>
      </c>
      <c r="K779" t="s">
        <v>31</v>
      </c>
      <c r="L779" s="5">
        <v>42090</v>
      </c>
      <c r="M779" s="5">
        <v>42278</v>
      </c>
      <c r="N779" s="2">
        <f>HYPERLINK(URLs!B36 &amp; 56399,56399)</f>
        <v>56399</v>
      </c>
      <c r="O779" t="s">
        <v>666</v>
      </c>
      <c r="P779" t="s">
        <v>621</v>
      </c>
      <c r="Q779" t="s">
        <v>843</v>
      </c>
      <c r="R779" t="s">
        <v>305</v>
      </c>
      <c r="S779" s="2" t="s">
        <v>304</v>
      </c>
      <c r="T779" s="2" t="s">
        <v>61</v>
      </c>
      <c r="U779" t="s">
        <v>3937</v>
      </c>
      <c r="V779" t="s">
        <v>35</v>
      </c>
      <c r="Z779" t="s">
        <v>73</v>
      </c>
    </row>
    <row r="780" spans="1:26" hidden="1" x14ac:dyDescent="0.25">
      <c r="A780" s="2">
        <f>HYPERLINK(URLs!B36 &amp; 58308,58308)</f>
        <v>58308</v>
      </c>
      <c r="B780" s="2">
        <f>HYPERLINK(URLs!B30 &amp; 6900 &amp; URLs!B32,6900)</f>
        <v>6900</v>
      </c>
      <c r="C780" t="s">
        <v>633</v>
      </c>
      <c r="D780" t="s">
        <v>619</v>
      </c>
      <c r="E780" t="s">
        <v>620</v>
      </c>
      <c r="F780" t="s">
        <v>844</v>
      </c>
      <c r="G780" t="s">
        <v>828</v>
      </c>
      <c r="H780" t="s">
        <v>829</v>
      </c>
      <c r="I780" t="s">
        <v>624</v>
      </c>
      <c r="J780" t="s">
        <v>629</v>
      </c>
      <c r="K780" t="s">
        <v>68</v>
      </c>
      <c r="L780" s="5">
        <v>42090</v>
      </c>
      <c r="M780" s="5">
        <v>42261</v>
      </c>
      <c r="N780" s="2">
        <f>HYPERLINK(URLs!B36 &amp; 58308,58308)</f>
        <v>58308</v>
      </c>
      <c r="O780" t="s">
        <v>645</v>
      </c>
      <c r="P780" t="s">
        <v>621</v>
      </c>
      <c r="Q780" t="s">
        <v>845</v>
      </c>
      <c r="R780" t="s">
        <v>305</v>
      </c>
      <c r="S780" s="2" t="s">
        <v>395</v>
      </c>
      <c r="T780" s="2" t="s">
        <v>4098</v>
      </c>
      <c r="U780" t="s">
        <v>35</v>
      </c>
      <c r="V780" t="s">
        <v>35</v>
      </c>
      <c r="Z780" t="s">
        <v>73</v>
      </c>
    </row>
    <row r="781" spans="1:26" hidden="1" x14ac:dyDescent="0.25">
      <c r="A781" s="2"/>
      <c r="B781" s="2">
        <f>HYPERLINK(URLs!B30 &amp; 6851 &amp; URLs!B32,6851)</f>
        <v>6851</v>
      </c>
      <c r="C781" t="s">
        <v>633</v>
      </c>
      <c r="D781" t="s">
        <v>619</v>
      </c>
      <c r="E781" t="s">
        <v>850</v>
      </c>
      <c r="F781" t="s">
        <v>621</v>
      </c>
      <c r="G781" t="s">
        <v>787</v>
      </c>
      <c r="H781" t="s">
        <v>788</v>
      </c>
      <c r="I781" t="s">
        <v>624</v>
      </c>
      <c r="J781" t="s">
        <v>642</v>
      </c>
      <c r="L781" s="5">
        <v>42082</v>
      </c>
      <c r="M781" s="5">
        <v>42258</v>
      </c>
      <c r="N781" s="2">
        <f>HYPERLINK(URLs!B36 &amp; 59043,59043)</f>
        <v>59043</v>
      </c>
      <c r="O781" t="s">
        <v>666</v>
      </c>
      <c r="P781" t="s">
        <v>621</v>
      </c>
      <c r="Q781" t="s">
        <v>1216</v>
      </c>
      <c r="S781" s="2"/>
      <c r="T781" s="2"/>
      <c r="W781">
        <v>1</v>
      </c>
    </row>
    <row r="782" spans="1:26" hidden="1" x14ac:dyDescent="0.25">
      <c r="A782" s="2">
        <f>HYPERLINK(URLs!B36 &amp; 58991,58991)</f>
        <v>58991</v>
      </c>
      <c r="B782" s="2">
        <f>HYPERLINK(URLs!B30 &amp; 6845 &amp; URLs!B32,6845)</f>
        <v>6845</v>
      </c>
      <c r="C782" t="s">
        <v>633</v>
      </c>
      <c r="D782" t="s">
        <v>619</v>
      </c>
      <c r="E782" t="s">
        <v>850</v>
      </c>
      <c r="F782" t="s">
        <v>621</v>
      </c>
      <c r="G782" t="s">
        <v>863</v>
      </c>
      <c r="H782" t="s">
        <v>864</v>
      </c>
      <c r="I782" t="s">
        <v>624</v>
      </c>
      <c r="J782" t="s">
        <v>642</v>
      </c>
      <c r="K782" t="s">
        <v>57</v>
      </c>
      <c r="L782" s="5">
        <v>42082</v>
      </c>
      <c r="M782" s="5">
        <v>42635</v>
      </c>
      <c r="N782" s="2">
        <f>HYPERLINK(URLs!B36 &amp; 58991,58991)</f>
        <v>58991</v>
      </c>
      <c r="O782" t="s">
        <v>666</v>
      </c>
      <c r="P782" t="s">
        <v>621</v>
      </c>
      <c r="Q782" t="s">
        <v>1217</v>
      </c>
      <c r="R782" t="s">
        <v>305</v>
      </c>
      <c r="S782" s="2" t="s">
        <v>337</v>
      </c>
      <c r="T782" s="2" t="s">
        <v>3120</v>
      </c>
      <c r="U782" t="s">
        <v>35</v>
      </c>
      <c r="V782" t="s">
        <v>35</v>
      </c>
      <c r="Z782" t="s">
        <v>34</v>
      </c>
    </row>
    <row r="783" spans="1:26" hidden="1" x14ac:dyDescent="0.25">
      <c r="A783" s="2">
        <f>HYPERLINK(URLs!B36 &amp; 54726,54726)</f>
        <v>54726</v>
      </c>
      <c r="B783" s="2">
        <f>HYPERLINK(URLs!B30 &amp; 6826 &amp; URLs!B32,6826)</f>
        <v>6826</v>
      </c>
      <c r="C783" t="s">
        <v>633</v>
      </c>
      <c r="D783" t="s">
        <v>619</v>
      </c>
      <c r="E783" t="s">
        <v>620</v>
      </c>
      <c r="F783" t="s">
        <v>827</v>
      </c>
      <c r="G783" t="s">
        <v>624</v>
      </c>
      <c r="H783" t="s">
        <v>715</v>
      </c>
      <c r="I783" t="s">
        <v>624</v>
      </c>
      <c r="J783" t="s">
        <v>642</v>
      </c>
      <c r="K783" t="s">
        <v>68</v>
      </c>
      <c r="L783" s="5">
        <v>42080</v>
      </c>
      <c r="M783" s="5">
        <v>42156</v>
      </c>
      <c r="N783" s="2">
        <f>HYPERLINK(URLs!B36 &amp; 129780,129780)</f>
        <v>129780</v>
      </c>
      <c r="O783" t="s">
        <v>666</v>
      </c>
      <c r="P783" t="s">
        <v>621</v>
      </c>
      <c r="Q783" t="s">
        <v>846</v>
      </c>
      <c r="R783" t="s">
        <v>305</v>
      </c>
      <c r="S783" s="2" t="s">
        <v>304</v>
      </c>
      <c r="T783" s="2" t="s">
        <v>133</v>
      </c>
      <c r="U783" t="s">
        <v>3956</v>
      </c>
      <c r="V783" t="s">
        <v>35</v>
      </c>
      <c r="Z783" t="s">
        <v>34</v>
      </c>
    </row>
    <row r="784" spans="1:26" hidden="1" x14ac:dyDescent="0.25">
      <c r="A784" s="2"/>
      <c r="B784" s="2">
        <f>HYPERLINK(URLs!B30 &amp; 6825 &amp; URLs!B32,6825)</f>
        <v>6825</v>
      </c>
      <c r="C784" t="s">
        <v>633</v>
      </c>
      <c r="D784" t="s">
        <v>619</v>
      </c>
      <c r="E784" t="s">
        <v>620</v>
      </c>
      <c r="F784" t="s">
        <v>813</v>
      </c>
      <c r="G784" t="s">
        <v>624</v>
      </c>
      <c r="H784" t="s">
        <v>715</v>
      </c>
      <c r="I784" t="s">
        <v>624</v>
      </c>
      <c r="J784" t="s">
        <v>642</v>
      </c>
      <c r="L784" s="5">
        <v>42080</v>
      </c>
      <c r="M784" s="5">
        <v>42261</v>
      </c>
      <c r="N784" s="2">
        <f>HYPERLINK(URLs!B36 &amp; 129863,129863)</f>
        <v>129863</v>
      </c>
      <c r="O784" t="s">
        <v>645</v>
      </c>
      <c r="P784" t="s">
        <v>621</v>
      </c>
      <c r="Q784" t="s">
        <v>847</v>
      </c>
      <c r="S784" s="2"/>
      <c r="T784" s="2"/>
    </row>
    <row r="785" spans="1:26" hidden="1" x14ac:dyDescent="0.25">
      <c r="A785" s="2"/>
      <c r="B785" s="2">
        <f>HYPERLINK(URLs!B30 &amp; 6823 &amp; URLs!B32,6823)</f>
        <v>6823</v>
      </c>
      <c r="C785" t="s">
        <v>633</v>
      </c>
      <c r="D785" t="s">
        <v>619</v>
      </c>
      <c r="E785" t="s">
        <v>850</v>
      </c>
      <c r="F785" t="s">
        <v>621</v>
      </c>
      <c r="G785" t="s">
        <v>889</v>
      </c>
      <c r="H785" t="s">
        <v>890</v>
      </c>
      <c r="I785" t="s">
        <v>624</v>
      </c>
      <c r="J785" t="s">
        <v>629</v>
      </c>
      <c r="L785" s="5">
        <v>42080</v>
      </c>
      <c r="M785" s="5">
        <v>42199</v>
      </c>
      <c r="N785" s="2">
        <f>HYPERLINK(URLs!B36 &amp; 64930,64930)</f>
        <v>64930</v>
      </c>
      <c r="O785" t="s">
        <v>645</v>
      </c>
      <c r="P785" t="s">
        <v>621</v>
      </c>
      <c r="Q785" t="s">
        <v>1218</v>
      </c>
      <c r="S785" s="2"/>
      <c r="T785" s="2"/>
    </row>
    <row r="786" spans="1:26" hidden="1" x14ac:dyDescent="0.25">
      <c r="A786" s="2"/>
      <c r="B786" s="2">
        <f>HYPERLINK(URLs!B30 &amp; 6776 &amp; URLs!B32,6776)</f>
        <v>6776</v>
      </c>
      <c r="C786" t="s">
        <v>665</v>
      </c>
      <c r="D786" t="s">
        <v>619</v>
      </c>
      <c r="E786" t="s">
        <v>850</v>
      </c>
      <c r="F786" t="s">
        <v>621</v>
      </c>
      <c r="G786" t="s">
        <v>962</v>
      </c>
      <c r="H786" t="s">
        <v>887</v>
      </c>
      <c r="I786" t="s">
        <v>624</v>
      </c>
      <c r="J786" t="s">
        <v>629</v>
      </c>
      <c r="L786" s="5">
        <v>42074</v>
      </c>
      <c r="M786" s="5">
        <v>42104</v>
      </c>
      <c r="N786" s="2">
        <f>HYPERLINK(URLs!B36 &amp; 59316,59316)</f>
        <v>59316</v>
      </c>
      <c r="O786" t="s">
        <v>666</v>
      </c>
      <c r="P786" t="s">
        <v>621</v>
      </c>
      <c r="Q786" t="s">
        <v>1219</v>
      </c>
      <c r="R786" t="s">
        <v>305</v>
      </c>
      <c r="S786" s="2"/>
      <c r="T786" s="2"/>
      <c r="W786">
        <v>1</v>
      </c>
    </row>
    <row r="787" spans="1:26" hidden="1" x14ac:dyDescent="0.25">
      <c r="A787" s="2"/>
      <c r="B787" s="2">
        <f>HYPERLINK(URLs!B30 &amp; 6739 &amp; URLs!B32,6739)</f>
        <v>6739</v>
      </c>
      <c r="C787" t="s">
        <v>633</v>
      </c>
      <c r="D787" t="s">
        <v>619</v>
      </c>
      <c r="E787" t="s">
        <v>850</v>
      </c>
      <c r="F787" t="s">
        <v>621</v>
      </c>
      <c r="G787" t="s">
        <v>1165</v>
      </c>
      <c r="H787" t="s">
        <v>1166</v>
      </c>
      <c r="I787" t="s">
        <v>624</v>
      </c>
      <c r="J787" t="s">
        <v>642</v>
      </c>
      <c r="L787" s="5">
        <v>42072</v>
      </c>
      <c r="M787" s="5">
        <v>42258</v>
      </c>
      <c r="N787" s="2">
        <f>HYPERLINK(URLs!B36 &amp; 58313,58313)</f>
        <v>58313</v>
      </c>
      <c r="O787" t="s">
        <v>666</v>
      </c>
      <c r="P787" t="s">
        <v>621</v>
      </c>
      <c r="Q787" t="s">
        <v>1220</v>
      </c>
      <c r="R787" t="s">
        <v>305</v>
      </c>
      <c r="S787" s="2"/>
      <c r="T787" s="2"/>
    </row>
    <row r="788" spans="1:26" hidden="1" x14ac:dyDescent="0.25">
      <c r="B788" s="2">
        <f>HYPERLINK(URLs!B30 &amp; 6734 &amp; URLs!B32,6734)</f>
        <v>6734</v>
      </c>
      <c r="C788" t="s">
        <v>633</v>
      </c>
      <c r="D788" t="s">
        <v>619</v>
      </c>
      <c r="E788" t="s">
        <v>850</v>
      </c>
      <c r="F788" t="s">
        <v>621</v>
      </c>
      <c r="G788" t="s">
        <v>1165</v>
      </c>
      <c r="H788" t="s">
        <v>1166</v>
      </c>
      <c r="I788" t="s">
        <v>624</v>
      </c>
      <c r="J788" t="s">
        <v>642</v>
      </c>
      <c r="L788" s="5">
        <v>42071</v>
      </c>
      <c r="M788" s="5">
        <v>42394</v>
      </c>
      <c r="N788" t="s">
        <v>621</v>
      </c>
      <c r="O788" t="s">
        <v>666</v>
      </c>
      <c r="P788" t="s">
        <v>621</v>
      </c>
      <c r="Q788" t="s">
        <v>1221</v>
      </c>
      <c r="S788" s="2"/>
      <c r="T788" s="2"/>
    </row>
    <row r="789" spans="1:26" hidden="1" x14ac:dyDescent="0.25">
      <c r="A789" s="2"/>
      <c r="B789" s="2">
        <f>HYPERLINK(URLs!B30 &amp; 6730 &amp; URLs!B32,6730)</f>
        <v>6730</v>
      </c>
      <c r="C789" t="s">
        <v>665</v>
      </c>
      <c r="D789" t="s">
        <v>619</v>
      </c>
      <c r="E789" t="s">
        <v>850</v>
      </c>
      <c r="F789" t="s">
        <v>621</v>
      </c>
      <c r="G789" t="s">
        <v>624</v>
      </c>
      <c r="H789" t="s">
        <v>887</v>
      </c>
      <c r="I789" t="s">
        <v>624</v>
      </c>
      <c r="J789" t="s">
        <v>642</v>
      </c>
      <c r="L789" s="5">
        <v>42069</v>
      </c>
      <c r="M789" s="5">
        <v>42104</v>
      </c>
      <c r="N789" s="2">
        <f>HYPERLINK(URLs!B36 &amp; 57245,57245)</f>
        <v>57245</v>
      </c>
      <c r="O789" t="s">
        <v>666</v>
      </c>
      <c r="P789" t="s">
        <v>621</v>
      </c>
      <c r="Q789" t="s">
        <v>1222</v>
      </c>
      <c r="S789" s="2"/>
      <c r="T789" s="2"/>
      <c r="W789">
        <v>1</v>
      </c>
    </row>
    <row r="790" spans="1:26" hidden="1" x14ac:dyDescent="0.25">
      <c r="A790" s="2"/>
      <c r="B790" s="2">
        <f>HYPERLINK(URLs!B30 &amp; 6727 &amp; URLs!B32,6727)</f>
        <v>6727</v>
      </c>
      <c r="C790" t="s">
        <v>633</v>
      </c>
      <c r="D790" t="s">
        <v>619</v>
      </c>
      <c r="E790" t="s">
        <v>850</v>
      </c>
      <c r="F790" t="s">
        <v>621</v>
      </c>
      <c r="G790" t="s">
        <v>1185</v>
      </c>
      <c r="H790" t="s">
        <v>1186</v>
      </c>
      <c r="I790" t="s">
        <v>624</v>
      </c>
      <c r="J790" t="s">
        <v>642</v>
      </c>
      <c r="L790" s="5">
        <v>42069</v>
      </c>
      <c r="M790" s="5">
        <v>42379</v>
      </c>
      <c r="N790" s="2">
        <f>HYPERLINK(URLs!B36 &amp; 58649,58649)</f>
        <v>58649</v>
      </c>
      <c r="O790" t="s">
        <v>666</v>
      </c>
      <c r="P790" t="s">
        <v>621</v>
      </c>
      <c r="Q790" t="s">
        <v>1223</v>
      </c>
      <c r="S790" s="2"/>
      <c r="T790" s="2"/>
    </row>
    <row r="791" spans="1:26" hidden="1" x14ac:dyDescent="0.25">
      <c r="A791" s="2"/>
      <c r="B791" s="2">
        <f>HYPERLINK(URLs!B30 &amp; 6709 &amp; URLs!B32,6709)</f>
        <v>6709</v>
      </c>
      <c r="C791" t="s">
        <v>665</v>
      </c>
      <c r="D791" t="s">
        <v>619</v>
      </c>
      <c r="E791" t="s">
        <v>850</v>
      </c>
      <c r="F791" t="s">
        <v>1224</v>
      </c>
      <c r="G791" t="s">
        <v>624</v>
      </c>
      <c r="H791" t="s">
        <v>887</v>
      </c>
      <c r="I791" t="s">
        <v>624</v>
      </c>
      <c r="J791" t="s">
        <v>629</v>
      </c>
      <c r="L791" s="5">
        <v>42068</v>
      </c>
      <c r="M791" s="5">
        <v>42513</v>
      </c>
      <c r="N791" s="2">
        <f>HYPERLINK(URLs!B36 &amp; 58128,58128)</f>
        <v>58128</v>
      </c>
      <c r="O791" t="s">
        <v>645</v>
      </c>
      <c r="P791" t="s">
        <v>621</v>
      </c>
      <c r="Q791" t="s">
        <v>1225</v>
      </c>
      <c r="S791" s="2"/>
      <c r="T791" s="2"/>
    </row>
    <row r="792" spans="1:26" hidden="1" x14ac:dyDescent="0.25">
      <c r="A792" s="2"/>
      <c r="B792" s="2">
        <f>HYPERLINK(URLs!B30 &amp; 6633 &amp; URLs!B32,6633)</f>
        <v>6633</v>
      </c>
      <c r="C792" t="s">
        <v>633</v>
      </c>
      <c r="D792" t="s">
        <v>619</v>
      </c>
      <c r="E792" t="s">
        <v>850</v>
      </c>
      <c r="F792" t="s">
        <v>621</v>
      </c>
      <c r="G792" t="s">
        <v>858</v>
      </c>
      <c r="H792" t="s">
        <v>968</v>
      </c>
      <c r="I792" t="s">
        <v>624</v>
      </c>
      <c r="J792" t="s">
        <v>642</v>
      </c>
      <c r="L792" s="5">
        <v>42061</v>
      </c>
      <c r="M792" s="5">
        <v>42635</v>
      </c>
      <c r="N792" s="2">
        <f>HYPERLINK(URLs!B36 &amp; 56164,56164)</f>
        <v>56164</v>
      </c>
      <c r="O792" t="s">
        <v>666</v>
      </c>
      <c r="P792" t="s">
        <v>621</v>
      </c>
      <c r="Q792" t="s">
        <v>1226</v>
      </c>
      <c r="S792" s="2"/>
      <c r="T792" s="2"/>
    </row>
    <row r="793" spans="1:26" hidden="1" x14ac:dyDescent="0.25">
      <c r="A793" s="2"/>
      <c r="B793" s="2">
        <f>HYPERLINK(URLs!B30 &amp; 6630 &amp; URLs!B32,6630)</f>
        <v>6630</v>
      </c>
      <c r="C793" t="s">
        <v>665</v>
      </c>
      <c r="D793" t="s">
        <v>619</v>
      </c>
      <c r="E793" t="s">
        <v>850</v>
      </c>
      <c r="F793" t="s">
        <v>621</v>
      </c>
      <c r="G793" t="s">
        <v>851</v>
      </c>
      <c r="H793" t="s">
        <v>852</v>
      </c>
      <c r="I793" t="s">
        <v>624</v>
      </c>
      <c r="J793" t="s">
        <v>629</v>
      </c>
      <c r="L793" s="5">
        <v>42061</v>
      </c>
      <c r="M793" s="5">
        <v>42310</v>
      </c>
      <c r="N793" s="2">
        <f>HYPERLINK(URLs!B36 &amp; 57436,57436)</f>
        <v>57436</v>
      </c>
      <c r="O793" t="s">
        <v>666</v>
      </c>
      <c r="P793" t="s">
        <v>621</v>
      </c>
      <c r="Q793" t="s">
        <v>1227</v>
      </c>
      <c r="S793" s="2"/>
      <c r="T793" s="2"/>
      <c r="W793">
        <v>1</v>
      </c>
      <c r="Y793">
        <v>1</v>
      </c>
    </row>
    <row r="794" spans="1:26" hidden="1" x14ac:dyDescent="0.25">
      <c r="A794" s="2"/>
      <c r="B794" s="2">
        <f>HYPERLINK(URLs!B30 &amp; 6588 &amp; URLs!B32,6588)</f>
        <v>6588</v>
      </c>
      <c r="C794" t="s">
        <v>665</v>
      </c>
      <c r="D794" t="s">
        <v>619</v>
      </c>
      <c r="E794" t="s">
        <v>850</v>
      </c>
      <c r="F794" t="s">
        <v>621</v>
      </c>
      <c r="G794" t="s">
        <v>867</v>
      </c>
      <c r="H794" t="s">
        <v>868</v>
      </c>
      <c r="I794" t="s">
        <v>624</v>
      </c>
      <c r="J794" t="s">
        <v>642</v>
      </c>
      <c r="L794" s="5">
        <v>42055</v>
      </c>
      <c r="M794" s="5">
        <v>42258</v>
      </c>
      <c r="N794" s="2">
        <f>HYPERLINK(URLs!B36 &amp; 57358,57358)</f>
        <v>57358</v>
      </c>
      <c r="O794" t="s">
        <v>666</v>
      </c>
      <c r="P794" t="s">
        <v>621</v>
      </c>
      <c r="Q794" t="s">
        <v>1228</v>
      </c>
      <c r="S794" s="2"/>
      <c r="T794" s="2"/>
      <c r="W794">
        <v>1</v>
      </c>
    </row>
    <row r="795" spans="1:26" hidden="1" x14ac:dyDescent="0.25">
      <c r="A795" s="2">
        <f>HYPERLINK(URLs!B36 &amp; 57519,57519)</f>
        <v>57519</v>
      </c>
      <c r="B795" s="2">
        <f>HYPERLINK(URLs!B30 &amp; 6587 &amp; URLs!B32,6587)</f>
        <v>6587</v>
      </c>
      <c r="C795" t="s">
        <v>665</v>
      </c>
      <c r="D795" t="s">
        <v>619</v>
      </c>
      <c r="E795" t="s">
        <v>850</v>
      </c>
      <c r="F795" t="s">
        <v>621</v>
      </c>
      <c r="G795" t="s">
        <v>875</v>
      </c>
      <c r="H795" t="s">
        <v>876</v>
      </c>
      <c r="I795" t="s">
        <v>624</v>
      </c>
      <c r="J795" t="s">
        <v>629</v>
      </c>
      <c r="K795" t="s">
        <v>31</v>
      </c>
      <c r="L795" s="5">
        <v>42055</v>
      </c>
      <c r="M795" s="5">
        <v>42513</v>
      </c>
      <c r="N795" s="2">
        <f>HYPERLINK(URLs!B36 &amp; 57541,57541)</f>
        <v>57541</v>
      </c>
      <c r="O795" t="s">
        <v>645</v>
      </c>
      <c r="P795" t="s">
        <v>621</v>
      </c>
      <c r="Q795" t="s">
        <v>1229</v>
      </c>
      <c r="R795" t="s">
        <v>305</v>
      </c>
      <c r="S795" s="2" t="s">
        <v>328</v>
      </c>
      <c r="T795" s="2" t="s">
        <v>4098</v>
      </c>
      <c r="U795" t="s">
        <v>35</v>
      </c>
      <c r="V795" t="s">
        <v>321</v>
      </c>
      <c r="Z795" t="s">
        <v>73</v>
      </c>
    </row>
    <row r="796" spans="1:26" hidden="1" x14ac:dyDescent="0.25">
      <c r="A796" s="2"/>
      <c r="B796" s="2">
        <f>HYPERLINK(URLs!B30 &amp; 6561 &amp; URLs!B32,6561)</f>
        <v>6561</v>
      </c>
      <c r="C796" t="s">
        <v>665</v>
      </c>
      <c r="D796" t="s">
        <v>619</v>
      </c>
      <c r="E796" t="s">
        <v>850</v>
      </c>
      <c r="F796" t="s">
        <v>621</v>
      </c>
      <c r="G796" t="s">
        <v>1165</v>
      </c>
      <c r="H796" t="s">
        <v>1166</v>
      </c>
      <c r="I796" t="s">
        <v>624</v>
      </c>
      <c r="J796" t="s">
        <v>642</v>
      </c>
      <c r="L796" s="5">
        <v>42049</v>
      </c>
      <c r="M796" s="5">
        <v>42475</v>
      </c>
      <c r="N796" s="2">
        <f>HYPERLINK(URLs!B36 &amp; 57732,57732)</f>
        <v>57732</v>
      </c>
      <c r="O796" t="s">
        <v>666</v>
      </c>
      <c r="P796" t="s">
        <v>621</v>
      </c>
      <c r="Q796" t="s">
        <v>1230</v>
      </c>
      <c r="S796" s="2"/>
      <c r="T796" s="2"/>
    </row>
    <row r="797" spans="1:26" hidden="1" x14ac:dyDescent="0.25">
      <c r="A797" s="2"/>
      <c r="B797" s="2">
        <f>HYPERLINK(URLs!B30 &amp; 6553 &amp; URLs!B32,6553)</f>
        <v>6553</v>
      </c>
      <c r="C797" t="s">
        <v>665</v>
      </c>
      <c r="D797" t="s">
        <v>619</v>
      </c>
      <c r="E797" t="s">
        <v>850</v>
      </c>
      <c r="F797" t="s">
        <v>621</v>
      </c>
      <c r="G797" t="s">
        <v>851</v>
      </c>
      <c r="H797" t="s">
        <v>852</v>
      </c>
      <c r="I797" t="s">
        <v>624</v>
      </c>
      <c r="J797" t="s">
        <v>629</v>
      </c>
      <c r="L797" s="5">
        <v>42046</v>
      </c>
      <c r="M797" s="5">
        <v>42258</v>
      </c>
      <c r="N797" s="2">
        <f>HYPERLINK(URLs!B36 &amp; 57190,57190)</f>
        <v>57190</v>
      </c>
      <c r="O797" t="s">
        <v>666</v>
      </c>
      <c r="P797" t="s">
        <v>621</v>
      </c>
      <c r="Q797" t="s">
        <v>1231</v>
      </c>
      <c r="S797" s="2"/>
      <c r="T797" s="2"/>
    </row>
    <row r="798" spans="1:26" hidden="1" x14ac:dyDescent="0.25">
      <c r="A798" s="2"/>
      <c r="B798" s="2">
        <f>HYPERLINK(URLs!B30 &amp; 6527 &amp; URLs!B32,6527)</f>
        <v>6527</v>
      </c>
      <c r="C798" t="s">
        <v>665</v>
      </c>
      <c r="D798" t="s">
        <v>619</v>
      </c>
      <c r="E798" t="s">
        <v>850</v>
      </c>
      <c r="F798" t="s">
        <v>1232</v>
      </c>
      <c r="G798" t="s">
        <v>858</v>
      </c>
      <c r="H798" t="s">
        <v>859</v>
      </c>
      <c r="I798" t="s">
        <v>624</v>
      </c>
      <c r="J798" t="s">
        <v>629</v>
      </c>
      <c r="L798" s="5">
        <v>42041</v>
      </c>
      <c r="M798" s="5">
        <v>42104</v>
      </c>
      <c r="N798" s="2">
        <f>HYPERLINK(URLs!B36 &amp; 56533,56533)</f>
        <v>56533</v>
      </c>
      <c r="O798" t="s">
        <v>666</v>
      </c>
      <c r="P798" t="s">
        <v>621</v>
      </c>
      <c r="Q798" t="s">
        <v>1233</v>
      </c>
      <c r="S798" s="2"/>
      <c r="T798" s="2"/>
      <c r="W798">
        <v>1</v>
      </c>
    </row>
    <row r="799" spans="1:26" hidden="1" x14ac:dyDescent="0.25">
      <c r="A799" s="2">
        <f>HYPERLINK(URLs!B36 &amp; 57874,57874)</f>
        <v>57874</v>
      </c>
      <c r="B799" s="2">
        <f>HYPERLINK(URLs!B30 &amp; 6508 &amp; URLs!B32,6508)</f>
        <v>6508</v>
      </c>
      <c r="C799" t="s">
        <v>665</v>
      </c>
      <c r="D799" t="s">
        <v>619</v>
      </c>
      <c r="E799" t="s">
        <v>850</v>
      </c>
      <c r="F799" t="s">
        <v>1234</v>
      </c>
      <c r="G799" t="s">
        <v>889</v>
      </c>
      <c r="H799" t="s">
        <v>890</v>
      </c>
      <c r="I799" t="s">
        <v>624</v>
      </c>
      <c r="J799" t="s">
        <v>629</v>
      </c>
      <c r="K799" t="s">
        <v>31</v>
      </c>
      <c r="L799" s="5">
        <v>42040</v>
      </c>
      <c r="M799" s="5">
        <v>42258</v>
      </c>
      <c r="N799" s="2">
        <f>HYPERLINK(URLs!B36 &amp; 57874,57874)</f>
        <v>57874</v>
      </c>
      <c r="O799" t="s">
        <v>666</v>
      </c>
      <c r="P799" t="s">
        <v>621</v>
      </c>
      <c r="Q799" t="s">
        <v>1235</v>
      </c>
      <c r="R799" t="s">
        <v>305</v>
      </c>
      <c r="S799" s="2" t="s">
        <v>304</v>
      </c>
      <c r="T799" s="2" t="s">
        <v>2708</v>
      </c>
      <c r="U799" t="s">
        <v>35</v>
      </c>
      <c r="V799" t="s">
        <v>35</v>
      </c>
      <c r="Z799" t="s">
        <v>34</v>
      </c>
    </row>
    <row r="800" spans="1:26" hidden="1" x14ac:dyDescent="0.25">
      <c r="A800" s="2">
        <f>HYPERLINK(URLs!B36 &amp; 57665,57665)</f>
        <v>57665</v>
      </c>
      <c r="B800" s="2">
        <f>HYPERLINK(URLs!B30 &amp; 6495 &amp; URLs!B32,6495)</f>
        <v>6495</v>
      </c>
      <c r="C800" t="s">
        <v>665</v>
      </c>
      <c r="D800" t="s">
        <v>619</v>
      </c>
      <c r="E800" t="s">
        <v>850</v>
      </c>
      <c r="F800" t="s">
        <v>621</v>
      </c>
      <c r="G800" t="s">
        <v>870</v>
      </c>
      <c r="H800" t="s">
        <v>871</v>
      </c>
      <c r="I800" t="s">
        <v>624</v>
      </c>
      <c r="J800" t="s">
        <v>642</v>
      </c>
      <c r="K800" t="s">
        <v>31</v>
      </c>
      <c r="L800" s="5">
        <v>42039</v>
      </c>
      <c r="M800" s="5">
        <v>42258</v>
      </c>
      <c r="N800" s="2">
        <f>HYPERLINK(URLs!B36 &amp; 57665,57665)</f>
        <v>57665</v>
      </c>
      <c r="O800" t="s">
        <v>666</v>
      </c>
      <c r="P800" t="s">
        <v>621</v>
      </c>
      <c r="Q800" t="s">
        <v>1236</v>
      </c>
      <c r="R800" t="s">
        <v>305</v>
      </c>
      <c r="S800" s="2" t="s">
        <v>304</v>
      </c>
      <c r="T800" s="2" t="s">
        <v>2475</v>
      </c>
      <c r="U800" t="s">
        <v>35</v>
      </c>
      <c r="V800" t="s">
        <v>35</v>
      </c>
      <c r="Z800" t="s">
        <v>34</v>
      </c>
    </row>
    <row r="801" spans="1:26" hidden="1" x14ac:dyDescent="0.25">
      <c r="A801" s="2"/>
      <c r="B801" s="2">
        <f>HYPERLINK(URLs!B30 &amp; 6472 &amp; URLs!B32,6472)</f>
        <v>6472</v>
      </c>
      <c r="C801" t="s">
        <v>665</v>
      </c>
      <c r="D801" t="s">
        <v>619</v>
      </c>
      <c r="E801" t="s">
        <v>850</v>
      </c>
      <c r="F801" t="s">
        <v>621</v>
      </c>
      <c r="G801" t="s">
        <v>875</v>
      </c>
      <c r="H801" t="s">
        <v>876</v>
      </c>
      <c r="I801" t="s">
        <v>624</v>
      </c>
      <c r="J801" t="s">
        <v>629</v>
      </c>
      <c r="L801" s="5">
        <v>42033</v>
      </c>
      <c r="M801" s="5">
        <v>42219</v>
      </c>
      <c r="N801" t="s">
        <v>621</v>
      </c>
      <c r="O801" t="s">
        <v>645</v>
      </c>
      <c r="P801" t="s">
        <v>621</v>
      </c>
      <c r="Q801" t="s">
        <v>1237</v>
      </c>
      <c r="S801" s="2"/>
      <c r="T801" s="2"/>
    </row>
    <row r="802" spans="1:26" hidden="1" x14ac:dyDescent="0.25">
      <c r="A802" s="2"/>
      <c r="B802" s="2">
        <f>HYPERLINK(URLs!B30 &amp; 6455 &amp; URLs!B32,6455)</f>
        <v>6455</v>
      </c>
      <c r="C802" t="s">
        <v>665</v>
      </c>
      <c r="D802" t="s">
        <v>619</v>
      </c>
      <c r="E802" t="s">
        <v>850</v>
      </c>
      <c r="F802" t="s">
        <v>1232</v>
      </c>
      <c r="G802" t="s">
        <v>1185</v>
      </c>
      <c r="H802" t="s">
        <v>825</v>
      </c>
      <c r="I802" t="s">
        <v>624</v>
      </c>
      <c r="J802" t="s">
        <v>629</v>
      </c>
      <c r="L802" s="5">
        <v>42031</v>
      </c>
      <c r="M802" s="5">
        <v>42104</v>
      </c>
      <c r="N802" s="2">
        <f>HYPERLINK(URLs!B36 &amp; 55040,55040)</f>
        <v>55040</v>
      </c>
      <c r="O802" t="s">
        <v>666</v>
      </c>
      <c r="P802" t="s">
        <v>621</v>
      </c>
      <c r="Q802" t="s">
        <v>1238</v>
      </c>
      <c r="S802" s="2"/>
      <c r="T802" s="2"/>
    </row>
    <row r="803" spans="1:26" hidden="1" x14ac:dyDescent="0.25">
      <c r="A803" s="2"/>
      <c r="B803" s="2">
        <f>HYPERLINK(URLs!B30 &amp; 6436 &amp; URLs!B32,6436)</f>
        <v>6436</v>
      </c>
      <c r="C803" t="s">
        <v>633</v>
      </c>
      <c r="D803" t="s">
        <v>619</v>
      </c>
      <c r="E803" t="s">
        <v>850</v>
      </c>
      <c r="F803" t="s">
        <v>1239</v>
      </c>
      <c r="G803" t="s">
        <v>875</v>
      </c>
      <c r="H803" t="s">
        <v>876</v>
      </c>
      <c r="I803" t="s">
        <v>624</v>
      </c>
      <c r="J803" t="s">
        <v>629</v>
      </c>
      <c r="L803" s="5">
        <v>42027</v>
      </c>
      <c r="M803" s="5">
        <v>42523</v>
      </c>
      <c r="N803" s="2">
        <f>HYPERLINK(URLs!B36 &amp; 55538,55538)</f>
        <v>55538</v>
      </c>
      <c r="O803" t="s">
        <v>666</v>
      </c>
      <c r="P803" t="s">
        <v>621</v>
      </c>
      <c r="Q803" t="s">
        <v>1240</v>
      </c>
      <c r="R803" t="s">
        <v>305</v>
      </c>
      <c r="S803" s="2"/>
      <c r="T803" s="2"/>
    </row>
    <row r="804" spans="1:26" hidden="1" x14ac:dyDescent="0.25">
      <c r="A804" s="2"/>
      <c r="B804" s="2">
        <f>HYPERLINK(URLs!B30 &amp; 6417 &amp; URLs!B32,6417)</f>
        <v>6417</v>
      </c>
      <c r="C804" t="s">
        <v>665</v>
      </c>
      <c r="D804" t="s">
        <v>619</v>
      </c>
      <c r="E804" t="s">
        <v>850</v>
      </c>
      <c r="F804" t="s">
        <v>621</v>
      </c>
      <c r="G804" t="s">
        <v>867</v>
      </c>
      <c r="H804" t="s">
        <v>868</v>
      </c>
      <c r="I804" t="s">
        <v>624</v>
      </c>
      <c r="J804" t="s">
        <v>629</v>
      </c>
      <c r="L804" s="5">
        <v>42025</v>
      </c>
      <c r="M804" s="5">
        <v>42464</v>
      </c>
      <c r="N804" s="2">
        <f>HYPERLINK(URLs!B36 &amp; 58435,58435)</f>
        <v>58435</v>
      </c>
      <c r="O804" t="s">
        <v>666</v>
      </c>
      <c r="P804" t="s">
        <v>621</v>
      </c>
      <c r="Q804" t="s">
        <v>1241</v>
      </c>
      <c r="S804" s="2"/>
      <c r="T804" s="2"/>
      <c r="W804">
        <v>1</v>
      </c>
    </row>
    <row r="805" spans="1:26" hidden="1" x14ac:dyDescent="0.25">
      <c r="A805" s="2"/>
      <c r="B805" s="2">
        <f>HYPERLINK(URLs!B30 &amp; 6402 &amp; URLs!B32,6402)</f>
        <v>6402</v>
      </c>
      <c r="C805" t="s">
        <v>665</v>
      </c>
      <c r="D805" t="s">
        <v>619</v>
      </c>
      <c r="E805" t="s">
        <v>850</v>
      </c>
      <c r="F805" t="s">
        <v>621</v>
      </c>
      <c r="G805" t="s">
        <v>962</v>
      </c>
      <c r="H805" t="s">
        <v>887</v>
      </c>
      <c r="I805" t="s">
        <v>624</v>
      </c>
      <c r="J805" t="s">
        <v>629</v>
      </c>
      <c r="L805" s="5">
        <v>42024</v>
      </c>
      <c r="M805" s="5">
        <v>42670</v>
      </c>
      <c r="N805" s="2">
        <f>HYPERLINK(URLs!B36 &amp; 65696,65696)</f>
        <v>65696</v>
      </c>
      <c r="O805" t="s">
        <v>666</v>
      </c>
      <c r="P805" t="s">
        <v>621</v>
      </c>
      <c r="Q805" t="s">
        <v>1242</v>
      </c>
      <c r="S805" s="2"/>
      <c r="T805" s="2"/>
      <c r="W805">
        <v>1</v>
      </c>
      <c r="Y805">
        <v>1</v>
      </c>
    </row>
    <row r="806" spans="1:26" hidden="1" x14ac:dyDescent="0.25">
      <c r="A806" s="2"/>
      <c r="B806" s="2">
        <f>HYPERLINK(URLs!B30 &amp; 6401 &amp; URLs!B32,6401)</f>
        <v>6401</v>
      </c>
      <c r="C806" t="s">
        <v>633</v>
      </c>
      <c r="D806" t="s">
        <v>619</v>
      </c>
      <c r="E806" t="s">
        <v>850</v>
      </c>
      <c r="F806" t="s">
        <v>621</v>
      </c>
      <c r="G806" t="s">
        <v>962</v>
      </c>
      <c r="H806" t="s">
        <v>887</v>
      </c>
      <c r="I806" t="s">
        <v>624</v>
      </c>
      <c r="J806" t="s">
        <v>629</v>
      </c>
      <c r="L806" s="5">
        <v>42024</v>
      </c>
      <c r="M806" s="5">
        <v>42068</v>
      </c>
      <c r="N806" t="s">
        <v>621</v>
      </c>
      <c r="O806" t="s">
        <v>666</v>
      </c>
      <c r="P806" t="s">
        <v>621</v>
      </c>
      <c r="Q806" t="s">
        <v>1243</v>
      </c>
      <c r="S806" s="2"/>
      <c r="T806" s="2"/>
    </row>
    <row r="807" spans="1:26" hidden="1" x14ac:dyDescent="0.25">
      <c r="A807" s="2"/>
      <c r="B807" s="2">
        <f>HYPERLINK(URLs!B30 &amp; 6396 &amp; URLs!B32,6396)</f>
        <v>6396</v>
      </c>
      <c r="C807" t="s">
        <v>633</v>
      </c>
      <c r="D807" t="s">
        <v>619</v>
      </c>
      <c r="E807" t="s">
        <v>850</v>
      </c>
      <c r="F807" t="s">
        <v>621</v>
      </c>
      <c r="G807" t="s">
        <v>867</v>
      </c>
      <c r="H807" t="s">
        <v>868</v>
      </c>
      <c r="I807" t="s">
        <v>624</v>
      </c>
      <c r="J807" t="s">
        <v>642</v>
      </c>
      <c r="L807" s="5">
        <v>42024</v>
      </c>
      <c r="M807" s="5">
        <v>42523</v>
      </c>
      <c r="N807" t="s">
        <v>1213</v>
      </c>
      <c r="O807" t="s">
        <v>645</v>
      </c>
      <c r="P807" t="s">
        <v>621</v>
      </c>
      <c r="Q807" t="s">
        <v>1244</v>
      </c>
      <c r="S807" s="2"/>
      <c r="T807" s="2"/>
      <c r="W807">
        <v>1</v>
      </c>
    </row>
    <row r="808" spans="1:26" hidden="1" x14ac:dyDescent="0.25">
      <c r="A808" s="2"/>
      <c r="B808" s="2">
        <f>HYPERLINK(URLs!B30 &amp; 6346 &amp; URLs!B32,6346)</f>
        <v>6346</v>
      </c>
      <c r="C808" t="s">
        <v>665</v>
      </c>
      <c r="D808" t="s">
        <v>619</v>
      </c>
      <c r="E808" t="s">
        <v>850</v>
      </c>
      <c r="F808" t="s">
        <v>621</v>
      </c>
      <c r="G808" t="s">
        <v>962</v>
      </c>
      <c r="H808" t="s">
        <v>887</v>
      </c>
      <c r="I808" t="s">
        <v>624</v>
      </c>
      <c r="J808" t="s">
        <v>642</v>
      </c>
      <c r="L808" s="5">
        <v>42016</v>
      </c>
      <c r="M808" s="5">
        <v>42485</v>
      </c>
      <c r="N808" s="2">
        <f>HYPERLINK(URLs!B36 &amp; 55696,55696)</f>
        <v>55696</v>
      </c>
      <c r="O808" t="s">
        <v>666</v>
      </c>
      <c r="P808" t="s">
        <v>621</v>
      </c>
      <c r="Q808" t="s">
        <v>1245</v>
      </c>
      <c r="S808" s="2"/>
      <c r="T808" s="2"/>
      <c r="W808">
        <v>1</v>
      </c>
    </row>
    <row r="809" spans="1:26" hidden="1" x14ac:dyDescent="0.25">
      <c r="A809" s="2"/>
      <c r="B809" s="2">
        <f>HYPERLINK(URLs!B30 &amp; 6321 &amp; URLs!B32,6321)</f>
        <v>6321</v>
      </c>
      <c r="C809" t="s">
        <v>633</v>
      </c>
      <c r="D809" t="s">
        <v>619</v>
      </c>
      <c r="E809" t="s">
        <v>850</v>
      </c>
      <c r="F809" t="s">
        <v>621</v>
      </c>
      <c r="G809" t="s">
        <v>962</v>
      </c>
      <c r="H809" t="s">
        <v>887</v>
      </c>
      <c r="I809" t="s">
        <v>624</v>
      </c>
      <c r="J809" t="s">
        <v>642</v>
      </c>
      <c r="L809" s="5">
        <v>42011</v>
      </c>
      <c r="M809" s="5">
        <v>42523</v>
      </c>
      <c r="N809" t="s">
        <v>621</v>
      </c>
      <c r="O809" t="s">
        <v>645</v>
      </c>
      <c r="P809" t="s">
        <v>621</v>
      </c>
      <c r="Q809" t="s">
        <v>1246</v>
      </c>
      <c r="S809" s="2"/>
      <c r="T809" s="2"/>
    </row>
    <row r="810" spans="1:26" hidden="1" x14ac:dyDescent="0.25">
      <c r="A810" s="2"/>
      <c r="B810" s="2">
        <f>HYPERLINK(URLs!B30 &amp; 6313 &amp; URLs!B32,6313)</f>
        <v>6313</v>
      </c>
      <c r="C810" t="s">
        <v>665</v>
      </c>
      <c r="D810" t="s">
        <v>619</v>
      </c>
      <c r="E810" t="s">
        <v>850</v>
      </c>
      <c r="F810" t="s">
        <v>1232</v>
      </c>
      <c r="G810" t="s">
        <v>889</v>
      </c>
      <c r="H810" t="s">
        <v>890</v>
      </c>
      <c r="I810" t="s">
        <v>624</v>
      </c>
      <c r="J810" t="s">
        <v>629</v>
      </c>
      <c r="L810" s="5">
        <v>42009</v>
      </c>
      <c r="M810" s="5">
        <v>42258</v>
      </c>
      <c r="N810" s="2">
        <f>HYPERLINK(URLs!B36 &amp; 50659,50659)</f>
        <v>50659</v>
      </c>
      <c r="O810" t="s">
        <v>666</v>
      </c>
      <c r="P810" t="s">
        <v>621</v>
      </c>
      <c r="Q810" t="s">
        <v>1247</v>
      </c>
      <c r="S810" s="2"/>
      <c r="T810" s="2"/>
      <c r="W810">
        <v>1</v>
      </c>
    </row>
    <row r="811" spans="1:26" hidden="1" x14ac:dyDescent="0.25">
      <c r="A811" s="2"/>
      <c r="B811" s="2">
        <f>HYPERLINK(URLs!B30 &amp; 6307 &amp; URLs!B32,6307)</f>
        <v>6307</v>
      </c>
      <c r="C811" t="s">
        <v>665</v>
      </c>
      <c r="D811" t="s">
        <v>619</v>
      </c>
      <c r="E811" t="s">
        <v>850</v>
      </c>
      <c r="F811" t="s">
        <v>621</v>
      </c>
      <c r="G811" t="s">
        <v>1165</v>
      </c>
      <c r="H811" t="s">
        <v>1166</v>
      </c>
      <c r="I811" t="s">
        <v>624</v>
      </c>
      <c r="J811" t="s">
        <v>642</v>
      </c>
      <c r="L811" s="5">
        <v>42001</v>
      </c>
      <c r="M811" s="5">
        <v>42015</v>
      </c>
      <c r="N811" t="s">
        <v>621</v>
      </c>
      <c r="O811" t="s">
        <v>680</v>
      </c>
      <c r="P811" t="s">
        <v>621</v>
      </c>
      <c r="Q811" t="s">
        <v>1248</v>
      </c>
      <c r="S811" s="2"/>
      <c r="T811" s="2"/>
    </row>
    <row r="812" spans="1:26" hidden="1" x14ac:dyDescent="0.25">
      <c r="A812" s="2"/>
      <c r="B812" s="2">
        <f>HYPERLINK(URLs!B30 &amp; 6299 &amp; URLs!B32,6299)</f>
        <v>6299</v>
      </c>
      <c r="C812" t="s">
        <v>633</v>
      </c>
      <c r="D812" t="s">
        <v>619</v>
      </c>
      <c r="E812" t="s">
        <v>850</v>
      </c>
      <c r="F812" t="s">
        <v>621</v>
      </c>
      <c r="G812" t="s">
        <v>962</v>
      </c>
      <c r="H812" t="s">
        <v>887</v>
      </c>
      <c r="I812" t="s">
        <v>624</v>
      </c>
      <c r="J812" t="s">
        <v>629</v>
      </c>
      <c r="L812" s="5">
        <v>41995</v>
      </c>
      <c r="M812" s="5">
        <v>42258</v>
      </c>
      <c r="N812" s="2">
        <f>HYPERLINK(URLs!B36 &amp; 45109,45109)</f>
        <v>45109</v>
      </c>
      <c r="O812" t="s">
        <v>666</v>
      </c>
      <c r="P812" t="s">
        <v>621</v>
      </c>
      <c r="Q812" t="s">
        <v>1249</v>
      </c>
      <c r="R812" t="s">
        <v>305</v>
      </c>
      <c r="S812" s="2"/>
      <c r="T812" s="2"/>
    </row>
    <row r="813" spans="1:26" hidden="1" x14ac:dyDescent="0.25">
      <c r="A813" s="2"/>
      <c r="B813" s="2">
        <f>HYPERLINK(URLs!B30 &amp; 6286 &amp; URLs!B32,6286)</f>
        <v>6286</v>
      </c>
      <c r="C813" t="s">
        <v>633</v>
      </c>
      <c r="D813" t="s">
        <v>619</v>
      </c>
      <c r="E813" t="s">
        <v>850</v>
      </c>
      <c r="F813" t="s">
        <v>621</v>
      </c>
      <c r="G813" t="s">
        <v>962</v>
      </c>
      <c r="H813" t="s">
        <v>887</v>
      </c>
      <c r="I813" t="s">
        <v>624</v>
      </c>
      <c r="J813" t="s">
        <v>642</v>
      </c>
      <c r="L813" s="5">
        <v>41991</v>
      </c>
      <c r="M813" s="5">
        <v>42258</v>
      </c>
      <c r="N813" s="2">
        <f>HYPERLINK(URLs!B36 &amp; 54912,54912)</f>
        <v>54912</v>
      </c>
      <c r="O813" t="s">
        <v>666</v>
      </c>
      <c r="P813" t="s">
        <v>621</v>
      </c>
      <c r="Q813" t="s">
        <v>1250</v>
      </c>
      <c r="S813" s="2"/>
      <c r="T813" s="2"/>
    </row>
    <row r="814" spans="1:26" hidden="1" x14ac:dyDescent="0.25">
      <c r="A814" s="2"/>
      <c r="B814" s="2">
        <f>HYPERLINK(URLs!B30 &amp; 6280 &amp; URLs!B32,6280)</f>
        <v>6280</v>
      </c>
      <c r="C814" t="s">
        <v>665</v>
      </c>
      <c r="D814" t="s">
        <v>619</v>
      </c>
      <c r="E814" t="s">
        <v>850</v>
      </c>
      <c r="F814" t="s">
        <v>621</v>
      </c>
      <c r="G814" t="s">
        <v>851</v>
      </c>
      <c r="H814" t="s">
        <v>852</v>
      </c>
      <c r="I814" t="s">
        <v>624</v>
      </c>
      <c r="J814" t="s">
        <v>629</v>
      </c>
      <c r="L814" s="5">
        <v>41990</v>
      </c>
      <c r="M814" s="5">
        <v>42104</v>
      </c>
      <c r="N814" s="2">
        <f>HYPERLINK(URLs!B36 &amp; 54720,54720)</f>
        <v>54720</v>
      </c>
      <c r="O814" t="s">
        <v>666</v>
      </c>
      <c r="P814" t="s">
        <v>621</v>
      </c>
      <c r="Q814" t="s">
        <v>1251</v>
      </c>
      <c r="S814" s="2"/>
      <c r="T814" s="2"/>
    </row>
    <row r="815" spans="1:26" hidden="1" x14ac:dyDescent="0.25">
      <c r="A815" s="2"/>
      <c r="B815" s="2">
        <f>HYPERLINK(URLs!B30 &amp; 6279 &amp; URLs!B32,6279)</f>
        <v>6279</v>
      </c>
      <c r="C815" t="s">
        <v>633</v>
      </c>
      <c r="D815" t="s">
        <v>619</v>
      </c>
      <c r="E815" t="s">
        <v>850</v>
      </c>
      <c r="F815" t="s">
        <v>621</v>
      </c>
      <c r="G815" t="s">
        <v>962</v>
      </c>
      <c r="H815" t="s">
        <v>887</v>
      </c>
      <c r="I815" t="s">
        <v>624</v>
      </c>
      <c r="J815" t="s">
        <v>642</v>
      </c>
      <c r="L815" s="5">
        <v>41990</v>
      </c>
      <c r="M815" s="5">
        <v>42258</v>
      </c>
      <c r="N815" s="2">
        <f>HYPERLINK(URLs!B36 &amp; 52959,52959)</f>
        <v>52959</v>
      </c>
      <c r="O815" t="s">
        <v>666</v>
      </c>
      <c r="P815" t="s">
        <v>621</v>
      </c>
      <c r="Q815" t="s">
        <v>1252</v>
      </c>
      <c r="S815" s="2"/>
      <c r="T815" s="2"/>
    </row>
    <row r="816" spans="1:26" hidden="1" x14ac:dyDescent="0.25">
      <c r="A816" s="2">
        <f>HYPERLINK(URLs!B36 &amp; 43004,43004)</f>
        <v>43004</v>
      </c>
      <c r="B816" s="2">
        <f>HYPERLINK(URLs!B30 &amp; 6273 &amp; URLs!B32,6273)</f>
        <v>6273</v>
      </c>
      <c r="C816" t="s">
        <v>665</v>
      </c>
      <c r="D816" t="s">
        <v>619</v>
      </c>
      <c r="E816" t="s">
        <v>850</v>
      </c>
      <c r="F816" t="s">
        <v>1234</v>
      </c>
      <c r="G816" t="s">
        <v>867</v>
      </c>
      <c r="H816" t="s">
        <v>868</v>
      </c>
      <c r="I816" t="s">
        <v>624</v>
      </c>
      <c r="J816" t="s">
        <v>642</v>
      </c>
      <c r="K816" t="s">
        <v>57</v>
      </c>
      <c r="L816" s="5">
        <v>41988</v>
      </c>
      <c r="M816" s="5">
        <v>42104</v>
      </c>
      <c r="N816" s="2">
        <f>HYPERLINK(URLs!B36 &amp; 43004,43004)</f>
        <v>43004</v>
      </c>
      <c r="O816" t="s">
        <v>666</v>
      </c>
      <c r="P816" t="s">
        <v>621</v>
      </c>
      <c r="Q816" t="s">
        <v>1253</v>
      </c>
      <c r="R816" t="s">
        <v>305</v>
      </c>
      <c r="S816" s="2" t="s">
        <v>304</v>
      </c>
      <c r="T816" s="2" t="s">
        <v>4112</v>
      </c>
      <c r="U816" t="s">
        <v>35</v>
      </c>
      <c r="V816" t="s">
        <v>35</v>
      </c>
      <c r="Z816" t="s">
        <v>34</v>
      </c>
    </row>
    <row r="817" spans="1:26" hidden="1" x14ac:dyDescent="0.25">
      <c r="A817" s="2"/>
      <c r="B817" s="2">
        <f>HYPERLINK(URLs!B30 &amp; 6258 &amp; URLs!B32,6258)</f>
        <v>6258</v>
      </c>
      <c r="C817" t="s">
        <v>665</v>
      </c>
      <c r="D817" t="s">
        <v>619</v>
      </c>
      <c r="E817" t="s">
        <v>850</v>
      </c>
      <c r="F817" t="s">
        <v>621</v>
      </c>
      <c r="G817" t="s">
        <v>863</v>
      </c>
      <c r="H817" t="s">
        <v>864</v>
      </c>
      <c r="I817" t="s">
        <v>624</v>
      </c>
      <c r="J817" t="s">
        <v>629</v>
      </c>
      <c r="L817" s="5">
        <v>41985</v>
      </c>
      <c r="M817" s="5">
        <v>42205</v>
      </c>
      <c r="N817" s="2">
        <f>HYPERLINK(URLs!B36 &amp; 47908,47908)</f>
        <v>47908</v>
      </c>
      <c r="O817" t="s">
        <v>666</v>
      </c>
      <c r="P817" t="s">
        <v>621</v>
      </c>
      <c r="Q817" t="s">
        <v>1254</v>
      </c>
      <c r="S817" s="2"/>
      <c r="T817" s="2"/>
      <c r="W817">
        <v>1</v>
      </c>
    </row>
    <row r="818" spans="1:26" hidden="1" x14ac:dyDescent="0.25">
      <c r="A818" s="2"/>
      <c r="B818" s="2">
        <f>HYPERLINK(URLs!B30 &amp; 6249 &amp; URLs!B32,6249)</f>
        <v>6249</v>
      </c>
      <c r="C818" t="s">
        <v>665</v>
      </c>
      <c r="D818" t="s">
        <v>619</v>
      </c>
      <c r="E818" t="s">
        <v>850</v>
      </c>
      <c r="F818" t="s">
        <v>1213</v>
      </c>
      <c r="G818" t="s">
        <v>851</v>
      </c>
      <c r="H818" t="s">
        <v>852</v>
      </c>
      <c r="I818" t="s">
        <v>624</v>
      </c>
      <c r="J818" t="s">
        <v>625</v>
      </c>
      <c r="L818" s="5">
        <v>41984</v>
      </c>
      <c r="M818" s="5">
        <v>42104</v>
      </c>
      <c r="N818" s="2">
        <f>HYPERLINK(URLs!B36 &amp; 54720,54720)</f>
        <v>54720</v>
      </c>
      <c r="O818" t="s">
        <v>666</v>
      </c>
      <c r="P818" t="s">
        <v>621</v>
      </c>
      <c r="Q818" t="s">
        <v>1255</v>
      </c>
      <c r="S818" s="2"/>
      <c r="T818" s="2"/>
    </row>
    <row r="819" spans="1:26" hidden="1" x14ac:dyDescent="0.25">
      <c r="A819" s="2"/>
      <c r="B819" s="2">
        <f>HYPERLINK(URLs!B30 &amp; 6224 &amp; URLs!B32,6224)</f>
        <v>6224</v>
      </c>
      <c r="C819" t="s">
        <v>633</v>
      </c>
      <c r="D819" t="s">
        <v>619</v>
      </c>
      <c r="E819" t="s">
        <v>850</v>
      </c>
      <c r="F819" t="s">
        <v>1224</v>
      </c>
      <c r="G819" t="s">
        <v>867</v>
      </c>
      <c r="H819" t="s">
        <v>868</v>
      </c>
      <c r="I819" t="s">
        <v>624</v>
      </c>
      <c r="J819" t="s">
        <v>625</v>
      </c>
      <c r="L819" s="5">
        <v>41978</v>
      </c>
      <c r="M819" s="5">
        <v>42523</v>
      </c>
      <c r="N819" s="2">
        <f>HYPERLINK(URLs!B36 &amp; 54651,54651)</f>
        <v>54651</v>
      </c>
      <c r="O819" t="s">
        <v>666</v>
      </c>
      <c r="P819" t="s">
        <v>621</v>
      </c>
      <c r="Q819" t="s">
        <v>1256</v>
      </c>
    </row>
    <row r="820" spans="1:26" hidden="1" x14ac:dyDescent="0.25">
      <c r="A820" s="2"/>
      <c r="B820" s="2">
        <f>HYPERLINK(URLs!B30 &amp; 6199 &amp; URLs!B32,6199)</f>
        <v>6199</v>
      </c>
      <c r="C820" t="s">
        <v>633</v>
      </c>
      <c r="D820" t="s">
        <v>619</v>
      </c>
      <c r="E820" t="s">
        <v>850</v>
      </c>
      <c r="F820" t="s">
        <v>621</v>
      </c>
      <c r="G820" t="s">
        <v>851</v>
      </c>
      <c r="H820" t="s">
        <v>852</v>
      </c>
      <c r="I820" t="s">
        <v>624</v>
      </c>
      <c r="J820" t="s">
        <v>642</v>
      </c>
      <c r="L820" s="5">
        <v>41970</v>
      </c>
      <c r="M820" s="5">
        <v>42132</v>
      </c>
      <c r="N820" t="s">
        <v>621</v>
      </c>
      <c r="O820" t="s">
        <v>680</v>
      </c>
      <c r="P820" t="s">
        <v>621</v>
      </c>
      <c r="Q820" t="s">
        <v>1257</v>
      </c>
    </row>
    <row r="821" spans="1:26" hidden="1" x14ac:dyDescent="0.25">
      <c r="A821" s="2"/>
      <c r="B821" s="2">
        <f>HYPERLINK(URLs!B30 &amp; 6155 &amp; URLs!B32,6155)</f>
        <v>6155</v>
      </c>
      <c r="C821" t="s">
        <v>665</v>
      </c>
      <c r="D821" t="s">
        <v>619</v>
      </c>
      <c r="E821" t="s">
        <v>850</v>
      </c>
      <c r="F821" t="s">
        <v>621</v>
      </c>
      <c r="G821" t="s">
        <v>851</v>
      </c>
      <c r="H821" t="s">
        <v>852</v>
      </c>
      <c r="I821" t="s">
        <v>624</v>
      </c>
      <c r="J821" t="s">
        <v>625</v>
      </c>
      <c r="L821" s="5">
        <v>41961</v>
      </c>
      <c r="M821" s="5">
        <v>42104</v>
      </c>
      <c r="N821" s="2">
        <f>HYPERLINK(URLs!B36 &amp; 53278,53278)</f>
        <v>53278</v>
      </c>
      <c r="O821" t="s">
        <v>666</v>
      </c>
      <c r="P821" t="s">
        <v>621</v>
      </c>
      <c r="Q821" t="s">
        <v>1258</v>
      </c>
      <c r="W821">
        <v>1</v>
      </c>
    </row>
    <row r="822" spans="1:26" hidden="1" x14ac:dyDescent="0.25">
      <c r="A822" s="2"/>
      <c r="B822" s="2">
        <f>HYPERLINK(URLs!B30 &amp; 6151 &amp; URLs!B32,6151)</f>
        <v>6151</v>
      </c>
      <c r="C822" t="s">
        <v>665</v>
      </c>
      <c r="D822" t="s">
        <v>619</v>
      </c>
      <c r="E822" t="s">
        <v>850</v>
      </c>
      <c r="F822" t="s">
        <v>621</v>
      </c>
      <c r="G822" t="s">
        <v>1165</v>
      </c>
      <c r="H822" t="s">
        <v>1166</v>
      </c>
      <c r="I822" t="s">
        <v>624</v>
      </c>
      <c r="J822" t="s">
        <v>642</v>
      </c>
      <c r="L822" s="5">
        <v>41960</v>
      </c>
      <c r="M822" s="5">
        <v>42394</v>
      </c>
      <c r="N822" t="s">
        <v>621</v>
      </c>
      <c r="O822" t="s">
        <v>666</v>
      </c>
      <c r="P822" t="s">
        <v>621</v>
      </c>
      <c r="Q822" t="s">
        <v>1259</v>
      </c>
    </row>
    <row r="823" spans="1:26" hidden="1" x14ac:dyDescent="0.25">
      <c r="B823" s="2">
        <f>HYPERLINK(URLs!B30 &amp; 6147 &amp; URLs!B32,6147)</f>
        <v>6147</v>
      </c>
      <c r="C823" t="s">
        <v>633</v>
      </c>
      <c r="D823" t="s">
        <v>619</v>
      </c>
      <c r="E823" t="s">
        <v>850</v>
      </c>
      <c r="F823" t="s">
        <v>621</v>
      </c>
      <c r="G823" t="s">
        <v>624</v>
      </c>
      <c r="H823" t="s">
        <v>1260</v>
      </c>
      <c r="I823" t="s">
        <v>624</v>
      </c>
      <c r="J823" t="s">
        <v>625</v>
      </c>
      <c r="L823" s="5">
        <v>41957</v>
      </c>
      <c r="M823" s="5">
        <v>42258</v>
      </c>
      <c r="N823" s="2">
        <f>HYPERLINK(URLs!B36 &amp; 50327,50327)</f>
        <v>50327</v>
      </c>
      <c r="O823" t="s">
        <v>666</v>
      </c>
      <c r="P823" t="s">
        <v>621</v>
      </c>
      <c r="Q823" t="s">
        <v>1261</v>
      </c>
    </row>
    <row r="824" spans="1:26" hidden="1" x14ac:dyDescent="0.25">
      <c r="B824" s="2">
        <f>HYPERLINK(URLs!B30 &amp; 6111 &amp; URLs!B32,6111)</f>
        <v>6111</v>
      </c>
      <c r="C824" t="s">
        <v>665</v>
      </c>
      <c r="D824" t="s">
        <v>619</v>
      </c>
      <c r="E824" t="s">
        <v>850</v>
      </c>
      <c r="F824" t="s">
        <v>718</v>
      </c>
      <c r="G824" t="s">
        <v>889</v>
      </c>
      <c r="H824" t="s">
        <v>890</v>
      </c>
      <c r="I824" t="s">
        <v>624</v>
      </c>
      <c r="J824" t="s">
        <v>629</v>
      </c>
      <c r="L824" s="5">
        <v>41949</v>
      </c>
      <c r="M824" s="5">
        <v>42053</v>
      </c>
      <c r="N824" s="2">
        <f>HYPERLINK(URLs!B36 &amp; 53101,53101)</f>
        <v>53101</v>
      </c>
      <c r="O824" t="s">
        <v>666</v>
      </c>
      <c r="P824" t="s">
        <v>621</v>
      </c>
      <c r="Q824" t="s">
        <v>1262</v>
      </c>
      <c r="W824">
        <v>1</v>
      </c>
      <c r="Y824">
        <v>1</v>
      </c>
    </row>
    <row r="825" spans="1:26" hidden="1" x14ac:dyDescent="0.25">
      <c r="A825" s="2">
        <f>HYPERLINK(URLs!B36 &amp; 45984,45984)</f>
        <v>45984</v>
      </c>
      <c r="B825" s="2">
        <f>HYPERLINK(URLs!B30 &amp; 6109 &amp; URLs!B32,6109)</f>
        <v>6109</v>
      </c>
      <c r="C825" t="s">
        <v>633</v>
      </c>
      <c r="D825" t="s">
        <v>619</v>
      </c>
      <c r="E825" t="s">
        <v>850</v>
      </c>
      <c r="F825" t="s">
        <v>621</v>
      </c>
      <c r="G825" t="s">
        <v>962</v>
      </c>
      <c r="H825" t="s">
        <v>887</v>
      </c>
      <c r="I825" t="s">
        <v>624</v>
      </c>
      <c r="J825" t="s">
        <v>642</v>
      </c>
      <c r="K825" t="s">
        <v>57</v>
      </c>
      <c r="L825" s="5">
        <v>41949</v>
      </c>
      <c r="M825" s="5">
        <v>42036</v>
      </c>
      <c r="N825" s="2">
        <f>HYPERLINK(URLs!B36 &amp; 45984,45984)</f>
        <v>45984</v>
      </c>
      <c r="O825" t="s">
        <v>666</v>
      </c>
      <c r="P825" t="s">
        <v>621</v>
      </c>
      <c r="Q825" t="s">
        <v>1263</v>
      </c>
      <c r="R825" t="s">
        <v>305</v>
      </c>
      <c r="S825" t="s">
        <v>328</v>
      </c>
      <c r="T825" t="s">
        <v>2475</v>
      </c>
      <c r="U825" t="s">
        <v>35</v>
      </c>
      <c r="V825" t="s">
        <v>35</v>
      </c>
      <c r="W825">
        <v>1</v>
      </c>
      <c r="Z825" t="s">
        <v>34</v>
      </c>
    </row>
    <row r="826" spans="1:26" hidden="1" x14ac:dyDescent="0.25">
      <c r="A826" s="2"/>
      <c r="B826" s="2">
        <f>HYPERLINK(URLs!B30 &amp; 6098 &amp; URLs!B32,6098)</f>
        <v>6098</v>
      </c>
      <c r="C826" t="s">
        <v>665</v>
      </c>
      <c r="D826" t="s">
        <v>619</v>
      </c>
      <c r="E826" t="s">
        <v>850</v>
      </c>
      <c r="F826" t="s">
        <v>621</v>
      </c>
      <c r="G826" t="s">
        <v>962</v>
      </c>
      <c r="H826" t="s">
        <v>887</v>
      </c>
      <c r="I826" t="s">
        <v>624</v>
      </c>
      <c r="J826" t="s">
        <v>629</v>
      </c>
      <c r="L826" s="5">
        <v>41947</v>
      </c>
      <c r="M826" s="5">
        <v>41967</v>
      </c>
      <c r="N826" t="s">
        <v>621</v>
      </c>
      <c r="O826" t="s">
        <v>666</v>
      </c>
      <c r="P826" t="s">
        <v>621</v>
      </c>
      <c r="Q826" t="s">
        <v>1264</v>
      </c>
      <c r="W826">
        <v>1</v>
      </c>
    </row>
    <row r="827" spans="1:26" hidden="1" x14ac:dyDescent="0.25">
      <c r="A827" s="2"/>
      <c r="B827" s="2">
        <f>HYPERLINK(URLs!B30 &amp; 6085 &amp; URLs!B32,6085)</f>
        <v>6085</v>
      </c>
      <c r="C827" t="s">
        <v>665</v>
      </c>
      <c r="D827" t="s">
        <v>619</v>
      </c>
      <c r="E827" t="s">
        <v>850</v>
      </c>
      <c r="F827" t="s">
        <v>621</v>
      </c>
      <c r="G827" t="s">
        <v>962</v>
      </c>
      <c r="H827" t="s">
        <v>887</v>
      </c>
      <c r="I827" t="s">
        <v>624</v>
      </c>
      <c r="J827" t="s">
        <v>642</v>
      </c>
      <c r="L827" s="5">
        <v>41946</v>
      </c>
      <c r="M827" s="5">
        <v>42258</v>
      </c>
      <c r="N827" s="2">
        <f>HYPERLINK(URLs!B36 &amp; 55953,55953)</f>
        <v>55953</v>
      </c>
      <c r="O827" t="s">
        <v>666</v>
      </c>
      <c r="P827" t="s">
        <v>621</v>
      </c>
      <c r="Q827" t="s">
        <v>1265</v>
      </c>
      <c r="W827">
        <v>1</v>
      </c>
    </row>
    <row r="828" spans="1:26" hidden="1" x14ac:dyDescent="0.25">
      <c r="A828" s="2"/>
      <c r="B828" s="2">
        <f>HYPERLINK(URLs!B30 &amp; 6084 &amp; URLs!B32,6084)</f>
        <v>6084</v>
      </c>
      <c r="C828" t="s">
        <v>665</v>
      </c>
      <c r="D828" t="s">
        <v>619</v>
      </c>
      <c r="E828" t="s">
        <v>850</v>
      </c>
      <c r="F828" t="s">
        <v>621</v>
      </c>
      <c r="G828" t="s">
        <v>1165</v>
      </c>
      <c r="H828" t="s">
        <v>1166</v>
      </c>
      <c r="I828" t="s">
        <v>624</v>
      </c>
      <c r="J828" t="s">
        <v>629</v>
      </c>
      <c r="L828" s="5">
        <v>41946</v>
      </c>
      <c r="M828" s="5">
        <v>42104</v>
      </c>
      <c r="N828" s="2">
        <f>HYPERLINK(URLs!B36 &amp; 52407,52407)</f>
        <v>52407</v>
      </c>
      <c r="O828" t="s">
        <v>666</v>
      </c>
      <c r="P828" t="s">
        <v>621</v>
      </c>
      <c r="Q828" t="s">
        <v>1266</v>
      </c>
      <c r="W828">
        <v>1</v>
      </c>
    </row>
    <row r="829" spans="1:26" hidden="1" x14ac:dyDescent="0.25">
      <c r="B829" s="2">
        <f>HYPERLINK(URLs!B30 &amp; 6079 &amp; URLs!B32,6079)</f>
        <v>6079</v>
      </c>
      <c r="C829" t="s">
        <v>665</v>
      </c>
      <c r="D829" t="s">
        <v>619</v>
      </c>
      <c r="E829" t="s">
        <v>850</v>
      </c>
      <c r="F829" t="s">
        <v>718</v>
      </c>
      <c r="G829" t="s">
        <v>962</v>
      </c>
      <c r="H829" t="s">
        <v>887</v>
      </c>
      <c r="I829" t="s">
        <v>624</v>
      </c>
      <c r="J829" t="s">
        <v>642</v>
      </c>
      <c r="L829" s="5">
        <v>41943</v>
      </c>
      <c r="M829" s="5">
        <v>42053</v>
      </c>
      <c r="N829" s="2">
        <f>HYPERLINK(URLs!B36 &amp; 52924,52924)</f>
        <v>52924</v>
      </c>
      <c r="O829" t="s">
        <v>666</v>
      </c>
      <c r="P829" t="s">
        <v>621</v>
      </c>
      <c r="Q829" t="s">
        <v>1267</v>
      </c>
    </row>
    <row r="830" spans="1:26" hidden="1" x14ac:dyDescent="0.25">
      <c r="A830" s="2"/>
      <c r="B830" s="2">
        <f>HYPERLINK(URLs!B30 &amp; 6078 &amp; URLs!B32,6078)</f>
        <v>6078</v>
      </c>
      <c r="C830" t="s">
        <v>665</v>
      </c>
      <c r="D830" t="s">
        <v>619</v>
      </c>
      <c r="E830" t="s">
        <v>850</v>
      </c>
      <c r="F830" t="s">
        <v>718</v>
      </c>
      <c r="G830" t="s">
        <v>962</v>
      </c>
      <c r="H830" t="s">
        <v>887</v>
      </c>
      <c r="I830" t="s">
        <v>624</v>
      </c>
      <c r="J830" t="s">
        <v>642</v>
      </c>
      <c r="L830" s="5">
        <v>41943</v>
      </c>
      <c r="M830" s="5">
        <v>42120</v>
      </c>
      <c r="N830" s="2">
        <f>HYPERLINK(URLs!B36 &amp; 52924,52924)</f>
        <v>52924</v>
      </c>
      <c r="O830" t="s">
        <v>666</v>
      </c>
      <c r="P830" t="s">
        <v>621</v>
      </c>
      <c r="Q830" t="s">
        <v>1268</v>
      </c>
    </row>
    <row r="831" spans="1:26" hidden="1" x14ac:dyDescent="0.25">
      <c r="A831" s="2"/>
      <c r="B831" s="2">
        <f>HYPERLINK(URLs!B30 &amp; 6011 &amp; URLs!B32,6011)</f>
        <v>6011</v>
      </c>
      <c r="C831" t="s">
        <v>633</v>
      </c>
      <c r="D831" t="s">
        <v>619</v>
      </c>
      <c r="E831" t="s">
        <v>850</v>
      </c>
      <c r="F831" t="s">
        <v>718</v>
      </c>
      <c r="G831" t="s">
        <v>889</v>
      </c>
      <c r="H831" t="s">
        <v>890</v>
      </c>
      <c r="I831" t="s">
        <v>624</v>
      </c>
      <c r="J831" t="s">
        <v>642</v>
      </c>
      <c r="L831" s="5">
        <v>41935</v>
      </c>
      <c r="M831" s="5">
        <v>42485</v>
      </c>
      <c r="N831" s="2">
        <f>HYPERLINK(URLs!B36 &amp; 52096,52096)</f>
        <v>52096</v>
      </c>
      <c r="O831" t="s">
        <v>666</v>
      </c>
      <c r="P831" t="s">
        <v>621</v>
      </c>
      <c r="Q831" t="s">
        <v>1269</v>
      </c>
      <c r="R831" t="s">
        <v>305</v>
      </c>
      <c r="W831">
        <v>1</v>
      </c>
    </row>
    <row r="832" spans="1:26" hidden="1" x14ac:dyDescent="0.25">
      <c r="A832" s="2"/>
      <c r="B832" s="2">
        <f>HYPERLINK(URLs!B30 &amp; 6008 &amp; URLs!B32,6008)</f>
        <v>6008</v>
      </c>
      <c r="C832" t="s">
        <v>633</v>
      </c>
      <c r="D832" t="s">
        <v>619</v>
      </c>
      <c r="E832" t="s">
        <v>850</v>
      </c>
      <c r="F832" t="s">
        <v>621</v>
      </c>
      <c r="G832" t="s">
        <v>962</v>
      </c>
      <c r="H832" t="s">
        <v>887</v>
      </c>
      <c r="I832" t="s">
        <v>624</v>
      </c>
      <c r="J832" t="s">
        <v>642</v>
      </c>
      <c r="L832" s="5">
        <v>41934</v>
      </c>
      <c r="M832" s="5">
        <v>42079</v>
      </c>
      <c r="N832" t="s">
        <v>621</v>
      </c>
      <c r="O832" t="s">
        <v>666</v>
      </c>
      <c r="P832" t="s">
        <v>621</v>
      </c>
      <c r="Q832" t="s">
        <v>1270</v>
      </c>
      <c r="W832">
        <v>1</v>
      </c>
    </row>
    <row r="833" spans="1:26" hidden="1" x14ac:dyDescent="0.25">
      <c r="B833" s="2">
        <f>HYPERLINK(URLs!B30 &amp; 5998 &amp; URLs!B32,5998)</f>
        <v>5998</v>
      </c>
      <c r="C833" t="s">
        <v>665</v>
      </c>
      <c r="D833" t="s">
        <v>619</v>
      </c>
      <c r="E833" t="s">
        <v>850</v>
      </c>
      <c r="F833" t="s">
        <v>1271</v>
      </c>
      <c r="G833" t="s">
        <v>851</v>
      </c>
      <c r="H833" t="s">
        <v>852</v>
      </c>
      <c r="I833" t="s">
        <v>624</v>
      </c>
      <c r="J833" t="s">
        <v>642</v>
      </c>
      <c r="L833" s="5">
        <v>41934</v>
      </c>
      <c r="M833" s="5">
        <v>42104</v>
      </c>
      <c r="N833" s="2">
        <f>HYPERLINK(URLs!B36 &amp; 51991,51991)</f>
        <v>51991</v>
      </c>
      <c r="O833" t="s">
        <v>666</v>
      </c>
      <c r="P833" t="s">
        <v>621</v>
      </c>
      <c r="Q833" t="s">
        <v>1272</v>
      </c>
    </row>
    <row r="834" spans="1:26" hidden="1" x14ac:dyDescent="0.25">
      <c r="A834" s="2"/>
      <c r="B834" s="2">
        <f>HYPERLINK(URLs!B30 &amp; 5991 &amp; URLs!B32,5991)</f>
        <v>5991</v>
      </c>
      <c r="C834" t="s">
        <v>633</v>
      </c>
      <c r="D834" t="s">
        <v>619</v>
      </c>
      <c r="E834" t="s">
        <v>850</v>
      </c>
      <c r="F834" t="s">
        <v>621</v>
      </c>
      <c r="G834" t="s">
        <v>962</v>
      </c>
      <c r="H834" t="s">
        <v>887</v>
      </c>
      <c r="I834" t="s">
        <v>624</v>
      </c>
      <c r="J834" t="s">
        <v>642</v>
      </c>
      <c r="L834" s="5">
        <v>41933</v>
      </c>
      <c r="M834" s="5">
        <v>41945</v>
      </c>
      <c r="N834" s="2">
        <f>HYPERLINK(URLs!B36 &amp; 52096,52096)</f>
        <v>52096</v>
      </c>
      <c r="O834" t="s">
        <v>680</v>
      </c>
      <c r="P834" t="s">
        <v>621</v>
      </c>
      <c r="Q834" t="s">
        <v>1273</v>
      </c>
      <c r="W834">
        <v>1</v>
      </c>
    </row>
    <row r="835" spans="1:26" hidden="1" x14ac:dyDescent="0.25">
      <c r="B835" s="2">
        <f>HYPERLINK(URLs!B30 &amp; 5982 &amp; URLs!B32,5982)</f>
        <v>5982</v>
      </c>
      <c r="C835" t="s">
        <v>665</v>
      </c>
      <c r="D835" t="s">
        <v>619</v>
      </c>
      <c r="E835" t="s">
        <v>850</v>
      </c>
      <c r="F835" t="s">
        <v>718</v>
      </c>
      <c r="G835" t="s">
        <v>889</v>
      </c>
      <c r="H835" t="s">
        <v>890</v>
      </c>
      <c r="I835" t="s">
        <v>624</v>
      </c>
      <c r="J835" t="s">
        <v>629</v>
      </c>
      <c r="L835" s="5">
        <v>41932</v>
      </c>
      <c r="M835" s="5">
        <v>42104</v>
      </c>
      <c r="N835" s="2">
        <f>HYPERLINK(URLs!B36 &amp; 51592,51592)</f>
        <v>51592</v>
      </c>
      <c r="O835" t="s">
        <v>666</v>
      </c>
      <c r="P835" t="s">
        <v>621</v>
      </c>
      <c r="Q835" t="s">
        <v>1274</v>
      </c>
      <c r="W835">
        <v>1</v>
      </c>
    </row>
    <row r="836" spans="1:26" hidden="1" x14ac:dyDescent="0.25">
      <c r="A836" s="2"/>
      <c r="B836" s="2">
        <f>HYPERLINK(URLs!B30 &amp; 5979 &amp; URLs!B32,5979)</f>
        <v>5979</v>
      </c>
      <c r="C836" t="s">
        <v>633</v>
      </c>
      <c r="D836" t="s">
        <v>619</v>
      </c>
      <c r="E836" t="s">
        <v>850</v>
      </c>
      <c r="F836" t="s">
        <v>621</v>
      </c>
      <c r="G836" t="s">
        <v>858</v>
      </c>
      <c r="H836" t="s">
        <v>859</v>
      </c>
      <c r="I836" t="s">
        <v>624</v>
      </c>
      <c r="J836" t="s">
        <v>642</v>
      </c>
      <c r="L836" s="5">
        <v>41932</v>
      </c>
      <c r="M836" s="5">
        <v>42523</v>
      </c>
      <c r="N836" s="2">
        <f>HYPERLINK(URLs!B36 &amp; 51755,51755)</f>
        <v>51755</v>
      </c>
      <c r="O836" t="s">
        <v>666</v>
      </c>
      <c r="P836" t="s">
        <v>621</v>
      </c>
      <c r="Q836" t="s">
        <v>1275</v>
      </c>
    </row>
    <row r="837" spans="1:26" hidden="1" x14ac:dyDescent="0.25">
      <c r="A837" s="2"/>
      <c r="B837" s="2">
        <f>HYPERLINK(URLs!B30 &amp; 5962 &amp; URLs!B32,5962)</f>
        <v>5962</v>
      </c>
      <c r="C837" t="s">
        <v>665</v>
      </c>
      <c r="D837" t="s">
        <v>619</v>
      </c>
      <c r="E837" t="s">
        <v>850</v>
      </c>
      <c r="F837" t="s">
        <v>621</v>
      </c>
      <c r="G837" t="s">
        <v>889</v>
      </c>
      <c r="H837" t="s">
        <v>890</v>
      </c>
      <c r="I837" t="s">
        <v>624</v>
      </c>
      <c r="J837" t="s">
        <v>642</v>
      </c>
      <c r="L837" s="5">
        <v>41928</v>
      </c>
      <c r="M837" s="5">
        <v>42104</v>
      </c>
      <c r="N837" s="2">
        <f>HYPERLINK(URLs!B36 &amp; 18661,18661)</f>
        <v>18661</v>
      </c>
      <c r="O837" t="s">
        <v>666</v>
      </c>
      <c r="P837" t="s">
        <v>621</v>
      </c>
      <c r="Q837" t="s">
        <v>1276</v>
      </c>
    </row>
    <row r="838" spans="1:26" hidden="1" x14ac:dyDescent="0.25">
      <c r="A838" s="2"/>
      <c r="B838" s="2">
        <f>HYPERLINK(URLs!B30 &amp; 5952 &amp; URLs!B32,5952)</f>
        <v>5952</v>
      </c>
      <c r="C838" t="s">
        <v>665</v>
      </c>
      <c r="D838" t="s">
        <v>619</v>
      </c>
      <c r="E838" t="s">
        <v>850</v>
      </c>
      <c r="F838" t="s">
        <v>621</v>
      </c>
      <c r="G838" t="s">
        <v>863</v>
      </c>
      <c r="H838" t="s">
        <v>864</v>
      </c>
      <c r="I838" t="s">
        <v>624</v>
      </c>
      <c r="J838" t="s">
        <v>642</v>
      </c>
      <c r="L838" s="5">
        <v>41928</v>
      </c>
      <c r="M838" s="5">
        <v>42258</v>
      </c>
      <c r="N838" t="s">
        <v>1277</v>
      </c>
      <c r="O838" t="s">
        <v>666</v>
      </c>
      <c r="P838" t="s">
        <v>621</v>
      </c>
      <c r="Q838" t="s">
        <v>1278</v>
      </c>
      <c r="W838">
        <v>1</v>
      </c>
    </row>
    <row r="839" spans="1:26" hidden="1" x14ac:dyDescent="0.25">
      <c r="A839" s="2"/>
      <c r="B839" s="2">
        <f>HYPERLINK(URLs!B30 &amp; 5946 &amp; URLs!B32,5946)</f>
        <v>5946</v>
      </c>
      <c r="C839" t="s">
        <v>665</v>
      </c>
      <c r="D839" t="s">
        <v>619</v>
      </c>
      <c r="E839" t="s">
        <v>850</v>
      </c>
      <c r="F839" t="s">
        <v>1279</v>
      </c>
      <c r="G839" t="s">
        <v>875</v>
      </c>
      <c r="H839" t="s">
        <v>876</v>
      </c>
      <c r="I839" t="s">
        <v>624</v>
      </c>
      <c r="J839" t="s">
        <v>642</v>
      </c>
      <c r="L839" s="5">
        <v>41927</v>
      </c>
      <c r="M839" s="5">
        <v>42104</v>
      </c>
      <c r="N839" s="2">
        <f>HYPERLINK(URLs!B36 &amp; 44825,44825)</f>
        <v>44825</v>
      </c>
      <c r="O839" t="s">
        <v>666</v>
      </c>
      <c r="P839" t="s">
        <v>621</v>
      </c>
      <c r="Q839" t="s">
        <v>1280</v>
      </c>
      <c r="R839" t="s">
        <v>305</v>
      </c>
      <c r="W839">
        <v>1</v>
      </c>
    </row>
    <row r="840" spans="1:26" hidden="1" x14ac:dyDescent="0.25">
      <c r="A840" s="2"/>
      <c r="B840" s="2">
        <f>HYPERLINK(URLs!B30 &amp; 5945 &amp; URLs!B32,5945)</f>
        <v>5945</v>
      </c>
      <c r="C840" t="s">
        <v>633</v>
      </c>
      <c r="D840" t="s">
        <v>619</v>
      </c>
      <c r="E840" t="s">
        <v>850</v>
      </c>
      <c r="F840" t="s">
        <v>621</v>
      </c>
      <c r="G840" t="s">
        <v>867</v>
      </c>
      <c r="H840" t="s">
        <v>868</v>
      </c>
      <c r="I840" t="s">
        <v>624</v>
      </c>
      <c r="J840" t="s">
        <v>629</v>
      </c>
      <c r="L840" s="5">
        <v>41927</v>
      </c>
      <c r="M840" s="5">
        <v>42485</v>
      </c>
      <c r="N840" s="2">
        <f>HYPERLINK(URLs!B36 &amp; 68268,68268)</f>
        <v>68268</v>
      </c>
      <c r="O840" t="s">
        <v>666</v>
      </c>
      <c r="P840" t="s">
        <v>621</v>
      </c>
      <c r="Q840" t="s">
        <v>1281</v>
      </c>
    </row>
    <row r="841" spans="1:26" hidden="1" x14ac:dyDescent="0.25">
      <c r="A841" s="2"/>
      <c r="B841" s="2">
        <f>HYPERLINK(URLs!B30 &amp; 5944 &amp; URLs!B32,5944)</f>
        <v>5944</v>
      </c>
      <c r="C841" t="s">
        <v>633</v>
      </c>
      <c r="D841" t="s">
        <v>619</v>
      </c>
      <c r="E841" t="s">
        <v>850</v>
      </c>
      <c r="F841" t="s">
        <v>621</v>
      </c>
      <c r="G841" t="s">
        <v>624</v>
      </c>
      <c r="H841" t="s">
        <v>871</v>
      </c>
      <c r="I841" t="s">
        <v>624</v>
      </c>
      <c r="J841" t="s">
        <v>625</v>
      </c>
      <c r="L841" s="5">
        <v>41927</v>
      </c>
      <c r="M841" s="5">
        <v>42523</v>
      </c>
      <c r="N841" s="2">
        <f>HYPERLINK(URLs!B36 &amp; 54073,54073)</f>
        <v>54073</v>
      </c>
      <c r="O841" t="s">
        <v>666</v>
      </c>
      <c r="P841" t="s">
        <v>621</v>
      </c>
      <c r="Q841" t="s">
        <v>1282</v>
      </c>
    </row>
    <row r="842" spans="1:26" hidden="1" x14ac:dyDescent="0.25">
      <c r="B842" s="2">
        <f>HYPERLINK(URLs!B30 &amp; 5943 &amp; URLs!B32,5943)</f>
        <v>5943</v>
      </c>
      <c r="C842" t="s">
        <v>665</v>
      </c>
      <c r="D842" t="s">
        <v>619</v>
      </c>
      <c r="E842" t="s">
        <v>850</v>
      </c>
      <c r="F842" t="s">
        <v>621</v>
      </c>
      <c r="G842" t="s">
        <v>624</v>
      </c>
      <c r="H842" t="s">
        <v>852</v>
      </c>
      <c r="I842" t="s">
        <v>624</v>
      </c>
      <c r="J842" t="s">
        <v>625</v>
      </c>
      <c r="L842" s="5">
        <v>41927</v>
      </c>
      <c r="M842" s="5">
        <v>42104</v>
      </c>
      <c r="N842" s="2">
        <f>HYPERLINK(URLs!B36 &amp; 50468,50468)</f>
        <v>50468</v>
      </c>
      <c r="O842" t="s">
        <v>666</v>
      </c>
      <c r="P842" t="s">
        <v>621</v>
      </c>
      <c r="Q842" t="s">
        <v>1283</v>
      </c>
    </row>
    <row r="843" spans="1:26" hidden="1" x14ac:dyDescent="0.25">
      <c r="A843" s="2"/>
      <c r="B843" s="2">
        <f>HYPERLINK(URLs!B30 &amp; 5941 &amp; URLs!B32,5941)</f>
        <v>5941</v>
      </c>
      <c r="C843" t="s">
        <v>665</v>
      </c>
      <c r="D843" t="s">
        <v>619</v>
      </c>
      <c r="E843" t="s">
        <v>850</v>
      </c>
      <c r="F843" t="s">
        <v>621</v>
      </c>
      <c r="G843" t="s">
        <v>858</v>
      </c>
      <c r="H843" t="s">
        <v>859</v>
      </c>
      <c r="I843" t="s">
        <v>624</v>
      </c>
      <c r="J843" t="s">
        <v>629</v>
      </c>
      <c r="L843" s="5">
        <v>41926</v>
      </c>
      <c r="M843" s="5">
        <v>42104</v>
      </c>
      <c r="N843" s="2">
        <f>HYPERLINK(URLs!B36 &amp; 51305,51305)</f>
        <v>51305</v>
      </c>
      <c r="O843" t="s">
        <v>666</v>
      </c>
      <c r="P843" t="s">
        <v>621</v>
      </c>
      <c r="Q843" t="s">
        <v>1284</v>
      </c>
    </row>
    <row r="844" spans="1:26" hidden="1" x14ac:dyDescent="0.25">
      <c r="A844" s="2">
        <f>HYPERLINK(URLs!B36 &amp; 57664,57664)</f>
        <v>57664</v>
      </c>
      <c r="B844" s="2">
        <f>HYPERLINK(URLs!B30 &amp; 5915 &amp; URLs!B32,5915)</f>
        <v>5915</v>
      </c>
      <c r="C844" t="s">
        <v>665</v>
      </c>
      <c r="D844" t="s">
        <v>619</v>
      </c>
      <c r="E844" t="s">
        <v>850</v>
      </c>
      <c r="F844" t="s">
        <v>1285</v>
      </c>
      <c r="G844" t="s">
        <v>851</v>
      </c>
      <c r="H844" t="s">
        <v>852</v>
      </c>
      <c r="I844" t="s">
        <v>624</v>
      </c>
      <c r="J844" t="s">
        <v>625</v>
      </c>
      <c r="K844" t="s">
        <v>68</v>
      </c>
      <c r="L844" s="5">
        <v>41919</v>
      </c>
      <c r="M844" s="5">
        <v>42485</v>
      </c>
      <c r="N844" s="2">
        <f>HYPERLINK(URLs!B36 &amp; 57664,57664)</f>
        <v>57664</v>
      </c>
      <c r="O844" t="s">
        <v>666</v>
      </c>
      <c r="P844" t="s">
        <v>621</v>
      </c>
      <c r="Q844" t="s">
        <v>1286</v>
      </c>
      <c r="R844" t="s">
        <v>305</v>
      </c>
      <c r="S844" t="s">
        <v>304</v>
      </c>
      <c r="T844" t="s">
        <v>3120</v>
      </c>
      <c r="U844" t="s">
        <v>35</v>
      </c>
      <c r="V844" t="s">
        <v>35</v>
      </c>
      <c r="W844">
        <v>1</v>
      </c>
      <c r="X844">
        <v>1</v>
      </c>
      <c r="Y844">
        <v>1</v>
      </c>
      <c r="Z844" t="s">
        <v>34</v>
      </c>
    </row>
    <row r="845" spans="1:26" hidden="1" x14ac:dyDescent="0.25">
      <c r="B845" s="2">
        <f>HYPERLINK(URLs!B30 &amp; 5877 &amp; URLs!B32,5877)</f>
        <v>5877</v>
      </c>
      <c r="C845" t="s">
        <v>665</v>
      </c>
      <c r="D845" t="s">
        <v>619</v>
      </c>
      <c r="E845" t="s">
        <v>850</v>
      </c>
      <c r="F845" t="s">
        <v>1287</v>
      </c>
      <c r="G845" t="s">
        <v>867</v>
      </c>
      <c r="H845" t="s">
        <v>868</v>
      </c>
      <c r="I845" t="s">
        <v>624</v>
      </c>
      <c r="J845" t="s">
        <v>629</v>
      </c>
      <c r="L845" s="5">
        <v>41912</v>
      </c>
      <c r="M845" s="5">
        <v>42258</v>
      </c>
      <c r="N845" s="2">
        <f>HYPERLINK(URLs!B36 &amp; 55953,55953)</f>
        <v>55953</v>
      </c>
      <c r="O845" t="s">
        <v>666</v>
      </c>
      <c r="P845" t="s">
        <v>621</v>
      </c>
      <c r="Q845" t="s">
        <v>1288</v>
      </c>
    </row>
    <row r="846" spans="1:26" hidden="1" x14ac:dyDescent="0.25">
      <c r="B846" s="2">
        <f>HYPERLINK(URLs!B30 &amp; 5854 &amp; URLs!B32,5854)</f>
        <v>5854</v>
      </c>
      <c r="C846" t="s">
        <v>665</v>
      </c>
      <c r="D846" t="s">
        <v>619</v>
      </c>
      <c r="E846" t="s">
        <v>850</v>
      </c>
      <c r="F846" t="s">
        <v>718</v>
      </c>
      <c r="G846" t="s">
        <v>863</v>
      </c>
      <c r="H846" t="s">
        <v>864</v>
      </c>
      <c r="I846" t="s">
        <v>624</v>
      </c>
      <c r="J846" t="s">
        <v>642</v>
      </c>
      <c r="L846" s="5">
        <v>41907</v>
      </c>
      <c r="M846" s="5">
        <v>41990</v>
      </c>
      <c r="N846" s="2">
        <f>HYPERLINK(URLs!B36 &amp; 53093,53093)</f>
        <v>53093</v>
      </c>
      <c r="O846" t="s">
        <v>666</v>
      </c>
      <c r="P846" t="s">
        <v>621</v>
      </c>
      <c r="Q846" t="s">
        <v>1289</v>
      </c>
    </row>
    <row r="847" spans="1:26" hidden="1" x14ac:dyDescent="0.25">
      <c r="B847" s="2">
        <f>HYPERLINK(URLs!B30 &amp; 5852 &amp; URLs!B32,5852)</f>
        <v>5852</v>
      </c>
      <c r="C847" t="s">
        <v>665</v>
      </c>
      <c r="D847" t="s">
        <v>619</v>
      </c>
      <c r="E847" t="s">
        <v>850</v>
      </c>
      <c r="F847" t="s">
        <v>718</v>
      </c>
      <c r="G847" t="s">
        <v>867</v>
      </c>
      <c r="H847" t="s">
        <v>868</v>
      </c>
      <c r="I847" t="s">
        <v>624</v>
      </c>
      <c r="J847" t="s">
        <v>629</v>
      </c>
      <c r="L847" s="5">
        <v>41906</v>
      </c>
      <c r="M847" s="5">
        <v>42258</v>
      </c>
      <c r="N847" s="2">
        <f>HYPERLINK(URLs!B36 &amp; 50535,50535)</f>
        <v>50535</v>
      </c>
      <c r="O847" t="s">
        <v>666</v>
      </c>
      <c r="P847" t="s">
        <v>621</v>
      </c>
      <c r="Q847" t="s">
        <v>1290</v>
      </c>
    </row>
    <row r="848" spans="1:26" hidden="1" x14ac:dyDescent="0.25">
      <c r="A848" s="2"/>
      <c r="B848" s="2">
        <f>HYPERLINK(URLs!B30 &amp; 5837 &amp; URLs!B32,5837)</f>
        <v>5837</v>
      </c>
      <c r="C848" t="s">
        <v>633</v>
      </c>
      <c r="D848" t="s">
        <v>619</v>
      </c>
      <c r="E848" t="s">
        <v>850</v>
      </c>
      <c r="F848" t="s">
        <v>621</v>
      </c>
      <c r="G848" t="s">
        <v>867</v>
      </c>
      <c r="H848" t="s">
        <v>868</v>
      </c>
      <c r="I848" t="s">
        <v>624</v>
      </c>
      <c r="J848" t="s">
        <v>629</v>
      </c>
      <c r="L848" s="5">
        <v>41904</v>
      </c>
      <c r="M848" s="5">
        <v>42401</v>
      </c>
      <c r="N848" s="2">
        <f>HYPERLINK(URLs!B36 &amp; 48465,48465)</f>
        <v>48465</v>
      </c>
      <c r="O848" t="s">
        <v>666</v>
      </c>
      <c r="P848" t="s">
        <v>621</v>
      </c>
      <c r="Q848" t="s">
        <v>1291</v>
      </c>
      <c r="R848" t="s">
        <v>305</v>
      </c>
    </row>
    <row r="849" spans="1:26" hidden="1" x14ac:dyDescent="0.25">
      <c r="B849" s="2">
        <f>HYPERLINK(URLs!B30 &amp; 5820 &amp; URLs!B32,5820)</f>
        <v>5820</v>
      </c>
      <c r="C849" t="s">
        <v>665</v>
      </c>
      <c r="D849" t="s">
        <v>619</v>
      </c>
      <c r="E849" t="s">
        <v>850</v>
      </c>
      <c r="F849" t="s">
        <v>1292</v>
      </c>
      <c r="G849" t="s">
        <v>867</v>
      </c>
      <c r="H849" t="s">
        <v>868</v>
      </c>
      <c r="I849" t="s">
        <v>624</v>
      </c>
      <c r="J849" t="s">
        <v>642</v>
      </c>
      <c r="L849" s="5">
        <v>41899</v>
      </c>
      <c r="M849" s="5">
        <v>42104</v>
      </c>
      <c r="N849" s="2">
        <f>HYPERLINK(URLs!B36 &amp; 50339,50339)</f>
        <v>50339</v>
      </c>
      <c r="O849" t="s">
        <v>666</v>
      </c>
      <c r="P849" t="s">
        <v>621</v>
      </c>
      <c r="Q849" t="s">
        <v>1293</v>
      </c>
      <c r="W849">
        <v>1</v>
      </c>
    </row>
    <row r="850" spans="1:26" hidden="1" x14ac:dyDescent="0.25">
      <c r="A850" s="2"/>
      <c r="B850" s="2">
        <f>HYPERLINK(URLs!B30 &amp; 5801 &amp; URLs!B32,5801)</f>
        <v>5801</v>
      </c>
      <c r="C850" t="s">
        <v>633</v>
      </c>
      <c r="D850" t="s">
        <v>619</v>
      </c>
      <c r="E850" t="s">
        <v>850</v>
      </c>
      <c r="F850" t="s">
        <v>621</v>
      </c>
      <c r="G850" t="s">
        <v>962</v>
      </c>
      <c r="H850" t="s">
        <v>887</v>
      </c>
      <c r="I850" t="s">
        <v>624</v>
      </c>
      <c r="J850" t="s">
        <v>642</v>
      </c>
      <c r="L850" s="5">
        <v>41892</v>
      </c>
      <c r="M850" s="5">
        <v>42523</v>
      </c>
      <c r="N850" s="2">
        <f>HYPERLINK(URLs!B36 &amp; 48432,48432)</f>
        <v>48432</v>
      </c>
      <c r="O850" t="s">
        <v>680</v>
      </c>
      <c r="P850" t="s">
        <v>621</v>
      </c>
      <c r="Q850" t="s">
        <v>1294</v>
      </c>
      <c r="W850">
        <v>1</v>
      </c>
    </row>
    <row r="851" spans="1:26" hidden="1" x14ac:dyDescent="0.25">
      <c r="A851" s="2"/>
      <c r="B851" s="2">
        <f>HYPERLINK(URLs!B30 &amp; 5798 &amp; URLs!B32,5798)</f>
        <v>5798</v>
      </c>
      <c r="C851" t="s">
        <v>665</v>
      </c>
      <c r="D851" t="s">
        <v>619</v>
      </c>
      <c r="E851" t="s">
        <v>850</v>
      </c>
      <c r="F851" t="s">
        <v>621</v>
      </c>
      <c r="G851" t="s">
        <v>851</v>
      </c>
      <c r="H851" t="s">
        <v>852</v>
      </c>
      <c r="I851" t="s">
        <v>624</v>
      </c>
      <c r="J851" t="s">
        <v>642</v>
      </c>
      <c r="L851" s="5">
        <v>41892</v>
      </c>
      <c r="M851" s="5">
        <v>41945</v>
      </c>
      <c r="N851" t="s">
        <v>621</v>
      </c>
      <c r="O851" t="s">
        <v>666</v>
      </c>
      <c r="P851" t="s">
        <v>621</v>
      </c>
      <c r="Q851" t="s">
        <v>1295</v>
      </c>
      <c r="W851">
        <v>1</v>
      </c>
    </row>
    <row r="852" spans="1:26" hidden="1" x14ac:dyDescent="0.25">
      <c r="A852" s="2">
        <f>HYPERLINK(URLs!B36 &amp; 50370,50370)</f>
        <v>50370</v>
      </c>
      <c r="B852" s="2">
        <f>HYPERLINK(URLs!B30 &amp; 5797 &amp; URLs!B32,5797)</f>
        <v>5797</v>
      </c>
      <c r="C852" t="s">
        <v>665</v>
      </c>
      <c r="D852" t="s">
        <v>619</v>
      </c>
      <c r="E852" t="s">
        <v>850</v>
      </c>
      <c r="F852" t="s">
        <v>1296</v>
      </c>
      <c r="G852" t="s">
        <v>962</v>
      </c>
      <c r="H852" t="s">
        <v>887</v>
      </c>
      <c r="I852" t="s">
        <v>624</v>
      </c>
      <c r="J852" t="s">
        <v>642</v>
      </c>
      <c r="K852" t="s">
        <v>68</v>
      </c>
      <c r="L852" s="5">
        <v>41892</v>
      </c>
      <c r="M852" s="5">
        <v>42635</v>
      </c>
      <c r="N852" s="2">
        <f>HYPERLINK(URLs!B36 &amp; 71481,71481)</f>
        <v>71481</v>
      </c>
      <c r="O852" t="s">
        <v>666</v>
      </c>
      <c r="P852" t="s">
        <v>621</v>
      </c>
      <c r="Q852" t="s">
        <v>1297</v>
      </c>
      <c r="R852" t="s">
        <v>305</v>
      </c>
      <c r="S852" t="s">
        <v>304</v>
      </c>
      <c r="T852" t="s">
        <v>2475</v>
      </c>
      <c r="U852" t="s">
        <v>35</v>
      </c>
      <c r="V852" t="s">
        <v>35</v>
      </c>
      <c r="Z852" t="s">
        <v>34</v>
      </c>
    </row>
    <row r="853" spans="1:26" hidden="1" x14ac:dyDescent="0.25">
      <c r="B853" s="2">
        <f>HYPERLINK(URLs!B30 &amp; 5614 &amp; URLs!B32,5614)</f>
        <v>5614</v>
      </c>
      <c r="C853" t="s">
        <v>665</v>
      </c>
      <c r="D853" t="s">
        <v>619</v>
      </c>
      <c r="E853" t="s">
        <v>850</v>
      </c>
      <c r="F853" t="s">
        <v>621</v>
      </c>
      <c r="G853" t="s">
        <v>867</v>
      </c>
      <c r="H853" t="s">
        <v>868</v>
      </c>
      <c r="I853" t="s">
        <v>624</v>
      </c>
      <c r="J853" t="s">
        <v>629</v>
      </c>
      <c r="L853" s="5">
        <v>41886</v>
      </c>
      <c r="M853" s="5">
        <v>41901</v>
      </c>
      <c r="N853" s="2">
        <f>HYPERLINK(URLs!B36 &amp; 49663,49663)</f>
        <v>49663</v>
      </c>
      <c r="O853" t="s">
        <v>666</v>
      </c>
      <c r="P853" t="s">
        <v>621</v>
      </c>
      <c r="Q853" t="s">
        <v>1298</v>
      </c>
      <c r="W853">
        <v>1</v>
      </c>
    </row>
    <row r="854" spans="1:26" hidden="1" x14ac:dyDescent="0.25">
      <c r="B854" s="2">
        <f>HYPERLINK(URLs!B30 &amp; 5586 &amp; URLs!B32,5586)</f>
        <v>5586</v>
      </c>
      <c r="C854" t="s">
        <v>633</v>
      </c>
      <c r="D854" t="s">
        <v>619</v>
      </c>
      <c r="E854" t="s">
        <v>850</v>
      </c>
      <c r="F854" t="s">
        <v>621</v>
      </c>
      <c r="G854" t="s">
        <v>889</v>
      </c>
      <c r="H854" t="s">
        <v>890</v>
      </c>
      <c r="I854" t="s">
        <v>624</v>
      </c>
      <c r="J854" t="s">
        <v>642</v>
      </c>
      <c r="L854" s="5">
        <v>41878</v>
      </c>
      <c r="M854" s="5">
        <v>41897</v>
      </c>
      <c r="N854" s="2">
        <f>HYPERLINK(URLs!B36 &amp; 46561,46561)</f>
        <v>46561</v>
      </c>
      <c r="O854" t="s">
        <v>680</v>
      </c>
      <c r="P854" t="s">
        <v>621</v>
      </c>
      <c r="Q854" t="s">
        <v>1299</v>
      </c>
    </row>
    <row r="855" spans="1:26" hidden="1" x14ac:dyDescent="0.25">
      <c r="B855" s="2">
        <f>HYPERLINK(URLs!B30 &amp; 5578 &amp; URLs!B32,5578)</f>
        <v>5578</v>
      </c>
      <c r="C855" t="s">
        <v>665</v>
      </c>
      <c r="D855" t="s">
        <v>619</v>
      </c>
      <c r="E855" t="s">
        <v>850</v>
      </c>
      <c r="F855" t="s">
        <v>621</v>
      </c>
      <c r="G855" t="s">
        <v>870</v>
      </c>
      <c r="H855" t="s">
        <v>871</v>
      </c>
      <c r="I855" t="s">
        <v>624</v>
      </c>
      <c r="J855" t="s">
        <v>629</v>
      </c>
      <c r="L855" s="5">
        <v>41878</v>
      </c>
      <c r="M855" s="5">
        <v>41945</v>
      </c>
      <c r="N855" s="2">
        <f>HYPERLINK(URLs!B36 &amp; 44684,44684)</f>
        <v>44684</v>
      </c>
      <c r="O855" t="s">
        <v>666</v>
      </c>
      <c r="P855" t="s">
        <v>621</v>
      </c>
      <c r="Q855" t="s">
        <v>1300</v>
      </c>
      <c r="W855">
        <v>1</v>
      </c>
    </row>
    <row r="856" spans="1:26" hidden="1" x14ac:dyDescent="0.25">
      <c r="B856" s="2">
        <f>HYPERLINK(URLs!B30 &amp; 5529 &amp; URLs!B32,5529)</f>
        <v>5529</v>
      </c>
      <c r="C856" t="s">
        <v>633</v>
      </c>
      <c r="D856" t="s">
        <v>619</v>
      </c>
      <c r="E856" t="s">
        <v>850</v>
      </c>
      <c r="F856" t="s">
        <v>621</v>
      </c>
      <c r="G856" t="s">
        <v>962</v>
      </c>
      <c r="H856" t="s">
        <v>887</v>
      </c>
      <c r="I856" t="s">
        <v>624</v>
      </c>
      <c r="J856" t="s">
        <v>625</v>
      </c>
      <c r="L856" s="5">
        <v>41863</v>
      </c>
      <c r="M856" s="5">
        <v>41901</v>
      </c>
      <c r="N856" s="2">
        <f>HYPERLINK(URLs!B36 &amp; 48434,48434)</f>
        <v>48434</v>
      </c>
      <c r="O856" t="s">
        <v>666</v>
      </c>
      <c r="P856" t="s">
        <v>621</v>
      </c>
      <c r="Q856" t="s">
        <v>1301</v>
      </c>
    </row>
    <row r="857" spans="1:26" hidden="1" x14ac:dyDescent="0.25">
      <c r="B857" s="2">
        <f>HYPERLINK(URLs!B30 &amp; 5528 &amp; URLs!B32,5528)</f>
        <v>5528</v>
      </c>
      <c r="C857" t="s">
        <v>665</v>
      </c>
      <c r="D857" t="s">
        <v>619</v>
      </c>
      <c r="E857" t="s">
        <v>850</v>
      </c>
      <c r="F857" t="s">
        <v>621</v>
      </c>
      <c r="G857" t="s">
        <v>962</v>
      </c>
      <c r="H857" t="s">
        <v>887</v>
      </c>
      <c r="I857" t="s">
        <v>624</v>
      </c>
      <c r="J857" t="s">
        <v>642</v>
      </c>
      <c r="L857" s="5">
        <v>41863</v>
      </c>
      <c r="M857" s="5">
        <v>42104</v>
      </c>
      <c r="N857" s="2">
        <f>HYPERLINK(URLs!B36 &amp; 48432,48432)</f>
        <v>48432</v>
      </c>
      <c r="O857" t="s">
        <v>666</v>
      </c>
      <c r="P857" t="s">
        <v>621</v>
      </c>
      <c r="Q857" t="s">
        <v>1302</v>
      </c>
      <c r="W857">
        <v>1</v>
      </c>
    </row>
    <row r="858" spans="1:26" hidden="1" x14ac:dyDescent="0.25">
      <c r="B858" s="2">
        <f>HYPERLINK(URLs!B30 &amp; 5526 &amp; URLs!B32,5526)</f>
        <v>5526</v>
      </c>
      <c r="C858" t="s">
        <v>665</v>
      </c>
      <c r="D858" t="s">
        <v>619</v>
      </c>
      <c r="E858" t="s">
        <v>850</v>
      </c>
      <c r="F858" t="s">
        <v>621</v>
      </c>
      <c r="G858" t="s">
        <v>875</v>
      </c>
      <c r="H858" t="s">
        <v>876</v>
      </c>
      <c r="I858" t="s">
        <v>624</v>
      </c>
      <c r="J858" t="s">
        <v>642</v>
      </c>
      <c r="L858" s="5">
        <v>41862</v>
      </c>
      <c r="M858" s="5">
        <v>42114</v>
      </c>
      <c r="N858" t="s">
        <v>1303</v>
      </c>
      <c r="O858" t="s">
        <v>666</v>
      </c>
      <c r="P858" t="s">
        <v>621</v>
      </c>
      <c r="Q858" t="s">
        <v>1304</v>
      </c>
    </row>
    <row r="859" spans="1:26" hidden="1" x14ac:dyDescent="0.25">
      <c r="A859" s="2"/>
      <c r="B859" s="2">
        <f>HYPERLINK(URLs!B30 &amp; 5524 &amp; URLs!B32,5524)</f>
        <v>5524</v>
      </c>
      <c r="C859" t="s">
        <v>665</v>
      </c>
      <c r="D859" t="s">
        <v>619</v>
      </c>
      <c r="E859" t="s">
        <v>850</v>
      </c>
      <c r="F859" t="s">
        <v>1279</v>
      </c>
      <c r="G859" t="s">
        <v>624</v>
      </c>
      <c r="H859" t="s">
        <v>715</v>
      </c>
      <c r="I859" t="s">
        <v>624</v>
      </c>
      <c r="J859" t="s">
        <v>625</v>
      </c>
      <c r="L859" s="5">
        <v>41861</v>
      </c>
      <c r="M859" s="5">
        <v>42104</v>
      </c>
      <c r="N859" s="2">
        <f>HYPERLINK(URLs!B36 &amp; 48961,48961)</f>
        <v>48961</v>
      </c>
      <c r="O859" t="s">
        <v>666</v>
      </c>
      <c r="P859" t="s">
        <v>621</v>
      </c>
      <c r="Q859" t="s">
        <v>1305</v>
      </c>
      <c r="W859">
        <v>1</v>
      </c>
    </row>
    <row r="860" spans="1:26" hidden="1" x14ac:dyDescent="0.25">
      <c r="B860" s="2">
        <f>HYPERLINK(URLs!B30 &amp; 5517 &amp; URLs!B32,5517)</f>
        <v>5517</v>
      </c>
      <c r="C860" t="s">
        <v>665</v>
      </c>
      <c r="D860" t="s">
        <v>619</v>
      </c>
      <c r="E860" t="s">
        <v>850</v>
      </c>
      <c r="F860" t="s">
        <v>621</v>
      </c>
      <c r="G860" t="s">
        <v>962</v>
      </c>
      <c r="H860" t="s">
        <v>887</v>
      </c>
      <c r="I860" t="s">
        <v>624</v>
      </c>
      <c r="J860" t="s">
        <v>642</v>
      </c>
      <c r="L860" s="5">
        <v>41856</v>
      </c>
      <c r="M860" s="5">
        <v>41897</v>
      </c>
      <c r="N860" t="s">
        <v>621</v>
      </c>
      <c r="O860" t="s">
        <v>666</v>
      </c>
      <c r="P860" t="s">
        <v>621</v>
      </c>
      <c r="Q860" t="s">
        <v>1306</v>
      </c>
      <c r="W860">
        <v>1</v>
      </c>
    </row>
    <row r="861" spans="1:26" hidden="1" x14ac:dyDescent="0.25">
      <c r="A861" s="2">
        <f>HYPERLINK(URLs!B36 &amp; 46559,46559)</f>
        <v>46559</v>
      </c>
      <c r="B861" s="2">
        <f>HYPERLINK(URLs!B30 &amp; 5510 &amp; URLs!B32,5510)</f>
        <v>5510</v>
      </c>
      <c r="C861" t="s">
        <v>633</v>
      </c>
      <c r="D861" t="s">
        <v>619</v>
      </c>
      <c r="E861" t="s">
        <v>850</v>
      </c>
      <c r="F861" t="s">
        <v>621</v>
      </c>
      <c r="G861" t="s">
        <v>962</v>
      </c>
      <c r="H861" t="s">
        <v>887</v>
      </c>
      <c r="I861" t="s">
        <v>624</v>
      </c>
      <c r="J861" t="s">
        <v>642</v>
      </c>
      <c r="K861" t="s">
        <v>35</v>
      </c>
      <c r="L861" s="5">
        <v>41855</v>
      </c>
      <c r="M861" s="5">
        <v>42523</v>
      </c>
      <c r="N861" s="2">
        <f>HYPERLINK(URLs!B36 &amp; 46559,46559)</f>
        <v>46559</v>
      </c>
      <c r="O861" t="s">
        <v>666</v>
      </c>
      <c r="P861" t="s">
        <v>621</v>
      </c>
      <c r="Q861" t="s">
        <v>1307</v>
      </c>
      <c r="R861" t="s">
        <v>305</v>
      </c>
      <c r="S861" t="s">
        <v>304</v>
      </c>
      <c r="T861" t="s">
        <v>4098</v>
      </c>
      <c r="U861" t="s">
        <v>35</v>
      </c>
      <c r="V861" t="s">
        <v>35</v>
      </c>
      <c r="Z861" t="s">
        <v>73</v>
      </c>
    </row>
    <row r="862" spans="1:26" hidden="1" x14ac:dyDescent="0.25">
      <c r="B862" s="2">
        <f>HYPERLINK(URLs!B30 &amp; 5509 &amp; URLs!B32,5509)</f>
        <v>5509</v>
      </c>
      <c r="C862" t="s">
        <v>665</v>
      </c>
      <c r="D862" t="s">
        <v>619</v>
      </c>
      <c r="E862" t="s">
        <v>850</v>
      </c>
      <c r="F862" t="s">
        <v>1239</v>
      </c>
      <c r="G862" t="s">
        <v>889</v>
      </c>
      <c r="H862" t="s">
        <v>890</v>
      </c>
      <c r="I862" t="s">
        <v>624</v>
      </c>
      <c r="J862" t="s">
        <v>642</v>
      </c>
      <c r="L862" s="5">
        <v>41854</v>
      </c>
      <c r="M862" s="5">
        <v>42093</v>
      </c>
      <c r="N862" t="s">
        <v>621</v>
      </c>
      <c r="O862" t="s">
        <v>666</v>
      </c>
      <c r="P862" t="s">
        <v>621</v>
      </c>
      <c r="Q862" t="s">
        <v>1308</v>
      </c>
    </row>
    <row r="863" spans="1:26" hidden="1" x14ac:dyDescent="0.25">
      <c r="A863" s="2"/>
      <c r="B863" s="2">
        <f>HYPERLINK(URLs!B30 &amp; 5508 &amp; URLs!B32,5508)</f>
        <v>5508</v>
      </c>
      <c r="C863" t="s">
        <v>633</v>
      </c>
      <c r="D863" t="s">
        <v>619</v>
      </c>
      <c r="E863" t="s">
        <v>850</v>
      </c>
      <c r="F863" t="s">
        <v>621</v>
      </c>
      <c r="G863" t="s">
        <v>962</v>
      </c>
      <c r="H863" t="s">
        <v>887</v>
      </c>
      <c r="I863" t="s">
        <v>624</v>
      </c>
      <c r="J863" t="s">
        <v>642</v>
      </c>
      <c r="L863" s="5">
        <v>41852</v>
      </c>
      <c r="M863" s="5">
        <v>42508</v>
      </c>
      <c r="N863" s="2">
        <f>HYPERLINK(URLs!B36 &amp; 47892,47892)</f>
        <v>47892</v>
      </c>
      <c r="O863" t="s">
        <v>666</v>
      </c>
      <c r="P863" t="s">
        <v>621</v>
      </c>
      <c r="Q863" t="s">
        <v>1309</v>
      </c>
    </row>
    <row r="864" spans="1:26" hidden="1" x14ac:dyDescent="0.25">
      <c r="B864" s="2">
        <f>HYPERLINK(URLs!B30 &amp; 5499 &amp; URLs!B32,5499)</f>
        <v>5499</v>
      </c>
      <c r="C864" t="s">
        <v>665</v>
      </c>
      <c r="D864" t="s">
        <v>619</v>
      </c>
      <c r="E864" t="s">
        <v>850</v>
      </c>
      <c r="F864" t="s">
        <v>718</v>
      </c>
      <c r="G864" t="s">
        <v>962</v>
      </c>
      <c r="H864" t="s">
        <v>887</v>
      </c>
      <c r="I864" t="s">
        <v>624</v>
      </c>
      <c r="J864" t="s">
        <v>629</v>
      </c>
      <c r="L864" s="5">
        <v>41849</v>
      </c>
      <c r="M864" s="5">
        <v>42258</v>
      </c>
      <c r="N864" s="2">
        <f>HYPERLINK(URLs!B36 &amp; 47882,47882)</f>
        <v>47882</v>
      </c>
      <c r="O864" t="s">
        <v>666</v>
      </c>
      <c r="P864" t="s">
        <v>621</v>
      </c>
      <c r="Q864" t="s">
        <v>1310</v>
      </c>
      <c r="W864">
        <v>1</v>
      </c>
    </row>
    <row r="865" spans="1:26" hidden="1" x14ac:dyDescent="0.25">
      <c r="A865" s="2">
        <f>HYPERLINK(URLs!B36 &amp; 46561,46561)</f>
        <v>46561</v>
      </c>
      <c r="B865" s="2">
        <f>HYPERLINK(URLs!B30 &amp; 5478 &amp; URLs!B32,5478)</f>
        <v>5478</v>
      </c>
      <c r="C865" t="s">
        <v>665</v>
      </c>
      <c r="D865" t="s">
        <v>619</v>
      </c>
      <c r="E865" t="s">
        <v>850</v>
      </c>
      <c r="F865" t="s">
        <v>1311</v>
      </c>
      <c r="G865" t="s">
        <v>889</v>
      </c>
      <c r="H865" t="s">
        <v>890</v>
      </c>
      <c r="I865" t="s">
        <v>624</v>
      </c>
      <c r="J865" t="s">
        <v>629</v>
      </c>
      <c r="K865" t="s">
        <v>35</v>
      </c>
      <c r="L865" s="5">
        <v>41837</v>
      </c>
      <c r="M865" s="5">
        <v>42255</v>
      </c>
      <c r="N865" s="2">
        <f>HYPERLINK(URLs!B36 &amp; 46561,46561)</f>
        <v>46561</v>
      </c>
      <c r="O865" t="s">
        <v>666</v>
      </c>
      <c r="P865" t="s">
        <v>621</v>
      </c>
      <c r="Q865" t="s">
        <v>1312</v>
      </c>
      <c r="R865" t="s">
        <v>305</v>
      </c>
      <c r="S865" t="s">
        <v>304</v>
      </c>
      <c r="T865" t="s">
        <v>4098</v>
      </c>
      <c r="U865" t="s">
        <v>35</v>
      </c>
      <c r="V865" t="s">
        <v>35</v>
      </c>
      <c r="Z865" t="s">
        <v>73</v>
      </c>
    </row>
    <row r="866" spans="1:26" hidden="1" x14ac:dyDescent="0.25">
      <c r="A866" s="2"/>
      <c r="B866" s="2">
        <f>HYPERLINK(URLs!B30 &amp; 5477 &amp; URLs!B32,5477)</f>
        <v>5477</v>
      </c>
      <c r="C866" t="s">
        <v>665</v>
      </c>
      <c r="D866" t="s">
        <v>619</v>
      </c>
      <c r="E866" t="s">
        <v>850</v>
      </c>
      <c r="F866" t="s">
        <v>621</v>
      </c>
      <c r="G866" t="s">
        <v>889</v>
      </c>
      <c r="H866" t="s">
        <v>890</v>
      </c>
      <c r="I866" t="s">
        <v>624</v>
      </c>
      <c r="J866" t="s">
        <v>642</v>
      </c>
      <c r="L866" s="5">
        <v>41837</v>
      </c>
      <c r="M866" s="5">
        <v>42146</v>
      </c>
      <c r="N866" s="2">
        <f>HYPERLINK(URLs!B36 &amp; 47070,47070)</f>
        <v>47070</v>
      </c>
      <c r="O866" t="s">
        <v>666</v>
      </c>
      <c r="P866" t="s">
        <v>621</v>
      </c>
      <c r="Q866" t="s">
        <v>1313</v>
      </c>
    </row>
    <row r="867" spans="1:26" hidden="1" x14ac:dyDescent="0.25">
      <c r="B867" s="2">
        <f>HYPERLINK(URLs!B30 &amp; 5476 &amp; URLs!B32,5476)</f>
        <v>5476</v>
      </c>
      <c r="C867" t="s">
        <v>665</v>
      </c>
      <c r="D867" t="s">
        <v>619</v>
      </c>
      <c r="E867" t="s">
        <v>850</v>
      </c>
      <c r="F867" t="s">
        <v>621</v>
      </c>
      <c r="G867" t="s">
        <v>867</v>
      </c>
      <c r="H867" t="s">
        <v>868</v>
      </c>
      <c r="I867" t="s">
        <v>624</v>
      </c>
      <c r="J867" t="s">
        <v>642</v>
      </c>
      <c r="L867" s="5">
        <v>41837</v>
      </c>
      <c r="M867" s="5">
        <v>41963</v>
      </c>
      <c r="N867" s="2">
        <f>HYPERLINK(URLs!B36 &amp; 47670,47670)</f>
        <v>47670</v>
      </c>
      <c r="O867" t="s">
        <v>666</v>
      </c>
      <c r="P867" t="s">
        <v>621</v>
      </c>
      <c r="Q867" t="s">
        <v>1314</v>
      </c>
    </row>
    <row r="868" spans="1:26" hidden="1" x14ac:dyDescent="0.25">
      <c r="A868" s="2"/>
      <c r="B868" s="2">
        <f>HYPERLINK(URLs!B30 &amp; 5445 &amp; URLs!B32,5445)</f>
        <v>5445</v>
      </c>
      <c r="C868" t="s">
        <v>665</v>
      </c>
      <c r="D868" t="s">
        <v>619</v>
      </c>
      <c r="E868" t="s">
        <v>850</v>
      </c>
      <c r="F868" t="s">
        <v>1232</v>
      </c>
      <c r="G868" t="s">
        <v>962</v>
      </c>
      <c r="H868" t="s">
        <v>887</v>
      </c>
      <c r="I868" t="s">
        <v>624</v>
      </c>
      <c r="J868" t="s">
        <v>625</v>
      </c>
      <c r="L868" s="5">
        <v>41829</v>
      </c>
      <c r="M868" s="5">
        <v>42072</v>
      </c>
      <c r="N868" s="2">
        <f>HYPERLINK(URLs!B36 &amp; 44527,44527)</f>
        <v>44527</v>
      </c>
      <c r="O868" t="s">
        <v>666</v>
      </c>
      <c r="P868" t="s">
        <v>621</v>
      </c>
      <c r="Q868" t="s">
        <v>1315</v>
      </c>
      <c r="W868">
        <v>1</v>
      </c>
      <c r="Y868">
        <v>1</v>
      </c>
    </row>
    <row r="869" spans="1:26" hidden="1" x14ac:dyDescent="0.25">
      <c r="B869" s="2">
        <f>HYPERLINK(URLs!B30 &amp; 5435 &amp; URLs!B32,5435)</f>
        <v>5435</v>
      </c>
      <c r="C869" t="s">
        <v>665</v>
      </c>
      <c r="D869" t="s">
        <v>619</v>
      </c>
      <c r="E869" t="s">
        <v>850</v>
      </c>
      <c r="F869" t="s">
        <v>621</v>
      </c>
      <c r="G869" t="s">
        <v>889</v>
      </c>
      <c r="H869" t="s">
        <v>890</v>
      </c>
      <c r="I869" t="s">
        <v>624</v>
      </c>
      <c r="J869" t="s">
        <v>629</v>
      </c>
      <c r="L869" s="5">
        <v>41822</v>
      </c>
      <c r="M869" s="5">
        <v>42177</v>
      </c>
      <c r="N869" t="s">
        <v>621</v>
      </c>
      <c r="O869" t="s">
        <v>645</v>
      </c>
      <c r="P869" t="s">
        <v>621</v>
      </c>
      <c r="Q869" t="s">
        <v>1316</v>
      </c>
      <c r="W869">
        <v>1</v>
      </c>
    </row>
    <row r="870" spans="1:26" hidden="1" x14ac:dyDescent="0.25">
      <c r="B870" s="2">
        <f>HYPERLINK(URLs!B30 &amp; 5423 &amp; URLs!B32,5423)</f>
        <v>5423</v>
      </c>
      <c r="C870" t="s">
        <v>665</v>
      </c>
      <c r="D870" t="s">
        <v>619</v>
      </c>
      <c r="E870" t="s">
        <v>850</v>
      </c>
      <c r="F870" t="s">
        <v>1232</v>
      </c>
      <c r="G870" t="s">
        <v>962</v>
      </c>
      <c r="H870" t="s">
        <v>887</v>
      </c>
      <c r="I870" t="s">
        <v>624</v>
      </c>
      <c r="J870" t="s">
        <v>625</v>
      </c>
      <c r="L870" s="5">
        <v>41820</v>
      </c>
      <c r="M870" s="5">
        <v>42104</v>
      </c>
      <c r="N870" s="2">
        <f>HYPERLINK(URLs!B36 &amp; 54073,54073)</f>
        <v>54073</v>
      </c>
      <c r="O870" t="s">
        <v>666</v>
      </c>
      <c r="P870" t="s">
        <v>621</v>
      </c>
      <c r="Q870" t="s">
        <v>1317</v>
      </c>
      <c r="W870">
        <v>1</v>
      </c>
    </row>
    <row r="871" spans="1:26" hidden="1" x14ac:dyDescent="0.25">
      <c r="B871" s="2">
        <f>HYPERLINK(URLs!B30 &amp; 5419 &amp; URLs!B32,5419)</f>
        <v>5419</v>
      </c>
      <c r="C871" t="s">
        <v>633</v>
      </c>
      <c r="D871" t="s">
        <v>619</v>
      </c>
      <c r="E871" t="s">
        <v>850</v>
      </c>
      <c r="F871" t="s">
        <v>621</v>
      </c>
      <c r="G871" t="s">
        <v>889</v>
      </c>
      <c r="H871" t="s">
        <v>890</v>
      </c>
      <c r="I871" t="s">
        <v>624</v>
      </c>
      <c r="J871" t="s">
        <v>642</v>
      </c>
      <c r="L871" s="5">
        <v>41817</v>
      </c>
      <c r="M871" s="5">
        <v>41834</v>
      </c>
      <c r="N871" s="2">
        <f>HYPERLINK(URLs!B36 &amp; 42270,42270)</f>
        <v>42270</v>
      </c>
      <c r="O871" t="s">
        <v>666</v>
      </c>
      <c r="P871" t="s">
        <v>621</v>
      </c>
      <c r="Q871" t="s">
        <v>1318</v>
      </c>
    </row>
    <row r="872" spans="1:26" hidden="1" x14ac:dyDescent="0.25">
      <c r="B872" s="2">
        <f>HYPERLINK(URLs!B30 &amp; 5413 &amp; URLs!B32,5413)</f>
        <v>5413</v>
      </c>
      <c r="C872" t="s">
        <v>633</v>
      </c>
      <c r="D872" t="s">
        <v>619</v>
      </c>
      <c r="E872" t="s">
        <v>850</v>
      </c>
      <c r="F872" t="s">
        <v>621</v>
      </c>
      <c r="G872" t="s">
        <v>875</v>
      </c>
      <c r="H872" t="s">
        <v>876</v>
      </c>
      <c r="I872" t="s">
        <v>624</v>
      </c>
      <c r="J872" t="s">
        <v>642</v>
      </c>
      <c r="L872" s="5">
        <v>41815</v>
      </c>
      <c r="M872" s="5">
        <v>42508</v>
      </c>
      <c r="N872" s="2">
        <f>HYPERLINK(URLs!B36 &amp; 44478,44478)</f>
        <v>44478</v>
      </c>
      <c r="O872" t="s">
        <v>666</v>
      </c>
      <c r="P872" t="s">
        <v>621</v>
      </c>
      <c r="Q872" t="s">
        <v>1319</v>
      </c>
    </row>
    <row r="873" spans="1:26" hidden="1" x14ac:dyDescent="0.25">
      <c r="B873" s="2">
        <f>HYPERLINK(URLs!B30 &amp; 5371 &amp; URLs!B32,5371)</f>
        <v>5371</v>
      </c>
      <c r="C873" t="s">
        <v>665</v>
      </c>
      <c r="D873" t="s">
        <v>619</v>
      </c>
      <c r="E873" t="s">
        <v>850</v>
      </c>
      <c r="F873" t="s">
        <v>621</v>
      </c>
      <c r="G873" t="s">
        <v>962</v>
      </c>
      <c r="H873" t="s">
        <v>887</v>
      </c>
      <c r="I873" t="s">
        <v>624</v>
      </c>
      <c r="J873" t="s">
        <v>629</v>
      </c>
      <c r="L873" s="5">
        <v>41800</v>
      </c>
      <c r="M873" s="5">
        <v>42114</v>
      </c>
      <c r="N873" s="2">
        <f>HYPERLINK(URLs!B36 &amp; 44430,44430)</f>
        <v>44430</v>
      </c>
      <c r="O873" t="s">
        <v>666</v>
      </c>
      <c r="P873" t="s">
        <v>621</v>
      </c>
      <c r="Q873" t="s">
        <v>1320</v>
      </c>
      <c r="W873">
        <v>1</v>
      </c>
    </row>
    <row r="874" spans="1:26" hidden="1" x14ac:dyDescent="0.25">
      <c r="B874" s="2">
        <f>HYPERLINK(URLs!B30 &amp; 5365 &amp; URLs!B32,5365)</f>
        <v>5365</v>
      </c>
      <c r="C874" t="s">
        <v>665</v>
      </c>
      <c r="D874" t="s">
        <v>619</v>
      </c>
      <c r="E874" t="s">
        <v>850</v>
      </c>
      <c r="F874" t="s">
        <v>621</v>
      </c>
      <c r="G874" t="s">
        <v>889</v>
      </c>
      <c r="H874" t="s">
        <v>890</v>
      </c>
      <c r="I874" t="s">
        <v>624</v>
      </c>
      <c r="J874" t="s">
        <v>642</v>
      </c>
      <c r="L874" s="5">
        <v>41796</v>
      </c>
      <c r="M874" s="5">
        <v>41945</v>
      </c>
      <c r="N874" s="2">
        <f>HYPERLINK(URLs!B36 &amp; 44928,44928)</f>
        <v>44928</v>
      </c>
      <c r="O874" t="s">
        <v>666</v>
      </c>
      <c r="P874" t="s">
        <v>621</v>
      </c>
      <c r="Q874" t="s">
        <v>1321</v>
      </c>
      <c r="W874">
        <v>1</v>
      </c>
    </row>
    <row r="875" spans="1:26" hidden="1" x14ac:dyDescent="0.25">
      <c r="B875" s="2">
        <f>HYPERLINK(URLs!B30 &amp; 5323 &amp; URLs!B32,5323)</f>
        <v>5323</v>
      </c>
      <c r="C875" t="s">
        <v>633</v>
      </c>
      <c r="D875" t="s">
        <v>619</v>
      </c>
      <c r="E875" t="s">
        <v>850</v>
      </c>
      <c r="F875" t="s">
        <v>621</v>
      </c>
      <c r="G875" t="s">
        <v>867</v>
      </c>
      <c r="H875" t="s">
        <v>868</v>
      </c>
      <c r="I875" t="s">
        <v>624</v>
      </c>
      <c r="J875" t="s">
        <v>642</v>
      </c>
      <c r="L875" s="5">
        <v>41781</v>
      </c>
      <c r="M875" s="5">
        <v>41830</v>
      </c>
      <c r="N875" s="2">
        <f>HYPERLINK(URLs!B36 &amp; 19577,19577)</f>
        <v>19577</v>
      </c>
      <c r="O875" t="s">
        <v>666</v>
      </c>
      <c r="P875" t="s">
        <v>621</v>
      </c>
      <c r="Q875" t="s">
        <v>1322</v>
      </c>
    </row>
    <row r="876" spans="1:26" hidden="1" x14ac:dyDescent="0.25">
      <c r="B876" s="2">
        <f>HYPERLINK(URLs!B30 &amp; 5314 &amp; URLs!B32,5314)</f>
        <v>5314</v>
      </c>
      <c r="C876" t="s">
        <v>665</v>
      </c>
      <c r="D876" t="s">
        <v>619</v>
      </c>
      <c r="E876" t="s">
        <v>850</v>
      </c>
      <c r="F876" t="s">
        <v>1271</v>
      </c>
      <c r="G876" t="s">
        <v>1165</v>
      </c>
      <c r="H876" t="s">
        <v>1166</v>
      </c>
      <c r="I876" t="s">
        <v>624</v>
      </c>
      <c r="J876" t="s">
        <v>629</v>
      </c>
      <c r="L876" s="5">
        <v>41779</v>
      </c>
      <c r="M876" s="5">
        <v>42104</v>
      </c>
      <c r="N876" s="2">
        <f>HYPERLINK(URLs!B36 &amp; 58199,58199)</f>
        <v>58199</v>
      </c>
      <c r="O876" t="s">
        <v>666</v>
      </c>
      <c r="P876" t="s">
        <v>621</v>
      </c>
      <c r="Q876" t="s">
        <v>1323</v>
      </c>
    </row>
    <row r="877" spans="1:26" hidden="1" x14ac:dyDescent="0.25">
      <c r="A877" s="2"/>
      <c r="B877" s="2">
        <f>HYPERLINK(URLs!B30 &amp; 5287 &amp; URLs!B32,5287)</f>
        <v>5287</v>
      </c>
      <c r="C877" t="s">
        <v>665</v>
      </c>
      <c r="D877" t="s">
        <v>619</v>
      </c>
      <c r="E877" t="s">
        <v>850</v>
      </c>
      <c r="F877" t="s">
        <v>621</v>
      </c>
      <c r="G877" t="s">
        <v>962</v>
      </c>
      <c r="H877" t="s">
        <v>887</v>
      </c>
      <c r="I877" t="s">
        <v>624</v>
      </c>
      <c r="J877" t="s">
        <v>642</v>
      </c>
      <c r="L877" s="5">
        <v>41771</v>
      </c>
      <c r="M877" s="5">
        <v>42114</v>
      </c>
      <c r="N877" s="2">
        <f>HYPERLINK(URLs!B36 &amp; 19315,19315)</f>
        <v>19315</v>
      </c>
      <c r="O877" t="s">
        <v>666</v>
      </c>
      <c r="P877" t="s">
        <v>621</v>
      </c>
      <c r="Q877" t="s">
        <v>1324</v>
      </c>
      <c r="R877" t="s">
        <v>305</v>
      </c>
      <c r="W877">
        <v>1</v>
      </c>
    </row>
    <row r="878" spans="1:26" hidden="1" x14ac:dyDescent="0.25">
      <c r="B878" s="2">
        <f>HYPERLINK(URLs!B30 &amp; 5236 &amp; URLs!B32,5236)</f>
        <v>5236</v>
      </c>
      <c r="C878" t="s">
        <v>633</v>
      </c>
      <c r="D878" t="s">
        <v>619</v>
      </c>
      <c r="E878" t="s">
        <v>850</v>
      </c>
      <c r="F878" t="s">
        <v>621</v>
      </c>
      <c r="G878" t="s">
        <v>962</v>
      </c>
      <c r="H878" t="s">
        <v>887</v>
      </c>
      <c r="I878" t="s">
        <v>624</v>
      </c>
      <c r="J878" t="s">
        <v>642</v>
      </c>
      <c r="L878" s="5">
        <v>41766</v>
      </c>
      <c r="M878" s="5">
        <v>42513</v>
      </c>
      <c r="N878" t="s">
        <v>621</v>
      </c>
      <c r="O878" t="s">
        <v>645</v>
      </c>
      <c r="P878" t="s">
        <v>621</v>
      </c>
      <c r="Q878" t="s">
        <v>1325</v>
      </c>
    </row>
    <row r="879" spans="1:26" hidden="1" x14ac:dyDescent="0.25">
      <c r="B879" s="2">
        <f>HYPERLINK(URLs!B30 &amp; 5123 &amp; URLs!B32,5123)</f>
        <v>5123</v>
      </c>
      <c r="C879" t="s">
        <v>665</v>
      </c>
      <c r="D879" t="s">
        <v>619</v>
      </c>
      <c r="E879" t="s">
        <v>850</v>
      </c>
      <c r="F879" t="s">
        <v>621</v>
      </c>
      <c r="G879" t="s">
        <v>1165</v>
      </c>
      <c r="H879" t="s">
        <v>1166</v>
      </c>
      <c r="I879" t="s">
        <v>624</v>
      </c>
      <c r="J879" t="s">
        <v>642</v>
      </c>
      <c r="L879" s="5">
        <v>41759</v>
      </c>
      <c r="M879" s="5">
        <v>41863</v>
      </c>
      <c r="N879" s="2">
        <f>HYPERLINK(URLs!B36 &amp; 44393,44393)</f>
        <v>44393</v>
      </c>
      <c r="O879" t="s">
        <v>666</v>
      </c>
      <c r="P879" t="s">
        <v>621</v>
      </c>
      <c r="Q879" t="s">
        <v>1326</v>
      </c>
      <c r="W879">
        <v>1</v>
      </c>
    </row>
    <row r="880" spans="1:26" hidden="1" x14ac:dyDescent="0.25">
      <c r="B880" s="2">
        <f>HYPERLINK(URLs!B30 &amp; 5116 &amp; URLs!B32,5116)</f>
        <v>5116</v>
      </c>
      <c r="C880" t="s">
        <v>665</v>
      </c>
      <c r="D880" t="s">
        <v>619</v>
      </c>
      <c r="E880" t="s">
        <v>850</v>
      </c>
      <c r="F880" t="s">
        <v>621</v>
      </c>
      <c r="G880" t="s">
        <v>1165</v>
      </c>
      <c r="H880" t="s">
        <v>1166</v>
      </c>
      <c r="I880" t="s">
        <v>624</v>
      </c>
      <c r="J880" t="s">
        <v>629</v>
      </c>
      <c r="L880" s="5">
        <v>41759</v>
      </c>
      <c r="M880" s="5">
        <v>41833</v>
      </c>
      <c r="N880" t="s">
        <v>621</v>
      </c>
      <c r="O880" t="s">
        <v>666</v>
      </c>
      <c r="P880" t="s">
        <v>621</v>
      </c>
      <c r="Q880" t="s">
        <v>1327</v>
      </c>
    </row>
    <row r="881" spans="1:26" hidden="1" x14ac:dyDescent="0.25">
      <c r="B881" s="2">
        <f>HYPERLINK(URLs!B30 &amp; 5114 &amp; URLs!B32,5114)</f>
        <v>5114</v>
      </c>
      <c r="C881" t="s">
        <v>665</v>
      </c>
      <c r="D881" t="s">
        <v>619</v>
      </c>
      <c r="E881" t="s">
        <v>850</v>
      </c>
      <c r="F881" t="s">
        <v>718</v>
      </c>
      <c r="G881" t="s">
        <v>851</v>
      </c>
      <c r="H881" t="s">
        <v>852</v>
      </c>
      <c r="I881" t="s">
        <v>624</v>
      </c>
      <c r="J881" t="s">
        <v>629</v>
      </c>
      <c r="L881" s="5">
        <v>41758</v>
      </c>
      <c r="M881" s="5">
        <v>42114</v>
      </c>
      <c r="N881" s="2">
        <f>HYPERLINK(URLs!B36 &amp; 44467,44467)</f>
        <v>44467</v>
      </c>
      <c r="O881" t="s">
        <v>666</v>
      </c>
      <c r="P881" t="s">
        <v>621</v>
      </c>
      <c r="Q881" t="s">
        <v>1328</v>
      </c>
    </row>
    <row r="882" spans="1:26" hidden="1" x14ac:dyDescent="0.25">
      <c r="B882" s="2">
        <f>HYPERLINK(URLs!B30 &amp; 5101 &amp; URLs!B32,5101)</f>
        <v>5101</v>
      </c>
      <c r="C882" t="s">
        <v>665</v>
      </c>
      <c r="D882" t="s">
        <v>619</v>
      </c>
      <c r="E882" t="s">
        <v>850</v>
      </c>
      <c r="F882" t="s">
        <v>1271</v>
      </c>
      <c r="G882" t="s">
        <v>1329</v>
      </c>
      <c r="H882" t="s">
        <v>968</v>
      </c>
      <c r="I882" t="s">
        <v>624</v>
      </c>
      <c r="J882" t="s">
        <v>629</v>
      </c>
      <c r="L882" s="5">
        <v>41751</v>
      </c>
      <c r="M882" s="5">
        <v>42485</v>
      </c>
      <c r="N882" s="2">
        <f>HYPERLINK(URLs!B36 &amp; 56423,56423)</f>
        <v>56423</v>
      </c>
      <c r="O882" t="s">
        <v>666</v>
      </c>
      <c r="P882" t="s">
        <v>621</v>
      </c>
      <c r="Q882" t="s">
        <v>1330</v>
      </c>
    </row>
    <row r="883" spans="1:26" hidden="1" x14ac:dyDescent="0.25">
      <c r="B883" s="2">
        <f>HYPERLINK(URLs!B30 &amp; 5080 &amp; URLs!B32,5080)</f>
        <v>5080</v>
      </c>
      <c r="C883" t="s">
        <v>633</v>
      </c>
      <c r="D883" t="s">
        <v>619</v>
      </c>
      <c r="E883" t="s">
        <v>850</v>
      </c>
      <c r="F883" t="s">
        <v>621</v>
      </c>
      <c r="G883" t="s">
        <v>889</v>
      </c>
      <c r="H883" t="s">
        <v>890</v>
      </c>
      <c r="I883" t="s">
        <v>624</v>
      </c>
      <c r="J883" t="s">
        <v>625</v>
      </c>
      <c r="L883" s="5">
        <v>41746</v>
      </c>
      <c r="M883" s="5">
        <v>41857</v>
      </c>
      <c r="N883" s="2">
        <f>HYPERLINK(URLs!B36 &amp; 44417,44417)</f>
        <v>44417</v>
      </c>
      <c r="O883" t="s">
        <v>666</v>
      </c>
      <c r="P883" t="s">
        <v>621</v>
      </c>
      <c r="Q883" t="s">
        <v>1331</v>
      </c>
    </row>
    <row r="884" spans="1:26" hidden="1" x14ac:dyDescent="0.25">
      <c r="B884" s="2">
        <f>HYPERLINK(URLs!B30 &amp; 5051 &amp; URLs!B32,5051)</f>
        <v>5051</v>
      </c>
      <c r="C884" t="s">
        <v>633</v>
      </c>
      <c r="D884" t="s">
        <v>619</v>
      </c>
      <c r="E884" t="s">
        <v>850</v>
      </c>
      <c r="F884" t="s">
        <v>621</v>
      </c>
      <c r="G884" t="s">
        <v>851</v>
      </c>
      <c r="H884" t="s">
        <v>852</v>
      </c>
      <c r="I884" t="s">
        <v>624</v>
      </c>
      <c r="J884" t="s">
        <v>642</v>
      </c>
      <c r="L884" s="5">
        <v>41745</v>
      </c>
      <c r="M884" s="5">
        <v>42114</v>
      </c>
      <c r="N884" s="2">
        <f>HYPERLINK(URLs!B36 &amp; 19183,19183)</f>
        <v>19183</v>
      </c>
      <c r="O884" t="s">
        <v>666</v>
      </c>
      <c r="P884" t="s">
        <v>621</v>
      </c>
      <c r="Q884" t="s">
        <v>1332</v>
      </c>
    </row>
    <row r="885" spans="1:26" hidden="1" x14ac:dyDescent="0.25">
      <c r="B885" s="2">
        <f>HYPERLINK(URLs!B30 &amp; 5047 &amp; URLs!B32,5047)</f>
        <v>5047</v>
      </c>
      <c r="C885" t="s">
        <v>633</v>
      </c>
      <c r="D885" t="s">
        <v>619</v>
      </c>
      <c r="E885" t="s">
        <v>850</v>
      </c>
      <c r="F885" t="s">
        <v>621</v>
      </c>
      <c r="G885" t="s">
        <v>851</v>
      </c>
      <c r="H885" t="s">
        <v>852</v>
      </c>
      <c r="I885" t="s">
        <v>624</v>
      </c>
      <c r="J885" t="s">
        <v>642</v>
      </c>
      <c r="L885" s="5">
        <v>41745</v>
      </c>
      <c r="M885" s="5">
        <v>42114</v>
      </c>
      <c r="N885" s="2">
        <f>HYPERLINK(URLs!B36 &amp; 45037,45037)</f>
        <v>45037</v>
      </c>
      <c r="O885" t="s">
        <v>666</v>
      </c>
      <c r="P885" t="s">
        <v>621</v>
      </c>
      <c r="Q885" t="s">
        <v>1333</v>
      </c>
    </row>
    <row r="886" spans="1:26" hidden="1" x14ac:dyDescent="0.25">
      <c r="B886" s="2">
        <f>HYPERLINK(URLs!B30 &amp; 5034 &amp; URLs!B32,5034)</f>
        <v>5034</v>
      </c>
      <c r="C886" t="s">
        <v>633</v>
      </c>
      <c r="D886" t="s">
        <v>619</v>
      </c>
      <c r="E886" t="s">
        <v>850</v>
      </c>
      <c r="F886" t="s">
        <v>621</v>
      </c>
      <c r="G886" t="s">
        <v>1334</v>
      </c>
      <c r="H886" t="s">
        <v>1260</v>
      </c>
      <c r="I886" t="s">
        <v>624</v>
      </c>
      <c r="J886" t="s">
        <v>642</v>
      </c>
      <c r="L886" s="5">
        <v>41739</v>
      </c>
      <c r="M886" s="5">
        <v>41858</v>
      </c>
      <c r="N886" s="2">
        <f>HYPERLINK(URLs!B36 &amp; 39978,39978)</f>
        <v>39978</v>
      </c>
      <c r="O886" t="s">
        <v>680</v>
      </c>
      <c r="P886" t="s">
        <v>621</v>
      </c>
      <c r="Q886" t="s">
        <v>1335</v>
      </c>
    </row>
    <row r="887" spans="1:26" hidden="1" x14ac:dyDescent="0.25">
      <c r="B887" s="2">
        <f>HYPERLINK(URLs!B30 &amp; 5023 &amp; URLs!B32,5023)</f>
        <v>5023</v>
      </c>
      <c r="C887" t="s">
        <v>665</v>
      </c>
      <c r="D887" t="s">
        <v>619</v>
      </c>
      <c r="E887" t="s">
        <v>850</v>
      </c>
      <c r="F887" t="s">
        <v>621</v>
      </c>
      <c r="G887" t="s">
        <v>624</v>
      </c>
      <c r="H887" t="s">
        <v>868</v>
      </c>
      <c r="I887" t="s">
        <v>624</v>
      </c>
      <c r="J887" t="s">
        <v>629</v>
      </c>
      <c r="L887" s="5">
        <v>41736</v>
      </c>
      <c r="M887" s="5">
        <v>41848</v>
      </c>
      <c r="N887" t="s">
        <v>1336</v>
      </c>
      <c r="O887" t="s">
        <v>666</v>
      </c>
      <c r="P887" t="s">
        <v>621</v>
      </c>
      <c r="Q887" t="s">
        <v>1337</v>
      </c>
    </row>
    <row r="888" spans="1:26" hidden="1" x14ac:dyDescent="0.25">
      <c r="B888" s="2">
        <f>HYPERLINK(URLs!B30 &amp; 5005 &amp; URLs!B32,5005)</f>
        <v>5005</v>
      </c>
      <c r="C888" t="s">
        <v>633</v>
      </c>
      <c r="D888" t="s">
        <v>619</v>
      </c>
      <c r="E888" t="s">
        <v>850</v>
      </c>
      <c r="F888" t="s">
        <v>621</v>
      </c>
      <c r="G888" t="s">
        <v>1338</v>
      </c>
      <c r="H888" t="s">
        <v>868</v>
      </c>
      <c r="I888" t="s">
        <v>624</v>
      </c>
      <c r="J888" t="s">
        <v>629</v>
      </c>
      <c r="L888" s="5">
        <v>41730</v>
      </c>
      <c r="M888" s="5">
        <v>41857</v>
      </c>
      <c r="N888" t="s">
        <v>621</v>
      </c>
      <c r="O888" t="s">
        <v>666</v>
      </c>
      <c r="P888" t="s">
        <v>621</v>
      </c>
      <c r="Q888" t="s">
        <v>1339</v>
      </c>
    </row>
    <row r="889" spans="1:26" hidden="1" x14ac:dyDescent="0.25">
      <c r="B889" s="2">
        <f>HYPERLINK(URLs!B30 &amp; 5003 &amp; URLs!B32,5003)</f>
        <v>5003</v>
      </c>
      <c r="C889" t="s">
        <v>665</v>
      </c>
      <c r="D889" t="s">
        <v>619</v>
      </c>
      <c r="E889" t="s">
        <v>850</v>
      </c>
      <c r="F889" t="s">
        <v>1279</v>
      </c>
      <c r="G889" t="s">
        <v>1338</v>
      </c>
      <c r="H889" t="s">
        <v>868</v>
      </c>
      <c r="I889" t="s">
        <v>624</v>
      </c>
      <c r="J889" t="s">
        <v>629</v>
      </c>
      <c r="L889" s="5">
        <v>41730</v>
      </c>
      <c r="M889" s="5">
        <v>42104</v>
      </c>
      <c r="N889" t="s">
        <v>1303</v>
      </c>
      <c r="O889" t="s">
        <v>666</v>
      </c>
      <c r="P889" t="s">
        <v>621</v>
      </c>
      <c r="Q889" t="s">
        <v>1340</v>
      </c>
      <c r="W889">
        <v>1</v>
      </c>
      <c r="X889">
        <v>1</v>
      </c>
      <c r="Y889">
        <v>1</v>
      </c>
    </row>
    <row r="890" spans="1:26" hidden="1" x14ac:dyDescent="0.25">
      <c r="A890" s="2">
        <f>HYPERLINK(URLs!B36 &amp; 30910,30910)</f>
        <v>30910</v>
      </c>
      <c r="B890" s="2">
        <f>HYPERLINK(URLs!B30 &amp; 5002 &amp; URLs!B32,5002)</f>
        <v>5002</v>
      </c>
      <c r="C890" t="s">
        <v>665</v>
      </c>
      <c r="D890" t="s">
        <v>619</v>
      </c>
      <c r="E890" t="s">
        <v>850</v>
      </c>
      <c r="F890" t="s">
        <v>621</v>
      </c>
      <c r="G890" t="s">
        <v>889</v>
      </c>
      <c r="H890" t="s">
        <v>890</v>
      </c>
      <c r="I890" t="s">
        <v>624</v>
      </c>
      <c r="J890" t="s">
        <v>642</v>
      </c>
      <c r="K890" t="s">
        <v>68</v>
      </c>
      <c r="L890" s="5">
        <v>41730</v>
      </c>
      <c r="M890" s="5">
        <v>42513</v>
      </c>
      <c r="N890" s="2">
        <f>HYPERLINK(URLs!B36 &amp; 30910,30910)</f>
        <v>30910</v>
      </c>
      <c r="O890" t="s">
        <v>645</v>
      </c>
      <c r="P890" t="s">
        <v>621</v>
      </c>
      <c r="Q890" t="s">
        <v>1341</v>
      </c>
      <c r="R890" t="s">
        <v>305</v>
      </c>
      <c r="S890" t="s">
        <v>337</v>
      </c>
      <c r="T890" t="s">
        <v>4111</v>
      </c>
      <c r="U890" t="s">
        <v>35</v>
      </c>
      <c r="V890" t="s">
        <v>321</v>
      </c>
      <c r="Z890" t="s">
        <v>34</v>
      </c>
    </row>
    <row r="891" spans="1:26" hidden="1" x14ac:dyDescent="0.25">
      <c r="B891" s="2">
        <f>HYPERLINK(URLs!B30 &amp; 4999 &amp; URLs!B32,4999)</f>
        <v>4999</v>
      </c>
      <c r="C891" t="s">
        <v>633</v>
      </c>
      <c r="D891" t="s">
        <v>619</v>
      </c>
      <c r="E891" t="s">
        <v>850</v>
      </c>
      <c r="F891" t="s">
        <v>621</v>
      </c>
      <c r="G891" t="s">
        <v>851</v>
      </c>
      <c r="H891" t="s">
        <v>852</v>
      </c>
      <c r="I891" t="s">
        <v>624</v>
      </c>
      <c r="J891" t="s">
        <v>642</v>
      </c>
      <c r="L891" s="5">
        <v>41730</v>
      </c>
      <c r="M891" s="5">
        <v>41789</v>
      </c>
      <c r="N891" t="s">
        <v>621</v>
      </c>
      <c r="O891" t="s">
        <v>666</v>
      </c>
      <c r="P891" t="s">
        <v>621</v>
      </c>
      <c r="Q891" t="s">
        <v>1342</v>
      </c>
    </row>
    <row r="892" spans="1:26" hidden="1" x14ac:dyDescent="0.25">
      <c r="B892" s="2">
        <f>HYPERLINK(URLs!B30 &amp; 4991 &amp; URLs!B32,4991)</f>
        <v>4991</v>
      </c>
      <c r="C892" t="s">
        <v>665</v>
      </c>
      <c r="D892" t="s">
        <v>619</v>
      </c>
      <c r="E892" t="s">
        <v>850</v>
      </c>
      <c r="F892" t="s">
        <v>621</v>
      </c>
      <c r="G892" t="s">
        <v>889</v>
      </c>
      <c r="H892" t="s">
        <v>890</v>
      </c>
      <c r="I892" t="s">
        <v>624</v>
      </c>
      <c r="J892" t="s">
        <v>629</v>
      </c>
      <c r="L892" s="5">
        <v>41726</v>
      </c>
      <c r="M892" s="5">
        <v>41830</v>
      </c>
      <c r="N892" t="s">
        <v>1506</v>
      </c>
      <c r="O892" t="s">
        <v>666</v>
      </c>
      <c r="P892" t="s">
        <v>621</v>
      </c>
      <c r="Q892" t="s">
        <v>1343</v>
      </c>
    </row>
    <row r="893" spans="1:26" hidden="1" x14ac:dyDescent="0.25">
      <c r="B893" s="2">
        <f>HYPERLINK(URLs!B30 &amp; 4989 &amp; URLs!B32,4989)</f>
        <v>4989</v>
      </c>
      <c r="C893" t="s">
        <v>665</v>
      </c>
      <c r="D893" t="s">
        <v>619</v>
      </c>
      <c r="E893" t="s">
        <v>850</v>
      </c>
      <c r="F893" t="s">
        <v>621</v>
      </c>
      <c r="G893" t="s">
        <v>787</v>
      </c>
      <c r="H893" t="s">
        <v>788</v>
      </c>
      <c r="I893" t="s">
        <v>624</v>
      </c>
      <c r="J893" t="s">
        <v>625</v>
      </c>
      <c r="L893" s="5">
        <v>41726</v>
      </c>
      <c r="M893" s="5">
        <v>41928</v>
      </c>
      <c r="N893" s="2">
        <f>HYPERLINK(URLs!B36 &amp; 48309,48309)</f>
        <v>48309</v>
      </c>
      <c r="O893" t="s">
        <v>666</v>
      </c>
      <c r="P893" t="s">
        <v>621</v>
      </c>
      <c r="Q893" t="s">
        <v>1344</v>
      </c>
      <c r="W893">
        <v>1</v>
      </c>
      <c r="X893">
        <v>1</v>
      </c>
      <c r="Y893">
        <v>1</v>
      </c>
    </row>
    <row r="894" spans="1:26" hidden="1" x14ac:dyDescent="0.25">
      <c r="B894" s="2">
        <f>HYPERLINK(URLs!B30 &amp; 4969 &amp; URLs!B32,4969)</f>
        <v>4969</v>
      </c>
      <c r="C894" t="s">
        <v>633</v>
      </c>
      <c r="D894" t="s">
        <v>619</v>
      </c>
      <c r="E894" t="s">
        <v>850</v>
      </c>
      <c r="F894" t="s">
        <v>621</v>
      </c>
      <c r="G894" t="s">
        <v>624</v>
      </c>
      <c r="H894" t="s">
        <v>876</v>
      </c>
      <c r="I894" t="s">
        <v>624</v>
      </c>
      <c r="J894" t="s">
        <v>629</v>
      </c>
      <c r="L894" s="5">
        <v>41723</v>
      </c>
      <c r="M894" s="5">
        <v>41725</v>
      </c>
      <c r="N894" t="s">
        <v>621</v>
      </c>
      <c r="O894" t="s">
        <v>666</v>
      </c>
      <c r="P894" t="s">
        <v>621</v>
      </c>
      <c r="Q894" t="s">
        <v>1345</v>
      </c>
    </row>
    <row r="895" spans="1:26" hidden="1" x14ac:dyDescent="0.25">
      <c r="B895" s="2">
        <f>HYPERLINK(URLs!B30 &amp; 4963 &amp; URLs!B32,4963)</f>
        <v>4963</v>
      </c>
      <c r="C895" t="s">
        <v>665</v>
      </c>
      <c r="D895" t="s">
        <v>619</v>
      </c>
      <c r="E895" t="s">
        <v>850</v>
      </c>
      <c r="F895" t="s">
        <v>621</v>
      </c>
      <c r="G895" t="s">
        <v>889</v>
      </c>
      <c r="H895" t="s">
        <v>890</v>
      </c>
      <c r="I895" t="s">
        <v>624</v>
      </c>
      <c r="J895" t="s">
        <v>629</v>
      </c>
      <c r="L895" s="5">
        <v>41722</v>
      </c>
      <c r="M895" s="5">
        <v>41830</v>
      </c>
      <c r="N895" t="s">
        <v>621</v>
      </c>
      <c r="O895" t="s">
        <v>666</v>
      </c>
      <c r="P895" t="s">
        <v>621</v>
      </c>
      <c r="Q895" t="s">
        <v>1346</v>
      </c>
    </row>
    <row r="896" spans="1:26" hidden="1" x14ac:dyDescent="0.25">
      <c r="B896" s="2">
        <f>HYPERLINK(URLs!B30 &amp; 4961 &amp; URLs!B32,4961)</f>
        <v>4961</v>
      </c>
      <c r="C896" t="s">
        <v>633</v>
      </c>
      <c r="D896" t="s">
        <v>619</v>
      </c>
      <c r="E896" t="s">
        <v>850</v>
      </c>
      <c r="F896" t="s">
        <v>621</v>
      </c>
      <c r="G896" t="s">
        <v>889</v>
      </c>
      <c r="H896" t="s">
        <v>890</v>
      </c>
      <c r="I896" t="s">
        <v>624</v>
      </c>
      <c r="J896" t="s">
        <v>629</v>
      </c>
      <c r="L896" s="5">
        <v>41722</v>
      </c>
      <c r="M896" s="5">
        <v>41830</v>
      </c>
      <c r="N896" s="2">
        <f>HYPERLINK(URLs!B36 &amp; 18718,18718)</f>
        <v>18718</v>
      </c>
      <c r="O896" t="s">
        <v>666</v>
      </c>
      <c r="P896" t="s">
        <v>621</v>
      </c>
      <c r="Q896" t="s">
        <v>1347</v>
      </c>
    </row>
    <row r="897" spans="2:23" hidden="1" x14ac:dyDescent="0.25">
      <c r="B897" s="2">
        <f>HYPERLINK(URLs!B30 &amp; 4945 &amp; URLs!B32,4945)</f>
        <v>4945</v>
      </c>
      <c r="C897" t="s">
        <v>665</v>
      </c>
      <c r="D897" t="s">
        <v>619</v>
      </c>
      <c r="E897" t="s">
        <v>850</v>
      </c>
      <c r="F897" t="s">
        <v>621</v>
      </c>
      <c r="G897" t="s">
        <v>851</v>
      </c>
      <c r="H897" t="s">
        <v>852</v>
      </c>
      <c r="I897" t="s">
        <v>624</v>
      </c>
      <c r="J897" t="s">
        <v>629</v>
      </c>
      <c r="L897" s="5">
        <v>41717</v>
      </c>
      <c r="M897" s="5">
        <v>41775</v>
      </c>
      <c r="N897" t="s">
        <v>1348</v>
      </c>
      <c r="O897" t="s">
        <v>666</v>
      </c>
      <c r="P897" t="s">
        <v>621</v>
      </c>
      <c r="Q897" t="s">
        <v>1349</v>
      </c>
      <c r="W897">
        <v>1</v>
      </c>
    </row>
    <row r="898" spans="2:23" hidden="1" x14ac:dyDescent="0.25">
      <c r="B898" s="2">
        <f>HYPERLINK(URLs!B30 &amp; 4714 &amp; URLs!B32,4714)</f>
        <v>4714</v>
      </c>
      <c r="C898" t="s">
        <v>665</v>
      </c>
      <c r="D898" t="s">
        <v>619</v>
      </c>
      <c r="E898" t="s">
        <v>850</v>
      </c>
      <c r="F898" t="s">
        <v>621</v>
      </c>
      <c r="G898" t="s">
        <v>1338</v>
      </c>
      <c r="H898" t="s">
        <v>868</v>
      </c>
      <c r="I898" t="s">
        <v>624</v>
      </c>
      <c r="J898" t="s">
        <v>642</v>
      </c>
      <c r="L898" s="5">
        <v>41703</v>
      </c>
      <c r="M898" s="5">
        <v>41830</v>
      </c>
      <c r="N898" s="2">
        <f>HYPERLINK(URLs!B36 &amp; 18345,18345)</f>
        <v>18345</v>
      </c>
      <c r="O898" t="s">
        <v>666</v>
      </c>
      <c r="P898" t="s">
        <v>621</v>
      </c>
      <c r="Q898" t="s">
        <v>1350</v>
      </c>
    </row>
    <row r="899" spans="2:23" hidden="1" x14ac:dyDescent="0.25">
      <c r="B899" s="2">
        <f>HYPERLINK(URLs!B30 &amp; 4713 &amp; URLs!B32,4713)</f>
        <v>4713</v>
      </c>
      <c r="C899" t="s">
        <v>633</v>
      </c>
      <c r="D899" t="s">
        <v>619</v>
      </c>
      <c r="E899" t="s">
        <v>850</v>
      </c>
      <c r="F899" t="s">
        <v>621</v>
      </c>
      <c r="G899" t="s">
        <v>624</v>
      </c>
      <c r="H899" t="s">
        <v>876</v>
      </c>
      <c r="I899" t="s">
        <v>624</v>
      </c>
      <c r="J899" t="s">
        <v>642</v>
      </c>
      <c r="L899" s="5">
        <v>41703</v>
      </c>
      <c r="M899" s="5">
        <v>41830</v>
      </c>
      <c r="N899" s="2">
        <f>HYPERLINK(URLs!B36 &amp; 17735,17735)</f>
        <v>17735</v>
      </c>
      <c r="O899" t="s">
        <v>666</v>
      </c>
      <c r="P899" t="s">
        <v>621</v>
      </c>
      <c r="Q899" t="s">
        <v>1233</v>
      </c>
    </row>
    <row r="900" spans="2:23" hidden="1" x14ac:dyDescent="0.25">
      <c r="B900" s="2">
        <f>HYPERLINK(URLs!B30 &amp; 4710 &amp; URLs!B32,4710)</f>
        <v>4710</v>
      </c>
      <c r="C900" t="s">
        <v>665</v>
      </c>
      <c r="D900" t="s">
        <v>619</v>
      </c>
      <c r="E900" t="s">
        <v>850</v>
      </c>
      <c r="F900" t="s">
        <v>621</v>
      </c>
      <c r="G900" t="s">
        <v>1338</v>
      </c>
      <c r="H900" t="s">
        <v>868</v>
      </c>
      <c r="I900" t="s">
        <v>624</v>
      </c>
      <c r="J900" t="s">
        <v>642</v>
      </c>
      <c r="L900" s="5">
        <v>41702</v>
      </c>
      <c r="M900" s="5">
        <v>41775</v>
      </c>
      <c r="N900" s="2">
        <f>HYPERLINK(URLs!B36 &amp; 17188,17188)</f>
        <v>17188</v>
      </c>
      <c r="O900" t="s">
        <v>666</v>
      </c>
      <c r="P900" t="s">
        <v>621</v>
      </c>
      <c r="Q900" t="s">
        <v>1351</v>
      </c>
    </row>
    <row r="901" spans="2:23" hidden="1" x14ac:dyDescent="0.25">
      <c r="B901" s="2">
        <f>HYPERLINK(URLs!B30 &amp; 4705 &amp; URLs!B32,4705)</f>
        <v>4705</v>
      </c>
      <c r="C901" t="s">
        <v>633</v>
      </c>
      <c r="D901" t="s">
        <v>619</v>
      </c>
      <c r="E901" t="s">
        <v>850</v>
      </c>
      <c r="F901" t="s">
        <v>621</v>
      </c>
      <c r="G901" t="s">
        <v>624</v>
      </c>
      <c r="H901" t="s">
        <v>852</v>
      </c>
      <c r="I901" t="s">
        <v>624</v>
      </c>
      <c r="J901" t="s">
        <v>629</v>
      </c>
      <c r="L901" s="5">
        <v>41701</v>
      </c>
      <c r="M901" s="5">
        <v>41848</v>
      </c>
      <c r="N901" s="2">
        <f>HYPERLINK(URLs!B36 &amp; 12921,12921)</f>
        <v>12921</v>
      </c>
      <c r="O901" t="s">
        <v>666</v>
      </c>
      <c r="P901" t="s">
        <v>621</v>
      </c>
      <c r="Q901" t="s">
        <v>1352</v>
      </c>
    </row>
    <row r="902" spans="2:23" hidden="1" x14ac:dyDescent="0.25">
      <c r="B902" s="2">
        <f>HYPERLINK(URLs!B30 &amp; 4703 &amp; URLs!B32,4703)</f>
        <v>4703</v>
      </c>
      <c r="C902" t="s">
        <v>665</v>
      </c>
      <c r="D902" t="s">
        <v>619</v>
      </c>
      <c r="E902" t="s">
        <v>850</v>
      </c>
      <c r="F902" t="s">
        <v>621</v>
      </c>
      <c r="G902" t="s">
        <v>962</v>
      </c>
      <c r="H902" t="s">
        <v>887</v>
      </c>
      <c r="I902" t="s">
        <v>624</v>
      </c>
      <c r="J902" t="s">
        <v>625</v>
      </c>
      <c r="L902" s="5">
        <v>41701</v>
      </c>
      <c r="M902" s="5">
        <v>41876</v>
      </c>
      <c r="N902" s="2">
        <f>HYPERLINK(URLs!B36 &amp; 17469,17469)</f>
        <v>17469</v>
      </c>
      <c r="O902" t="s">
        <v>666</v>
      </c>
      <c r="P902" t="s">
        <v>621</v>
      </c>
      <c r="Q902" t="s">
        <v>1353</v>
      </c>
      <c r="W902">
        <v>1</v>
      </c>
    </row>
    <row r="903" spans="2:23" hidden="1" x14ac:dyDescent="0.25">
      <c r="B903" s="2">
        <f>HYPERLINK(URLs!B30 &amp; 4669 &amp; URLs!B32,4669)</f>
        <v>4669</v>
      </c>
      <c r="C903" t="s">
        <v>633</v>
      </c>
      <c r="D903" t="s">
        <v>619</v>
      </c>
      <c r="E903" t="s">
        <v>850</v>
      </c>
      <c r="F903" t="s">
        <v>621</v>
      </c>
      <c r="G903" t="s">
        <v>1338</v>
      </c>
      <c r="H903" t="s">
        <v>868</v>
      </c>
      <c r="I903" t="s">
        <v>624</v>
      </c>
      <c r="J903" t="s">
        <v>642</v>
      </c>
      <c r="L903" s="5">
        <v>41688</v>
      </c>
      <c r="M903" s="5">
        <v>41803</v>
      </c>
      <c r="N903" t="s">
        <v>621</v>
      </c>
      <c r="O903" t="s">
        <v>666</v>
      </c>
      <c r="P903" t="s">
        <v>621</v>
      </c>
      <c r="Q903" t="s">
        <v>1354</v>
      </c>
    </row>
    <row r="904" spans="2:23" hidden="1" x14ac:dyDescent="0.25">
      <c r="B904" s="2">
        <f>HYPERLINK(URLs!B30 &amp; 4644 &amp; URLs!B32,4644)</f>
        <v>4644</v>
      </c>
      <c r="C904" t="s">
        <v>665</v>
      </c>
      <c r="D904" t="s">
        <v>619</v>
      </c>
      <c r="E904" t="s">
        <v>850</v>
      </c>
      <c r="F904" t="s">
        <v>621</v>
      </c>
      <c r="G904" t="s">
        <v>962</v>
      </c>
      <c r="H904" t="s">
        <v>887</v>
      </c>
      <c r="I904" t="s">
        <v>624</v>
      </c>
      <c r="J904" t="s">
        <v>642</v>
      </c>
      <c r="L904" s="5">
        <v>41682</v>
      </c>
      <c r="M904" s="5">
        <v>41830</v>
      </c>
      <c r="N904" s="2">
        <f>HYPERLINK(URLs!B36 &amp; 38036,38036)</f>
        <v>38036</v>
      </c>
      <c r="O904" t="s">
        <v>666</v>
      </c>
      <c r="P904" t="s">
        <v>621</v>
      </c>
      <c r="Q904" t="s">
        <v>1355</v>
      </c>
      <c r="W904">
        <v>1</v>
      </c>
    </row>
    <row r="905" spans="2:23" hidden="1" x14ac:dyDescent="0.25">
      <c r="B905" s="2">
        <f>HYPERLINK(URLs!B30 &amp; 4624 &amp; URLs!B32,4624)</f>
        <v>4624</v>
      </c>
      <c r="C905" t="s">
        <v>665</v>
      </c>
      <c r="D905" t="s">
        <v>619</v>
      </c>
      <c r="E905" t="s">
        <v>850</v>
      </c>
      <c r="F905" t="s">
        <v>621</v>
      </c>
      <c r="G905" t="s">
        <v>1334</v>
      </c>
      <c r="H905" t="s">
        <v>1260</v>
      </c>
      <c r="I905" t="s">
        <v>624</v>
      </c>
      <c r="J905" t="s">
        <v>629</v>
      </c>
      <c r="L905" s="5">
        <v>41670</v>
      </c>
      <c r="M905" s="5">
        <v>41876</v>
      </c>
      <c r="N905" s="2">
        <f>HYPERLINK(URLs!B36 &amp; 17330,17330)</f>
        <v>17330</v>
      </c>
      <c r="O905" t="s">
        <v>666</v>
      </c>
      <c r="P905" t="s">
        <v>621</v>
      </c>
      <c r="Q905" t="s">
        <v>1356</v>
      </c>
      <c r="W905">
        <v>1</v>
      </c>
    </row>
    <row r="906" spans="2:23" hidden="1" x14ac:dyDescent="0.25">
      <c r="B906" s="2">
        <f>HYPERLINK(URLs!B30 &amp; 4619 &amp; URLs!B32,4619)</f>
        <v>4619</v>
      </c>
      <c r="C906" t="s">
        <v>633</v>
      </c>
      <c r="D906" t="s">
        <v>619</v>
      </c>
      <c r="E906" t="s">
        <v>850</v>
      </c>
      <c r="F906" t="s">
        <v>621</v>
      </c>
      <c r="G906" t="s">
        <v>624</v>
      </c>
      <c r="H906" t="s">
        <v>876</v>
      </c>
      <c r="I906" t="s">
        <v>624</v>
      </c>
      <c r="J906" t="s">
        <v>629</v>
      </c>
      <c r="L906" s="5">
        <v>41669</v>
      </c>
      <c r="M906" s="5">
        <v>41736</v>
      </c>
      <c r="N906" s="2">
        <f>HYPERLINK(URLs!B36 &amp; 17044,17044)</f>
        <v>17044</v>
      </c>
      <c r="O906" t="s">
        <v>710</v>
      </c>
      <c r="P906" t="s">
        <v>621</v>
      </c>
      <c r="Q906" t="s">
        <v>1357</v>
      </c>
    </row>
    <row r="907" spans="2:23" hidden="1" x14ac:dyDescent="0.25">
      <c r="B907" s="2">
        <f>HYPERLINK(URLs!B30 &amp; 4602 &amp; URLs!B32,4602)</f>
        <v>4602</v>
      </c>
      <c r="C907" t="s">
        <v>665</v>
      </c>
      <c r="D907" t="s">
        <v>619</v>
      </c>
      <c r="E907" t="s">
        <v>850</v>
      </c>
      <c r="F907" t="s">
        <v>621</v>
      </c>
      <c r="G907" t="s">
        <v>851</v>
      </c>
      <c r="H907" t="s">
        <v>852</v>
      </c>
      <c r="I907" t="s">
        <v>624</v>
      </c>
      <c r="J907" t="s">
        <v>629</v>
      </c>
      <c r="L907" s="5">
        <v>41663</v>
      </c>
      <c r="M907" s="5">
        <v>41775</v>
      </c>
      <c r="N907" s="2">
        <f>HYPERLINK(URLs!B36 &amp; 16884,16884)</f>
        <v>16884</v>
      </c>
      <c r="O907" t="s">
        <v>666</v>
      </c>
      <c r="P907" t="s">
        <v>621</v>
      </c>
      <c r="Q907" t="s">
        <v>1358</v>
      </c>
    </row>
    <row r="908" spans="2:23" hidden="1" x14ac:dyDescent="0.25">
      <c r="B908" s="2">
        <f>HYPERLINK(URLs!B30 &amp; 4601 &amp; URLs!B32,4601)</f>
        <v>4601</v>
      </c>
      <c r="C908" t="s">
        <v>665</v>
      </c>
      <c r="D908" t="s">
        <v>619</v>
      </c>
      <c r="E908" t="s">
        <v>850</v>
      </c>
      <c r="F908" t="s">
        <v>621</v>
      </c>
      <c r="G908" t="s">
        <v>851</v>
      </c>
      <c r="H908" t="s">
        <v>852</v>
      </c>
      <c r="I908" t="s">
        <v>624</v>
      </c>
      <c r="J908" t="s">
        <v>642</v>
      </c>
      <c r="L908" s="5">
        <v>41663</v>
      </c>
      <c r="M908" s="5">
        <v>42485</v>
      </c>
      <c r="N908" s="2">
        <f>HYPERLINK(URLs!B36 &amp; 44759,44759)</f>
        <v>44759</v>
      </c>
      <c r="O908" t="s">
        <v>666</v>
      </c>
      <c r="P908" t="s">
        <v>621</v>
      </c>
      <c r="Q908" t="s">
        <v>1359</v>
      </c>
    </row>
    <row r="909" spans="2:23" hidden="1" x14ac:dyDescent="0.25">
      <c r="B909" s="2">
        <f>HYPERLINK(URLs!B30 &amp; 4591 &amp; URLs!B32,4591)</f>
        <v>4591</v>
      </c>
      <c r="C909" t="s">
        <v>633</v>
      </c>
      <c r="D909" t="s">
        <v>619</v>
      </c>
      <c r="E909" t="s">
        <v>850</v>
      </c>
      <c r="F909" t="s">
        <v>621</v>
      </c>
      <c r="G909" t="s">
        <v>1334</v>
      </c>
      <c r="H909" t="s">
        <v>1260</v>
      </c>
      <c r="I909" t="s">
        <v>624</v>
      </c>
      <c r="J909" t="s">
        <v>625</v>
      </c>
      <c r="L909" s="5">
        <v>41661</v>
      </c>
      <c r="M909" s="5">
        <v>41666</v>
      </c>
      <c r="N909" t="s">
        <v>621</v>
      </c>
      <c r="O909" t="s">
        <v>1360</v>
      </c>
      <c r="P909" t="s">
        <v>621</v>
      </c>
      <c r="Q909" t="s">
        <v>1361</v>
      </c>
    </row>
    <row r="910" spans="2:23" hidden="1" x14ac:dyDescent="0.25">
      <c r="B910" s="2">
        <f>HYPERLINK(URLs!B30 &amp; 4580 &amp; URLs!B32,4580)</f>
        <v>4580</v>
      </c>
      <c r="C910" t="s">
        <v>665</v>
      </c>
      <c r="D910" t="s">
        <v>619</v>
      </c>
      <c r="E910" t="s">
        <v>850</v>
      </c>
      <c r="F910" t="s">
        <v>621</v>
      </c>
      <c r="G910" t="s">
        <v>1338</v>
      </c>
      <c r="H910" t="s">
        <v>868</v>
      </c>
      <c r="I910" t="s">
        <v>624</v>
      </c>
      <c r="J910" t="s">
        <v>642</v>
      </c>
      <c r="L910" s="5">
        <v>41654</v>
      </c>
      <c r="M910" s="5">
        <v>41775</v>
      </c>
      <c r="N910" t="s">
        <v>621</v>
      </c>
      <c r="O910" t="s">
        <v>666</v>
      </c>
      <c r="P910" t="s">
        <v>621</v>
      </c>
      <c r="Q910" t="s">
        <v>1362</v>
      </c>
    </row>
    <row r="911" spans="2:23" hidden="1" x14ac:dyDescent="0.25">
      <c r="B911" s="2">
        <f>HYPERLINK(URLs!B30 &amp; 4577 &amp; URLs!B32,4577)</f>
        <v>4577</v>
      </c>
      <c r="C911" t="s">
        <v>665</v>
      </c>
      <c r="D911" t="s">
        <v>619</v>
      </c>
      <c r="E911" t="s">
        <v>850</v>
      </c>
      <c r="F911" t="s">
        <v>621</v>
      </c>
      <c r="G911" t="s">
        <v>889</v>
      </c>
      <c r="H911" t="s">
        <v>890</v>
      </c>
      <c r="I911" t="s">
        <v>624</v>
      </c>
      <c r="J911" t="s">
        <v>629</v>
      </c>
      <c r="L911" s="5">
        <v>41652</v>
      </c>
      <c r="M911" s="5">
        <v>41669</v>
      </c>
      <c r="N911" t="s">
        <v>621</v>
      </c>
      <c r="O911" t="s">
        <v>680</v>
      </c>
      <c r="P911" t="s">
        <v>621</v>
      </c>
      <c r="Q911" t="s">
        <v>1363</v>
      </c>
    </row>
    <row r="912" spans="2:23" hidden="1" x14ac:dyDescent="0.25">
      <c r="B912" s="2">
        <f>HYPERLINK(URLs!B30 &amp; 4523 &amp; URLs!B32,4523)</f>
        <v>4523</v>
      </c>
      <c r="C912" t="s">
        <v>665</v>
      </c>
      <c r="D912" t="s">
        <v>619</v>
      </c>
      <c r="E912" t="s">
        <v>850</v>
      </c>
      <c r="F912" t="s">
        <v>621</v>
      </c>
      <c r="G912" t="s">
        <v>962</v>
      </c>
      <c r="H912" t="s">
        <v>887</v>
      </c>
      <c r="I912" t="s">
        <v>624</v>
      </c>
      <c r="J912" t="s">
        <v>642</v>
      </c>
      <c r="L912" s="5">
        <v>41617</v>
      </c>
      <c r="M912" s="5">
        <v>41901</v>
      </c>
      <c r="N912" s="2">
        <f>HYPERLINK(URLs!B36 &amp; 16536,16536)</f>
        <v>16536</v>
      </c>
      <c r="O912" t="s">
        <v>666</v>
      </c>
      <c r="P912" t="s">
        <v>621</v>
      </c>
      <c r="Q912" t="s">
        <v>1364</v>
      </c>
    </row>
    <row r="913" spans="2:25" hidden="1" x14ac:dyDescent="0.25">
      <c r="B913" s="2">
        <f>HYPERLINK(URLs!B30 &amp; 4496 &amp; URLs!B32,4496)</f>
        <v>4496</v>
      </c>
      <c r="C913" t="s">
        <v>665</v>
      </c>
      <c r="D913" t="s">
        <v>619</v>
      </c>
      <c r="E913" t="s">
        <v>850</v>
      </c>
      <c r="F913" t="s">
        <v>621</v>
      </c>
      <c r="G913" t="s">
        <v>1334</v>
      </c>
      <c r="H913" t="s">
        <v>1260</v>
      </c>
      <c r="I913" t="s">
        <v>624</v>
      </c>
      <c r="J913" t="s">
        <v>629</v>
      </c>
      <c r="L913" s="5">
        <v>41604</v>
      </c>
      <c r="M913" s="5">
        <v>42015</v>
      </c>
      <c r="N913" s="2">
        <f>HYPERLINK(URLs!B36 &amp; 44499,44499)</f>
        <v>44499</v>
      </c>
      <c r="O913" t="s">
        <v>626</v>
      </c>
      <c r="P913" t="s">
        <v>621</v>
      </c>
      <c r="Q913" t="s">
        <v>1365</v>
      </c>
      <c r="W913">
        <v>1</v>
      </c>
    </row>
    <row r="914" spans="2:25" hidden="1" x14ac:dyDescent="0.25">
      <c r="B914" s="2">
        <f>HYPERLINK(URLs!B30 &amp; 4495 &amp; URLs!B32,4495)</f>
        <v>4495</v>
      </c>
      <c r="C914" t="s">
        <v>665</v>
      </c>
      <c r="D914" t="s">
        <v>619</v>
      </c>
      <c r="E914" t="s">
        <v>850</v>
      </c>
      <c r="F914" t="s">
        <v>621</v>
      </c>
      <c r="G914" t="s">
        <v>624</v>
      </c>
      <c r="H914" t="s">
        <v>715</v>
      </c>
      <c r="I914" t="s">
        <v>624</v>
      </c>
      <c r="J914" t="s">
        <v>642</v>
      </c>
      <c r="L914" s="5">
        <v>41604</v>
      </c>
      <c r="M914" s="5">
        <v>42513</v>
      </c>
      <c r="N914" t="s">
        <v>1507</v>
      </c>
      <c r="O914" t="s">
        <v>666</v>
      </c>
      <c r="P914" t="s">
        <v>621</v>
      </c>
      <c r="Q914" t="s">
        <v>1366</v>
      </c>
      <c r="W914">
        <v>1</v>
      </c>
      <c r="X914">
        <v>1</v>
      </c>
    </row>
    <row r="915" spans="2:25" hidden="1" x14ac:dyDescent="0.25">
      <c r="B915" s="2">
        <f>HYPERLINK(URLs!B30 &amp; 4477 &amp; URLs!B32,4477)</f>
        <v>4477</v>
      </c>
      <c r="C915" t="s">
        <v>665</v>
      </c>
      <c r="D915" t="s">
        <v>619</v>
      </c>
      <c r="E915" t="s">
        <v>850</v>
      </c>
      <c r="F915" t="s">
        <v>1367</v>
      </c>
      <c r="G915" t="s">
        <v>889</v>
      </c>
      <c r="H915" t="s">
        <v>890</v>
      </c>
      <c r="I915" t="s">
        <v>624</v>
      </c>
      <c r="J915" t="s">
        <v>629</v>
      </c>
      <c r="L915" s="5">
        <v>41598</v>
      </c>
      <c r="M915" s="5">
        <v>42104</v>
      </c>
      <c r="N915" s="2">
        <f>HYPERLINK(URLs!B36 &amp; 39807,39807)</f>
        <v>39807</v>
      </c>
      <c r="O915" t="s">
        <v>666</v>
      </c>
      <c r="P915" t="s">
        <v>621</v>
      </c>
      <c r="Q915" t="s">
        <v>1368</v>
      </c>
      <c r="W915">
        <v>1</v>
      </c>
    </row>
    <row r="916" spans="2:25" hidden="1" x14ac:dyDescent="0.25">
      <c r="B916" s="2">
        <f>HYPERLINK(URLs!B30 &amp; 4465 &amp; URLs!B32,4465)</f>
        <v>4465</v>
      </c>
      <c r="C916" t="s">
        <v>665</v>
      </c>
      <c r="D916" t="s">
        <v>619</v>
      </c>
      <c r="E916" t="s">
        <v>850</v>
      </c>
      <c r="F916" t="s">
        <v>621</v>
      </c>
      <c r="G916" t="s">
        <v>962</v>
      </c>
      <c r="H916" t="s">
        <v>887</v>
      </c>
      <c r="I916" t="s">
        <v>624</v>
      </c>
      <c r="J916" t="s">
        <v>642</v>
      </c>
      <c r="L916" s="5">
        <v>41592</v>
      </c>
      <c r="M916" s="5">
        <v>41830</v>
      </c>
      <c r="N916" s="2">
        <f>HYPERLINK(URLs!B36 &amp; 45478,45478)</f>
        <v>45478</v>
      </c>
      <c r="O916" t="s">
        <v>666</v>
      </c>
      <c r="P916" t="s">
        <v>621</v>
      </c>
      <c r="Q916" t="s">
        <v>1369</v>
      </c>
    </row>
    <row r="917" spans="2:25" hidden="1" x14ac:dyDescent="0.25">
      <c r="B917" s="2">
        <f>HYPERLINK(URLs!B30 &amp; 4456 &amp; URLs!B32,4456)</f>
        <v>4456</v>
      </c>
      <c r="C917" t="s">
        <v>633</v>
      </c>
      <c r="D917" t="s">
        <v>619</v>
      </c>
      <c r="E917" t="s">
        <v>850</v>
      </c>
      <c r="F917" t="s">
        <v>621</v>
      </c>
      <c r="G917" t="s">
        <v>1338</v>
      </c>
      <c r="H917" t="s">
        <v>868</v>
      </c>
      <c r="I917" t="s">
        <v>624</v>
      </c>
      <c r="J917" t="s">
        <v>629</v>
      </c>
      <c r="L917" s="5">
        <v>41589</v>
      </c>
      <c r="M917" s="5">
        <v>41708</v>
      </c>
      <c r="N917" t="s">
        <v>621</v>
      </c>
      <c r="O917" t="s">
        <v>666</v>
      </c>
      <c r="P917" t="s">
        <v>621</v>
      </c>
      <c r="Q917" t="s">
        <v>1370</v>
      </c>
      <c r="W917">
        <v>1</v>
      </c>
    </row>
    <row r="918" spans="2:25" hidden="1" x14ac:dyDescent="0.25">
      <c r="B918" s="2">
        <f>HYPERLINK(URLs!B30 &amp; 4383 &amp; URLs!B32,4383)</f>
        <v>4383</v>
      </c>
      <c r="C918" t="s">
        <v>633</v>
      </c>
      <c r="D918" t="s">
        <v>619</v>
      </c>
      <c r="E918" t="s">
        <v>850</v>
      </c>
      <c r="F918" t="s">
        <v>621</v>
      </c>
      <c r="G918" t="s">
        <v>1334</v>
      </c>
      <c r="H918" t="s">
        <v>1260</v>
      </c>
      <c r="I918" t="s">
        <v>624</v>
      </c>
      <c r="J918" t="s">
        <v>642</v>
      </c>
      <c r="L918" s="5">
        <v>41565</v>
      </c>
      <c r="M918" s="5">
        <v>41830</v>
      </c>
      <c r="N918" s="2">
        <f>HYPERLINK(URLs!B36 &amp; 15258,15258)</f>
        <v>15258</v>
      </c>
      <c r="O918" t="s">
        <v>666</v>
      </c>
      <c r="P918" t="s">
        <v>621</v>
      </c>
      <c r="Q918" t="s">
        <v>1371</v>
      </c>
    </row>
    <row r="919" spans="2:25" hidden="1" x14ac:dyDescent="0.25">
      <c r="B919" s="2">
        <f>HYPERLINK(URLs!B30 &amp; 4380 &amp; URLs!B32,4380)</f>
        <v>4380</v>
      </c>
      <c r="C919" t="s">
        <v>633</v>
      </c>
      <c r="D919" t="s">
        <v>619</v>
      </c>
      <c r="E919" t="s">
        <v>850</v>
      </c>
      <c r="F919" t="s">
        <v>621</v>
      </c>
      <c r="G919" t="s">
        <v>962</v>
      </c>
      <c r="H919" t="s">
        <v>887</v>
      </c>
      <c r="I919" t="s">
        <v>624</v>
      </c>
      <c r="J919" t="s">
        <v>642</v>
      </c>
      <c r="L919" s="5">
        <v>41564</v>
      </c>
      <c r="M919" s="5">
        <v>41830</v>
      </c>
      <c r="N919" s="2">
        <f>HYPERLINK(URLs!B36 &amp; 15930,15930)</f>
        <v>15930</v>
      </c>
      <c r="O919" t="s">
        <v>666</v>
      </c>
      <c r="P919" t="s">
        <v>621</v>
      </c>
      <c r="Q919" t="s">
        <v>1372</v>
      </c>
    </row>
    <row r="920" spans="2:25" hidden="1" x14ac:dyDescent="0.25">
      <c r="B920" s="2">
        <f>HYPERLINK(URLs!B30 &amp; 4366 &amp; URLs!B32,4366)</f>
        <v>4366</v>
      </c>
      <c r="C920" t="s">
        <v>633</v>
      </c>
      <c r="D920" t="s">
        <v>619</v>
      </c>
      <c r="E920" t="s">
        <v>850</v>
      </c>
      <c r="F920" t="s">
        <v>621</v>
      </c>
      <c r="G920" t="s">
        <v>1338</v>
      </c>
      <c r="H920" t="s">
        <v>868</v>
      </c>
      <c r="I920" t="s">
        <v>624</v>
      </c>
      <c r="J920" t="s">
        <v>629</v>
      </c>
      <c r="L920" s="5">
        <v>41557</v>
      </c>
      <c r="M920" s="5">
        <v>41830</v>
      </c>
      <c r="N920" s="2">
        <f>HYPERLINK(URLs!B36 &amp; 15506,15506)</f>
        <v>15506</v>
      </c>
      <c r="O920" t="s">
        <v>666</v>
      </c>
      <c r="P920" t="s">
        <v>621</v>
      </c>
      <c r="Q920" t="s">
        <v>1373</v>
      </c>
    </row>
    <row r="921" spans="2:25" hidden="1" x14ac:dyDescent="0.25">
      <c r="B921" s="2">
        <f>HYPERLINK(URLs!B30 &amp; 4322 &amp; URLs!B32,4322)</f>
        <v>4322</v>
      </c>
      <c r="C921" t="s">
        <v>633</v>
      </c>
      <c r="D921" t="s">
        <v>619</v>
      </c>
      <c r="E921" t="s">
        <v>850</v>
      </c>
      <c r="F921" t="s">
        <v>621</v>
      </c>
      <c r="G921" t="s">
        <v>1329</v>
      </c>
      <c r="H921" t="s">
        <v>968</v>
      </c>
      <c r="I921" t="s">
        <v>624</v>
      </c>
      <c r="J921" t="s">
        <v>642</v>
      </c>
      <c r="L921" s="5">
        <v>41542</v>
      </c>
      <c r="M921" s="5">
        <v>41626</v>
      </c>
      <c r="N921" s="2">
        <f>HYPERLINK(URLs!B36 &amp; 13121,13121)</f>
        <v>13121</v>
      </c>
      <c r="O921" t="s">
        <v>666</v>
      </c>
      <c r="P921" t="s">
        <v>621</v>
      </c>
      <c r="Q921" t="s">
        <v>1374</v>
      </c>
      <c r="W921">
        <v>1</v>
      </c>
    </row>
    <row r="922" spans="2:25" hidden="1" x14ac:dyDescent="0.25">
      <c r="B922" s="2">
        <f>HYPERLINK(URLs!B30 &amp; 4310 &amp; URLs!B32,4310)</f>
        <v>4310</v>
      </c>
      <c r="C922" t="s">
        <v>665</v>
      </c>
      <c r="D922" t="s">
        <v>619</v>
      </c>
      <c r="E922" t="s">
        <v>850</v>
      </c>
      <c r="F922" t="s">
        <v>621</v>
      </c>
      <c r="G922" t="s">
        <v>962</v>
      </c>
      <c r="H922" t="s">
        <v>887</v>
      </c>
      <c r="I922" t="s">
        <v>624</v>
      </c>
      <c r="J922" t="s">
        <v>642</v>
      </c>
      <c r="L922" s="5">
        <v>41540</v>
      </c>
      <c r="M922" s="5">
        <v>41830</v>
      </c>
      <c r="N922" s="2">
        <f>HYPERLINK(URLs!B36 &amp; 16466,16466)</f>
        <v>16466</v>
      </c>
      <c r="O922" t="s">
        <v>666</v>
      </c>
      <c r="P922" t="s">
        <v>621</v>
      </c>
      <c r="Q922" t="s">
        <v>1375</v>
      </c>
      <c r="W922">
        <v>1</v>
      </c>
    </row>
    <row r="923" spans="2:25" hidden="1" x14ac:dyDescent="0.25">
      <c r="B923" s="2">
        <f>HYPERLINK(URLs!B30 &amp; 4299 &amp; URLs!B32,4299)</f>
        <v>4299</v>
      </c>
      <c r="C923" t="s">
        <v>665</v>
      </c>
      <c r="D923" t="s">
        <v>619</v>
      </c>
      <c r="E923" t="s">
        <v>850</v>
      </c>
      <c r="F923" t="s">
        <v>621</v>
      </c>
      <c r="G923" t="s">
        <v>962</v>
      </c>
      <c r="H923" t="s">
        <v>887</v>
      </c>
      <c r="I923" t="s">
        <v>624</v>
      </c>
      <c r="J923" t="s">
        <v>629</v>
      </c>
      <c r="L923" s="5">
        <v>41534</v>
      </c>
      <c r="M923" s="5">
        <v>42062</v>
      </c>
      <c r="N923" s="2">
        <f>HYPERLINK(URLs!B36 &amp; 15481,15481)</f>
        <v>15481</v>
      </c>
      <c r="O923" t="s">
        <v>666</v>
      </c>
      <c r="P923" t="s">
        <v>621</v>
      </c>
      <c r="Q923" t="s">
        <v>1376</v>
      </c>
      <c r="W923">
        <v>1</v>
      </c>
    </row>
    <row r="924" spans="2:25" hidden="1" x14ac:dyDescent="0.25">
      <c r="B924" s="2">
        <f>HYPERLINK(URLs!B30 &amp; 4298 &amp; URLs!B32,4298)</f>
        <v>4298</v>
      </c>
      <c r="C924" t="s">
        <v>665</v>
      </c>
      <c r="D924" t="s">
        <v>619</v>
      </c>
      <c r="E924" t="s">
        <v>850</v>
      </c>
      <c r="F924" t="s">
        <v>621</v>
      </c>
      <c r="G924" t="s">
        <v>962</v>
      </c>
      <c r="H924" t="s">
        <v>887</v>
      </c>
      <c r="I924" t="s">
        <v>624</v>
      </c>
      <c r="J924" t="s">
        <v>629</v>
      </c>
      <c r="L924" s="5">
        <v>41534</v>
      </c>
      <c r="M924" s="5">
        <v>42062</v>
      </c>
      <c r="N924" s="2">
        <f>HYPERLINK(URLs!B36 &amp; 15578,15578)</f>
        <v>15578</v>
      </c>
      <c r="O924" t="s">
        <v>666</v>
      </c>
      <c r="P924" t="s">
        <v>621</v>
      </c>
      <c r="Q924" t="s">
        <v>1377</v>
      </c>
      <c r="W924">
        <v>1</v>
      </c>
      <c r="Y924">
        <v>1</v>
      </c>
    </row>
    <row r="925" spans="2:25" hidden="1" x14ac:dyDescent="0.25">
      <c r="B925" s="2">
        <f>HYPERLINK(URLs!B30 &amp; 4296 &amp; URLs!B32,4296)</f>
        <v>4296</v>
      </c>
      <c r="C925" t="s">
        <v>665</v>
      </c>
      <c r="D925" t="s">
        <v>619</v>
      </c>
      <c r="E925" t="s">
        <v>850</v>
      </c>
      <c r="F925" t="s">
        <v>621</v>
      </c>
      <c r="G925" t="s">
        <v>962</v>
      </c>
      <c r="H925" t="s">
        <v>887</v>
      </c>
      <c r="I925" t="s">
        <v>624</v>
      </c>
      <c r="J925" t="s">
        <v>629</v>
      </c>
      <c r="L925" s="5">
        <v>41533</v>
      </c>
      <c r="M925" s="5">
        <v>41626</v>
      </c>
      <c r="N925" t="s">
        <v>1378</v>
      </c>
      <c r="O925" t="s">
        <v>666</v>
      </c>
      <c r="P925" t="s">
        <v>621</v>
      </c>
      <c r="Q925" t="s">
        <v>1379</v>
      </c>
    </row>
    <row r="926" spans="2:25" hidden="1" x14ac:dyDescent="0.25">
      <c r="B926" s="2">
        <f>HYPERLINK(URLs!B30 &amp; 4295 &amp; URLs!B32,4295)</f>
        <v>4295</v>
      </c>
      <c r="C926" t="s">
        <v>633</v>
      </c>
      <c r="D926" t="s">
        <v>619</v>
      </c>
      <c r="E926" t="s">
        <v>850</v>
      </c>
      <c r="F926" t="s">
        <v>621</v>
      </c>
      <c r="G926" t="s">
        <v>962</v>
      </c>
      <c r="H926" t="s">
        <v>887</v>
      </c>
      <c r="I926" t="s">
        <v>624</v>
      </c>
      <c r="J926" t="s">
        <v>642</v>
      </c>
      <c r="L926" s="5">
        <v>41533</v>
      </c>
      <c r="M926" s="5">
        <v>41624</v>
      </c>
      <c r="N926" s="2">
        <f>HYPERLINK(URLs!B36 &amp; 16248,16248)</f>
        <v>16248</v>
      </c>
      <c r="O926" t="s">
        <v>645</v>
      </c>
      <c r="P926" t="s">
        <v>621</v>
      </c>
      <c r="Q926" t="s">
        <v>1380</v>
      </c>
    </row>
    <row r="927" spans="2:25" hidden="1" x14ac:dyDescent="0.25">
      <c r="B927" s="2">
        <f>HYPERLINK(URLs!B30 &amp; 4294 &amp; URLs!B32,4294)</f>
        <v>4294</v>
      </c>
      <c r="C927" t="s">
        <v>665</v>
      </c>
      <c r="D927" t="s">
        <v>619</v>
      </c>
      <c r="E927" t="s">
        <v>850</v>
      </c>
      <c r="F927" t="s">
        <v>621</v>
      </c>
      <c r="G927" t="s">
        <v>962</v>
      </c>
      <c r="H927" t="s">
        <v>887</v>
      </c>
      <c r="I927" t="s">
        <v>624</v>
      </c>
      <c r="J927" t="s">
        <v>629</v>
      </c>
      <c r="L927" s="5">
        <v>41533</v>
      </c>
      <c r="M927" s="5">
        <v>41561</v>
      </c>
      <c r="N927" t="s">
        <v>621</v>
      </c>
      <c r="O927" t="s">
        <v>645</v>
      </c>
      <c r="P927" t="s">
        <v>621</v>
      </c>
      <c r="Q927" t="s">
        <v>1381</v>
      </c>
    </row>
    <row r="928" spans="2:25" hidden="1" x14ac:dyDescent="0.25">
      <c r="B928" s="2">
        <f>HYPERLINK(URLs!B30 &amp; 4293 &amp; URLs!B32,4293)</f>
        <v>4293</v>
      </c>
      <c r="C928" t="s">
        <v>633</v>
      </c>
      <c r="D928" t="s">
        <v>619</v>
      </c>
      <c r="E928" t="s">
        <v>850</v>
      </c>
      <c r="F928" t="s">
        <v>621</v>
      </c>
      <c r="G928" t="s">
        <v>962</v>
      </c>
      <c r="H928" t="s">
        <v>887</v>
      </c>
      <c r="I928" t="s">
        <v>624</v>
      </c>
      <c r="J928" t="s">
        <v>642</v>
      </c>
      <c r="L928" s="5">
        <v>41533</v>
      </c>
      <c r="M928" s="5">
        <v>41626</v>
      </c>
      <c r="N928" t="s">
        <v>621</v>
      </c>
      <c r="O928" t="s">
        <v>666</v>
      </c>
      <c r="P928" t="s">
        <v>621</v>
      </c>
      <c r="Q928" t="s">
        <v>1382</v>
      </c>
    </row>
    <row r="929" spans="2:24" hidden="1" x14ac:dyDescent="0.25">
      <c r="B929" s="2">
        <f>HYPERLINK(URLs!B30 &amp; 4281 &amp; URLs!B32,4281)</f>
        <v>4281</v>
      </c>
      <c r="C929" t="s">
        <v>665</v>
      </c>
      <c r="D929" t="s">
        <v>619</v>
      </c>
      <c r="E929" t="s">
        <v>850</v>
      </c>
      <c r="F929" t="s">
        <v>621</v>
      </c>
      <c r="G929" t="s">
        <v>962</v>
      </c>
      <c r="H929" t="s">
        <v>887</v>
      </c>
      <c r="I929" t="s">
        <v>624</v>
      </c>
      <c r="J929" t="s">
        <v>625</v>
      </c>
      <c r="L929" s="5">
        <v>41526</v>
      </c>
      <c r="M929" s="5">
        <v>41830</v>
      </c>
      <c r="N929" s="2">
        <f>HYPERLINK(URLs!B36 &amp; 16618,16618)</f>
        <v>16618</v>
      </c>
      <c r="O929" t="s">
        <v>666</v>
      </c>
      <c r="P929" t="s">
        <v>621</v>
      </c>
      <c r="Q929" t="s">
        <v>1383</v>
      </c>
    </row>
    <row r="930" spans="2:24" hidden="1" x14ac:dyDescent="0.25">
      <c r="B930" s="2">
        <f>HYPERLINK(URLs!B30 &amp; 4270 &amp; URLs!B32,4270)</f>
        <v>4270</v>
      </c>
      <c r="C930" t="s">
        <v>665</v>
      </c>
      <c r="D930" t="s">
        <v>619</v>
      </c>
      <c r="E930" t="s">
        <v>850</v>
      </c>
      <c r="F930" t="s">
        <v>1232</v>
      </c>
      <c r="G930" t="s">
        <v>962</v>
      </c>
      <c r="H930" t="s">
        <v>887</v>
      </c>
      <c r="I930" t="s">
        <v>624</v>
      </c>
      <c r="J930" t="s">
        <v>629</v>
      </c>
      <c r="L930" s="5">
        <v>41520</v>
      </c>
      <c r="M930" s="5">
        <v>41990</v>
      </c>
      <c r="N930" s="2">
        <f>HYPERLINK(URLs!B36 &amp; 44598,44598)</f>
        <v>44598</v>
      </c>
      <c r="O930" t="s">
        <v>666</v>
      </c>
      <c r="P930" t="s">
        <v>621</v>
      </c>
      <c r="Q930" t="s">
        <v>1384</v>
      </c>
      <c r="W930">
        <v>1</v>
      </c>
    </row>
    <row r="931" spans="2:24" hidden="1" x14ac:dyDescent="0.25">
      <c r="B931" s="2">
        <f>HYPERLINK(URLs!B30 &amp; 4267 &amp; URLs!B32,4267)</f>
        <v>4267</v>
      </c>
      <c r="C931" t="s">
        <v>665</v>
      </c>
      <c r="D931" t="s">
        <v>619</v>
      </c>
      <c r="E931" t="s">
        <v>850</v>
      </c>
      <c r="F931" t="s">
        <v>621</v>
      </c>
      <c r="G931" t="s">
        <v>1334</v>
      </c>
      <c r="H931" t="s">
        <v>1260</v>
      </c>
      <c r="I931" t="s">
        <v>624</v>
      </c>
      <c r="J931" t="s">
        <v>629</v>
      </c>
      <c r="L931" s="5">
        <v>41516</v>
      </c>
      <c r="M931" s="5">
        <v>41626</v>
      </c>
      <c r="N931" t="s">
        <v>1385</v>
      </c>
      <c r="O931" t="s">
        <v>666</v>
      </c>
      <c r="P931" t="s">
        <v>621</v>
      </c>
      <c r="Q931" t="s">
        <v>1386</v>
      </c>
    </row>
    <row r="932" spans="2:24" hidden="1" x14ac:dyDescent="0.25">
      <c r="B932" s="2">
        <f>HYPERLINK(URLs!B30 &amp; 4243 &amp; URLs!B32,4243)</f>
        <v>4243</v>
      </c>
      <c r="C932" t="s">
        <v>633</v>
      </c>
      <c r="D932" t="s">
        <v>619</v>
      </c>
      <c r="E932" t="s">
        <v>850</v>
      </c>
      <c r="F932" t="s">
        <v>621</v>
      </c>
      <c r="G932" t="s">
        <v>962</v>
      </c>
      <c r="H932" t="s">
        <v>887</v>
      </c>
      <c r="I932" t="s">
        <v>624</v>
      </c>
      <c r="J932" t="s">
        <v>625</v>
      </c>
      <c r="L932" s="5">
        <v>41505</v>
      </c>
      <c r="M932" s="5">
        <v>41626</v>
      </c>
      <c r="N932" s="2">
        <f>HYPERLINK(URLs!B36 &amp; 15208,15208)</f>
        <v>15208</v>
      </c>
      <c r="O932" t="s">
        <v>666</v>
      </c>
      <c r="P932" t="s">
        <v>621</v>
      </c>
      <c r="Q932" t="s">
        <v>1387</v>
      </c>
    </row>
    <row r="933" spans="2:24" hidden="1" x14ac:dyDescent="0.25">
      <c r="B933" s="2">
        <f>HYPERLINK(URLs!B30 &amp; 4204 &amp; URLs!B32,4204)</f>
        <v>4204</v>
      </c>
      <c r="C933" t="s">
        <v>633</v>
      </c>
      <c r="D933" t="s">
        <v>619</v>
      </c>
      <c r="E933" t="s">
        <v>850</v>
      </c>
      <c r="F933" t="s">
        <v>621</v>
      </c>
      <c r="G933" t="s">
        <v>1329</v>
      </c>
      <c r="H933" t="s">
        <v>968</v>
      </c>
      <c r="I933" t="s">
        <v>624</v>
      </c>
      <c r="J933" t="s">
        <v>629</v>
      </c>
      <c r="L933" s="5">
        <v>41485</v>
      </c>
      <c r="M933" s="5">
        <v>41626</v>
      </c>
      <c r="N933" s="2">
        <f>HYPERLINK(URLs!B36 &amp; 13863,13863)</f>
        <v>13863</v>
      </c>
      <c r="O933" t="s">
        <v>666</v>
      </c>
      <c r="P933" t="s">
        <v>621</v>
      </c>
      <c r="Q933" t="s">
        <v>1388</v>
      </c>
    </row>
    <row r="934" spans="2:24" hidden="1" x14ac:dyDescent="0.25">
      <c r="B934" s="2">
        <f>HYPERLINK(URLs!B30 &amp; 4197 &amp; URLs!B32,4197)</f>
        <v>4197</v>
      </c>
      <c r="C934" t="s">
        <v>633</v>
      </c>
      <c r="D934" t="s">
        <v>619</v>
      </c>
      <c r="E934" t="s">
        <v>850</v>
      </c>
      <c r="F934" t="s">
        <v>621</v>
      </c>
      <c r="G934" t="s">
        <v>962</v>
      </c>
      <c r="H934" t="s">
        <v>887</v>
      </c>
      <c r="I934" t="s">
        <v>624</v>
      </c>
      <c r="J934" t="s">
        <v>642</v>
      </c>
      <c r="L934" s="5">
        <v>41484</v>
      </c>
      <c r="M934" s="5">
        <v>41626</v>
      </c>
      <c r="N934" t="s">
        <v>621</v>
      </c>
      <c r="O934" t="s">
        <v>666</v>
      </c>
      <c r="P934" t="s">
        <v>621</v>
      </c>
      <c r="Q934" t="s">
        <v>1389</v>
      </c>
    </row>
    <row r="935" spans="2:24" hidden="1" x14ac:dyDescent="0.25">
      <c r="B935" s="2">
        <f>HYPERLINK(URLs!B30 &amp; 4127 &amp; URLs!B32,4127)</f>
        <v>4127</v>
      </c>
      <c r="C935" t="s">
        <v>665</v>
      </c>
      <c r="D935" t="s">
        <v>619</v>
      </c>
      <c r="E935" t="s">
        <v>850</v>
      </c>
      <c r="F935" t="s">
        <v>621</v>
      </c>
      <c r="G935" t="s">
        <v>1334</v>
      </c>
      <c r="H935" t="s">
        <v>1260</v>
      </c>
      <c r="I935" t="s">
        <v>624</v>
      </c>
      <c r="J935" t="s">
        <v>629</v>
      </c>
      <c r="L935" s="5">
        <v>41457</v>
      </c>
      <c r="M935" s="5">
        <v>41806</v>
      </c>
      <c r="N935" t="s">
        <v>621</v>
      </c>
      <c r="O935" t="s">
        <v>666</v>
      </c>
      <c r="P935" t="s">
        <v>621</v>
      </c>
      <c r="Q935" t="s">
        <v>1390</v>
      </c>
      <c r="W935">
        <v>1</v>
      </c>
    </row>
    <row r="936" spans="2:24" hidden="1" x14ac:dyDescent="0.25">
      <c r="B936" s="2">
        <f>HYPERLINK(URLs!B30 &amp; 4117 &amp; URLs!B32,4117)</f>
        <v>4117</v>
      </c>
      <c r="C936" t="s">
        <v>633</v>
      </c>
      <c r="D936" t="s">
        <v>619</v>
      </c>
      <c r="E936" t="s">
        <v>850</v>
      </c>
      <c r="F936" t="s">
        <v>621</v>
      </c>
      <c r="G936" t="s">
        <v>962</v>
      </c>
      <c r="H936" t="s">
        <v>887</v>
      </c>
      <c r="I936" t="s">
        <v>624</v>
      </c>
      <c r="J936" t="s">
        <v>642</v>
      </c>
      <c r="L936" s="5">
        <v>41449</v>
      </c>
      <c r="M936" s="5">
        <v>41626</v>
      </c>
      <c r="N936" s="2">
        <f>HYPERLINK(URLs!B36 &amp; 14458,14458)</f>
        <v>14458</v>
      </c>
      <c r="O936" t="s">
        <v>666</v>
      </c>
      <c r="P936" t="s">
        <v>621</v>
      </c>
      <c r="Q936" t="s">
        <v>1391</v>
      </c>
      <c r="W936">
        <v>1</v>
      </c>
    </row>
    <row r="937" spans="2:24" hidden="1" x14ac:dyDescent="0.25">
      <c r="B937" s="2">
        <f>HYPERLINK(URLs!B30 &amp; 4098 &amp; URLs!B32,4098)</f>
        <v>4098</v>
      </c>
      <c r="C937" t="s">
        <v>633</v>
      </c>
      <c r="D937" t="s">
        <v>619</v>
      </c>
      <c r="E937" t="s">
        <v>850</v>
      </c>
      <c r="F937" t="s">
        <v>621</v>
      </c>
      <c r="G937" t="s">
        <v>962</v>
      </c>
      <c r="H937" t="s">
        <v>887</v>
      </c>
      <c r="I937" t="s">
        <v>624</v>
      </c>
      <c r="J937" t="s">
        <v>625</v>
      </c>
      <c r="L937" s="5">
        <v>41443</v>
      </c>
      <c r="M937" s="5">
        <v>41465</v>
      </c>
      <c r="N937" t="s">
        <v>621</v>
      </c>
      <c r="O937" t="s">
        <v>666</v>
      </c>
      <c r="P937" t="s">
        <v>621</v>
      </c>
      <c r="Q937" t="s">
        <v>1392</v>
      </c>
    </row>
    <row r="938" spans="2:24" hidden="1" x14ac:dyDescent="0.25">
      <c r="B938" s="2">
        <f>HYPERLINK(URLs!B30 &amp; 4089 &amp; URLs!B32,4089)</f>
        <v>4089</v>
      </c>
      <c r="C938" t="s">
        <v>665</v>
      </c>
      <c r="D938" t="s">
        <v>619</v>
      </c>
      <c r="E938" t="s">
        <v>850</v>
      </c>
      <c r="F938" t="s">
        <v>621</v>
      </c>
      <c r="G938" t="s">
        <v>962</v>
      </c>
      <c r="H938" t="s">
        <v>887</v>
      </c>
      <c r="I938" t="s">
        <v>624</v>
      </c>
      <c r="J938" t="s">
        <v>625</v>
      </c>
      <c r="L938" s="5">
        <v>41438</v>
      </c>
      <c r="M938" s="5">
        <v>41465</v>
      </c>
      <c r="N938" s="2">
        <f>HYPERLINK(URLs!B36 &amp; 14416,14416)</f>
        <v>14416</v>
      </c>
      <c r="O938" t="s">
        <v>666</v>
      </c>
      <c r="P938" t="s">
        <v>621</v>
      </c>
      <c r="Q938" t="s">
        <v>1393</v>
      </c>
      <c r="W938">
        <v>1</v>
      </c>
    </row>
    <row r="939" spans="2:24" hidden="1" x14ac:dyDescent="0.25">
      <c r="B939" s="2">
        <f>HYPERLINK(URLs!B30 &amp; 4087 &amp; URLs!B32,4087)</f>
        <v>4087</v>
      </c>
      <c r="C939" t="s">
        <v>633</v>
      </c>
      <c r="D939" t="s">
        <v>619</v>
      </c>
      <c r="E939" t="s">
        <v>850</v>
      </c>
      <c r="F939" t="s">
        <v>621</v>
      </c>
      <c r="G939" t="s">
        <v>1394</v>
      </c>
      <c r="H939" t="s">
        <v>1395</v>
      </c>
      <c r="I939" t="s">
        <v>624</v>
      </c>
      <c r="J939" t="s">
        <v>625</v>
      </c>
      <c r="L939" s="5">
        <v>41437</v>
      </c>
      <c r="M939" s="5">
        <v>41465</v>
      </c>
      <c r="N939" s="2">
        <f>HYPERLINK(URLs!B36 &amp; 31624,31624)</f>
        <v>31624</v>
      </c>
      <c r="O939" t="s">
        <v>666</v>
      </c>
      <c r="P939" t="s">
        <v>621</v>
      </c>
      <c r="Q939" t="s">
        <v>1396</v>
      </c>
    </row>
    <row r="940" spans="2:24" hidden="1" x14ac:dyDescent="0.25">
      <c r="B940" s="2">
        <f>HYPERLINK(URLs!B30 &amp; 4082 &amp; URLs!B32,4082)</f>
        <v>4082</v>
      </c>
      <c r="C940" t="s">
        <v>665</v>
      </c>
      <c r="D940" t="s">
        <v>619</v>
      </c>
      <c r="E940" t="s">
        <v>850</v>
      </c>
      <c r="F940" t="s">
        <v>621</v>
      </c>
      <c r="G940" t="s">
        <v>962</v>
      </c>
      <c r="H940" t="s">
        <v>887</v>
      </c>
      <c r="I940" t="s">
        <v>624</v>
      </c>
      <c r="J940" t="s">
        <v>642</v>
      </c>
      <c r="L940" s="5">
        <v>41436</v>
      </c>
      <c r="M940" s="5">
        <v>41442</v>
      </c>
      <c r="N940" t="s">
        <v>621</v>
      </c>
      <c r="O940" t="s">
        <v>645</v>
      </c>
      <c r="P940" t="s">
        <v>621</v>
      </c>
      <c r="Q940" t="s">
        <v>1397</v>
      </c>
    </row>
    <row r="941" spans="2:24" hidden="1" x14ac:dyDescent="0.25">
      <c r="B941" s="2">
        <f>HYPERLINK(URLs!B30 &amp; 4081 &amp; URLs!B32,4081)</f>
        <v>4081</v>
      </c>
      <c r="C941" t="s">
        <v>665</v>
      </c>
      <c r="D941" t="s">
        <v>619</v>
      </c>
      <c r="E941" t="s">
        <v>850</v>
      </c>
      <c r="F941" t="s">
        <v>621</v>
      </c>
      <c r="G941" t="s">
        <v>962</v>
      </c>
      <c r="H941" t="s">
        <v>887</v>
      </c>
      <c r="I941" t="s">
        <v>624</v>
      </c>
      <c r="J941" t="s">
        <v>642</v>
      </c>
      <c r="L941" s="5">
        <v>41436</v>
      </c>
      <c r="M941" s="5">
        <v>41442</v>
      </c>
      <c r="N941" t="s">
        <v>621</v>
      </c>
      <c r="O941" t="s">
        <v>645</v>
      </c>
      <c r="P941" t="s">
        <v>621</v>
      </c>
      <c r="Q941" t="s">
        <v>1398</v>
      </c>
      <c r="W941">
        <v>1</v>
      </c>
    </row>
    <row r="942" spans="2:24" hidden="1" x14ac:dyDescent="0.25">
      <c r="B942" s="2">
        <f>HYPERLINK(URLs!B30 &amp; 4045 &amp; URLs!B32,4045)</f>
        <v>4045</v>
      </c>
      <c r="C942" t="s">
        <v>665</v>
      </c>
      <c r="D942" t="s">
        <v>619</v>
      </c>
      <c r="E942" t="s">
        <v>850</v>
      </c>
      <c r="F942" t="s">
        <v>621</v>
      </c>
      <c r="G942" t="s">
        <v>889</v>
      </c>
      <c r="H942" t="s">
        <v>890</v>
      </c>
      <c r="I942" t="s">
        <v>624</v>
      </c>
      <c r="J942" t="s">
        <v>629</v>
      </c>
      <c r="L942" s="5">
        <v>41425</v>
      </c>
      <c r="M942" s="5">
        <v>42062</v>
      </c>
      <c r="N942" s="2">
        <f>HYPERLINK(URLs!B36 &amp; 15578,15578)</f>
        <v>15578</v>
      </c>
      <c r="O942" t="s">
        <v>666</v>
      </c>
      <c r="P942" t="s">
        <v>621</v>
      </c>
      <c r="Q942" t="s">
        <v>1399</v>
      </c>
      <c r="W942">
        <v>1</v>
      </c>
    </row>
    <row r="943" spans="2:24" hidden="1" x14ac:dyDescent="0.25">
      <c r="B943" s="2">
        <f>HYPERLINK(URLs!B30 &amp; 4043 &amp; URLs!B32,4043)</f>
        <v>4043</v>
      </c>
      <c r="C943" t="s">
        <v>665</v>
      </c>
      <c r="D943" t="s">
        <v>619</v>
      </c>
      <c r="E943" t="s">
        <v>850</v>
      </c>
      <c r="F943" t="s">
        <v>621</v>
      </c>
      <c r="G943" t="s">
        <v>889</v>
      </c>
      <c r="H943" t="s">
        <v>890</v>
      </c>
      <c r="I943" t="s">
        <v>624</v>
      </c>
      <c r="J943" t="s">
        <v>629</v>
      </c>
      <c r="L943" s="5">
        <v>41424</v>
      </c>
      <c r="M943" s="5">
        <v>42513</v>
      </c>
      <c r="N943" s="2">
        <f>HYPERLINK(URLs!B36 &amp; 44567,44567)</f>
        <v>44567</v>
      </c>
      <c r="O943" t="s">
        <v>666</v>
      </c>
      <c r="P943" t="s">
        <v>621</v>
      </c>
      <c r="Q943" t="s">
        <v>1400</v>
      </c>
      <c r="W943">
        <v>1</v>
      </c>
      <c r="X943">
        <v>1</v>
      </c>
    </row>
    <row r="944" spans="2:24" hidden="1" x14ac:dyDescent="0.25">
      <c r="B944" s="2">
        <f>HYPERLINK(URLs!B30 &amp; 4042 &amp; URLs!B32,4042)</f>
        <v>4042</v>
      </c>
      <c r="C944" t="s">
        <v>665</v>
      </c>
      <c r="D944" t="s">
        <v>619</v>
      </c>
      <c r="E944" t="s">
        <v>850</v>
      </c>
      <c r="F944" t="s">
        <v>621</v>
      </c>
      <c r="G944" t="s">
        <v>889</v>
      </c>
      <c r="H944" t="s">
        <v>890</v>
      </c>
      <c r="I944" t="s">
        <v>624</v>
      </c>
      <c r="J944" t="s">
        <v>642</v>
      </c>
      <c r="L944" s="5">
        <v>41424</v>
      </c>
      <c r="M944" s="5">
        <v>41626</v>
      </c>
      <c r="N944" t="s">
        <v>1385</v>
      </c>
      <c r="O944" t="s">
        <v>666</v>
      </c>
      <c r="P944" t="s">
        <v>621</v>
      </c>
      <c r="Q944" t="s">
        <v>1401</v>
      </c>
      <c r="W944">
        <v>1</v>
      </c>
    </row>
    <row r="945" spans="2:24" hidden="1" x14ac:dyDescent="0.25">
      <c r="B945" s="2">
        <f>HYPERLINK(URLs!B30 &amp; 4041 &amp; URLs!B32,4041)</f>
        <v>4041</v>
      </c>
      <c r="C945" t="s">
        <v>665</v>
      </c>
      <c r="D945" t="s">
        <v>619</v>
      </c>
      <c r="E945" t="s">
        <v>850</v>
      </c>
      <c r="F945" t="s">
        <v>621</v>
      </c>
      <c r="G945" t="s">
        <v>1402</v>
      </c>
      <c r="H945" t="s">
        <v>876</v>
      </c>
      <c r="I945" t="s">
        <v>624</v>
      </c>
      <c r="J945" t="s">
        <v>629</v>
      </c>
      <c r="L945" s="5">
        <v>41424</v>
      </c>
      <c r="M945" s="5">
        <v>42485</v>
      </c>
      <c r="N945" s="2">
        <f>HYPERLINK(URLs!B36 &amp; 45090,45090)</f>
        <v>45090</v>
      </c>
      <c r="O945" t="s">
        <v>666</v>
      </c>
      <c r="P945" t="s">
        <v>621</v>
      </c>
      <c r="Q945" t="s">
        <v>1403</v>
      </c>
    </row>
    <row r="946" spans="2:24" hidden="1" x14ac:dyDescent="0.25">
      <c r="B946" s="2">
        <f>HYPERLINK(URLs!B30 &amp; 4040 &amp; URLs!B32,4040)</f>
        <v>4040</v>
      </c>
      <c r="C946" t="s">
        <v>633</v>
      </c>
      <c r="D946" t="s">
        <v>619</v>
      </c>
      <c r="E946" t="s">
        <v>850</v>
      </c>
      <c r="F946" t="s">
        <v>621</v>
      </c>
      <c r="G946" t="s">
        <v>1402</v>
      </c>
      <c r="H946" t="s">
        <v>876</v>
      </c>
      <c r="I946" t="s">
        <v>624</v>
      </c>
      <c r="J946" t="s">
        <v>629</v>
      </c>
      <c r="L946" s="5">
        <v>41424</v>
      </c>
      <c r="M946" s="5">
        <v>41537</v>
      </c>
      <c r="N946" s="2">
        <f>HYPERLINK(URLs!B36 &amp; 13536,13536)</f>
        <v>13536</v>
      </c>
      <c r="O946" t="s">
        <v>666</v>
      </c>
      <c r="P946" t="s">
        <v>621</v>
      </c>
      <c r="Q946" t="s">
        <v>1404</v>
      </c>
    </row>
    <row r="947" spans="2:24" hidden="1" x14ac:dyDescent="0.25">
      <c r="B947" s="2">
        <f>HYPERLINK(URLs!B30 &amp; 4038 &amp; URLs!B32,4038)</f>
        <v>4038</v>
      </c>
      <c r="C947" t="s">
        <v>665</v>
      </c>
      <c r="D947" t="s">
        <v>619</v>
      </c>
      <c r="E947" t="s">
        <v>850</v>
      </c>
      <c r="F947" t="s">
        <v>621</v>
      </c>
      <c r="G947" t="s">
        <v>1334</v>
      </c>
      <c r="H947" t="s">
        <v>1260</v>
      </c>
      <c r="I947" t="s">
        <v>624</v>
      </c>
      <c r="J947" t="s">
        <v>629</v>
      </c>
      <c r="L947" s="5">
        <v>41424</v>
      </c>
      <c r="M947" s="5">
        <v>41848</v>
      </c>
      <c r="N947" s="2">
        <f>HYPERLINK(URLs!B36 &amp; 14417,14417)</f>
        <v>14417</v>
      </c>
      <c r="O947" t="s">
        <v>666</v>
      </c>
      <c r="P947" t="s">
        <v>621</v>
      </c>
      <c r="Q947" t="s">
        <v>1405</v>
      </c>
    </row>
    <row r="948" spans="2:24" hidden="1" x14ac:dyDescent="0.25">
      <c r="B948" s="2">
        <f>HYPERLINK(URLs!B30 &amp; 4024 &amp; URLs!B32,4024)</f>
        <v>4024</v>
      </c>
      <c r="C948" t="s">
        <v>665</v>
      </c>
      <c r="D948" t="s">
        <v>619</v>
      </c>
      <c r="E948" t="s">
        <v>850</v>
      </c>
      <c r="F948" t="s">
        <v>621</v>
      </c>
      <c r="G948" t="s">
        <v>1338</v>
      </c>
      <c r="H948" t="s">
        <v>868</v>
      </c>
      <c r="I948" t="s">
        <v>624</v>
      </c>
      <c r="J948" t="s">
        <v>642</v>
      </c>
      <c r="L948" s="5">
        <v>41417</v>
      </c>
      <c r="M948" s="5">
        <v>41477</v>
      </c>
      <c r="N948" t="s">
        <v>621</v>
      </c>
      <c r="O948" t="s">
        <v>666</v>
      </c>
      <c r="P948" t="s">
        <v>621</v>
      </c>
      <c r="Q948" t="s">
        <v>1406</v>
      </c>
      <c r="X948">
        <v>1</v>
      </c>
    </row>
    <row r="949" spans="2:24" hidden="1" x14ac:dyDescent="0.25">
      <c r="B949" s="2">
        <f>HYPERLINK(URLs!B30 &amp; 4014 &amp; URLs!B32,4014)</f>
        <v>4014</v>
      </c>
      <c r="C949" t="s">
        <v>665</v>
      </c>
      <c r="D949" t="s">
        <v>619</v>
      </c>
      <c r="E949" t="s">
        <v>850</v>
      </c>
      <c r="F949" t="s">
        <v>621</v>
      </c>
      <c r="G949" t="s">
        <v>1407</v>
      </c>
      <c r="H949" t="s">
        <v>1408</v>
      </c>
      <c r="I949" t="s">
        <v>624</v>
      </c>
      <c r="J949" t="s">
        <v>625</v>
      </c>
      <c r="L949" s="5">
        <v>41416</v>
      </c>
      <c r="M949" s="5">
        <v>41626</v>
      </c>
      <c r="N949" s="2">
        <f>HYPERLINK(URLs!B36 &amp; 13270,13270)</f>
        <v>13270</v>
      </c>
      <c r="O949" t="s">
        <v>666</v>
      </c>
      <c r="P949" t="s">
        <v>621</v>
      </c>
      <c r="Q949" t="s">
        <v>1409</v>
      </c>
      <c r="W949">
        <v>1</v>
      </c>
      <c r="X949">
        <v>1</v>
      </c>
    </row>
    <row r="950" spans="2:24" hidden="1" x14ac:dyDescent="0.25">
      <c r="B950" s="2">
        <f>HYPERLINK(URLs!B30 &amp; 4013 &amp; URLs!B32,4013)</f>
        <v>4013</v>
      </c>
      <c r="C950" t="s">
        <v>633</v>
      </c>
      <c r="D950" t="s">
        <v>619</v>
      </c>
      <c r="E950" t="s">
        <v>850</v>
      </c>
      <c r="F950" t="s">
        <v>621</v>
      </c>
      <c r="G950" t="s">
        <v>1338</v>
      </c>
      <c r="H950" t="s">
        <v>868</v>
      </c>
      <c r="I950" t="s">
        <v>624</v>
      </c>
      <c r="J950" t="s">
        <v>642</v>
      </c>
      <c r="L950" s="5">
        <v>41415</v>
      </c>
      <c r="M950" s="5">
        <v>41736</v>
      </c>
      <c r="N950" t="s">
        <v>621</v>
      </c>
      <c r="O950" t="s">
        <v>710</v>
      </c>
      <c r="P950" t="s">
        <v>621</v>
      </c>
      <c r="Q950" t="s">
        <v>1410</v>
      </c>
    </row>
    <row r="951" spans="2:24" hidden="1" x14ac:dyDescent="0.25">
      <c r="B951" s="2">
        <f>HYPERLINK(URLs!B30 &amp; 4012 &amp; URLs!B32,4012)</f>
        <v>4012</v>
      </c>
      <c r="C951" t="s">
        <v>633</v>
      </c>
      <c r="D951" t="s">
        <v>619</v>
      </c>
      <c r="E951" t="s">
        <v>850</v>
      </c>
      <c r="F951" t="s">
        <v>621</v>
      </c>
      <c r="G951" t="s">
        <v>1338</v>
      </c>
      <c r="H951" t="s">
        <v>868</v>
      </c>
      <c r="I951" t="s">
        <v>624</v>
      </c>
      <c r="J951" t="s">
        <v>642</v>
      </c>
      <c r="L951" s="5">
        <v>41415</v>
      </c>
      <c r="M951" s="5">
        <v>41736</v>
      </c>
      <c r="N951" t="s">
        <v>621</v>
      </c>
      <c r="O951" t="s">
        <v>710</v>
      </c>
      <c r="P951" t="s">
        <v>621</v>
      </c>
      <c r="Q951" t="s">
        <v>1411</v>
      </c>
    </row>
    <row r="952" spans="2:24" hidden="1" x14ac:dyDescent="0.25">
      <c r="B952" s="2">
        <f>HYPERLINK(URLs!B30 &amp; 4010 &amp; URLs!B32,4010)</f>
        <v>4010</v>
      </c>
      <c r="C952" t="s">
        <v>665</v>
      </c>
      <c r="D952" t="s">
        <v>619</v>
      </c>
      <c r="E952" t="s">
        <v>850</v>
      </c>
      <c r="F952" t="s">
        <v>621</v>
      </c>
      <c r="G952" t="s">
        <v>1407</v>
      </c>
      <c r="H952" t="s">
        <v>1412</v>
      </c>
      <c r="I952" t="s">
        <v>624</v>
      </c>
      <c r="J952" t="s">
        <v>629</v>
      </c>
      <c r="L952" s="5">
        <v>41415</v>
      </c>
      <c r="M952" s="5">
        <v>41626</v>
      </c>
      <c r="N952" s="2">
        <f>HYPERLINK(URLs!B36 &amp; 13515,13515)</f>
        <v>13515</v>
      </c>
      <c r="O952" t="s">
        <v>666</v>
      </c>
      <c r="P952" t="s">
        <v>621</v>
      </c>
      <c r="Q952" t="s">
        <v>1413</v>
      </c>
      <c r="W952">
        <v>1</v>
      </c>
    </row>
    <row r="953" spans="2:24" hidden="1" x14ac:dyDescent="0.25">
      <c r="B953" s="2">
        <f>HYPERLINK(URLs!B30 &amp; 4009 &amp; URLs!B32,4009)</f>
        <v>4009</v>
      </c>
      <c r="C953" t="s">
        <v>665</v>
      </c>
      <c r="D953" t="s">
        <v>619</v>
      </c>
      <c r="E953" t="s">
        <v>850</v>
      </c>
      <c r="F953" t="s">
        <v>1414</v>
      </c>
      <c r="G953" t="s">
        <v>1407</v>
      </c>
      <c r="H953" t="s">
        <v>1408</v>
      </c>
      <c r="I953" t="s">
        <v>624</v>
      </c>
      <c r="J953" t="s">
        <v>629</v>
      </c>
      <c r="L953" s="5">
        <v>41415</v>
      </c>
      <c r="M953" s="5">
        <v>42114</v>
      </c>
      <c r="N953" s="2">
        <f>HYPERLINK(URLs!B36 &amp; 45360,45360)</f>
        <v>45360</v>
      </c>
      <c r="O953" t="s">
        <v>666</v>
      </c>
      <c r="P953" t="s">
        <v>621</v>
      </c>
      <c r="Q953" t="s">
        <v>1415</v>
      </c>
      <c r="W953">
        <v>1</v>
      </c>
    </row>
    <row r="954" spans="2:24" hidden="1" x14ac:dyDescent="0.25">
      <c r="B954" s="2">
        <f>HYPERLINK(URLs!B30 &amp; 4008 &amp; URLs!B32,4008)</f>
        <v>4008</v>
      </c>
      <c r="C954" t="s">
        <v>633</v>
      </c>
      <c r="D954" t="s">
        <v>619</v>
      </c>
      <c r="E954" t="s">
        <v>850</v>
      </c>
      <c r="F954" t="s">
        <v>621</v>
      </c>
      <c r="G954" t="s">
        <v>1407</v>
      </c>
      <c r="H954" t="s">
        <v>1408</v>
      </c>
      <c r="I954" t="s">
        <v>624</v>
      </c>
      <c r="J954" t="s">
        <v>625</v>
      </c>
      <c r="L954" s="5">
        <v>41415</v>
      </c>
      <c r="M954" s="5">
        <v>41626</v>
      </c>
      <c r="N954" s="2">
        <f>HYPERLINK(URLs!B36 &amp; 14150,14150)</f>
        <v>14150</v>
      </c>
      <c r="O954" t="s">
        <v>666</v>
      </c>
      <c r="P954" t="s">
        <v>621</v>
      </c>
      <c r="Q954" t="s">
        <v>1416</v>
      </c>
    </row>
    <row r="955" spans="2:24" hidden="1" x14ac:dyDescent="0.25">
      <c r="B955" s="2">
        <f>HYPERLINK(URLs!B30 &amp; 4007 &amp; URLs!B32,4007)</f>
        <v>4007</v>
      </c>
      <c r="C955" t="s">
        <v>665</v>
      </c>
      <c r="D955" t="s">
        <v>619</v>
      </c>
      <c r="E955" t="s">
        <v>850</v>
      </c>
      <c r="F955" t="s">
        <v>621</v>
      </c>
      <c r="G955" t="s">
        <v>1407</v>
      </c>
      <c r="H955" t="s">
        <v>1408</v>
      </c>
      <c r="I955" t="s">
        <v>624</v>
      </c>
      <c r="J955" t="s">
        <v>625</v>
      </c>
      <c r="L955" s="5">
        <v>41415</v>
      </c>
      <c r="M955" s="5">
        <v>41626</v>
      </c>
      <c r="N955" s="2">
        <f>HYPERLINK(URLs!B36 &amp; 13219,13219)</f>
        <v>13219</v>
      </c>
      <c r="O955" t="s">
        <v>666</v>
      </c>
      <c r="P955" t="s">
        <v>621</v>
      </c>
      <c r="Q955" t="s">
        <v>1417</v>
      </c>
      <c r="W955">
        <v>1</v>
      </c>
    </row>
    <row r="956" spans="2:24" hidden="1" x14ac:dyDescent="0.25">
      <c r="B956" s="2">
        <f>HYPERLINK(URLs!B30 &amp; 4002 &amp; URLs!B32,4002)</f>
        <v>4002</v>
      </c>
      <c r="C956" t="s">
        <v>665</v>
      </c>
      <c r="D956" t="s">
        <v>619</v>
      </c>
      <c r="E956" t="s">
        <v>850</v>
      </c>
      <c r="F956" t="s">
        <v>621</v>
      </c>
      <c r="G956" t="s">
        <v>1329</v>
      </c>
      <c r="H956" t="s">
        <v>968</v>
      </c>
      <c r="I956" t="s">
        <v>624</v>
      </c>
      <c r="J956" t="s">
        <v>642</v>
      </c>
      <c r="L956" s="5">
        <v>41414</v>
      </c>
      <c r="M956" s="5">
        <v>41465</v>
      </c>
      <c r="N956" t="s">
        <v>621</v>
      </c>
      <c r="O956" t="s">
        <v>666</v>
      </c>
      <c r="P956" t="s">
        <v>621</v>
      </c>
      <c r="Q956" t="s">
        <v>1418</v>
      </c>
    </row>
    <row r="957" spans="2:24" hidden="1" x14ac:dyDescent="0.25">
      <c r="B957" s="2">
        <f>HYPERLINK(URLs!B30 &amp; 3996 &amp; URLs!B32,3996)</f>
        <v>3996</v>
      </c>
      <c r="C957" t="s">
        <v>665</v>
      </c>
      <c r="D957" t="s">
        <v>619</v>
      </c>
      <c r="E957" t="s">
        <v>850</v>
      </c>
      <c r="F957" t="s">
        <v>621</v>
      </c>
      <c r="G957" t="s">
        <v>1334</v>
      </c>
      <c r="H957" t="s">
        <v>1260</v>
      </c>
      <c r="I957" t="s">
        <v>624</v>
      </c>
      <c r="J957" t="s">
        <v>629</v>
      </c>
      <c r="L957" s="5">
        <v>41409</v>
      </c>
      <c r="M957" s="5">
        <v>41465</v>
      </c>
      <c r="N957" s="2">
        <f>HYPERLINK(URLs!B36 &amp; 13704,13704)</f>
        <v>13704</v>
      </c>
      <c r="O957" t="s">
        <v>666</v>
      </c>
      <c r="P957" t="s">
        <v>621</v>
      </c>
      <c r="Q957" t="s">
        <v>1419</v>
      </c>
    </row>
    <row r="958" spans="2:24" hidden="1" x14ac:dyDescent="0.25">
      <c r="B958" s="2">
        <f>HYPERLINK(URLs!B30 &amp; 3988 &amp; URLs!B32,3988)</f>
        <v>3988</v>
      </c>
      <c r="C958" t="s">
        <v>633</v>
      </c>
      <c r="D958" t="s">
        <v>619</v>
      </c>
      <c r="E958" t="s">
        <v>850</v>
      </c>
      <c r="F958" t="s">
        <v>621</v>
      </c>
      <c r="G958" t="s">
        <v>1334</v>
      </c>
      <c r="H958" t="s">
        <v>1260</v>
      </c>
      <c r="I958" t="s">
        <v>624</v>
      </c>
      <c r="J958" t="s">
        <v>629</v>
      </c>
      <c r="L958" s="5">
        <v>41407</v>
      </c>
      <c r="M958" s="5">
        <v>42114</v>
      </c>
      <c r="N958" s="2">
        <f>HYPERLINK(URLs!B36 &amp; 44817,44817)</f>
        <v>44817</v>
      </c>
      <c r="O958" t="s">
        <v>666</v>
      </c>
      <c r="P958" t="s">
        <v>621</v>
      </c>
      <c r="Q958" t="s">
        <v>1420</v>
      </c>
    </row>
    <row r="959" spans="2:24" hidden="1" x14ac:dyDescent="0.25">
      <c r="B959" s="2">
        <f>HYPERLINK(URLs!B30 &amp; 3971 &amp; URLs!B32,3971)</f>
        <v>3971</v>
      </c>
      <c r="C959" t="s">
        <v>665</v>
      </c>
      <c r="D959" t="s">
        <v>619</v>
      </c>
      <c r="E959" t="s">
        <v>850</v>
      </c>
      <c r="F959" t="s">
        <v>621</v>
      </c>
      <c r="G959" t="s">
        <v>1338</v>
      </c>
      <c r="H959" t="s">
        <v>868</v>
      </c>
      <c r="I959" t="s">
        <v>624</v>
      </c>
      <c r="J959" t="s">
        <v>642</v>
      </c>
      <c r="L959" s="5">
        <v>41396</v>
      </c>
      <c r="M959" s="5">
        <v>41465</v>
      </c>
      <c r="N959" s="2">
        <f>HYPERLINK(URLs!B36 &amp; 13087,13087)</f>
        <v>13087</v>
      </c>
      <c r="O959" t="s">
        <v>666</v>
      </c>
      <c r="P959" t="s">
        <v>621</v>
      </c>
      <c r="Q959" t="s">
        <v>1421</v>
      </c>
    </row>
    <row r="960" spans="2:24" hidden="1" x14ac:dyDescent="0.25">
      <c r="B960" s="2">
        <f>HYPERLINK(URLs!B30 &amp; 3968 &amp; URLs!B32,3968)</f>
        <v>3968</v>
      </c>
      <c r="C960" t="s">
        <v>633</v>
      </c>
      <c r="D960" t="s">
        <v>619</v>
      </c>
      <c r="E960" t="s">
        <v>850</v>
      </c>
      <c r="F960" t="s">
        <v>621</v>
      </c>
      <c r="G960" t="s">
        <v>962</v>
      </c>
      <c r="H960" t="s">
        <v>887</v>
      </c>
      <c r="I960" t="s">
        <v>624</v>
      </c>
      <c r="J960" t="s">
        <v>629</v>
      </c>
      <c r="L960" s="5">
        <v>41395</v>
      </c>
      <c r="M960" s="5">
        <v>41465</v>
      </c>
      <c r="N960" s="2">
        <f>HYPERLINK(URLs!B36 &amp; 13711,13711)</f>
        <v>13711</v>
      </c>
      <c r="O960" t="s">
        <v>666</v>
      </c>
      <c r="P960" t="s">
        <v>621</v>
      </c>
      <c r="Q960" t="s">
        <v>1422</v>
      </c>
    </row>
    <row r="961" spans="2:23" hidden="1" x14ac:dyDescent="0.25">
      <c r="B961" s="2">
        <f>HYPERLINK(URLs!B30 &amp; 3962 &amp; URLs!B32,3962)</f>
        <v>3962</v>
      </c>
      <c r="C961" t="s">
        <v>633</v>
      </c>
      <c r="D961" t="s">
        <v>619</v>
      </c>
      <c r="E961" t="s">
        <v>850</v>
      </c>
      <c r="F961" t="s">
        <v>621</v>
      </c>
      <c r="G961" t="s">
        <v>1334</v>
      </c>
      <c r="H961" t="s">
        <v>1260</v>
      </c>
      <c r="I961" t="s">
        <v>624</v>
      </c>
      <c r="J961" t="s">
        <v>629</v>
      </c>
      <c r="L961" s="5">
        <v>41394</v>
      </c>
      <c r="M961" s="5">
        <v>41465</v>
      </c>
      <c r="N961" s="2">
        <f>HYPERLINK(URLs!B36 &amp; 13523,13523)</f>
        <v>13523</v>
      </c>
      <c r="O961" t="s">
        <v>666</v>
      </c>
      <c r="P961" t="s">
        <v>621</v>
      </c>
      <c r="Q961" t="s">
        <v>1423</v>
      </c>
    </row>
    <row r="962" spans="2:23" hidden="1" x14ac:dyDescent="0.25">
      <c r="B962" s="2">
        <f>HYPERLINK(URLs!B30 &amp; 3933 &amp; URLs!B32,3933)</f>
        <v>3933</v>
      </c>
      <c r="C962" t="s">
        <v>633</v>
      </c>
      <c r="D962" t="s">
        <v>619</v>
      </c>
      <c r="E962" t="s">
        <v>850</v>
      </c>
      <c r="F962" t="s">
        <v>621</v>
      </c>
      <c r="G962" t="s">
        <v>1329</v>
      </c>
      <c r="H962" t="s">
        <v>968</v>
      </c>
      <c r="I962" t="s">
        <v>624</v>
      </c>
      <c r="J962" t="s">
        <v>629</v>
      </c>
      <c r="L962" s="5">
        <v>41379</v>
      </c>
      <c r="M962" s="5">
        <v>41465</v>
      </c>
      <c r="N962" t="s">
        <v>621</v>
      </c>
      <c r="O962" t="s">
        <v>666</v>
      </c>
      <c r="P962" t="s">
        <v>621</v>
      </c>
      <c r="Q962" t="s">
        <v>1424</v>
      </c>
    </row>
    <row r="963" spans="2:23" hidden="1" x14ac:dyDescent="0.25">
      <c r="B963" s="2">
        <f>HYPERLINK(URLs!B30 &amp; 3925 &amp; URLs!B32,3925)</f>
        <v>3925</v>
      </c>
      <c r="C963" t="s">
        <v>665</v>
      </c>
      <c r="D963" t="s">
        <v>619</v>
      </c>
      <c r="E963" t="s">
        <v>850</v>
      </c>
      <c r="F963" t="s">
        <v>621</v>
      </c>
      <c r="G963" t="s">
        <v>962</v>
      </c>
      <c r="H963" t="s">
        <v>887</v>
      </c>
      <c r="I963" t="s">
        <v>624</v>
      </c>
      <c r="J963" t="s">
        <v>642</v>
      </c>
      <c r="L963" s="5">
        <v>41373</v>
      </c>
      <c r="M963" s="5">
        <v>41575</v>
      </c>
      <c r="N963" t="s">
        <v>621</v>
      </c>
      <c r="O963" t="s">
        <v>666</v>
      </c>
      <c r="P963" t="s">
        <v>621</v>
      </c>
      <c r="Q963" t="s">
        <v>1425</v>
      </c>
      <c r="W963">
        <v>1</v>
      </c>
    </row>
    <row r="964" spans="2:23" hidden="1" x14ac:dyDescent="0.25">
      <c r="B964" s="2">
        <f>HYPERLINK(URLs!B30 &amp; 3924 &amp; URLs!B32,3924)</f>
        <v>3924</v>
      </c>
      <c r="C964" t="s">
        <v>665</v>
      </c>
      <c r="D964" t="s">
        <v>619</v>
      </c>
      <c r="E964" t="s">
        <v>850</v>
      </c>
      <c r="F964" t="s">
        <v>621</v>
      </c>
      <c r="G964" t="s">
        <v>962</v>
      </c>
      <c r="H964" t="s">
        <v>887</v>
      </c>
      <c r="I964" t="s">
        <v>624</v>
      </c>
      <c r="J964" t="s">
        <v>642</v>
      </c>
      <c r="L964" s="5">
        <v>41373</v>
      </c>
      <c r="M964" s="5">
        <v>41465</v>
      </c>
      <c r="N964" s="2">
        <f>HYPERLINK(URLs!B36 &amp; 11833,11833)</f>
        <v>11833</v>
      </c>
      <c r="O964" t="s">
        <v>666</v>
      </c>
      <c r="P964" t="s">
        <v>621</v>
      </c>
      <c r="Q964" t="s">
        <v>1426</v>
      </c>
    </row>
    <row r="965" spans="2:23" hidden="1" x14ac:dyDescent="0.25">
      <c r="B965" s="2">
        <f>HYPERLINK(URLs!B30 &amp; 3923 &amp; URLs!B32,3923)</f>
        <v>3923</v>
      </c>
      <c r="C965" t="s">
        <v>665</v>
      </c>
      <c r="D965" t="s">
        <v>619</v>
      </c>
      <c r="E965" t="s">
        <v>850</v>
      </c>
      <c r="F965" t="s">
        <v>621</v>
      </c>
      <c r="G965" t="s">
        <v>962</v>
      </c>
      <c r="H965" t="s">
        <v>887</v>
      </c>
      <c r="I965" t="s">
        <v>624</v>
      </c>
      <c r="J965" t="s">
        <v>629</v>
      </c>
      <c r="L965" s="5">
        <v>41373</v>
      </c>
      <c r="M965" s="5">
        <v>41465</v>
      </c>
      <c r="N965" s="2">
        <f>HYPERLINK(URLs!B36 &amp; 13360,13360)</f>
        <v>13360</v>
      </c>
      <c r="O965" t="s">
        <v>666</v>
      </c>
      <c r="P965" t="s">
        <v>621</v>
      </c>
      <c r="Q965" t="s">
        <v>1427</v>
      </c>
      <c r="W965">
        <v>1</v>
      </c>
    </row>
    <row r="966" spans="2:23" hidden="1" x14ac:dyDescent="0.25">
      <c r="B966" s="2">
        <f>HYPERLINK(URLs!B30 &amp; 3919 &amp; URLs!B32,3919)</f>
        <v>3919</v>
      </c>
      <c r="C966" t="s">
        <v>665</v>
      </c>
      <c r="D966" t="s">
        <v>619</v>
      </c>
      <c r="E966" t="s">
        <v>850</v>
      </c>
      <c r="F966" t="s">
        <v>621</v>
      </c>
      <c r="G966" t="s">
        <v>1329</v>
      </c>
      <c r="H966" t="s">
        <v>968</v>
      </c>
      <c r="I966" t="s">
        <v>624</v>
      </c>
      <c r="J966" t="s">
        <v>642</v>
      </c>
      <c r="L966" s="5">
        <v>41372</v>
      </c>
      <c r="M966" s="5">
        <v>41470</v>
      </c>
      <c r="N966" t="s">
        <v>621</v>
      </c>
      <c r="O966" t="s">
        <v>666</v>
      </c>
      <c r="P966" t="s">
        <v>621</v>
      </c>
      <c r="Q966" t="s">
        <v>1428</v>
      </c>
    </row>
    <row r="967" spans="2:23" hidden="1" x14ac:dyDescent="0.25">
      <c r="B967" s="2">
        <f>HYPERLINK(URLs!B30 &amp; 3912 &amp; URLs!B32,3912)</f>
        <v>3912</v>
      </c>
      <c r="C967" t="s">
        <v>633</v>
      </c>
      <c r="D967" t="s">
        <v>619</v>
      </c>
      <c r="E967" t="s">
        <v>850</v>
      </c>
      <c r="F967" t="s">
        <v>621</v>
      </c>
      <c r="G967" t="s">
        <v>962</v>
      </c>
      <c r="H967" t="s">
        <v>887</v>
      </c>
      <c r="I967" t="s">
        <v>624</v>
      </c>
      <c r="J967" t="s">
        <v>629</v>
      </c>
      <c r="L967" s="5">
        <v>41366</v>
      </c>
      <c r="M967" s="5">
        <v>41470</v>
      </c>
      <c r="N967" s="2">
        <f>HYPERLINK(URLs!B36 &amp; 13488,13488)</f>
        <v>13488</v>
      </c>
      <c r="O967" t="s">
        <v>666</v>
      </c>
      <c r="P967" t="s">
        <v>621</v>
      </c>
      <c r="Q967" t="s">
        <v>1429</v>
      </c>
    </row>
    <row r="968" spans="2:23" hidden="1" x14ac:dyDescent="0.25">
      <c r="B968" s="2">
        <f>HYPERLINK(URLs!B30 &amp; 3899 &amp; URLs!B32,3899)</f>
        <v>3899</v>
      </c>
      <c r="C968" t="s">
        <v>665</v>
      </c>
      <c r="D968" t="s">
        <v>619</v>
      </c>
      <c r="E968" t="s">
        <v>850</v>
      </c>
      <c r="F968" t="s">
        <v>621</v>
      </c>
      <c r="G968" t="s">
        <v>962</v>
      </c>
      <c r="H968" t="s">
        <v>887</v>
      </c>
      <c r="I968" t="s">
        <v>624</v>
      </c>
      <c r="J968" t="s">
        <v>629</v>
      </c>
      <c r="L968" s="5">
        <v>41361</v>
      </c>
      <c r="M968" s="5">
        <v>41901</v>
      </c>
      <c r="N968" t="s">
        <v>1430</v>
      </c>
      <c r="O968" t="s">
        <v>666</v>
      </c>
      <c r="P968" t="s">
        <v>621</v>
      </c>
      <c r="Q968" t="s">
        <v>1431</v>
      </c>
    </row>
    <row r="969" spans="2:23" hidden="1" x14ac:dyDescent="0.25">
      <c r="B969" s="2">
        <f>HYPERLINK(URLs!B30 &amp; 3882 &amp; URLs!B32,3882)</f>
        <v>3882</v>
      </c>
      <c r="C969" t="s">
        <v>665</v>
      </c>
      <c r="D969" t="s">
        <v>619</v>
      </c>
      <c r="E969" t="s">
        <v>850</v>
      </c>
      <c r="F969" t="s">
        <v>621</v>
      </c>
      <c r="G969" t="s">
        <v>962</v>
      </c>
      <c r="H969" t="s">
        <v>887</v>
      </c>
      <c r="I969" t="s">
        <v>624</v>
      </c>
      <c r="J969" t="s">
        <v>625</v>
      </c>
      <c r="L969" s="5">
        <v>41358</v>
      </c>
      <c r="M969" s="5">
        <v>41465</v>
      </c>
      <c r="N969" t="s">
        <v>621</v>
      </c>
      <c r="O969" t="s">
        <v>666</v>
      </c>
      <c r="P969" t="s">
        <v>621</v>
      </c>
      <c r="Q969" t="s">
        <v>1432</v>
      </c>
      <c r="W969">
        <v>1</v>
      </c>
    </row>
    <row r="970" spans="2:23" hidden="1" x14ac:dyDescent="0.25">
      <c r="B970" s="2">
        <f>HYPERLINK(URLs!B30 &amp; 3876 &amp; URLs!B32,3876)</f>
        <v>3876</v>
      </c>
      <c r="C970" t="s">
        <v>665</v>
      </c>
      <c r="D970" t="s">
        <v>619</v>
      </c>
      <c r="E970" t="s">
        <v>850</v>
      </c>
      <c r="F970" t="s">
        <v>621</v>
      </c>
      <c r="G970" t="s">
        <v>1329</v>
      </c>
      <c r="H970" t="s">
        <v>968</v>
      </c>
      <c r="I970" t="s">
        <v>624</v>
      </c>
      <c r="J970" t="s">
        <v>629</v>
      </c>
      <c r="L970" s="5">
        <v>41354</v>
      </c>
      <c r="M970" s="5">
        <v>41540</v>
      </c>
      <c r="N970" t="s">
        <v>621</v>
      </c>
      <c r="O970" t="s">
        <v>626</v>
      </c>
      <c r="P970" t="s">
        <v>621</v>
      </c>
      <c r="Q970" t="s">
        <v>1433</v>
      </c>
    </row>
    <row r="971" spans="2:23" hidden="1" x14ac:dyDescent="0.25">
      <c r="B971" s="2">
        <f>HYPERLINK(URLs!B30 &amp; 3864 &amp; URLs!B32,3864)</f>
        <v>3864</v>
      </c>
      <c r="C971" t="s">
        <v>633</v>
      </c>
      <c r="D971" t="s">
        <v>619</v>
      </c>
      <c r="E971" t="s">
        <v>850</v>
      </c>
      <c r="F971" t="s">
        <v>621</v>
      </c>
      <c r="G971" t="s">
        <v>1334</v>
      </c>
      <c r="H971" t="s">
        <v>1260</v>
      </c>
      <c r="I971" t="s">
        <v>624</v>
      </c>
      <c r="J971" t="s">
        <v>629</v>
      </c>
      <c r="L971" s="5">
        <v>41353</v>
      </c>
      <c r="M971" s="5">
        <v>41340</v>
      </c>
      <c r="N971" t="s">
        <v>621</v>
      </c>
      <c r="O971" t="s">
        <v>645</v>
      </c>
      <c r="P971" t="s">
        <v>621</v>
      </c>
      <c r="Q971" t="s">
        <v>1434</v>
      </c>
      <c r="W971">
        <v>1</v>
      </c>
    </row>
    <row r="972" spans="2:23" hidden="1" x14ac:dyDescent="0.25">
      <c r="B972" s="2">
        <f>HYPERLINK(URLs!B30 &amp; 3837 &amp; URLs!B32,3837)</f>
        <v>3837</v>
      </c>
      <c r="C972" t="s">
        <v>633</v>
      </c>
      <c r="D972" t="s">
        <v>619</v>
      </c>
      <c r="E972" t="s">
        <v>850</v>
      </c>
      <c r="F972" t="s">
        <v>621</v>
      </c>
      <c r="G972" t="s">
        <v>1329</v>
      </c>
      <c r="H972" t="s">
        <v>968</v>
      </c>
      <c r="I972" t="s">
        <v>624</v>
      </c>
      <c r="J972" t="s">
        <v>642</v>
      </c>
      <c r="L972" s="5">
        <v>41344</v>
      </c>
      <c r="M972" s="5">
        <v>41465</v>
      </c>
      <c r="N972" s="2">
        <f>HYPERLINK(URLs!B36 &amp; 12755,12755)</f>
        <v>12755</v>
      </c>
      <c r="O972" t="s">
        <v>666</v>
      </c>
      <c r="P972" t="s">
        <v>621</v>
      </c>
      <c r="Q972" t="s">
        <v>1435</v>
      </c>
    </row>
    <row r="973" spans="2:23" hidden="1" x14ac:dyDescent="0.25">
      <c r="B973" s="2">
        <f>HYPERLINK(URLs!B30 &amp; 3818 &amp; URLs!B32,3818)</f>
        <v>3818</v>
      </c>
      <c r="C973" t="s">
        <v>665</v>
      </c>
      <c r="D973" t="s">
        <v>619</v>
      </c>
      <c r="E973" t="s">
        <v>850</v>
      </c>
      <c r="F973" t="s">
        <v>621</v>
      </c>
      <c r="G973" t="s">
        <v>962</v>
      </c>
      <c r="H973" t="s">
        <v>887</v>
      </c>
      <c r="I973" t="s">
        <v>624</v>
      </c>
      <c r="J973" t="s">
        <v>642</v>
      </c>
      <c r="L973" s="5">
        <v>41337</v>
      </c>
      <c r="M973" s="5">
        <v>41407</v>
      </c>
      <c r="N973" s="2">
        <f>HYPERLINK(URLs!B36 &amp; 8687,8687)</f>
        <v>8687</v>
      </c>
      <c r="O973" t="s">
        <v>666</v>
      </c>
      <c r="P973" t="s">
        <v>621</v>
      </c>
      <c r="Q973" t="s">
        <v>1436</v>
      </c>
      <c r="W973">
        <v>1</v>
      </c>
    </row>
    <row r="974" spans="2:23" hidden="1" x14ac:dyDescent="0.25">
      <c r="B974" s="2">
        <f>HYPERLINK(URLs!B30 &amp; 3795 &amp; URLs!B32,3795)</f>
        <v>3795</v>
      </c>
      <c r="C974" t="s">
        <v>633</v>
      </c>
      <c r="D974" t="s">
        <v>619</v>
      </c>
      <c r="E974" t="s">
        <v>850</v>
      </c>
      <c r="F974" t="s">
        <v>621</v>
      </c>
      <c r="G974" t="s">
        <v>1329</v>
      </c>
      <c r="H974" t="s">
        <v>968</v>
      </c>
      <c r="I974" t="s">
        <v>624</v>
      </c>
      <c r="J974" t="s">
        <v>629</v>
      </c>
      <c r="L974" s="5">
        <v>41330</v>
      </c>
      <c r="M974" s="5">
        <v>41465</v>
      </c>
      <c r="N974" s="2">
        <f>HYPERLINK(URLs!B36 &amp; 12770,12770)</f>
        <v>12770</v>
      </c>
      <c r="O974" t="s">
        <v>666</v>
      </c>
      <c r="P974" t="s">
        <v>621</v>
      </c>
      <c r="Q974" t="s">
        <v>1437</v>
      </c>
    </row>
    <row r="975" spans="2:23" hidden="1" x14ac:dyDescent="0.25">
      <c r="B975" s="2">
        <f>HYPERLINK(URLs!B30 &amp; 3770 &amp; URLs!B32,3770)</f>
        <v>3770</v>
      </c>
      <c r="C975" t="s">
        <v>665</v>
      </c>
      <c r="D975" t="s">
        <v>619</v>
      </c>
      <c r="E975" t="s">
        <v>850</v>
      </c>
      <c r="F975" t="s">
        <v>621</v>
      </c>
      <c r="G975" t="s">
        <v>1334</v>
      </c>
      <c r="H975" t="s">
        <v>1260</v>
      </c>
      <c r="I975" t="s">
        <v>624</v>
      </c>
      <c r="J975" t="s">
        <v>629</v>
      </c>
      <c r="L975" s="5">
        <v>41319</v>
      </c>
      <c r="M975" s="5">
        <v>41340</v>
      </c>
      <c r="N975" s="2">
        <f>HYPERLINK(URLs!B36 &amp; 12773,12773)</f>
        <v>12773</v>
      </c>
      <c r="O975" t="s">
        <v>666</v>
      </c>
      <c r="P975" t="s">
        <v>621</v>
      </c>
      <c r="Q975" t="s">
        <v>1438</v>
      </c>
    </row>
    <row r="976" spans="2:23" hidden="1" x14ac:dyDescent="0.25">
      <c r="B976" s="2">
        <f>HYPERLINK(URLs!B30 &amp; 3765 &amp; URLs!B32,3765)</f>
        <v>3765</v>
      </c>
      <c r="C976" t="s">
        <v>665</v>
      </c>
      <c r="D976" t="s">
        <v>619</v>
      </c>
      <c r="E976" t="s">
        <v>850</v>
      </c>
      <c r="F976" t="s">
        <v>621</v>
      </c>
      <c r="G976" t="s">
        <v>889</v>
      </c>
      <c r="H976" t="s">
        <v>890</v>
      </c>
      <c r="I976" t="s">
        <v>624</v>
      </c>
      <c r="J976" t="s">
        <v>625</v>
      </c>
      <c r="L976" s="5">
        <v>41317</v>
      </c>
      <c r="M976" s="5">
        <v>41465</v>
      </c>
      <c r="N976" s="2">
        <f>HYPERLINK(URLs!B36 &amp; 12714,12714)</f>
        <v>12714</v>
      </c>
      <c r="O976" t="s">
        <v>666</v>
      </c>
      <c r="P976" t="s">
        <v>621</v>
      </c>
      <c r="Q976" t="s">
        <v>1439</v>
      </c>
      <c r="W976">
        <v>1</v>
      </c>
    </row>
    <row r="977" spans="2:25" hidden="1" x14ac:dyDescent="0.25">
      <c r="B977" s="2">
        <f>HYPERLINK(URLs!B30 &amp; 3746 &amp; URLs!B32,3746)</f>
        <v>3746</v>
      </c>
      <c r="C977" t="s">
        <v>633</v>
      </c>
      <c r="D977" t="s">
        <v>619</v>
      </c>
      <c r="E977" t="s">
        <v>850</v>
      </c>
      <c r="F977" t="s">
        <v>621</v>
      </c>
      <c r="G977" t="s">
        <v>962</v>
      </c>
      <c r="H977" t="s">
        <v>887</v>
      </c>
      <c r="I977" t="s">
        <v>624</v>
      </c>
      <c r="J977" t="s">
        <v>629</v>
      </c>
      <c r="L977" s="5">
        <v>41311</v>
      </c>
      <c r="M977" s="5">
        <v>41358</v>
      </c>
      <c r="N977" t="s">
        <v>621</v>
      </c>
      <c r="O977" t="s">
        <v>645</v>
      </c>
      <c r="P977" t="s">
        <v>621</v>
      </c>
      <c r="Q977" t="s">
        <v>1440</v>
      </c>
    </row>
    <row r="978" spans="2:25" hidden="1" x14ac:dyDescent="0.25">
      <c r="B978" s="2">
        <f>HYPERLINK(URLs!B30 &amp; 3743 &amp; URLs!B32,3743)</f>
        <v>3743</v>
      </c>
      <c r="C978" t="s">
        <v>665</v>
      </c>
      <c r="D978" t="s">
        <v>619</v>
      </c>
      <c r="E978" t="s">
        <v>850</v>
      </c>
      <c r="F978" t="s">
        <v>621</v>
      </c>
      <c r="G978" t="s">
        <v>1329</v>
      </c>
      <c r="H978" t="s">
        <v>968</v>
      </c>
      <c r="I978" t="s">
        <v>624</v>
      </c>
      <c r="J978" t="s">
        <v>642</v>
      </c>
      <c r="L978" s="5">
        <v>41310</v>
      </c>
      <c r="M978" s="5">
        <v>41465</v>
      </c>
      <c r="N978" s="2">
        <f>HYPERLINK(URLs!B36 &amp; 12586,12586)</f>
        <v>12586</v>
      </c>
      <c r="O978" t="s">
        <v>666</v>
      </c>
      <c r="P978" t="s">
        <v>621</v>
      </c>
      <c r="Q978" t="s">
        <v>1441</v>
      </c>
    </row>
    <row r="979" spans="2:25" hidden="1" x14ac:dyDescent="0.25">
      <c r="B979" s="2">
        <f>HYPERLINK(URLs!B30 &amp; 3731 &amp; URLs!B32,3731)</f>
        <v>3731</v>
      </c>
      <c r="C979" t="s">
        <v>665</v>
      </c>
      <c r="D979" t="s">
        <v>619</v>
      </c>
      <c r="E979" t="s">
        <v>850</v>
      </c>
      <c r="F979" t="s">
        <v>621</v>
      </c>
      <c r="G979" t="s">
        <v>962</v>
      </c>
      <c r="H979" t="s">
        <v>887</v>
      </c>
      <c r="I979" t="s">
        <v>624</v>
      </c>
      <c r="J979" t="s">
        <v>629</v>
      </c>
      <c r="L979" s="5">
        <v>41305</v>
      </c>
      <c r="M979" s="5">
        <v>41340</v>
      </c>
      <c r="N979" s="2">
        <f>HYPERLINK(URLs!B36 &amp; 12771,12771)</f>
        <v>12771</v>
      </c>
      <c r="O979" t="s">
        <v>666</v>
      </c>
      <c r="P979" t="s">
        <v>621</v>
      </c>
      <c r="Q979" t="s">
        <v>1442</v>
      </c>
      <c r="W979">
        <v>1</v>
      </c>
    </row>
    <row r="980" spans="2:25" hidden="1" x14ac:dyDescent="0.25">
      <c r="B980" s="2">
        <f>HYPERLINK(URLs!B30 &amp; 3729 &amp; URLs!B32,3729)</f>
        <v>3729</v>
      </c>
      <c r="C980" t="s">
        <v>633</v>
      </c>
      <c r="D980" t="s">
        <v>619</v>
      </c>
      <c r="E980" t="s">
        <v>850</v>
      </c>
      <c r="F980" t="s">
        <v>621</v>
      </c>
      <c r="G980" t="s">
        <v>962</v>
      </c>
      <c r="H980" t="s">
        <v>887</v>
      </c>
      <c r="I980" t="s">
        <v>624</v>
      </c>
      <c r="J980" t="s">
        <v>642</v>
      </c>
      <c r="L980" s="5">
        <v>41305</v>
      </c>
      <c r="M980" s="5">
        <v>41415</v>
      </c>
      <c r="N980" t="s">
        <v>621</v>
      </c>
      <c r="O980" t="s">
        <v>645</v>
      </c>
      <c r="P980" t="s">
        <v>621</v>
      </c>
      <c r="Q980" t="s">
        <v>1443</v>
      </c>
      <c r="W980">
        <v>1</v>
      </c>
    </row>
    <row r="981" spans="2:25" hidden="1" x14ac:dyDescent="0.25">
      <c r="B981" s="2">
        <f>HYPERLINK(URLs!B30 &amp; 3720 &amp; URLs!B32,3720)</f>
        <v>3720</v>
      </c>
      <c r="C981" t="s">
        <v>633</v>
      </c>
      <c r="D981" t="s">
        <v>619</v>
      </c>
      <c r="E981" t="s">
        <v>850</v>
      </c>
      <c r="F981" t="s">
        <v>621</v>
      </c>
      <c r="G981" t="s">
        <v>962</v>
      </c>
      <c r="H981" t="s">
        <v>887</v>
      </c>
      <c r="I981" t="s">
        <v>624</v>
      </c>
      <c r="J981" t="s">
        <v>629</v>
      </c>
      <c r="L981" s="5">
        <v>41303</v>
      </c>
      <c r="M981" s="5">
        <v>41465</v>
      </c>
      <c r="N981" s="2">
        <f>HYPERLINK(URLs!B36 &amp; 13655,13655)</f>
        <v>13655</v>
      </c>
      <c r="O981" t="s">
        <v>666</v>
      </c>
      <c r="P981" t="s">
        <v>621</v>
      </c>
      <c r="Q981" t="s">
        <v>1444</v>
      </c>
      <c r="W981">
        <v>1</v>
      </c>
    </row>
    <row r="982" spans="2:25" hidden="1" x14ac:dyDescent="0.25">
      <c r="B982" s="2">
        <f>HYPERLINK(URLs!B30 &amp; 3718 &amp; URLs!B32,3718)</f>
        <v>3718</v>
      </c>
      <c r="C982" t="s">
        <v>665</v>
      </c>
      <c r="D982" t="s">
        <v>619</v>
      </c>
      <c r="E982" t="s">
        <v>850</v>
      </c>
      <c r="F982" t="s">
        <v>621</v>
      </c>
      <c r="G982" t="s">
        <v>962</v>
      </c>
      <c r="H982" t="s">
        <v>887</v>
      </c>
      <c r="I982" t="s">
        <v>624</v>
      </c>
      <c r="J982" t="s">
        <v>642</v>
      </c>
      <c r="L982" s="5">
        <v>41302</v>
      </c>
      <c r="M982" s="5">
        <v>41465</v>
      </c>
      <c r="N982" s="2">
        <f>HYPERLINK(URLs!B36 &amp; 12546,12546)</f>
        <v>12546</v>
      </c>
      <c r="O982" t="s">
        <v>666</v>
      </c>
      <c r="P982" t="s">
        <v>621</v>
      </c>
      <c r="Q982" t="s">
        <v>1445</v>
      </c>
      <c r="W982">
        <v>1</v>
      </c>
    </row>
    <row r="983" spans="2:25" hidden="1" x14ac:dyDescent="0.25">
      <c r="B983" s="2">
        <f>HYPERLINK(URLs!B30 &amp; 3697 &amp; URLs!B32,3697)</f>
        <v>3697</v>
      </c>
      <c r="C983" t="s">
        <v>665</v>
      </c>
      <c r="D983" t="s">
        <v>619</v>
      </c>
      <c r="E983" t="s">
        <v>850</v>
      </c>
      <c r="F983" t="s">
        <v>621</v>
      </c>
      <c r="G983" t="s">
        <v>962</v>
      </c>
      <c r="H983" t="s">
        <v>887</v>
      </c>
      <c r="I983" t="s">
        <v>624</v>
      </c>
      <c r="J983" t="s">
        <v>629</v>
      </c>
      <c r="L983" s="5">
        <v>41292</v>
      </c>
      <c r="M983" s="5">
        <v>41465</v>
      </c>
      <c r="N983" s="2">
        <f>HYPERLINK(URLs!B36 &amp; 12489,12489)</f>
        <v>12489</v>
      </c>
      <c r="O983" t="s">
        <v>666</v>
      </c>
      <c r="P983" t="s">
        <v>621</v>
      </c>
      <c r="Q983" t="s">
        <v>1446</v>
      </c>
    </row>
    <row r="984" spans="2:25" hidden="1" x14ac:dyDescent="0.25">
      <c r="B984" s="2">
        <f>HYPERLINK(URLs!B30 &amp; 3696 &amp; URLs!B32,3696)</f>
        <v>3696</v>
      </c>
      <c r="C984" t="s">
        <v>633</v>
      </c>
      <c r="D984" t="s">
        <v>619</v>
      </c>
      <c r="E984" t="s">
        <v>850</v>
      </c>
      <c r="F984" t="s">
        <v>621</v>
      </c>
      <c r="G984" t="s">
        <v>962</v>
      </c>
      <c r="H984" t="s">
        <v>887</v>
      </c>
      <c r="I984" t="s">
        <v>624</v>
      </c>
      <c r="J984" t="s">
        <v>629</v>
      </c>
      <c r="L984" s="5">
        <v>41292</v>
      </c>
      <c r="M984" s="5">
        <v>41340</v>
      </c>
      <c r="N984" t="s">
        <v>621</v>
      </c>
      <c r="O984" t="s">
        <v>666</v>
      </c>
      <c r="P984" t="s">
        <v>621</v>
      </c>
      <c r="Q984" t="s">
        <v>1447</v>
      </c>
      <c r="W984">
        <v>1</v>
      </c>
    </row>
    <row r="985" spans="2:25" hidden="1" x14ac:dyDescent="0.25">
      <c r="B985" s="2">
        <f>HYPERLINK(URLs!B30 &amp; 3695 &amp; URLs!B32,3695)</f>
        <v>3695</v>
      </c>
      <c r="C985" t="s">
        <v>665</v>
      </c>
      <c r="D985" t="s">
        <v>619</v>
      </c>
      <c r="E985" t="s">
        <v>850</v>
      </c>
      <c r="F985" t="s">
        <v>621</v>
      </c>
      <c r="G985" t="s">
        <v>962</v>
      </c>
      <c r="H985" t="s">
        <v>887</v>
      </c>
      <c r="I985" t="s">
        <v>624</v>
      </c>
      <c r="J985" t="s">
        <v>629</v>
      </c>
      <c r="L985" s="5">
        <v>41292</v>
      </c>
      <c r="M985" s="5">
        <v>41465</v>
      </c>
      <c r="N985" s="2">
        <f>HYPERLINK(URLs!B36 &amp; 11740,11740)</f>
        <v>11740</v>
      </c>
      <c r="O985" t="s">
        <v>666</v>
      </c>
      <c r="P985" t="s">
        <v>621</v>
      </c>
      <c r="Q985" t="s">
        <v>1448</v>
      </c>
      <c r="W985">
        <v>1</v>
      </c>
    </row>
    <row r="986" spans="2:25" hidden="1" x14ac:dyDescent="0.25">
      <c r="B986" s="2">
        <f>HYPERLINK(URLs!B30 &amp; 3685 &amp; URLs!B32,3685)</f>
        <v>3685</v>
      </c>
      <c r="C986" t="s">
        <v>633</v>
      </c>
      <c r="D986" t="s">
        <v>619</v>
      </c>
      <c r="E986" t="s">
        <v>850</v>
      </c>
      <c r="F986" t="s">
        <v>621</v>
      </c>
      <c r="G986" t="s">
        <v>962</v>
      </c>
      <c r="H986" t="s">
        <v>887</v>
      </c>
      <c r="I986" t="s">
        <v>624</v>
      </c>
      <c r="J986" t="s">
        <v>629</v>
      </c>
      <c r="L986" s="5">
        <v>41289</v>
      </c>
      <c r="M986" s="5">
        <v>41465</v>
      </c>
      <c r="N986" s="2">
        <f>HYPERLINK(URLs!B36 &amp; 12714,12714)</f>
        <v>12714</v>
      </c>
      <c r="O986" t="s">
        <v>666</v>
      </c>
      <c r="P986" t="s">
        <v>621</v>
      </c>
      <c r="Q986" t="s">
        <v>1449</v>
      </c>
      <c r="W986">
        <v>1</v>
      </c>
    </row>
    <row r="987" spans="2:25" hidden="1" x14ac:dyDescent="0.25">
      <c r="B987" s="2">
        <f>HYPERLINK(URLs!B30 &amp; 3677 &amp; URLs!B32,3677)</f>
        <v>3677</v>
      </c>
      <c r="C987" t="s">
        <v>665</v>
      </c>
      <c r="D987" t="s">
        <v>619</v>
      </c>
      <c r="E987" t="s">
        <v>850</v>
      </c>
      <c r="F987" t="s">
        <v>621</v>
      </c>
      <c r="G987" t="s">
        <v>889</v>
      </c>
      <c r="H987" t="s">
        <v>890</v>
      </c>
      <c r="I987" t="s">
        <v>624</v>
      </c>
      <c r="J987" t="s">
        <v>629</v>
      </c>
      <c r="L987" s="5">
        <v>41285</v>
      </c>
      <c r="M987" s="5">
        <v>41410</v>
      </c>
      <c r="N987" t="s">
        <v>621</v>
      </c>
      <c r="O987" t="s">
        <v>626</v>
      </c>
      <c r="P987" t="s">
        <v>621</v>
      </c>
      <c r="Q987" t="s">
        <v>1450</v>
      </c>
    </row>
    <row r="988" spans="2:25" hidden="1" x14ac:dyDescent="0.25">
      <c r="B988" s="2">
        <f>HYPERLINK(URLs!B30 &amp; 3673 &amp; URLs!B32,3673)</f>
        <v>3673</v>
      </c>
      <c r="C988" t="s">
        <v>665</v>
      </c>
      <c r="D988" t="s">
        <v>619</v>
      </c>
      <c r="E988" t="s">
        <v>850</v>
      </c>
      <c r="F988" t="s">
        <v>621</v>
      </c>
      <c r="G988" t="s">
        <v>889</v>
      </c>
      <c r="H988" t="s">
        <v>890</v>
      </c>
      <c r="I988" t="s">
        <v>624</v>
      </c>
      <c r="J988" t="s">
        <v>642</v>
      </c>
      <c r="L988" s="5">
        <v>41283</v>
      </c>
      <c r="M988" s="5">
        <v>41465</v>
      </c>
      <c r="N988" s="2">
        <f>HYPERLINK(URLs!B36 &amp; 12383,12383)</f>
        <v>12383</v>
      </c>
      <c r="O988" t="s">
        <v>666</v>
      </c>
      <c r="P988" t="s">
        <v>621</v>
      </c>
      <c r="Q988" t="s">
        <v>1451</v>
      </c>
    </row>
    <row r="989" spans="2:25" hidden="1" x14ac:dyDescent="0.25">
      <c r="B989" s="2">
        <f>HYPERLINK(URLs!B30 &amp; 3665 &amp; URLs!B32,3665)</f>
        <v>3665</v>
      </c>
      <c r="C989" t="s">
        <v>665</v>
      </c>
      <c r="D989" t="s">
        <v>619</v>
      </c>
      <c r="E989" t="s">
        <v>850</v>
      </c>
      <c r="F989" t="s">
        <v>621</v>
      </c>
      <c r="G989" t="s">
        <v>962</v>
      </c>
      <c r="H989" t="s">
        <v>887</v>
      </c>
      <c r="I989" t="s">
        <v>624</v>
      </c>
      <c r="J989" t="s">
        <v>629</v>
      </c>
      <c r="L989" s="5">
        <v>41283</v>
      </c>
      <c r="M989" s="5">
        <v>41374</v>
      </c>
      <c r="N989" s="2">
        <f>HYPERLINK(URLs!B36 &amp; 12426,12426)</f>
        <v>12426</v>
      </c>
      <c r="O989" t="s">
        <v>645</v>
      </c>
      <c r="P989" t="s">
        <v>621</v>
      </c>
      <c r="Q989" t="s">
        <v>1452</v>
      </c>
    </row>
    <row r="990" spans="2:25" hidden="1" x14ac:dyDescent="0.25">
      <c r="B990" s="2">
        <f>HYPERLINK(URLs!B30 &amp; 3664 &amp; URLs!B32,3664)</f>
        <v>3664</v>
      </c>
      <c r="C990" t="s">
        <v>633</v>
      </c>
      <c r="D990" t="s">
        <v>619</v>
      </c>
      <c r="E990" t="s">
        <v>850</v>
      </c>
      <c r="F990" t="s">
        <v>621</v>
      </c>
      <c r="G990" t="s">
        <v>889</v>
      </c>
      <c r="H990" t="s">
        <v>890</v>
      </c>
      <c r="I990" t="s">
        <v>624</v>
      </c>
      <c r="J990" t="s">
        <v>642</v>
      </c>
      <c r="L990" s="5">
        <v>41283</v>
      </c>
      <c r="M990" s="5">
        <v>41465</v>
      </c>
      <c r="N990" s="2">
        <f>HYPERLINK(URLs!B36 &amp; 12510,12510)</f>
        <v>12510</v>
      </c>
      <c r="O990" t="s">
        <v>666</v>
      </c>
      <c r="P990" t="s">
        <v>621</v>
      </c>
      <c r="Q990" t="s">
        <v>1453</v>
      </c>
    </row>
    <row r="991" spans="2:25" hidden="1" x14ac:dyDescent="0.25">
      <c r="B991" s="2">
        <f>HYPERLINK(URLs!B30 &amp; 3660 &amp; URLs!B32,3660)</f>
        <v>3660</v>
      </c>
      <c r="C991" t="s">
        <v>633</v>
      </c>
      <c r="D991" t="s">
        <v>619</v>
      </c>
      <c r="E991" t="s">
        <v>850</v>
      </c>
      <c r="F991" t="s">
        <v>621</v>
      </c>
      <c r="G991" t="s">
        <v>889</v>
      </c>
      <c r="H991" t="s">
        <v>890</v>
      </c>
      <c r="I991" t="s">
        <v>624</v>
      </c>
      <c r="J991" t="s">
        <v>642</v>
      </c>
      <c r="L991" s="5">
        <v>41282</v>
      </c>
      <c r="M991" s="5">
        <v>41358</v>
      </c>
      <c r="N991" t="s">
        <v>621</v>
      </c>
      <c r="O991" t="s">
        <v>645</v>
      </c>
      <c r="P991" t="s">
        <v>621</v>
      </c>
      <c r="Q991" t="s">
        <v>1454</v>
      </c>
    </row>
    <row r="992" spans="2:25" hidden="1" x14ac:dyDescent="0.25">
      <c r="B992" s="2">
        <f>HYPERLINK(URLs!B30 &amp; 3659 &amp; URLs!B32,3659)</f>
        <v>3659</v>
      </c>
      <c r="C992" t="s">
        <v>665</v>
      </c>
      <c r="D992" t="s">
        <v>619</v>
      </c>
      <c r="E992" t="s">
        <v>850</v>
      </c>
      <c r="F992" t="s">
        <v>621</v>
      </c>
      <c r="G992" t="s">
        <v>962</v>
      </c>
      <c r="H992" t="s">
        <v>887</v>
      </c>
      <c r="I992" t="s">
        <v>624</v>
      </c>
      <c r="J992" t="s">
        <v>625</v>
      </c>
      <c r="L992" s="5">
        <v>41282</v>
      </c>
      <c r="M992" s="5">
        <v>41477</v>
      </c>
      <c r="N992" s="2">
        <f>HYPERLINK(URLs!B36 &amp; 12425,12425)</f>
        <v>12425</v>
      </c>
      <c r="O992" t="s">
        <v>645</v>
      </c>
      <c r="P992" t="s">
        <v>621</v>
      </c>
      <c r="Q992" t="s">
        <v>1455</v>
      </c>
      <c r="W992">
        <v>1</v>
      </c>
      <c r="X992">
        <v>1</v>
      </c>
      <c r="Y992">
        <v>1</v>
      </c>
    </row>
    <row r="993" spans="2:23" hidden="1" x14ac:dyDescent="0.25">
      <c r="B993" s="2">
        <f>HYPERLINK(URLs!B30 &amp; 3658 &amp; URLs!B32,3658)</f>
        <v>3658</v>
      </c>
      <c r="C993" t="s">
        <v>633</v>
      </c>
      <c r="D993" t="s">
        <v>619</v>
      </c>
      <c r="E993" t="s">
        <v>850</v>
      </c>
      <c r="F993" t="s">
        <v>621</v>
      </c>
      <c r="G993" t="s">
        <v>1334</v>
      </c>
      <c r="H993" t="s">
        <v>1260</v>
      </c>
      <c r="I993" t="s">
        <v>624</v>
      </c>
      <c r="J993" t="s">
        <v>625</v>
      </c>
      <c r="L993" s="5">
        <v>41282</v>
      </c>
      <c r="M993" s="5">
        <v>41298</v>
      </c>
      <c r="N993" s="2">
        <f>HYPERLINK(URLs!B36 &amp; 12427,12427)</f>
        <v>12427</v>
      </c>
      <c r="O993" t="s">
        <v>680</v>
      </c>
      <c r="P993" t="s">
        <v>621</v>
      </c>
      <c r="Q993" t="s">
        <v>1456</v>
      </c>
      <c r="W993">
        <v>1</v>
      </c>
    </row>
    <row r="994" spans="2:23" hidden="1" x14ac:dyDescent="0.25">
      <c r="B994" s="2">
        <f>HYPERLINK(URLs!B30 &amp; 3651 &amp; URLs!B32,3651)</f>
        <v>3651</v>
      </c>
      <c r="C994" t="s">
        <v>665</v>
      </c>
      <c r="D994" t="s">
        <v>619</v>
      </c>
      <c r="E994" t="s">
        <v>850</v>
      </c>
      <c r="F994" t="s">
        <v>621</v>
      </c>
      <c r="G994" t="s">
        <v>962</v>
      </c>
      <c r="H994" t="s">
        <v>887</v>
      </c>
      <c r="I994" t="s">
        <v>624</v>
      </c>
      <c r="J994" t="s">
        <v>629</v>
      </c>
      <c r="L994" s="5">
        <v>41278</v>
      </c>
      <c r="M994" s="5">
        <v>41340</v>
      </c>
      <c r="N994" s="2">
        <f>HYPERLINK(URLs!B36 &amp; 12456,12456)</f>
        <v>12456</v>
      </c>
      <c r="O994" t="s">
        <v>666</v>
      </c>
      <c r="P994" t="s">
        <v>621</v>
      </c>
      <c r="Q994" t="s">
        <v>1457</v>
      </c>
    </row>
    <row r="995" spans="2:23" hidden="1" x14ac:dyDescent="0.25">
      <c r="B995" s="2">
        <f>HYPERLINK(URLs!B30 &amp; 3650 &amp; URLs!B32,3650)</f>
        <v>3650</v>
      </c>
      <c r="C995" t="s">
        <v>665</v>
      </c>
      <c r="D995" t="s">
        <v>619</v>
      </c>
      <c r="E995" t="s">
        <v>850</v>
      </c>
      <c r="F995" t="s">
        <v>621</v>
      </c>
      <c r="G995" t="s">
        <v>962</v>
      </c>
      <c r="H995" t="s">
        <v>887</v>
      </c>
      <c r="I995" t="s">
        <v>624</v>
      </c>
      <c r="J995" t="s">
        <v>625</v>
      </c>
      <c r="L995" s="5">
        <v>41278</v>
      </c>
      <c r="M995" s="5">
        <v>41340</v>
      </c>
      <c r="N995" s="2">
        <f>HYPERLINK(URLs!B36 &amp; 12362,12362)</f>
        <v>12362</v>
      </c>
      <c r="O995" t="s">
        <v>666</v>
      </c>
      <c r="P995" t="s">
        <v>621</v>
      </c>
      <c r="Q995" t="s">
        <v>1458</v>
      </c>
    </row>
    <row r="996" spans="2:23" hidden="1" x14ac:dyDescent="0.25">
      <c r="B996" s="2">
        <f>HYPERLINK(URLs!B30 &amp; 3645 &amp; URLs!B32,3645)</f>
        <v>3645</v>
      </c>
      <c r="C996" t="s">
        <v>665</v>
      </c>
      <c r="D996" t="s">
        <v>619</v>
      </c>
      <c r="E996" t="s">
        <v>850</v>
      </c>
      <c r="F996" t="s">
        <v>621</v>
      </c>
      <c r="G996" t="s">
        <v>1407</v>
      </c>
      <c r="H996" t="s">
        <v>890</v>
      </c>
      <c r="I996" t="s">
        <v>624</v>
      </c>
      <c r="J996" t="s">
        <v>629</v>
      </c>
      <c r="L996" s="5">
        <v>41277</v>
      </c>
      <c r="M996" s="5">
        <v>41465</v>
      </c>
      <c r="N996" s="2">
        <f>HYPERLINK(URLs!B36 &amp; 12322,12322)</f>
        <v>12322</v>
      </c>
      <c r="O996" t="s">
        <v>666</v>
      </c>
      <c r="P996" t="s">
        <v>621</v>
      </c>
      <c r="Q996" t="s">
        <v>1459</v>
      </c>
    </row>
    <row r="997" spans="2:23" hidden="1" x14ac:dyDescent="0.25">
      <c r="B997" s="2">
        <f>HYPERLINK(URLs!B30 &amp; 3633 &amp; URLs!B32,3633)</f>
        <v>3633</v>
      </c>
      <c r="C997" t="s">
        <v>665</v>
      </c>
      <c r="D997" t="s">
        <v>619</v>
      </c>
      <c r="E997" t="s">
        <v>850</v>
      </c>
      <c r="F997" t="s">
        <v>621</v>
      </c>
      <c r="G997" t="s">
        <v>962</v>
      </c>
      <c r="H997" t="s">
        <v>887</v>
      </c>
      <c r="I997" t="s">
        <v>624</v>
      </c>
      <c r="J997" t="s">
        <v>629</v>
      </c>
      <c r="L997" s="5">
        <v>41261</v>
      </c>
      <c r="M997" s="5">
        <v>41465</v>
      </c>
      <c r="N997" s="2">
        <f>HYPERLINK(URLs!B36 &amp; 12291,12291)</f>
        <v>12291</v>
      </c>
      <c r="O997" t="s">
        <v>666</v>
      </c>
      <c r="P997" t="s">
        <v>621</v>
      </c>
      <c r="Q997" t="s">
        <v>1460</v>
      </c>
      <c r="W997">
        <v>1</v>
      </c>
    </row>
    <row r="998" spans="2:23" hidden="1" x14ac:dyDescent="0.25">
      <c r="B998" s="2">
        <f>HYPERLINK(URLs!B30 &amp; 3615 &amp; URLs!B32,3615)</f>
        <v>3615</v>
      </c>
      <c r="C998" t="s">
        <v>633</v>
      </c>
      <c r="D998" t="s">
        <v>619</v>
      </c>
      <c r="E998" t="s">
        <v>850</v>
      </c>
      <c r="F998" t="s">
        <v>1461</v>
      </c>
      <c r="G998" t="s">
        <v>962</v>
      </c>
      <c r="H998" t="s">
        <v>887</v>
      </c>
      <c r="I998" t="s">
        <v>624</v>
      </c>
      <c r="J998" t="s">
        <v>629</v>
      </c>
      <c r="L998" s="5">
        <v>41250</v>
      </c>
      <c r="M998" s="5">
        <v>41465</v>
      </c>
      <c r="N998" s="2">
        <f>HYPERLINK(URLs!B36 &amp; 12331,12331)</f>
        <v>12331</v>
      </c>
      <c r="O998" t="s">
        <v>666</v>
      </c>
      <c r="P998" t="s">
        <v>621</v>
      </c>
      <c r="Q998" t="s">
        <v>1462</v>
      </c>
      <c r="W998">
        <v>1</v>
      </c>
    </row>
    <row r="999" spans="2:23" hidden="1" x14ac:dyDescent="0.25">
      <c r="B999" s="2">
        <f>HYPERLINK(URLs!B30 &amp; 3614 &amp; URLs!B32,3614)</f>
        <v>3614</v>
      </c>
      <c r="C999" t="s">
        <v>633</v>
      </c>
      <c r="D999" t="s">
        <v>619</v>
      </c>
      <c r="E999" t="s">
        <v>850</v>
      </c>
      <c r="F999" t="s">
        <v>621</v>
      </c>
      <c r="G999" t="s">
        <v>962</v>
      </c>
      <c r="H999" t="s">
        <v>887</v>
      </c>
      <c r="I999" t="s">
        <v>624</v>
      </c>
      <c r="J999" t="s">
        <v>625</v>
      </c>
      <c r="L999" s="5">
        <v>41250</v>
      </c>
      <c r="M999" s="5">
        <v>41298</v>
      </c>
      <c r="N999" t="s">
        <v>621</v>
      </c>
      <c r="O999" t="s">
        <v>680</v>
      </c>
      <c r="P999" t="s">
        <v>621</v>
      </c>
      <c r="Q999" t="s">
        <v>1463</v>
      </c>
    </row>
    <row r="1000" spans="2:23" hidden="1" x14ac:dyDescent="0.25">
      <c r="B1000" s="2">
        <f>HYPERLINK(URLs!B30 &amp; 3613 &amp; URLs!B32,3613)</f>
        <v>3613</v>
      </c>
      <c r="C1000" t="s">
        <v>665</v>
      </c>
      <c r="D1000" t="s">
        <v>619</v>
      </c>
      <c r="E1000" t="s">
        <v>850</v>
      </c>
      <c r="F1000" t="s">
        <v>621</v>
      </c>
      <c r="G1000" t="s">
        <v>962</v>
      </c>
      <c r="H1000" t="s">
        <v>887</v>
      </c>
      <c r="I1000" t="s">
        <v>624</v>
      </c>
      <c r="J1000" t="s">
        <v>629</v>
      </c>
      <c r="L1000" s="5">
        <v>41250</v>
      </c>
      <c r="M1000" s="5">
        <v>41465</v>
      </c>
      <c r="N1000" s="2">
        <f>HYPERLINK(URLs!B36 &amp; 12333,12333)</f>
        <v>12333</v>
      </c>
      <c r="O1000" t="s">
        <v>666</v>
      </c>
      <c r="P1000" t="s">
        <v>621</v>
      </c>
      <c r="Q1000" t="s">
        <v>1464</v>
      </c>
    </row>
    <row r="1001" spans="2:23" hidden="1" x14ac:dyDescent="0.25">
      <c r="B1001" s="2">
        <f>HYPERLINK(URLs!B30 &amp; 3612 &amp; URLs!B32,3612)</f>
        <v>3612</v>
      </c>
      <c r="C1001" t="s">
        <v>633</v>
      </c>
      <c r="D1001" t="s">
        <v>619</v>
      </c>
      <c r="E1001" t="s">
        <v>850</v>
      </c>
      <c r="F1001" t="s">
        <v>621</v>
      </c>
      <c r="G1001" t="s">
        <v>962</v>
      </c>
      <c r="H1001" t="s">
        <v>887</v>
      </c>
      <c r="I1001" t="s">
        <v>624</v>
      </c>
      <c r="J1001" t="s">
        <v>629</v>
      </c>
      <c r="L1001" s="5">
        <v>41250</v>
      </c>
      <c r="M1001" s="5">
        <v>41465</v>
      </c>
      <c r="N1001" s="2">
        <f>HYPERLINK(URLs!B36 &amp; 12335,12335)</f>
        <v>12335</v>
      </c>
      <c r="O1001" t="s">
        <v>666</v>
      </c>
      <c r="P1001" t="s">
        <v>621</v>
      </c>
      <c r="Q1001" t="s">
        <v>1465</v>
      </c>
    </row>
    <row r="1002" spans="2:23" hidden="1" x14ac:dyDescent="0.25">
      <c r="B1002" s="2">
        <f>HYPERLINK(URLs!B30 &amp; 3585 &amp; URLs!B32,3585)</f>
        <v>3585</v>
      </c>
      <c r="C1002" t="s">
        <v>665</v>
      </c>
      <c r="D1002" t="s">
        <v>619</v>
      </c>
      <c r="E1002" t="s">
        <v>850</v>
      </c>
      <c r="F1002" t="s">
        <v>621</v>
      </c>
      <c r="G1002" t="s">
        <v>889</v>
      </c>
      <c r="H1002" t="s">
        <v>890</v>
      </c>
      <c r="I1002" t="s">
        <v>624</v>
      </c>
      <c r="J1002" t="s">
        <v>642</v>
      </c>
      <c r="L1002" s="5">
        <v>41243</v>
      </c>
      <c r="M1002" s="5">
        <v>41340</v>
      </c>
      <c r="N1002" s="2">
        <f>HYPERLINK(URLs!B36 &amp; 12336,12336)</f>
        <v>12336</v>
      </c>
      <c r="O1002" t="s">
        <v>666</v>
      </c>
      <c r="P1002" t="s">
        <v>621</v>
      </c>
      <c r="Q1002" t="s">
        <v>1466</v>
      </c>
    </row>
    <row r="1003" spans="2:23" hidden="1" x14ac:dyDescent="0.25">
      <c r="B1003" s="2">
        <f>HYPERLINK(URLs!B30 &amp; 3584 &amp; URLs!B32,3584)</f>
        <v>3584</v>
      </c>
      <c r="C1003" t="s">
        <v>665</v>
      </c>
      <c r="D1003" t="s">
        <v>619</v>
      </c>
      <c r="E1003" t="s">
        <v>850</v>
      </c>
      <c r="F1003" t="s">
        <v>621</v>
      </c>
      <c r="G1003" t="s">
        <v>715</v>
      </c>
      <c r="H1003" t="s">
        <v>715</v>
      </c>
      <c r="I1003" t="s">
        <v>624</v>
      </c>
      <c r="J1003" t="s">
        <v>629</v>
      </c>
      <c r="L1003" s="5">
        <v>41185</v>
      </c>
      <c r="M1003" s="5">
        <v>41211</v>
      </c>
      <c r="N1003" s="2">
        <f>HYPERLINK(URLs!B36 &amp; 12337,12337)</f>
        <v>12337</v>
      </c>
      <c r="O1003" t="s">
        <v>666</v>
      </c>
      <c r="P1003" t="s">
        <v>621</v>
      </c>
      <c r="Q1003" t="s">
        <v>1467</v>
      </c>
    </row>
    <row r="1004" spans="2:23" hidden="1" x14ac:dyDescent="0.25">
      <c r="B1004" s="2">
        <f>HYPERLINK(URLs!B30 &amp; 3577 &amp; URLs!B32,3577)</f>
        <v>3577</v>
      </c>
      <c r="C1004" t="s">
        <v>665</v>
      </c>
      <c r="D1004" t="s">
        <v>619</v>
      </c>
      <c r="E1004" t="s">
        <v>850</v>
      </c>
      <c r="F1004" t="s">
        <v>621</v>
      </c>
      <c r="G1004" t="s">
        <v>962</v>
      </c>
      <c r="H1004" t="s">
        <v>887</v>
      </c>
      <c r="I1004" t="s">
        <v>624</v>
      </c>
      <c r="J1004" t="s">
        <v>629</v>
      </c>
      <c r="L1004" s="5">
        <v>41242</v>
      </c>
      <c r="M1004" s="5">
        <v>41465</v>
      </c>
      <c r="N1004" s="2">
        <f>HYPERLINK(URLs!B36 &amp; 12237,12237)</f>
        <v>12237</v>
      </c>
      <c r="O1004" t="s">
        <v>666</v>
      </c>
      <c r="P1004" t="s">
        <v>621</v>
      </c>
      <c r="Q1004" t="s">
        <v>1468</v>
      </c>
      <c r="W1004">
        <v>1</v>
      </c>
    </row>
    <row r="1005" spans="2:23" hidden="1" x14ac:dyDescent="0.25">
      <c r="B1005" s="2">
        <f>HYPERLINK(URLs!B30 &amp; 3569 &amp; URLs!B32,3569)</f>
        <v>3569</v>
      </c>
      <c r="C1005" t="s">
        <v>665</v>
      </c>
      <c r="D1005" t="s">
        <v>619</v>
      </c>
      <c r="E1005" t="s">
        <v>850</v>
      </c>
      <c r="F1005" t="s">
        <v>621</v>
      </c>
      <c r="G1005" t="s">
        <v>962</v>
      </c>
      <c r="H1005" t="s">
        <v>887</v>
      </c>
      <c r="I1005" t="s">
        <v>624</v>
      </c>
      <c r="J1005" t="s">
        <v>629</v>
      </c>
      <c r="L1005" s="5">
        <v>41239</v>
      </c>
      <c r="M1005" s="5">
        <v>41340</v>
      </c>
      <c r="N1005" s="2">
        <f>HYPERLINK(URLs!B36 &amp; 11975,11975)</f>
        <v>11975</v>
      </c>
      <c r="O1005" t="s">
        <v>666</v>
      </c>
      <c r="P1005" t="s">
        <v>621</v>
      </c>
      <c r="Q1005" t="s">
        <v>1469</v>
      </c>
    </row>
    <row r="1006" spans="2:23" hidden="1" x14ac:dyDescent="0.25">
      <c r="B1006" s="2">
        <f>HYPERLINK(URLs!B30 &amp; 3557 &amp; URLs!B32,3557)</f>
        <v>3557</v>
      </c>
      <c r="C1006" t="s">
        <v>665</v>
      </c>
      <c r="D1006" t="s">
        <v>619</v>
      </c>
      <c r="E1006" t="s">
        <v>850</v>
      </c>
      <c r="F1006" t="s">
        <v>621</v>
      </c>
      <c r="G1006" t="s">
        <v>889</v>
      </c>
      <c r="H1006" t="s">
        <v>890</v>
      </c>
      <c r="I1006" t="s">
        <v>624</v>
      </c>
      <c r="J1006" t="s">
        <v>625</v>
      </c>
      <c r="L1006" s="5">
        <v>41228</v>
      </c>
      <c r="M1006" s="5">
        <v>41340</v>
      </c>
      <c r="N1006" s="2">
        <f>HYPERLINK(URLs!B36 &amp; 12332,12332)</f>
        <v>12332</v>
      </c>
      <c r="O1006" t="s">
        <v>666</v>
      </c>
      <c r="P1006" t="s">
        <v>621</v>
      </c>
      <c r="Q1006" t="s">
        <v>1470</v>
      </c>
    </row>
    <row r="1007" spans="2:23" hidden="1" x14ac:dyDescent="0.25">
      <c r="B1007" s="2">
        <f>HYPERLINK(URLs!B30 &amp; 3526 &amp; URLs!B32,3526)</f>
        <v>3526</v>
      </c>
      <c r="C1007" t="s">
        <v>665</v>
      </c>
      <c r="D1007" t="s">
        <v>619</v>
      </c>
      <c r="E1007" t="s">
        <v>850</v>
      </c>
      <c r="F1007" t="s">
        <v>621</v>
      </c>
      <c r="G1007" t="s">
        <v>889</v>
      </c>
      <c r="H1007" t="s">
        <v>890</v>
      </c>
      <c r="I1007" t="s">
        <v>624</v>
      </c>
      <c r="J1007" t="s">
        <v>642</v>
      </c>
      <c r="L1007" s="5">
        <v>41212</v>
      </c>
      <c r="M1007" s="5">
        <v>41340</v>
      </c>
      <c r="N1007" s="2">
        <f>HYPERLINK(URLs!B36 &amp; 11690,11690)</f>
        <v>11690</v>
      </c>
      <c r="O1007" t="s">
        <v>645</v>
      </c>
      <c r="P1007" t="s">
        <v>621</v>
      </c>
      <c r="Q1007" t="s">
        <v>1471</v>
      </c>
    </row>
    <row r="1008" spans="2:23" hidden="1" x14ac:dyDescent="0.25">
      <c r="B1008" s="2">
        <f>HYPERLINK(URLs!B30 &amp; 3513 &amp; URLs!B32,3513)</f>
        <v>3513</v>
      </c>
      <c r="C1008" t="s">
        <v>633</v>
      </c>
      <c r="D1008" t="s">
        <v>619</v>
      </c>
      <c r="E1008" t="s">
        <v>850</v>
      </c>
      <c r="F1008" t="s">
        <v>621</v>
      </c>
      <c r="G1008" t="s">
        <v>1407</v>
      </c>
      <c r="H1008" t="s">
        <v>890</v>
      </c>
      <c r="I1008" t="s">
        <v>624</v>
      </c>
      <c r="J1008" t="s">
        <v>625</v>
      </c>
      <c r="L1008" s="5">
        <v>41208</v>
      </c>
      <c r="M1008" s="5">
        <v>41340</v>
      </c>
      <c r="N1008" s="2">
        <f>HYPERLINK(URLs!B36 &amp; 11445,11445)</f>
        <v>11445</v>
      </c>
      <c r="O1008" t="s">
        <v>666</v>
      </c>
      <c r="P1008" t="s">
        <v>621</v>
      </c>
      <c r="Q1008" t="s">
        <v>1472</v>
      </c>
    </row>
    <row r="1009" spans="2:24" hidden="1" x14ac:dyDescent="0.25">
      <c r="B1009" s="2">
        <f>HYPERLINK(URLs!B30 &amp; 3478 &amp; URLs!B32,3478)</f>
        <v>3478</v>
      </c>
      <c r="C1009" t="s">
        <v>665</v>
      </c>
      <c r="D1009" t="s">
        <v>619</v>
      </c>
      <c r="E1009" t="s">
        <v>850</v>
      </c>
      <c r="F1009" t="s">
        <v>621</v>
      </c>
      <c r="G1009" t="s">
        <v>889</v>
      </c>
      <c r="H1009" t="s">
        <v>890</v>
      </c>
      <c r="I1009" t="s">
        <v>624</v>
      </c>
      <c r="J1009" t="s">
        <v>625</v>
      </c>
      <c r="L1009" s="5">
        <v>41187</v>
      </c>
      <c r="M1009" s="5">
        <v>41340</v>
      </c>
      <c r="N1009" s="2">
        <f>HYPERLINK(URLs!B36 &amp; 11174,11174)</f>
        <v>11174</v>
      </c>
      <c r="O1009" t="s">
        <v>666</v>
      </c>
      <c r="P1009" t="s">
        <v>621</v>
      </c>
      <c r="Q1009" t="s">
        <v>1473</v>
      </c>
      <c r="W1009">
        <v>1</v>
      </c>
    </row>
    <row r="1010" spans="2:24" hidden="1" x14ac:dyDescent="0.25">
      <c r="B1010" s="2">
        <f>HYPERLINK(URLs!B30 &amp; 3385 &amp; URLs!B32,3385)</f>
        <v>3385</v>
      </c>
      <c r="C1010" t="s">
        <v>665</v>
      </c>
      <c r="D1010" t="s">
        <v>619</v>
      </c>
      <c r="E1010" t="s">
        <v>850</v>
      </c>
      <c r="F1010" t="s">
        <v>621</v>
      </c>
      <c r="G1010" t="s">
        <v>962</v>
      </c>
      <c r="H1010" t="s">
        <v>887</v>
      </c>
      <c r="I1010" t="s">
        <v>624</v>
      </c>
      <c r="J1010" t="s">
        <v>625</v>
      </c>
      <c r="L1010" s="5">
        <v>41163</v>
      </c>
      <c r="M1010" s="5">
        <v>41340</v>
      </c>
      <c r="N1010" s="2">
        <f>HYPERLINK(URLs!B36 &amp; 10502,10502)</f>
        <v>10502</v>
      </c>
      <c r="O1010" t="s">
        <v>666</v>
      </c>
      <c r="P1010" t="s">
        <v>621</v>
      </c>
      <c r="Q1010" t="s">
        <v>1474</v>
      </c>
      <c r="W1010">
        <v>1</v>
      </c>
    </row>
    <row r="1011" spans="2:24" hidden="1" x14ac:dyDescent="0.25">
      <c r="B1011" s="2">
        <f>HYPERLINK(URLs!B30 &amp; 3380 &amp; URLs!B32,3380)</f>
        <v>3380</v>
      </c>
      <c r="C1011" t="s">
        <v>665</v>
      </c>
      <c r="D1011" t="s">
        <v>619</v>
      </c>
      <c r="E1011" t="s">
        <v>850</v>
      </c>
      <c r="F1011" t="s">
        <v>621</v>
      </c>
      <c r="G1011" t="s">
        <v>889</v>
      </c>
      <c r="H1011" t="s">
        <v>890</v>
      </c>
      <c r="I1011" t="s">
        <v>624</v>
      </c>
      <c r="J1011" t="s">
        <v>629</v>
      </c>
      <c r="L1011" s="5">
        <v>41162</v>
      </c>
      <c r="M1011" s="5">
        <v>41465</v>
      </c>
      <c r="N1011" s="2">
        <f>HYPERLINK(URLs!B36 &amp; 12232,12232)</f>
        <v>12232</v>
      </c>
      <c r="O1011" t="s">
        <v>666</v>
      </c>
      <c r="P1011" t="s">
        <v>621</v>
      </c>
      <c r="Q1011" t="s">
        <v>1475</v>
      </c>
    </row>
    <row r="1012" spans="2:24" hidden="1" x14ac:dyDescent="0.25">
      <c r="B1012" s="2">
        <f>HYPERLINK(URLs!B30 &amp; 3377 &amp; URLs!B32,3377)</f>
        <v>3377</v>
      </c>
      <c r="C1012" t="s">
        <v>665</v>
      </c>
      <c r="D1012" t="s">
        <v>619</v>
      </c>
      <c r="E1012" t="s">
        <v>850</v>
      </c>
      <c r="F1012" t="s">
        <v>621</v>
      </c>
      <c r="G1012" t="s">
        <v>889</v>
      </c>
      <c r="H1012" t="s">
        <v>890</v>
      </c>
      <c r="I1012" t="s">
        <v>624</v>
      </c>
      <c r="J1012" t="s">
        <v>629</v>
      </c>
      <c r="L1012" s="5">
        <v>41159</v>
      </c>
      <c r="M1012" s="5">
        <v>41340</v>
      </c>
      <c r="N1012" s="2">
        <f>HYPERLINK(URLs!B36 &amp; 10218,10218)</f>
        <v>10218</v>
      </c>
      <c r="O1012" t="s">
        <v>666</v>
      </c>
      <c r="P1012" t="s">
        <v>621</v>
      </c>
      <c r="Q1012" t="s">
        <v>1476</v>
      </c>
    </row>
    <row r="1013" spans="2:24" hidden="1" x14ac:dyDescent="0.25">
      <c r="B1013" s="2">
        <f>HYPERLINK(URLs!B30 &amp; 3353 &amp; URLs!B32,3353)</f>
        <v>3353</v>
      </c>
      <c r="C1013" t="s">
        <v>633</v>
      </c>
      <c r="D1013" t="s">
        <v>619</v>
      </c>
      <c r="E1013" t="s">
        <v>850</v>
      </c>
      <c r="F1013" t="s">
        <v>621</v>
      </c>
      <c r="G1013" t="s">
        <v>889</v>
      </c>
      <c r="H1013" t="s">
        <v>890</v>
      </c>
      <c r="I1013" t="s">
        <v>624</v>
      </c>
      <c r="J1013" t="s">
        <v>629</v>
      </c>
      <c r="L1013" s="5">
        <v>41150</v>
      </c>
      <c r="M1013" s="5">
        <v>41340</v>
      </c>
      <c r="N1013" s="2">
        <f>HYPERLINK(URLs!B36 &amp; 8212,8212)</f>
        <v>8212</v>
      </c>
      <c r="O1013" t="s">
        <v>666</v>
      </c>
      <c r="P1013" t="s">
        <v>621</v>
      </c>
      <c r="Q1013" t="s">
        <v>1477</v>
      </c>
    </row>
    <row r="1014" spans="2:24" hidden="1" x14ac:dyDescent="0.25">
      <c r="B1014" s="2">
        <f>HYPERLINK(URLs!B30 &amp; 3351 &amp; URLs!B32,3351)</f>
        <v>3351</v>
      </c>
      <c r="C1014" t="s">
        <v>665</v>
      </c>
      <c r="D1014" t="s">
        <v>619</v>
      </c>
      <c r="E1014" t="s">
        <v>850</v>
      </c>
      <c r="F1014" t="s">
        <v>1478</v>
      </c>
      <c r="G1014" t="s">
        <v>1402</v>
      </c>
      <c r="H1014" t="s">
        <v>890</v>
      </c>
      <c r="I1014" t="s">
        <v>624</v>
      </c>
      <c r="J1014" t="s">
        <v>625</v>
      </c>
      <c r="L1014" s="5">
        <v>41150</v>
      </c>
      <c r="M1014" s="5">
        <v>41340</v>
      </c>
      <c r="N1014" s="2">
        <f>HYPERLINK(URLs!B36 &amp; 12149,12149)</f>
        <v>12149</v>
      </c>
      <c r="O1014" t="s">
        <v>666</v>
      </c>
      <c r="P1014" t="s">
        <v>621</v>
      </c>
      <c r="Q1014" t="s">
        <v>1479</v>
      </c>
      <c r="W1014">
        <v>1</v>
      </c>
    </row>
    <row r="1015" spans="2:24" hidden="1" x14ac:dyDescent="0.25">
      <c r="B1015" s="2">
        <f>HYPERLINK(URLs!B30 &amp; 3342 &amp; URLs!B32,3342)</f>
        <v>3342</v>
      </c>
      <c r="C1015" t="s">
        <v>665</v>
      </c>
      <c r="D1015" t="s">
        <v>619</v>
      </c>
      <c r="E1015" t="s">
        <v>850</v>
      </c>
      <c r="F1015" t="s">
        <v>621</v>
      </c>
      <c r="G1015" t="s">
        <v>889</v>
      </c>
      <c r="H1015" t="s">
        <v>890</v>
      </c>
      <c r="I1015" t="s">
        <v>624</v>
      </c>
      <c r="J1015" t="s">
        <v>629</v>
      </c>
      <c r="L1015" s="5">
        <v>41138</v>
      </c>
      <c r="M1015" s="5">
        <v>41575</v>
      </c>
      <c r="N1015" s="2">
        <f>HYPERLINK(URLs!B36 &amp; 10460,10460)</f>
        <v>10460</v>
      </c>
      <c r="O1015" t="s">
        <v>666</v>
      </c>
      <c r="P1015" t="s">
        <v>621</v>
      </c>
      <c r="Q1015" t="s">
        <v>1480</v>
      </c>
    </row>
    <row r="1016" spans="2:24" hidden="1" x14ac:dyDescent="0.25">
      <c r="B1016" s="2">
        <f>HYPERLINK(URLs!B30 &amp; 3341 &amp; URLs!B32,3341)</f>
        <v>3341</v>
      </c>
      <c r="C1016" t="s">
        <v>665</v>
      </c>
      <c r="D1016" t="s">
        <v>619</v>
      </c>
      <c r="E1016" t="s">
        <v>850</v>
      </c>
      <c r="F1016" t="s">
        <v>621</v>
      </c>
      <c r="G1016" t="s">
        <v>889</v>
      </c>
      <c r="H1016" t="s">
        <v>890</v>
      </c>
      <c r="I1016" t="s">
        <v>624</v>
      </c>
      <c r="J1016" t="s">
        <v>629</v>
      </c>
      <c r="L1016" s="5">
        <v>41138</v>
      </c>
      <c r="M1016" s="5">
        <v>41162</v>
      </c>
      <c r="N1016" s="2">
        <f>HYPERLINK(URLs!B36 &amp; 9995,9995)</f>
        <v>9995</v>
      </c>
      <c r="O1016" t="s">
        <v>1360</v>
      </c>
      <c r="P1016" t="s">
        <v>621</v>
      </c>
      <c r="Q1016" t="s">
        <v>1481</v>
      </c>
    </row>
    <row r="1017" spans="2:24" hidden="1" x14ac:dyDescent="0.25">
      <c r="B1017" s="2">
        <f>HYPERLINK(URLs!B30 &amp; 3333 &amp; URLs!B32,3333)</f>
        <v>3333</v>
      </c>
      <c r="C1017" t="s">
        <v>633</v>
      </c>
      <c r="D1017" t="s">
        <v>619</v>
      </c>
      <c r="E1017" t="s">
        <v>850</v>
      </c>
      <c r="F1017" t="s">
        <v>621</v>
      </c>
      <c r="G1017" t="s">
        <v>962</v>
      </c>
      <c r="H1017" t="s">
        <v>887</v>
      </c>
      <c r="I1017" t="s">
        <v>624</v>
      </c>
      <c r="J1017" t="s">
        <v>625</v>
      </c>
      <c r="L1017" s="5">
        <v>41131</v>
      </c>
      <c r="M1017" s="5">
        <v>41340</v>
      </c>
      <c r="N1017" s="2">
        <f>HYPERLINK(URLs!B36 &amp; 10690,10690)</f>
        <v>10690</v>
      </c>
      <c r="O1017" t="s">
        <v>666</v>
      </c>
      <c r="P1017" t="s">
        <v>621</v>
      </c>
      <c r="Q1017" t="s">
        <v>1482</v>
      </c>
    </row>
    <row r="1018" spans="2:24" hidden="1" x14ac:dyDescent="0.25">
      <c r="B1018" s="2">
        <f>HYPERLINK(URLs!B30 &amp; 3332 &amp; URLs!B32,3332)</f>
        <v>3332</v>
      </c>
      <c r="C1018" t="s">
        <v>665</v>
      </c>
      <c r="D1018" t="s">
        <v>619</v>
      </c>
      <c r="E1018" t="s">
        <v>850</v>
      </c>
      <c r="F1018" t="s">
        <v>621</v>
      </c>
      <c r="G1018" t="s">
        <v>1334</v>
      </c>
      <c r="H1018" t="s">
        <v>1260</v>
      </c>
      <c r="I1018" t="s">
        <v>624</v>
      </c>
      <c r="J1018" t="s">
        <v>629</v>
      </c>
      <c r="L1018" s="5">
        <v>41130</v>
      </c>
      <c r="M1018" s="5">
        <v>41340</v>
      </c>
      <c r="N1018" t="s">
        <v>621</v>
      </c>
      <c r="O1018" t="s">
        <v>666</v>
      </c>
      <c r="P1018" t="s">
        <v>621</v>
      </c>
      <c r="Q1018" t="s">
        <v>1483</v>
      </c>
      <c r="W1018">
        <v>1</v>
      </c>
      <c r="X1018">
        <v>1</v>
      </c>
    </row>
    <row r="1019" spans="2:24" hidden="1" x14ac:dyDescent="0.25">
      <c r="B1019" s="2">
        <f>HYPERLINK(URLs!B30 &amp; 3325 &amp; URLs!B32,3325)</f>
        <v>3325</v>
      </c>
      <c r="C1019" t="s">
        <v>665</v>
      </c>
      <c r="D1019" t="s">
        <v>619</v>
      </c>
      <c r="E1019" t="s">
        <v>850</v>
      </c>
      <c r="F1019" t="s">
        <v>621</v>
      </c>
      <c r="G1019" t="s">
        <v>889</v>
      </c>
      <c r="H1019" t="s">
        <v>890</v>
      </c>
      <c r="I1019" t="s">
        <v>624</v>
      </c>
      <c r="J1019" t="s">
        <v>629</v>
      </c>
      <c r="L1019" s="5">
        <v>41127</v>
      </c>
      <c r="M1019" s="5">
        <v>41211</v>
      </c>
      <c r="N1019" s="2">
        <f>HYPERLINK(URLs!B36 &amp; 9995,9995)</f>
        <v>9995</v>
      </c>
      <c r="O1019" t="s">
        <v>666</v>
      </c>
      <c r="P1019" t="s">
        <v>621</v>
      </c>
      <c r="Q1019" t="s">
        <v>1481</v>
      </c>
    </row>
    <row r="1020" spans="2:24" hidden="1" x14ac:dyDescent="0.25">
      <c r="B1020" s="2">
        <f>HYPERLINK(URLs!B30 &amp; 3288 &amp; URLs!B32,3288)</f>
        <v>3288</v>
      </c>
      <c r="C1020" t="s">
        <v>633</v>
      </c>
      <c r="D1020" t="s">
        <v>619</v>
      </c>
      <c r="E1020" t="s">
        <v>850</v>
      </c>
      <c r="F1020" t="s">
        <v>621</v>
      </c>
      <c r="G1020" t="s">
        <v>1407</v>
      </c>
      <c r="H1020" t="s">
        <v>890</v>
      </c>
      <c r="I1020" t="s">
        <v>624</v>
      </c>
      <c r="J1020" t="s">
        <v>629</v>
      </c>
      <c r="L1020" s="5">
        <v>41110</v>
      </c>
      <c r="M1020" s="5">
        <v>41465</v>
      </c>
      <c r="N1020" s="2">
        <f>HYPERLINK(URLs!B36 &amp; 12234,12234)</f>
        <v>12234</v>
      </c>
      <c r="O1020" t="s">
        <v>666</v>
      </c>
      <c r="P1020" t="s">
        <v>621</v>
      </c>
      <c r="Q1020" t="s">
        <v>1484</v>
      </c>
    </row>
    <row r="1021" spans="2:24" hidden="1" x14ac:dyDescent="0.25">
      <c r="B1021" s="2">
        <f>HYPERLINK(URLs!B30 &amp; 3272 &amp; URLs!B32,3272)</f>
        <v>3272</v>
      </c>
      <c r="C1021" t="s">
        <v>633</v>
      </c>
      <c r="D1021" t="s">
        <v>619</v>
      </c>
      <c r="E1021" t="s">
        <v>850</v>
      </c>
      <c r="F1021" t="s">
        <v>621</v>
      </c>
      <c r="G1021" t="s">
        <v>962</v>
      </c>
      <c r="H1021" t="s">
        <v>887</v>
      </c>
      <c r="I1021" t="s">
        <v>624</v>
      </c>
      <c r="J1021" t="s">
        <v>629</v>
      </c>
      <c r="L1021" s="5">
        <v>41102</v>
      </c>
      <c r="M1021" s="5">
        <v>41465</v>
      </c>
      <c r="N1021" s="2">
        <f>HYPERLINK(URLs!B36 &amp; 12231,12231)</f>
        <v>12231</v>
      </c>
      <c r="O1021" t="s">
        <v>666</v>
      </c>
      <c r="P1021" t="s">
        <v>621</v>
      </c>
      <c r="Q1021" t="s">
        <v>1485</v>
      </c>
      <c r="W1021">
        <v>1</v>
      </c>
    </row>
    <row r="1022" spans="2:24" hidden="1" x14ac:dyDescent="0.25">
      <c r="B1022" s="2">
        <f>HYPERLINK(URLs!B30 &amp; 3233 &amp; URLs!B32,3233)</f>
        <v>3233</v>
      </c>
      <c r="C1022" t="s">
        <v>665</v>
      </c>
      <c r="D1022" t="s">
        <v>619</v>
      </c>
      <c r="E1022" t="s">
        <v>850</v>
      </c>
      <c r="F1022" t="s">
        <v>621</v>
      </c>
      <c r="G1022" t="s">
        <v>1407</v>
      </c>
      <c r="H1022" t="s">
        <v>890</v>
      </c>
      <c r="I1022" t="s">
        <v>624</v>
      </c>
      <c r="J1022" t="s">
        <v>625</v>
      </c>
      <c r="L1022" s="5">
        <v>41075</v>
      </c>
      <c r="M1022" s="5">
        <v>41211</v>
      </c>
      <c r="N1022" s="2">
        <f>HYPERLINK(URLs!B36 &amp; 8009,8009)</f>
        <v>8009</v>
      </c>
      <c r="O1022" t="s">
        <v>666</v>
      </c>
      <c r="P1022" t="s">
        <v>621</v>
      </c>
      <c r="Q1022" t="s">
        <v>1486</v>
      </c>
      <c r="W1022">
        <v>1</v>
      </c>
    </row>
    <row r="1023" spans="2:24" hidden="1" x14ac:dyDescent="0.25">
      <c r="B1023" s="2">
        <f>HYPERLINK(URLs!B30 &amp; 3230 &amp; URLs!B32,3230)</f>
        <v>3230</v>
      </c>
      <c r="C1023" t="s">
        <v>633</v>
      </c>
      <c r="D1023" t="s">
        <v>619</v>
      </c>
      <c r="E1023" t="s">
        <v>850</v>
      </c>
      <c r="F1023" t="s">
        <v>621</v>
      </c>
      <c r="G1023" t="s">
        <v>1407</v>
      </c>
      <c r="H1023" t="s">
        <v>890</v>
      </c>
      <c r="I1023" t="s">
        <v>624</v>
      </c>
      <c r="J1023" t="s">
        <v>629</v>
      </c>
      <c r="L1023" s="5">
        <v>41075</v>
      </c>
      <c r="M1023" s="5">
        <v>41465</v>
      </c>
      <c r="N1023" s="2">
        <f>HYPERLINK(URLs!B36 &amp; 12233,12233)</f>
        <v>12233</v>
      </c>
      <c r="O1023" t="s">
        <v>666</v>
      </c>
      <c r="P1023" t="s">
        <v>621</v>
      </c>
      <c r="Q1023" t="s">
        <v>1487</v>
      </c>
    </row>
    <row r="1024" spans="2:24" hidden="1" x14ac:dyDescent="0.25">
      <c r="B1024" s="2">
        <f>HYPERLINK(URLs!B30 &amp; 3229 &amp; URLs!B32,3229)</f>
        <v>3229</v>
      </c>
      <c r="C1024" t="s">
        <v>633</v>
      </c>
      <c r="D1024" t="s">
        <v>619</v>
      </c>
      <c r="E1024" t="s">
        <v>850</v>
      </c>
      <c r="F1024" t="s">
        <v>621</v>
      </c>
      <c r="G1024" t="s">
        <v>1407</v>
      </c>
      <c r="H1024" t="s">
        <v>890</v>
      </c>
      <c r="I1024" t="s">
        <v>624</v>
      </c>
      <c r="J1024" t="s">
        <v>625</v>
      </c>
      <c r="L1024" s="5">
        <v>41075</v>
      </c>
      <c r="M1024" s="5">
        <v>41211</v>
      </c>
      <c r="N1024" s="2">
        <f>HYPERLINK(URLs!B36 &amp; 9425,9425)</f>
        <v>9425</v>
      </c>
      <c r="O1024" t="s">
        <v>666</v>
      </c>
      <c r="P1024" t="s">
        <v>621</v>
      </c>
      <c r="Q1024" t="s">
        <v>1488</v>
      </c>
    </row>
    <row r="1025" spans="2:23" hidden="1" x14ac:dyDescent="0.25">
      <c r="B1025" s="2">
        <f>HYPERLINK(URLs!B30 &amp; 3222 &amp; URLs!B32,3222)</f>
        <v>3222</v>
      </c>
      <c r="C1025" t="s">
        <v>665</v>
      </c>
      <c r="D1025" t="s">
        <v>619</v>
      </c>
      <c r="E1025" t="s">
        <v>850</v>
      </c>
      <c r="F1025" t="s">
        <v>621</v>
      </c>
      <c r="G1025" t="s">
        <v>889</v>
      </c>
      <c r="H1025" t="s">
        <v>890</v>
      </c>
      <c r="I1025" t="s">
        <v>624</v>
      </c>
      <c r="J1025" t="s">
        <v>625</v>
      </c>
      <c r="L1025" s="5">
        <v>41074</v>
      </c>
      <c r="M1025" s="5">
        <v>41340</v>
      </c>
      <c r="N1025" s="2">
        <f>HYPERLINK(URLs!B36 &amp; 10955,10955)</f>
        <v>10955</v>
      </c>
      <c r="O1025" t="s">
        <v>666</v>
      </c>
      <c r="P1025" t="s">
        <v>621</v>
      </c>
      <c r="Q1025" t="s">
        <v>1489</v>
      </c>
      <c r="W1025">
        <v>1</v>
      </c>
    </row>
    <row r="1026" spans="2:23" hidden="1" x14ac:dyDescent="0.25">
      <c r="B1026" s="2">
        <f>HYPERLINK(URLs!B30 &amp; 3212 &amp; URLs!B32,3212)</f>
        <v>3212</v>
      </c>
      <c r="C1026" t="s">
        <v>633</v>
      </c>
      <c r="D1026" t="s">
        <v>619</v>
      </c>
      <c r="E1026" t="s">
        <v>850</v>
      </c>
      <c r="F1026" t="s">
        <v>621</v>
      </c>
      <c r="G1026" t="s">
        <v>889</v>
      </c>
      <c r="H1026" t="s">
        <v>890</v>
      </c>
      <c r="I1026" t="s">
        <v>624</v>
      </c>
      <c r="J1026" t="s">
        <v>625</v>
      </c>
      <c r="L1026" s="5">
        <v>41068.665046296293</v>
      </c>
      <c r="M1026" s="5">
        <v>41211</v>
      </c>
      <c r="N1026" s="2">
        <f>HYPERLINK(URLs!B36 &amp; 9310,9310)</f>
        <v>9310</v>
      </c>
      <c r="O1026" t="s">
        <v>666</v>
      </c>
      <c r="P1026" t="s">
        <v>621</v>
      </c>
      <c r="Q1026" t="s">
        <v>1490</v>
      </c>
    </row>
    <row r="1027" spans="2:23" hidden="1" x14ac:dyDescent="0.25">
      <c r="B1027" s="2">
        <f>HYPERLINK(URLs!B30 &amp; 3165 &amp; URLs!B32,3165)</f>
        <v>3165</v>
      </c>
      <c r="C1027" t="s">
        <v>633</v>
      </c>
      <c r="D1027" t="s">
        <v>619</v>
      </c>
      <c r="E1027" t="s">
        <v>850</v>
      </c>
      <c r="F1027" t="s">
        <v>621</v>
      </c>
      <c r="G1027" t="s">
        <v>889</v>
      </c>
      <c r="H1027" t="s">
        <v>890</v>
      </c>
      <c r="I1027" t="s">
        <v>624</v>
      </c>
      <c r="J1027" t="s">
        <v>629</v>
      </c>
      <c r="L1027" s="5">
        <v>41036</v>
      </c>
      <c r="M1027" s="5">
        <v>41211</v>
      </c>
      <c r="N1027" s="2">
        <f>HYPERLINK(URLs!B36 &amp; 8773,8773)</f>
        <v>8773</v>
      </c>
      <c r="O1027" t="s">
        <v>666</v>
      </c>
      <c r="P1027" t="s">
        <v>621</v>
      </c>
      <c r="Q1027" t="s">
        <v>1491</v>
      </c>
    </row>
    <row r="1028" spans="2:23" hidden="1" x14ac:dyDescent="0.25">
      <c r="B1028" s="2">
        <f>HYPERLINK(URLs!B30 &amp; 3145 &amp; URLs!B32,3145)</f>
        <v>3145</v>
      </c>
      <c r="C1028" t="s">
        <v>665</v>
      </c>
      <c r="D1028" t="s">
        <v>619</v>
      </c>
      <c r="E1028" t="s">
        <v>850</v>
      </c>
      <c r="F1028" t="s">
        <v>621</v>
      </c>
      <c r="G1028" t="s">
        <v>889</v>
      </c>
      <c r="H1028" t="s">
        <v>890</v>
      </c>
      <c r="I1028" t="s">
        <v>624</v>
      </c>
      <c r="J1028" t="s">
        <v>625</v>
      </c>
      <c r="L1028" s="5">
        <v>41026</v>
      </c>
      <c r="M1028" s="5">
        <v>41211</v>
      </c>
      <c r="N1028" s="2">
        <f>HYPERLINK(URLs!B36 &amp; 8884,8884)</f>
        <v>8884</v>
      </c>
      <c r="O1028" t="s">
        <v>666</v>
      </c>
      <c r="P1028" t="s">
        <v>621</v>
      </c>
      <c r="Q1028" t="s">
        <v>1492</v>
      </c>
    </row>
    <row r="1029" spans="2:23" hidden="1" x14ac:dyDescent="0.25">
      <c r="B1029" s="2">
        <f>HYPERLINK(URLs!B30 &amp; 3134 &amp; URLs!B32,3134)</f>
        <v>3134</v>
      </c>
      <c r="C1029" t="s">
        <v>633</v>
      </c>
      <c r="D1029" t="s">
        <v>619</v>
      </c>
      <c r="E1029" t="s">
        <v>850</v>
      </c>
      <c r="F1029" t="s">
        <v>621</v>
      </c>
      <c r="G1029" t="s">
        <v>889</v>
      </c>
      <c r="H1029" t="s">
        <v>890</v>
      </c>
      <c r="I1029" t="s">
        <v>624</v>
      </c>
      <c r="J1029" t="s">
        <v>629</v>
      </c>
      <c r="L1029" s="5">
        <v>41019.296354166669</v>
      </c>
      <c r="M1029" s="5">
        <v>41166</v>
      </c>
      <c r="N1029" s="2">
        <f>HYPERLINK(URLs!B36 &amp; 8189,8189)</f>
        <v>8189</v>
      </c>
      <c r="O1029" t="s">
        <v>666</v>
      </c>
      <c r="P1029" t="s">
        <v>621</v>
      </c>
      <c r="Q1029" t="s">
        <v>1493</v>
      </c>
      <c r="W1029">
        <v>1</v>
      </c>
    </row>
    <row r="1030" spans="2:23" hidden="1" x14ac:dyDescent="0.25">
      <c r="B1030" s="2">
        <f>HYPERLINK(URLs!B30 &amp; 3065 &amp; URLs!B32,3065)</f>
        <v>3065</v>
      </c>
      <c r="C1030" t="s">
        <v>665</v>
      </c>
      <c r="D1030" t="s">
        <v>619</v>
      </c>
      <c r="E1030" t="s">
        <v>850</v>
      </c>
      <c r="F1030" t="s">
        <v>621</v>
      </c>
      <c r="G1030" t="s">
        <v>889</v>
      </c>
      <c r="H1030" t="s">
        <v>890</v>
      </c>
      <c r="I1030" t="s">
        <v>624</v>
      </c>
      <c r="J1030" t="s">
        <v>642</v>
      </c>
      <c r="L1030" s="5">
        <v>40991.635567129626</v>
      </c>
      <c r="M1030" s="5">
        <v>40987</v>
      </c>
      <c r="N1030" t="s">
        <v>621</v>
      </c>
      <c r="O1030" t="s">
        <v>666</v>
      </c>
      <c r="P1030" t="s">
        <v>621</v>
      </c>
      <c r="Q1030" t="s">
        <v>1494</v>
      </c>
    </row>
    <row r="1031" spans="2:23" hidden="1" x14ac:dyDescent="0.25">
      <c r="B1031" s="2">
        <f>HYPERLINK(URLs!B30 &amp; 3050 &amp; URLs!B32,3050)</f>
        <v>3050</v>
      </c>
      <c r="C1031" t="s">
        <v>633</v>
      </c>
      <c r="D1031" t="s">
        <v>619</v>
      </c>
      <c r="E1031" t="s">
        <v>850</v>
      </c>
      <c r="F1031" t="s">
        <v>621</v>
      </c>
      <c r="G1031" t="s">
        <v>889</v>
      </c>
      <c r="H1031" t="s">
        <v>890</v>
      </c>
      <c r="I1031" t="s">
        <v>624</v>
      </c>
      <c r="J1031" t="s">
        <v>625</v>
      </c>
      <c r="L1031" s="5">
        <v>40990.755844907406</v>
      </c>
      <c r="M1031" s="5">
        <v>41058</v>
      </c>
      <c r="N1031" t="s">
        <v>621</v>
      </c>
      <c r="O1031" t="s">
        <v>639</v>
      </c>
      <c r="P1031" t="s">
        <v>621</v>
      </c>
      <c r="Q1031" t="s">
        <v>1495</v>
      </c>
    </row>
    <row r="1032" spans="2:23" hidden="1" x14ac:dyDescent="0.25">
      <c r="B1032" s="2">
        <f>HYPERLINK(URLs!B30 &amp; 3002 &amp; URLs!B32,3002)</f>
        <v>3002</v>
      </c>
      <c r="C1032" t="s">
        <v>665</v>
      </c>
      <c r="D1032" t="s">
        <v>619</v>
      </c>
      <c r="E1032" t="s">
        <v>850</v>
      </c>
      <c r="F1032" t="s">
        <v>621</v>
      </c>
      <c r="G1032" t="s">
        <v>889</v>
      </c>
      <c r="H1032" t="s">
        <v>890</v>
      </c>
      <c r="I1032" t="s">
        <v>624</v>
      </c>
      <c r="J1032" t="s">
        <v>629</v>
      </c>
      <c r="L1032" s="5">
        <v>40973.45553240741</v>
      </c>
      <c r="M1032" s="5">
        <v>41465</v>
      </c>
      <c r="N1032" s="2">
        <f>HYPERLINK(URLs!B36 &amp; 12341,12341)</f>
        <v>12341</v>
      </c>
      <c r="O1032" t="s">
        <v>666</v>
      </c>
      <c r="P1032" t="s">
        <v>621</v>
      </c>
      <c r="Q1032" t="s">
        <v>1496</v>
      </c>
      <c r="W1032">
        <v>1</v>
      </c>
    </row>
    <row r="1033" spans="2:23" hidden="1" x14ac:dyDescent="0.25">
      <c r="B1033" s="2">
        <f>HYPERLINK(URLs!B30 &amp; 2994 &amp; URLs!B32,2994)</f>
        <v>2994</v>
      </c>
      <c r="C1033" t="s">
        <v>665</v>
      </c>
      <c r="D1033" t="s">
        <v>619</v>
      </c>
      <c r="E1033" t="s">
        <v>850</v>
      </c>
      <c r="F1033" t="s">
        <v>621</v>
      </c>
      <c r="G1033" t="s">
        <v>889</v>
      </c>
      <c r="H1033" t="s">
        <v>890</v>
      </c>
      <c r="I1033" t="s">
        <v>624</v>
      </c>
      <c r="J1033" t="s">
        <v>625</v>
      </c>
      <c r="L1033" s="5">
        <v>40970.641782407409</v>
      </c>
      <c r="M1033" s="5">
        <v>41058</v>
      </c>
      <c r="N1033" s="2">
        <f>HYPERLINK(URLs!B36 &amp; 8168,8168)</f>
        <v>8168</v>
      </c>
      <c r="O1033" t="s">
        <v>666</v>
      </c>
      <c r="P1033" t="s">
        <v>621</v>
      </c>
      <c r="Q1033" t="s">
        <v>1497</v>
      </c>
    </row>
    <row r="1034" spans="2:23" hidden="1" x14ac:dyDescent="0.25">
      <c r="B1034" s="2">
        <f>HYPERLINK(URLs!B30 &amp; 2970 &amp; URLs!B32,2970)</f>
        <v>2970</v>
      </c>
      <c r="C1034" t="s">
        <v>665</v>
      </c>
      <c r="D1034" t="s">
        <v>619</v>
      </c>
      <c r="E1034" t="s">
        <v>850</v>
      </c>
      <c r="F1034" t="s">
        <v>621</v>
      </c>
      <c r="G1034" t="s">
        <v>1407</v>
      </c>
      <c r="H1034" t="s">
        <v>890</v>
      </c>
      <c r="I1034" t="s">
        <v>624</v>
      </c>
      <c r="J1034" t="s">
        <v>625</v>
      </c>
      <c r="L1034" s="5">
        <v>40963.191655092596</v>
      </c>
      <c r="M1034" s="5">
        <v>40987</v>
      </c>
      <c r="N1034" s="2">
        <f>HYPERLINK(URLs!B36 &amp; 7926,7926)</f>
        <v>7926</v>
      </c>
      <c r="O1034" t="s">
        <v>666</v>
      </c>
      <c r="P1034" t="s">
        <v>621</v>
      </c>
      <c r="Q1034" t="s">
        <v>1498</v>
      </c>
    </row>
    <row r="1035" spans="2:23" hidden="1" x14ac:dyDescent="0.25">
      <c r="B1035" s="2">
        <f>HYPERLINK(URLs!B30 &amp; 2969 &amp; URLs!B32,2969)</f>
        <v>2969</v>
      </c>
      <c r="C1035" t="s">
        <v>665</v>
      </c>
      <c r="D1035" t="s">
        <v>619</v>
      </c>
      <c r="E1035" t="s">
        <v>850</v>
      </c>
      <c r="F1035" t="s">
        <v>621</v>
      </c>
      <c r="G1035" t="s">
        <v>1407</v>
      </c>
      <c r="H1035" t="s">
        <v>890</v>
      </c>
      <c r="I1035" t="s">
        <v>624</v>
      </c>
      <c r="J1035" t="s">
        <v>625</v>
      </c>
      <c r="L1035" s="5">
        <v>40963.188854166663</v>
      </c>
      <c r="M1035" s="5">
        <v>40987</v>
      </c>
      <c r="N1035" s="2">
        <f>HYPERLINK(URLs!B36 &amp; 7452,7452)</f>
        <v>7452</v>
      </c>
      <c r="O1035" t="s">
        <v>666</v>
      </c>
      <c r="P1035" t="s">
        <v>621</v>
      </c>
      <c r="Q1035" t="s">
        <v>1499</v>
      </c>
    </row>
    <row r="1036" spans="2:23" hidden="1" x14ac:dyDescent="0.25">
      <c r="B1036" s="2">
        <f>HYPERLINK(URLs!B30 &amp; 2968 &amp; URLs!B32,2968)</f>
        <v>2968</v>
      </c>
      <c r="C1036" t="s">
        <v>665</v>
      </c>
      <c r="D1036" t="s">
        <v>619</v>
      </c>
      <c r="E1036" t="s">
        <v>850</v>
      </c>
      <c r="F1036" t="s">
        <v>621</v>
      </c>
      <c r="G1036" t="s">
        <v>1407</v>
      </c>
      <c r="H1036" t="s">
        <v>890</v>
      </c>
      <c r="I1036" t="s">
        <v>624</v>
      </c>
      <c r="J1036" t="s">
        <v>625</v>
      </c>
      <c r="L1036" s="5">
        <v>40963.178148148145</v>
      </c>
      <c r="M1036" s="5">
        <v>40987</v>
      </c>
      <c r="N1036" s="2">
        <f>HYPERLINK(URLs!B36 &amp; 6341,6341)</f>
        <v>6341</v>
      </c>
      <c r="O1036" t="s">
        <v>666</v>
      </c>
      <c r="P1036" t="s">
        <v>621</v>
      </c>
      <c r="Q1036" t="s">
        <v>1500</v>
      </c>
    </row>
    <row r="1037" spans="2:23" hidden="1" x14ac:dyDescent="0.25">
      <c r="B1037" s="2">
        <f>HYPERLINK(URLs!B30 &amp; 2909 &amp; URLs!B32,2909)</f>
        <v>2909</v>
      </c>
      <c r="C1037" t="s">
        <v>633</v>
      </c>
      <c r="D1037" t="s">
        <v>619</v>
      </c>
      <c r="E1037" t="s">
        <v>850</v>
      </c>
      <c r="F1037" t="s">
        <v>621</v>
      </c>
      <c r="G1037" t="s">
        <v>1407</v>
      </c>
      <c r="H1037" t="s">
        <v>1412</v>
      </c>
      <c r="I1037" t="s">
        <v>624</v>
      </c>
      <c r="J1037" t="s">
        <v>625</v>
      </c>
      <c r="L1037" s="5">
        <v>40941.186909722222</v>
      </c>
      <c r="M1037" s="5">
        <v>40941</v>
      </c>
      <c r="N1037" s="2">
        <f>HYPERLINK(URLs!B36 &amp; 7572,7572)</f>
        <v>7572</v>
      </c>
      <c r="O1037" t="s">
        <v>639</v>
      </c>
      <c r="P1037" t="s">
        <v>621</v>
      </c>
      <c r="Q1037" t="s">
        <v>1501</v>
      </c>
    </row>
    <row r="1038" spans="2:23" hidden="1" x14ac:dyDescent="0.25"/>
    <row r="1039" spans="2:23" hidden="1" x14ac:dyDescent="0.25"/>
    <row r="1040" spans="2:23" hidden="1" x14ac:dyDescent="0.25"/>
    <row r="1041" hidden="1" x14ac:dyDescent="0.25"/>
    <row r="1042" hidden="1" x14ac:dyDescent="0.25"/>
    <row r="1043" hidden="1" x14ac:dyDescent="0.25"/>
    <row r="1044" hidden="1" x14ac:dyDescent="0.25"/>
    <row r="1045" hidden="1" x14ac:dyDescent="0.25"/>
    <row r="1046" hidden="1" x14ac:dyDescent="0.25"/>
    <row r="1047" hidden="1" x14ac:dyDescent="0.25"/>
    <row r="1048" hidden="1" x14ac:dyDescent="0.25"/>
    <row r="1049" hidden="1" x14ac:dyDescent="0.25"/>
    <row r="1050" hidden="1" x14ac:dyDescent="0.25"/>
    <row r="1051" hidden="1" x14ac:dyDescent="0.25"/>
    <row r="1052" hidden="1" x14ac:dyDescent="0.25"/>
    <row r="1053" hidden="1" x14ac:dyDescent="0.25"/>
    <row r="1054" hidden="1" x14ac:dyDescent="0.25"/>
    <row r="1055" hidden="1" x14ac:dyDescent="0.25"/>
    <row r="1056" hidden="1" x14ac:dyDescent="0.25"/>
    <row r="1057" hidden="1" x14ac:dyDescent="0.25"/>
    <row r="1058" hidden="1" x14ac:dyDescent="0.25"/>
    <row r="1059" hidden="1" x14ac:dyDescent="0.25"/>
    <row r="1060" hidden="1" x14ac:dyDescent="0.25"/>
    <row r="1061" hidden="1" x14ac:dyDescent="0.25"/>
    <row r="1062" hidden="1" x14ac:dyDescent="0.25"/>
    <row r="1063" hidden="1" x14ac:dyDescent="0.25"/>
    <row r="1064" hidden="1" x14ac:dyDescent="0.25"/>
    <row r="1065" hidden="1" x14ac:dyDescent="0.25"/>
    <row r="1066" hidden="1" x14ac:dyDescent="0.25"/>
    <row r="1067" hidden="1" x14ac:dyDescent="0.25"/>
    <row r="1068" hidden="1" x14ac:dyDescent="0.25"/>
    <row r="1069" hidden="1" x14ac:dyDescent="0.25"/>
    <row r="1070" hidden="1" x14ac:dyDescent="0.25"/>
    <row r="1071" hidden="1" x14ac:dyDescent="0.25"/>
    <row r="1072" hidden="1" x14ac:dyDescent="0.25"/>
    <row r="1073" hidden="1" x14ac:dyDescent="0.25"/>
    <row r="1074" hidden="1" x14ac:dyDescent="0.25"/>
    <row r="1075" hidden="1" x14ac:dyDescent="0.25"/>
    <row r="1076" hidden="1" x14ac:dyDescent="0.25"/>
    <row r="1077" hidden="1" x14ac:dyDescent="0.25"/>
    <row r="1078" hidden="1" x14ac:dyDescent="0.25"/>
    <row r="1079" hidden="1" x14ac:dyDescent="0.25"/>
    <row r="1080" hidden="1" x14ac:dyDescent="0.25"/>
    <row r="1081" hidden="1" x14ac:dyDescent="0.25"/>
    <row r="1082" hidden="1" x14ac:dyDescent="0.25"/>
    <row r="1083" hidden="1" x14ac:dyDescent="0.25"/>
    <row r="1084" hidden="1" x14ac:dyDescent="0.25"/>
    <row r="1085" hidden="1" x14ac:dyDescent="0.25"/>
    <row r="1086" hidden="1" x14ac:dyDescent="0.25"/>
    <row r="1087" hidden="1" x14ac:dyDescent="0.25"/>
    <row r="1088" hidden="1" x14ac:dyDescent="0.25"/>
    <row r="1089" hidden="1" x14ac:dyDescent="0.25"/>
    <row r="1090" hidden="1" x14ac:dyDescent="0.25"/>
    <row r="1091" hidden="1" x14ac:dyDescent="0.25"/>
    <row r="1092" hidden="1" x14ac:dyDescent="0.25"/>
    <row r="1093" hidden="1" x14ac:dyDescent="0.25"/>
    <row r="1094" hidden="1" x14ac:dyDescent="0.25"/>
    <row r="1095" hidden="1" x14ac:dyDescent="0.25"/>
    <row r="1096" hidden="1" x14ac:dyDescent="0.25"/>
    <row r="1097" hidden="1" x14ac:dyDescent="0.25"/>
    <row r="1098" hidden="1" x14ac:dyDescent="0.25"/>
    <row r="1099" hidden="1" x14ac:dyDescent="0.25"/>
    <row r="1100" hidden="1" x14ac:dyDescent="0.25"/>
    <row r="1101" hidden="1" x14ac:dyDescent="0.25"/>
    <row r="1102" hidden="1" x14ac:dyDescent="0.25"/>
    <row r="1103" hidden="1" x14ac:dyDescent="0.25"/>
    <row r="1104" hidden="1" x14ac:dyDescent="0.25"/>
    <row r="1105" hidden="1" x14ac:dyDescent="0.25"/>
    <row r="1106" hidden="1" x14ac:dyDescent="0.25"/>
    <row r="1107" hidden="1" x14ac:dyDescent="0.25"/>
    <row r="1108" hidden="1" x14ac:dyDescent="0.25"/>
    <row r="1109" hidden="1" x14ac:dyDescent="0.25"/>
    <row r="1110" hidden="1" x14ac:dyDescent="0.25"/>
    <row r="1111" hidden="1" x14ac:dyDescent="0.25"/>
    <row r="1112" hidden="1" x14ac:dyDescent="0.25"/>
    <row r="1113" hidden="1" x14ac:dyDescent="0.25"/>
    <row r="1114" hidden="1" x14ac:dyDescent="0.25"/>
    <row r="1115" hidden="1" x14ac:dyDescent="0.25"/>
    <row r="1116" hidden="1" x14ac:dyDescent="0.25"/>
    <row r="1117" hidden="1" x14ac:dyDescent="0.25"/>
    <row r="1118" hidden="1" x14ac:dyDescent="0.25"/>
    <row r="1119" hidden="1" x14ac:dyDescent="0.25"/>
    <row r="1120" hidden="1" x14ac:dyDescent="0.25"/>
    <row r="1121" hidden="1" x14ac:dyDescent="0.25"/>
    <row r="1122" hidden="1" x14ac:dyDescent="0.25"/>
    <row r="1123" hidden="1" x14ac:dyDescent="0.25"/>
    <row r="1124" hidden="1" x14ac:dyDescent="0.25"/>
    <row r="1125" hidden="1" x14ac:dyDescent="0.25"/>
    <row r="1126" hidden="1" x14ac:dyDescent="0.25"/>
    <row r="1127" hidden="1" x14ac:dyDescent="0.25"/>
    <row r="1128" hidden="1" x14ac:dyDescent="0.25"/>
    <row r="1129" hidden="1" x14ac:dyDescent="0.25"/>
    <row r="1130" hidden="1" x14ac:dyDescent="0.25"/>
    <row r="1131" hidden="1" x14ac:dyDescent="0.25"/>
    <row r="1132" hidden="1" x14ac:dyDescent="0.25"/>
    <row r="1133" hidden="1" x14ac:dyDescent="0.25"/>
    <row r="1134" hidden="1" x14ac:dyDescent="0.25"/>
    <row r="1135" hidden="1" x14ac:dyDescent="0.25"/>
    <row r="1136" hidden="1" x14ac:dyDescent="0.25"/>
    <row r="1137" hidden="1" x14ac:dyDescent="0.25"/>
    <row r="1138" hidden="1" x14ac:dyDescent="0.25"/>
    <row r="1139" hidden="1" x14ac:dyDescent="0.25"/>
    <row r="1140" hidden="1" x14ac:dyDescent="0.25"/>
    <row r="1141" hidden="1" x14ac:dyDescent="0.25"/>
    <row r="1142" hidden="1" x14ac:dyDescent="0.25"/>
    <row r="1143" hidden="1" x14ac:dyDescent="0.25"/>
    <row r="1144" hidden="1" x14ac:dyDescent="0.25"/>
    <row r="1145" hidden="1" x14ac:dyDescent="0.25"/>
    <row r="1146" hidden="1" x14ac:dyDescent="0.25"/>
    <row r="1147" hidden="1" x14ac:dyDescent="0.25"/>
    <row r="1148" hidden="1" x14ac:dyDescent="0.25"/>
    <row r="1149" hidden="1" x14ac:dyDescent="0.25"/>
    <row r="1150" hidden="1" x14ac:dyDescent="0.25"/>
    <row r="1151" hidden="1" x14ac:dyDescent="0.25"/>
    <row r="1152" hidden="1" x14ac:dyDescent="0.25"/>
    <row r="1153" hidden="1" x14ac:dyDescent="0.25"/>
    <row r="1154" hidden="1" x14ac:dyDescent="0.25"/>
    <row r="1155" hidden="1" x14ac:dyDescent="0.25"/>
    <row r="1156" hidden="1" x14ac:dyDescent="0.25"/>
    <row r="1157" hidden="1" x14ac:dyDescent="0.25"/>
    <row r="1158" hidden="1" x14ac:dyDescent="0.25"/>
    <row r="1159" hidden="1" x14ac:dyDescent="0.25"/>
    <row r="1160" hidden="1" x14ac:dyDescent="0.25"/>
    <row r="1161" hidden="1" x14ac:dyDescent="0.25"/>
    <row r="1162" hidden="1" x14ac:dyDescent="0.25"/>
    <row r="1163" hidden="1" x14ac:dyDescent="0.25"/>
    <row r="1164" hidden="1" x14ac:dyDescent="0.25"/>
    <row r="1165" hidden="1" x14ac:dyDescent="0.25"/>
    <row r="1166" hidden="1" x14ac:dyDescent="0.25"/>
    <row r="1167" hidden="1" x14ac:dyDescent="0.25"/>
    <row r="1168" hidden="1" x14ac:dyDescent="0.25"/>
    <row r="1169" hidden="1" x14ac:dyDescent="0.25"/>
    <row r="1170" hidden="1" x14ac:dyDescent="0.25"/>
    <row r="1171" hidden="1" x14ac:dyDescent="0.25"/>
    <row r="1172" hidden="1" x14ac:dyDescent="0.25"/>
    <row r="1173" hidden="1" x14ac:dyDescent="0.25"/>
    <row r="1174" hidden="1" x14ac:dyDescent="0.25"/>
    <row r="1175" hidden="1" x14ac:dyDescent="0.25"/>
    <row r="1176" hidden="1" x14ac:dyDescent="0.25"/>
    <row r="1177" hidden="1" x14ac:dyDescent="0.25"/>
    <row r="1178" hidden="1" x14ac:dyDescent="0.25"/>
    <row r="1179" hidden="1" x14ac:dyDescent="0.25"/>
    <row r="1180" hidden="1" x14ac:dyDescent="0.25"/>
    <row r="1181" hidden="1" x14ac:dyDescent="0.25"/>
    <row r="1182" hidden="1" x14ac:dyDescent="0.25"/>
    <row r="1183" hidden="1" x14ac:dyDescent="0.25"/>
    <row r="1184" hidden="1" x14ac:dyDescent="0.25"/>
    <row r="1185" hidden="1" x14ac:dyDescent="0.25"/>
    <row r="1186" hidden="1" x14ac:dyDescent="0.25"/>
    <row r="1187" hidden="1" x14ac:dyDescent="0.25"/>
    <row r="1188" hidden="1" x14ac:dyDescent="0.25"/>
    <row r="1189" hidden="1" x14ac:dyDescent="0.25"/>
    <row r="1190" hidden="1" x14ac:dyDescent="0.25"/>
    <row r="1191" hidden="1" x14ac:dyDescent="0.25"/>
    <row r="1192" hidden="1" x14ac:dyDescent="0.25"/>
    <row r="1193" hidden="1" x14ac:dyDescent="0.25"/>
    <row r="1194" hidden="1" x14ac:dyDescent="0.25"/>
    <row r="1195" hidden="1" x14ac:dyDescent="0.25"/>
    <row r="1196" hidden="1" x14ac:dyDescent="0.25"/>
    <row r="1197" hidden="1" x14ac:dyDescent="0.25"/>
    <row r="1198" hidden="1" x14ac:dyDescent="0.25"/>
    <row r="1199" hidden="1" x14ac:dyDescent="0.25"/>
    <row r="1200" hidden="1" x14ac:dyDescent="0.25"/>
    <row r="1201" hidden="1" x14ac:dyDescent="0.25"/>
    <row r="1202" hidden="1" x14ac:dyDescent="0.25"/>
    <row r="1203" hidden="1" x14ac:dyDescent="0.25"/>
    <row r="1204" hidden="1" x14ac:dyDescent="0.25"/>
    <row r="1205" hidden="1" x14ac:dyDescent="0.25"/>
    <row r="1206" hidden="1" x14ac:dyDescent="0.25"/>
    <row r="1207" hidden="1" x14ac:dyDescent="0.25"/>
    <row r="1208" hidden="1" x14ac:dyDescent="0.25"/>
    <row r="1209" hidden="1" x14ac:dyDescent="0.25"/>
    <row r="1210" hidden="1" x14ac:dyDescent="0.25"/>
    <row r="1211" hidden="1" x14ac:dyDescent="0.25"/>
    <row r="1212" hidden="1" x14ac:dyDescent="0.25"/>
    <row r="1213" hidden="1" x14ac:dyDescent="0.25"/>
    <row r="1214" hidden="1" x14ac:dyDescent="0.25"/>
    <row r="1215" hidden="1" x14ac:dyDescent="0.25"/>
    <row r="1216" hidden="1" x14ac:dyDescent="0.25"/>
    <row r="1217" hidden="1" x14ac:dyDescent="0.25"/>
    <row r="1218" hidden="1" x14ac:dyDescent="0.25"/>
    <row r="1219" hidden="1" x14ac:dyDescent="0.25"/>
    <row r="1220" hidden="1" x14ac:dyDescent="0.25"/>
    <row r="1221" hidden="1" x14ac:dyDescent="0.25"/>
    <row r="1222" hidden="1" x14ac:dyDescent="0.25"/>
    <row r="1223" hidden="1" x14ac:dyDescent="0.25"/>
    <row r="1224" hidden="1" x14ac:dyDescent="0.25"/>
    <row r="1225" hidden="1" x14ac:dyDescent="0.25"/>
    <row r="1226" hidden="1" x14ac:dyDescent="0.25"/>
    <row r="1227" hidden="1" x14ac:dyDescent="0.25"/>
    <row r="1228" hidden="1" x14ac:dyDescent="0.25"/>
    <row r="1229" hidden="1" x14ac:dyDescent="0.25"/>
    <row r="1230" hidden="1" x14ac:dyDescent="0.25"/>
    <row r="1231" hidden="1" x14ac:dyDescent="0.25"/>
    <row r="1232" hidden="1" x14ac:dyDescent="0.25"/>
    <row r="1233" hidden="1" x14ac:dyDescent="0.25"/>
    <row r="1234" hidden="1" x14ac:dyDescent="0.25"/>
    <row r="1235" hidden="1" x14ac:dyDescent="0.25"/>
    <row r="1236" hidden="1" x14ac:dyDescent="0.25"/>
    <row r="1237" hidden="1" x14ac:dyDescent="0.25"/>
    <row r="1238" hidden="1" x14ac:dyDescent="0.25"/>
    <row r="1239" hidden="1" x14ac:dyDescent="0.25"/>
    <row r="1240" hidden="1" x14ac:dyDescent="0.25"/>
    <row r="1241" hidden="1" x14ac:dyDescent="0.25"/>
    <row r="1242" hidden="1" x14ac:dyDescent="0.25"/>
    <row r="1243" hidden="1" x14ac:dyDescent="0.25"/>
    <row r="1244" hidden="1" x14ac:dyDescent="0.25"/>
    <row r="1245" hidden="1" x14ac:dyDescent="0.25"/>
    <row r="1246" hidden="1" x14ac:dyDescent="0.25"/>
    <row r="1247" hidden="1" x14ac:dyDescent="0.25"/>
    <row r="1248" hidden="1" x14ac:dyDescent="0.25"/>
    <row r="1249" hidden="1" x14ac:dyDescent="0.25"/>
    <row r="1250" hidden="1" x14ac:dyDescent="0.25"/>
    <row r="1251" hidden="1" x14ac:dyDescent="0.25"/>
    <row r="1252" hidden="1" x14ac:dyDescent="0.25"/>
    <row r="1253" hidden="1" x14ac:dyDescent="0.25"/>
    <row r="1254" hidden="1" x14ac:dyDescent="0.25"/>
    <row r="1255" hidden="1" x14ac:dyDescent="0.25"/>
    <row r="1256" hidden="1" x14ac:dyDescent="0.25"/>
    <row r="1257" hidden="1" x14ac:dyDescent="0.25"/>
    <row r="1258" hidden="1" x14ac:dyDescent="0.25"/>
    <row r="1259" hidden="1" x14ac:dyDescent="0.25"/>
    <row r="1260" hidden="1" x14ac:dyDescent="0.25"/>
    <row r="1261" hidden="1" x14ac:dyDescent="0.25"/>
    <row r="1262" hidden="1" x14ac:dyDescent="0.25"/>
    <row r="1263" hidden="1" x14ac:dyDescent="0.25"/>
    <row r="1264" hidden="1" x14ac:dyDescent="0.25"/>
    <row r="1265" hidden="1" x14ac:dyDescent="0.25"/>
    <row r="1266" hidden="1" x14ac:dyDescent="0.25"/>
    <row r="1267" hidden="1" x14ac:dyDescent="0.25"/>
    <row r="1268" hidden="1" x14ac:dyDescent="0.25"/>
    <row r="1269" hidden="1" x14ac:dyDescent="0.25"/>
    <row r="1270" hidden="1" x14ac:dyDescent="0.25"/>
    <row r="1271" hidden="1" x14ac:dyDescent="0.25"/>
    <row r="1272" hidden="1" x14ac:dyDescent="0.25"/>
    <row r="1273" hidden="1" x14ac:dyDescent="0.25"/>
    <row r="1274" hidden="1" x14ac:dyDescent="0.25"/>
    <row r="1275" hidden="1" x14ac:dyDescent="0.25"/>
    <row r="1276" hidden="1" x14ac:dyDescent="0.25"/>
    <row r="1277" hidden="1" x14ac:dyDescent="0.25"/>
    <row r="1278" hidden="1" x14ac:dyDescent="0.25"/>
    <row r="1279" hidden="1" x14ac:dyDescent="0.25"/>
    <row r="1280" hidden="1" x14ac:dyDescent="0.25"/>
    <row r="1281" hidden="1" x14ac:dyDescent="0.25"/>
    <row r="1282" hidden="1" x14ac:dyDescent="0.25"/>
    <row r="1283" hidden="1" x14ac:dyDescent="0.25"/>
    <row r="1284" hidden="1" x14ac:dyDescent="0.25"/>
    <row r="1285" hidden="1" x14ac:dyDescent="0.25"/>
    <row r="1286" hidden="1" x14ac:dyDescent="0.25"/>
    <row r="1287" hidden="1" x14ac:dyDescent="0.25"/>
    <row r="1288" hidden="1" x14ac:dyDescent="0.25"/>
    <row r="1289" hidden="1" x14ac:dyDescent="0.25"/>
    <row r="1290" hidden="1" x14ac:dyDescent="0.25"/>
    <row r="1291" hidden="1" x14ac:dyDescent="0.25"/>
    <row r="1292" hidden="1" x14ac:dyDescent="0.25"/>
    <row r="1293" hidden="1" x14ac:dyDescent="0.25"/>
    <row r="1294" hidden="1" x14ac:dyDescent="0.25"/>
    <row r="1295" hidden="1" x14ac:dyDescent="0.25"/>
    <row r="1296" hidden="1" x14ac:dyDescent="0.25"/>
    <row r="1297" hidden="1" x14ac:dyDescent="0.25"/>
    <row r="1298" hidden="1" x14ac:dyDescent="0.25"/>
    <row r="1299" hidden="1" x14ac:dyDescent="0.25"/>
    <row r="1300" hidden="1" x14ac:dyDescent="0.25"/>
    <row r="1301" hidden="1" x14ac:dyDescent="0.25"/>
    <row r="1302" hidden="1" x14ac:dyDescent="0.25"/>
    <row r="1303" hidden="1" x14ac:dyDescent="0.25"/>
    <row r="1304" hidden="1" x14ac:dyDescent="0.25"/>
    <row r="1305" hidden="1" x14ac:dyDescent="0.25"/>
    <row r="1306" hidden="1" x14ac:dyDescent="0.25"/>
    <row r="1307" hidden="1" x14ac:dyDescent="0.25"/>
    <row r="1308" hidden="1" x14ac:dyDescent="0.25"/>
    <row r="1309" hidden="1" x14ac:dyDescent="0.25"/>
    <row r="1310" hidden="1" x14ac:dyDescent="0.25"/>
    <row r="1311" hidden="1" x14ac:dyDescent="0.25"/>
    <row r="1312" hidden="1" x14ac:dyDescent="0.25"/>
    <row r="1313" hidden="1" x14ac:dyDescent="0.25"/>
    <row r="1314" hidden="1" x14ac:dyDescent="0.25"/>
    <row r="1315" hidden="1" x14ac:dyDescent="0.25"/>
    <row r="1316" hidden="1" x14ac:dyDescent="0.25"/>
    <row r="1317" hidden="1" x14ac:dyDescent="0.25"/>
    <row r="1318" hidden="1" x14ac:dyDescent="0.25"/>
    <row r="1319" hidden="1" x14ac:dyDescent="0.25"/>
    <row r="1320" hidden="1" x14ac:dyDescent="0.25"/>
    <row r="1321" hidden="1" x14ac:dyDescent="0.25"/>
    <row r="1322" hidden="1" x14ac:dyDescent="0.25"/>
    <row r="1323" hidden="1" x14ac:dyDescent="0.25"/>
    <row r="1324" hidden="1" x14ac:dyDescent="0.25"/>
    <row r="1325" hidden="1" x14ac:dyDescent="0.25"/>
    <row r="1326" hidden="1" x14ac:dyDescent="0.25"/>
    <row r="1327" hidden="1" x14ac:dyDescent="0.25"/>
    <row r="1328" hidden="1" x14ac:dyDescent="0.25"/>
    <row r="1329" hidden="1" x14ac:dyDescent="0.25"/>
    <row r="1330" hidden="1" x14ac:dyDescent="0.25"/>
    <row r="1331" hidden="1" x14ac:dyDescent="0.25"/>
    <row r="1332" hidden="1" x14ac:dyDescent="0.25"/>
    <row r="1333" hidden="1" x14ac:dyDescent="0.25"/>
    <row r="1334" hidden="1" x14ac:dyDescent="0.25"/>
    <row r="1335" hidden="1" x14ac:dyDescent="0.25"/>
    <row r="1336" hidden="1" x14ac:dyDescent="0.25"/>
    <row r="1337" hidden="1" x14ac:dyDescent="0.25"/>
    <row r="1338" hidden="1" x14ac:dyDescent="0.25"/>
    <row r="1339" hidden="1" x14ac:dyDescent="0.25"/>
    <row r="1340" hidden="1" x14ac:dyDescent="0.25"/>
    <row r="1341" hidden="1" x14ac:dyDescent="0.25"/>
    <row r="1342" hidden="1" x14ac:dyDescent="0.25"/>
    <row r="1343" hidden="1" x14ac:dyDescent="0.25"/>
    <row r="1344" hidden="1" x14ac:dyDescent="0.25"/>
    <row r="1345" hidden="1" x14ac:dyDescent="0.25"/>
    <row r="1346" hidden="1" x14ac:dyDescent="0.25"/>
    <row r="1347" hidden="1" x14ac:dyDescent="0.25"/>
    <row r="1348" hidden="1" x14ac:dyDescent="0.25"/>
    <row r="1349" hidden="1" x14ac:dyDescent="0.25"/>
    <row r="1350" hidden="1" x14ac:dyDescent="0.25"/>
    <row r="1351" hidden="1" x14ac:dyDescent="0.25"/>
    <row r="1352" hidden="1" x14ac:dyDescent="0.25"/>
    <row r="1353" hidden="1" x14ac:dyDescent="0.25"/>
    <row r="1354" hidden="1" x14ac:dyDescent="0.25"/>
    <row r="1355" hidden="1" x14ac:dyDescent="0.25"/>
    <row r="1356" hidden="1" x14ac:dyDescent="0.25"/>
    <row r="1357" hidden="1" x14ac:dyDescent="0.25"/>
    <row r="1358" hidden="1" x14ac:dyDescent="0.25"/>
    <row r="1359" hidden="1" x14ac:dyDescent="0.25"/>
    <row r="1360" hidden="1" x14ac:dyDescent="0.25"/>
    <row r="1361" hidden="1" x14ac:dyDescent="0.25"/>
    <row r="1362" hidden="1" x14ac:dyDescent="0.25"/>
    <row r="1363" hidden="1" x14ac:dyDescent="0.25"/>
    <row r="1364" hidden="1" x14ac:dyDescent="0.25"/>
    <row r="1365" hidden="1" x14ac:dyDescent="0.25"/>
    <row r="1366" hidden="1" x14ac:dyDescent="0.25"/>
    <row r="1367" hidden="1" x14ac:dyDescent="0.25"/>
    <row r="1368" hidden="1" x14ac:dyDescent="0.25"/>
    <row r="1369" hidden="1" x14ac:dyDescent="0.25"/>
    <row r="1370" hidden="1" x14ac:dyDescent="0.25"/>
    <row r="1371" hidden="1" x14ac:dyDescent="0.25"/>
    <row r="1372" hidden="1" x14ac:dyDescent="0.25"/>
    <row r="1373" hidden="1" x14ac:dyDescent="0.25"/>
    <row r="1374" hidden="1" x14ac:dyDescent="0.25"/>
    <row r="1375" hidden="1" x14ac:dyDescent="0.25"/>
    <row r="1376" hidden="1" x14ac:dyDescent="0.25"/>
    <row r="1377" hidden="1" x14ac:dyDescent="0.25"/>
    <row r="1378" hidden="1" x14ac:dyDescent="0.25"/>
    <row r="1379" hidden="1" x14ac:dyDescent="0.25"/>
    <row r="1380" hidden="1" x14ac:dyDescent="0.25"/>
    <row r="1381" hidden="1" x14ac:dyDescent="0.25"/>
    <row r="1382" hidden="1" x14ac:dyDescent="0.25"/>
    <row r="1383" hidden="1" x14ac:dyDescent="0.25"/>
    <row r="1384" hidden="1" x14ac:dyDescent="0.25"/>
    <row r="1385" hidden="1" x14ac:dyDescent="0.25"/>
    <row r="1386" hidden="1" x14ac:dyDescent="0.25"/>
    <row r="1387" hidden="1" x14ac:dyDescent="0.25"/>
    <row r="1388" hidden="1" x14ac:dyDescent="0.25"/>
    <row r="1389" hidden="1" x14ac:dyDescent="0.25"/>
    <row r="1390" hidden="1" x14ac:dyDescent="0.25"/>
    <row r="1391" hidden="1" x14ac:dyDescent="0.25"/>
    <row r="1392" hidden="1" x14ac:dyDescent="0.25"/>
    <row r="1393" hidden="1" x14ac:dyDescent="0.25"/>
    <row r="1394" hidden="1" x14ac:dyDescent="0.25"/>
    <row r="1395" hidden="1" x14ac:dyDescent="0.25"/>
    <row r="1396" hidden="1" x14ac:dyDescent="0.25"/>
    <row r="1397" hidden="1" x14ac:dyDescent="0.25"/>
    <row r="1398" hidden="1" x14ac:dyDescent="0.25"/>
    <row r="1399" hidden="1" x14ac:dyDescent="0.25"/>
    <row r="1400" hidden="1" x14ac:dyDescent="0.25"/>
    <row r="1401" hidden="1" x14ac:dyDescent="0.25"/>
    <row r="1402" hidden="1" x14ac:dyDescent="0.25"/>
    <row r="1403" hidden="1" x14ac:dyDescent="0.25"/>
    <row r="1404" hidden="1" x14ac:dyDescent="0.25"/>
    <row r="1405" hidden="1" x14ac:dyDescent="0.25"/>
    <row r="1406" hidden="1" x14ac:dyDescent="0.25"/>
    <row r="1407" hidden="1" x14ac:dyDescent="0.25"/>
    <row r="1408" hidden="1" x14ac:dyDescent="0.25"/>
    <row r="1409" hidden="1" x14ac:dyDescent="0.25"/>
    <row r="1410" hidden="1" x14ac:dyDescent="0.25"/>
    <row r="1411" hidden="1" x14ac:dyDescent="0.25"/>
    <row r="1412" hidden="1" x14ac:dyDescent="0.25"/>
    <row r="1413" hidden="1" x14ac:dyDescent="0.25"/>
    <row r="1414" hidden="1" x14ac:dyDescent="0.25"/>
    <row r="1415" hidden="1" x14ac:dyDescent="0.25"/>
    <row r="1416" hidden="1" x14ac:dyDescent="0.25"/>
    <row r="1417" hidden="1" x14ac:dyDescent="0.25"/>
    <row r="1418" hidden="1" x14ac:dyDescent="0.25"/>
    <row r="1419" hidden="1" x14ac:dyDescent="0.25"/>
    <row r="1420" hidden="1" x14ac:dyDescent="0.25"/>
    <row r="1421" hidden="1" x14ac:dyDescent="0.25"/>
    <row r="1422" hidden="1" x14ac:dyDescent="0.25"/>
    <row r="1423" hidden="1" x14ac:dyDescent="0.25"/>
    <row r="1424" hidden="1" x14ac:dyDescent="0.25"/>
    <row r="1425" hidden="1" x14ac:dyDescent="0.25"/>
    <row r="1426" hidden="1" x14ac:dyDescent="0.25"/>
    <row r="1427" hidden="1" x14ac:dyDescent="0.25"/>
    <row r="1428" hidden="1" x14ac:dyDescent="0.25"/>
    <row r="1429" hidden="1" x14ac:dyDescent="0.25"/>
    <row r="1430" hidden="1" x14ac:dyDescent="0.25"/>
    <row r="1431" hidden="1" x14ac:dyDescent="0.25"/>
    <row r="1432" hidden="1" x14ac:dyDescent="0.25"/>
    <row r="1433" hidden="1" x14ac:dyDescent="0.25"/>
    <row r="1434" hidden="1" x14ac:dyDescent="0.25"/>
    <row r="1435" hidden="1" x14ac:dyDescent="0.25"/>
    <row r="1436" hidden="1" x14ac:dyDescent="0.25"/>
    <row r="1437" hidden="1" x14ac:dyDescent="0.25"/>
    <row r="1438" hidden="1" x14ac:dyDescent="0.25"/>
    <row r="1439" hidden="1" x14ac:dyDescent="0.25"/>
    <row r="1440" hidden="1" x14ac:dyDescent="0.25"/>
    <row r="1441" hidden="1" x14ac:dyDescent="0.25"/>
    <row r="1442" hidden="1" x14ac:dyDescent="0.25"/>
    <row r="1443" hidden="1" x14ac:dyDescent="0.25"/>
    <row r="1444" hidden="1" x14ac:dyDescent="0.25"/>
    <row r="1445" hidden="1" x14ac:dyDescent="0.25"/>
    <row r="1446" hidden="1" x14ac:dyDescent="0.25"/>
    <row r="1447" hidden="1" x14ac:dyDescent="0.25"/>
    <row r="1448" hidden="1" x14ac:dyDescent="0.25"/>
    <row r="1449" hidden="1" x14ac:dyDescent="0.25"/>
    <row r="1450" hidden="1" x14ac:dyDescent="0.25"/>
    <row r="1451" hidden="1" x14ac:dyDescent="0.25"/>
    <row r="1452" hidden="1" x14ac:dyDescent="0.25"/>
    <row r="1453" hidden="1" x14ac:dyDescent="0.25"/>
    <row r="1454" hidden="1" x14ac:dyDescent="0.25"/>
    <row r="1455" hidden="1" x14ac:dyDescent="0.25"/>
    <row r="1456" hidden="1" x14ac:dyDescent="0.25"/>
    <row r="1457" hidden="1" x14ac:dyDescent="0.25"/>
    <row r="1458" hidden="1" x14ac:dyDescent="0.25"/>
    <row r="1459" hidden="1" x14ac:dyDescent="0.25"/>
    <row r="1460" hidden="1" x14ac:dyDescent="0.25"/>
    <row r="1461" hidden="1" x14ac:dyDescent="0.25"/>
    <row r="1462" hidden="1" x14ac:dyDescent="0.25"/>
    <row r="1463" hidden="1" x14ac:dyDescent="0.25"/>
    <row r="1464" hidden="1" x14ac:dyDescent="0.25"/>
    <row r="1465" hidden="1" x14ac:dyDescent="0.25"/>
    <row r="1466" hidden="1" x14ac:dyDescent="0.25"/>
    <row r="1467" hidden="1" x14ac:dyDescent="0.25"/>
    <row r="1468" hidden="1" x14ac:dyDescent="0.25"/>
    <row r="1469" hidden="1" x14ac:dyDescent="0.25"/>
    <row r="1470" hidden="1" x14ac:dyDescent="0.25"/>
    <row r="1471" hidden="1" x14ac:dyDescent="0.25"/>
    <row r="1472" hidden="1" x14ac:dyDescent="0.25"/>
    <row r="1473" hidden="1" x14ac:dyDescent="0.25"/>
    <row r="1474" hidden="1" x14ac:dyDescent="0.25"/>
    <row r="1475" hidden="1" x14ac:dyDescent="0.25"/>
    <row r="1476" hidden="1" x14ac:dyDescent="0.25"/>
    <row r="1477" hidden="1" x14ac:dyDescent="0.25"/>
    <row r="1478" hidden="1" x14ac:dyDescent="0.25"/>
    <row r="1479" hidden="1" x14ac:dyDescent="0.25"/>
    <row r="1480" hidden="1" x14ac:dyDescent="0.25"/>
    <row r="1481" hidden="1" x14ac:dyDescent="0.25"/>
    <row r="1482" hidden="1" x14ac:dyDescent="0.25"/>
    <row r="1483" hidden="1" x14ac:dyDescent="0.25"/>
    <row r="1484" hidden="1" x14ac:dyDescent="0.25"/>
    <row r="1485" hidden="1" x14ac:dyDescent="0.25"/>
    <row r="1486" hidden="1" x14ac:dyDescent="0.25"/>
    <row r="1487" hidden="1" x14ac:dyDescent="0.25"/>
    <row r="1488" hidden="1" x14ac:dyDescent="0.25"/>
    <row r="1489" hidden="1" x14ac:dyDescent="0.25"/>
    <row r="1490" hidden="1" x14ac:dyDescent="0.25"/>
    <row r="1491" hidden="1" x14ac:dyDescent="0.25"/>
    <row r="1492" hidden="1" x14ac:dyDescent="0.25"/>
    <row r="1493" hidden="1" x14ac:dyDescent="0.25"/>
    <row r="1494" hidden="1" x14ac:dyDescent="0.25"/>
    <row r="1495" hidden="1" x14ac:dyDescent="0.25"/>
    <row r="1496" hidden="1" x14ac:dyDescent="0.25"/>
    <row r="1497" hidden="1" x14ac:dyDescent="0.25"/>
    <row r="1498" hidden="1" x14ac:dyDescent="0.25"/>
    <row r="1499" hidden="1" x14ac:dyDescent="0.25"/>
    <row r="1500" hidden="1" x14ac:dyDescent="0.25"/>
    <row r="1501" hidden="1" x14ac:dyDescent="0.25"/>
    <row r="1502" hidden="1" x14ac:dyDescent="0.25"/>
    <row r="1503" hidden="1" x14ac:dyDescent="0.25"/>
    <row r="1504" hidden="1" x14ac:dyDescent="0.25"/>
    <row r="1505" hidden="1" x14ac:dyDescent="0.25"/>
    <row r="1506" hidden="1" x14ac:dyDescent="0.25"/>
    <row r="1507" hidden="1" x14ac:dyDescent="0.25"/>
    <row r="1508" hidden="1" x14ac:dyDescent="0.25"/>
    <row r="1509" hidden="1" x14ac:dyDescent="0.25"/>
    <row r="1510" hidden="1" x14ac:dyDescent="0.25"/>
    <row r="1511" hidden="1" x14ac:dyDescent="0.25"/>
    <row r="1512" hidden="1" x14ac:dyDescent="0.25"/>
    <row r="1513" hidden="1" x14ac:dyDescent="0.25"/>
    <row r="1514" hidden="1" x14ac:dyDescent="0.25"/>
    <row r="1515" hidden="1" x14ac:dyDescent="0.25"/>
    <row r="1516" hidden="1" x14ac:dyDescent="0.25"/>
    <row r="1517" hidden="1" x14ac:dyDescent="0.25"/>
    <row r="1518" hidden="1" x14ac:dyDescent="0.25"/>
    <row r="1519" hidden="1" x14ac:dyDescent="0.25"/>
    <row r="1520" hidden="1" x14ac:dyDescent="0.25"/>
    <row r="1521" hidden="1" x14ac:dyDescent="0.25"/>
    <row r="1522" hidden="1" x14ac:dyDescent="0.25"/>
    <row r="1523" hidden="1" x14ac:dyDescent="0.25"/>
    <row r="1524" hidden="1" x14ac:dyDescent="0.25"/>
    <row r="1525" hidden="1" x14ac:dyDescent="0.25"/>
    <row r="1526" hidden="1" x14ac:dyDescent="0.25"/>
    <row r="1527" hidden="1" x14ac:dyDescent="0.25"/>
    <row r="1528" hidden="1" x14ac:dyDescent="0.25"/>
    <row r="1529" hidden="1" x14ac:dyDescent="0.25"/>
    <row r="1530" hidden="1" x14ac:dyDescent="0.25"/>
    <row r="1531" hidden="1" x14ac:dyDescent="0.25"/>
    <row r="1532" hidden="1" x14ac:dyDescent="0.25"/>
    <row r="1533" hidden="1" x14ac:dyDescent="0.25"/>
    <row r="1534" hidden="1" x14ac:dyDescent="0.25"/>
    <row r="1535" hidden="1" x14ac:dyDescent="0.25"/>
    <row r="1536" hidden="1" x14ac:dyDescent="0.25"/>
    <row r="1537" hidden="1" x14ac:dyDescent="0.25"/>
    <row r="1538" hidden="1" x14ac:dyDescent="0.25"/>
    <row r="1539" hidden="1" x14ac:dyDescent="0.25"/>
    <row r="1540" hidden="1" x14ac:dyDescent="0.25"/>
    <row r="1541" hidden="1" x14ac:dyDescent="0.25"/>
    <row r="1542" hidden="1" x14ac:dyDescent="0.25"/>
    <row r="1543" hidden="1" x14ac:dyDescent="0.25"/>
    <row r="1544" hidden="1" x14ac:dyDescent="0.25"/>
    <row r="1545" hidden="1" x14ac:dyDescent="0.25"/>
    <row r="1546" hidden="1" x14ac:dyDescent="0.25"/>
    <row r="1547" hidden="1" x14ac:dyDescent="0.25"/>
    <row r="1548" hidden="1" x14ac:dyDescent="0.25"/>
    <row r="1549" hidden="1" x14ac:dyDescent="0.25"/>
    <row r="1550" hidden="1" x14ac:dyDescent="0.25"/>
    <row r="1551" hidden="1" x14ac:dyDescent="0.25"/>
    <row r="1552" hidden="1" x14ac:dyDescent="0.25"/>
    <row r="1553" hidden="1" x14ac:dyDescent="0.25"/>
    <row r="1554" hidden="1" x14ac:dyDescent="0.25"/>
    <row r="1555" hidden="1" x14ac:dyDescent="0.25"/>
    <row r="1556" hidden="1" x14ac:dyDescent="0.25"/>
    <row r="1557" hidden="1" x14ac:dyDescent="0.25"/>
    <row r="1558" hidden="1" x14ac:dyDescent="0.25"/>
    <row r="1559" hidden="1" x14ac:dyDescent="0.25"/>
    <row r="1560" hidden="1" x14ac:dyDescent="0.25"/>
    <row r="1561" hidden="1" x14ac:dyDescent="0.25"/>
    <row r="1562" hidden="1" x14ac:dyDescent="0.25"/>
    <row r="1563" hidden="1" x14ac:dyDescent="0.25"/>
    <row r="1564" hidden="1" x14ac:dyDescent="0.25"/>
    <row r="1565" hidden="1" x14ac:dyDescent="0.25"/>
    <row r="1566" hidden="1" x14ac:dyDescent="0.25"/>
    <row r="1567" hidden="1" x14ac:dyDescent="0.25"/>
    <row r="1568" hidden="1" x14ac:dyDescent="0.25"/>
    <row r="1569" hidden="1" x14ac:dyDescent="0.25"/>
    <row r="1570" hidden="1" x14ac:dyDescent="0.25"/>
    <row r="1571" hidden="1" x14ac:dyDescent="0.25"/>
    <row r="1572" hidden="1" x14ac:dyDescent="0.25"/>
    <row r="1573" hidden="1" x14ac:dyDescent="0.25"/>
    <row r="1574" hidden="1" x14ac:dyDescent="0.25"/>
    <row r="1575" hidden="1" x14ac:dyDescent="0.25"/>
    <row r="1576" hidden="1" x14ac:dyDescent="0.25"/>
    <row r="1577" hidden="1" x14ac:dyDescent="0.25"/>
    <row r="1578" hidden="1" x14ac:dyDescent="0.25"/>
    <row r="1579" hidden="1" x14ac:dyDescent="0.25"/>
    <row r="1580" hidden="1" x14ac:dyDescent="0.25"/>
    <row r="1581" hidden="1" x14ac:dyDescent="0.25"/>
    <row r="1582" hidden="1" x14ac:dyDescent="0.25"/>
    <row r="1583" hidden="1" x14ac:dyDescent="0.25"/>
    <row r="1584" hidden="1" x14ac:dyDescent="0.25"/>
    <row r="1585" hidden="1" x14ac:dyDescent="0.25"/>
    <row r="1586" hidden="1" x14ac:dyDescent="0.25"/>
    <row r="1587" hidden="1" x14ac:dyDescent="0.25"/>
    <row r="1588" hidden="1" x14ac:dyDescent="0.25"/>
    <row r="1589" hidden="1" x14ac:dyDescent="0.25"/>
    <row r="1590" hidden="1" x14ac:dyDescent="0.25"/>
    <row r="1591" hidden="1" x14ac:dyDescent="0.25"/>
    <row r="1592" hidden="1" x14ac:dyDescent="0.25"/>
    <row r="1593" hidden="1" x14ac:dyDescent="0.25"/>
    <row r="1594" hidden="1" x14ac:dyDescent="0.25"/>
    <row r="1595" hidden="1" x14ac:dyDescent="0.25"/>
    <row r="1596" hidden="1" x14ac:dyDescent="0.25"/>
    <row r="1597" hidden="1" x14ac:dyDescent="0.25"/>
    <row r="1598" hidden="1" x14ac:dyDescent="0.25"/>
    <row r="1599" hidden="1" x14ac:dyDescent="0.25"/>
    <row r="1600" hidden="1" x14ac:dyDescent="0.25"/>
    <row r="1601" hidden="1" x14ac:dyDescent="0.25"/>
    <row r="1602" hidden="1" x14ac:dyDescent="0.25"/>
    <row r="1603" hidden="1" x14ac:dyDescent="0.25"/>
    <row r="1604" hidden="1" x14ac:dyDescent="0.25"/>
    <row r="1605" hidden="1" x14ac:dyDescent="0.25"/>
    <row r="1606" hidden="1" x14ac:dyDescent="0.25"/>
    <row r="1607" hidden="1" x14ac:dyDescent="0.25"/>
    <row r="1608" hidden="1" x14ac:dyDescent="0.25"/>
    <row r="1609" hidden="1" x14ac:dyDescent="0.25"/>
    <row r="1610" hidden="1" x14ac:dyDescent="0.25"/>
    <row r="1611" hidden="1" x14ac:dyDescent="0.25"/>
    <row r="1612" hidden="1" x14ac:dyDescent="0.25"/>
    <row r="1613" hidden="1" x14ac:dyDescent="0.25"/>
    <row r="1614" hidden="1" x14ac:dyDescent="0.25"/>
    <row r="1615" hidden="1" x14ac:dyDescent="0.25"/>
    <row r="1616" hidden="1" x14ac:dyDescent="0.25"/>
    <row r="1617" hidden="1" x14ac:dyDescent="0.25"/>
    <row r="1618" hidden="1" x14ac:dyDescent="0.25"/>
    <row r="1619" hidden="1" x14ac:dyDescent="0.25"/>
    <row r="1620" hidden="1" x14ac:dyDescent="0.25"/>
    <row r="1621" hidden="1" x14ac:dyDescent="0.25"/>
    <row r="1622" hidden="1" x14ac:dyDescent="0.25"/>
    <row r="1623" hidden="1" x14ac:dyDescent="0.25"/>
    <row r="1624" hidden="1" x14ac:dyDescent="0.25"/>
    <row r="1625" hidden="1" x14ac:dyDescent="0.25"/>
    <row r="1626" hidden="1" x14ac:dyDescent="0.25"/>
    <row r="1627" hidden="1" x14ac:dyDescent="0.25"/>
    <row r="1628" hidden="1" x14ac:dyDescent="0.25"/>
    <row r="1629" hidden="1" x14ac:dyDescent="0.25"/>
    <row r="1630" hidden="1" x14ac:dyDescent="0.25"/>
    <row r="1631" hidden="1" x14ac:dyDescent="0.25"/>
    <row r="1632" hidden="1" x14ac:dyDescent="0.25"/>
    <row r="1633" hidden="1" x14ac:dyDescent="0.25"/>
    <row r="1634" hidden="1" x14ac:dyDescent="0.25"/>
    <row r="1635" hidden="1" x14ac:dyDescent="0.25"/>
    <row r="1636" hidden="1" x14ac:dyDescent="0.25"/>
    <row r="1637" hidden="1" x14ac:dyDescent="0.25"/>
    <row r="1638" hidden="1" x14ac:dyDescent="0.25"/>
    <row r="1639" hidden="1" x14ac:dyDescent="0.25"/>
    <row r="1640" hidden="1" x14ac:dyDescent="0.25"/>
    <row r="1641" hidden="1" x14ac:dyDescent="0.25"/>
    <row r="1642" hidden="1" x14ac:dyDescent="0.25"/>
    <row r="1643" hidden="1" x14ac:dyDescent="0.25"/>
    <row r="1644" hidden="1" x14ac:dyDescent="0.25"/>
    <row r="1645" hidden="1" x14ac:dyDescent="0.25"/>
    <row r="1646" hidden="1" x14ac:dyDescent="0.25"/>
    <row r="1647" hidden="1" x14ac:dyDescent="0.25"/>
    <row r="1648" hidden="1" x14ac:dyDescent="0.25"/>
    <row r="1649" hidden="1" x14ac:dyDescent="0.25"/>
    <row r="1650" hidden="1" x14ac:dyDescent="0.25"/>
    <row r="1651" hidden="1" x14ac:dyDescent="0.25"/>
    <row r="1652" hidden="1" x14ac:dyDescent="0.25"/>
    <row r="1653" hidden="1" x14ac:dyDescent="0.25"/>
    <row r="1654" hidden="1" x14ac:dyDescent="0.25"/>
    <row r="1655" hidden="1" x14ac:dyDescent="0.25"/>
    <row r="1656" hidden="1" x14ac:dyDescent="0.25"/>
    <row r="1657" hidden="1" x14ac:dyDescent="0.25"/>
    <row r="1658" hidden="1" x14ac:dyDescent="0.25"/>
    <row r="1659" hidden="1" x14ac:dyDescent="0.25"/>
    <row r="1660" hidden="1" x14ac:dyDescent="0.25"/>
    <row r="1661" hidden="1" x14ac:dyDescent="0.25"/>
    <row r="1662" hidden="1" x14ac:dyDescent="0.25"/>
    <row r="1663" hidden="1" x14ac:dyDescent="0.25"/>
    <row r="1664" hidden="1" x14ac:dyDescent="0.25"/>
    <row r="1665" hidden="1" x14ac:dyDescent="0.25"/>
    <row r="1666" hidden="1" x14ac:dyDescent="0.25"/>
    <row r="1667" hidden="1" x14ac:dyDescent="0.25"/>
    <row r="1668" hidden="1" x14ac:dyDescent="0.25"/>
    <row r="1669" hidden="1" x14ac:dyDescent="0.25"/>
    <row r="1670" hidden="1" x14ac:dyDescent="0.25"/>
    <row r="1671" hidden="1" x14ac:dyDescent="0.25"/>
    <row r="1672" hidden="1" x14ac:dyDescent="0.25"/>
    <row r="1673" hidden="1" x14ac:dyDescent="0.25"/>
    <row r="1674" hidden="1" x14ac:dyDescent="0.25"/>
    <row r="1675" hidden="1" x14ac:dyDescent="0.25"/>
    <row r="1676" hidden="1" x14ac:dyDescent="0.25"/>
    <row r="1677" hidden="1" x14ac:dyDescent="0.25"/>
    <row r="1678" hidden="1" x14ac:dyDescent="0.25"/>
    <row r="1679" hidden="1" x14ac:dyDescent="0.25"/>
    <row r="1680" hidden="1" x14ac:dyDescent="0.25"/>
    <row r="1681" hidden="1" x14ac:dyDescent="0.25"/>
    <row r="1682" hidden="1" x14ac:dyDescent="0.25"/>
    <row r="1683" hidden="1" x14ac:dyDescent="0.25"/>
    <row r="1684" hidden="1" x14ac:dyDescent="0.25"/>
    <row r="1685" hidden="1" x14ac:dyDescent="0.25"/>
    <row r="1686" hidden="1" x14ac:dyDescent="0.25"/>
    <row r="1687" hidden="1" x14ac:dyDescent="0.25"/>
    <row r="1688" hidden="1" x14ac:dyDescent="0.25"/>
    <row r="1689" hidden="1" x14ac:dyDescent="0.25"/>
    <row r="1690" hidden="1" x14ac:dyDescent="0.25"/>
    <row r="1691" hidden="1" x14ac:dyDescent="0.25"/>
    <row r="1692" hidden="1" x14ac:dyDescent="0.25"/>
    <row r="1693" hidden="1" x14ac:dyDescent="0.25"/>
    <row r="1694" hidden="1" x14ac:dyDescent="0.25"/>
    <row r="1695" hidden="1" x14ac:dyDescent="0.25"/>
    <row r="1696" hidden="1" x14ac:dyDescent="0.25"/>
    <row r="1697" hidden="1" x14ac:dyDescent="0.25"/>
    <row r="1698" hidden="1" x14ac:dyDescent="0.25"/>
    <row r="1699" hidden="1" x14ac:dyDescent="0.25"/>
    <row r="1700" hidden="1" x14ac:dyDescent="0.25"/>
    <row r="1701" hidden="1" x14ac:dyDescent="0.25"/>
    <row r="1702" hidden="1" x14ac:dyDescent="0.25"/>
    <row r="1703" hidden="1" x14ac:dyDescent="0.25"/>
    <row r="1704" hidden="1" x14ac:dyDescent="0.25"/>
    <row r="1705" hidden="1" x14ac:dyDescent="0.25"/>
    <row r="1706" hidden="1" x14ac:dyDescent="0.25"/>
    <row r="1707" hidden="1" x14ac:dyDescent="0.25"/>
    <row r="1708" hidden="1" x14ac:dyDescent="0.25"/>
    <row r="1709" hidden="1" x14ac:dyDescent="0.25"/>
    <row r="1710" hidden="1" x14ac:dyDescent="0.25"/>
    <row r="1711" hidden="1" x14ac:dyDescent="0.25"/>
    <row r="1712" hidden="1" x14ac:dyDescent="0.25"/>
    <row r="1713" hidden="1" x14ac:dyDescent="0.25"/>
    <row r="1714" hidden="1" x14ac:dyDescent="0.25"/>
    <row r="1715" hidden="1" x14ac:dyDescent="0.25"/>
    <row r="1716" hidden="1" x14ac:dyDescent="0.25"/>
    <row r="1717" hidden="1" x14ac:dyDescent="0.25"/>
    <row r="1718" hidden="1" x14ac:dyDescent="0.25"/>
    <row r="1719" hidden="1" x14ac:dyDescent="0.25"/>
    <row r="1720" hidden="1" x14ac:dyDescent="0.25"/>
    <row r="1721" hidden="1" x14ac:dyDescent="0.25"/>
    <row r="1722" hidden="1" x14ac:dyDescent="0.25"/>
    <row r="1723" hidden="1" x14ac:dyDescent="0.25"/>
    <row r="1724" hidden="1" x14ac:dyDescent="0.25"/>
    <row r="1725" hidden="1" x14ac:dyDescent="0.25"/>
    <row r="1726" hidden="1" x14ac:dyDescent="0.25"/>
    <row r="1727" hidden="1" x14ac:dyDescent="0.25"/>
    <row r="1728" hidden="1" x14ac:dyDescent="0.25"/>
    <row r="1729" hidden="1" x14ac:dyDescent="0.25"/>
    <row r="1730" hidden="1" x14ac:dyDescent="0.25"/>
    <row r="1731" hidden="1" x14ac:dyDescent="0.25"/>
    <row r="1732" hidden="1" x14ac:dyDescent="0.25"/>
    <row r="1733" hidden="1" x14ac:dyDescent="0.25"/>
    <row r="1734" hidden="1" x14ac:dyDescent="0.25"/>
    <row r="1735" hidden="1" x14ac:dyDescent="0.25"/>
    <row r="1736" hidden="1" x14ac:dyDescent="0.25"/>
    <row r="1737" hidden="1" x14ac:dyDescent="0.25"/>
    <row r="1738" hidden="1" x14ac:dyDescent="0.25"/>
    <row r="1739" hidden="1" x14ac:dyDescent="0.25"/>
    <row r="1740" hidden="1" x14ac:dyDescent="0.25"/>
    <row r="1741" hidden="1" x14ac:dyDescent="0.25"/>
    <row r="1742" hidden="1" x14ac:dyDescent="0.25"/>
    <row r="1743" hidden="1" x14ac:dyDescent="0.25"/>
    <row r="1744" hidden="1" x14ac:dyDescent="0.25"/>
    <row r="1745" hidden="1" x14ac:dyDescent="0.25"/>
    <row r="1746" hidden="1" x14ac:dyDescent="0.25"/>
    <row r="1747" hidden="1" x14ac:dyDescent="0.25"/>
    <row r="1748" hidden="1" x14ac:dyDescent="0.25"/>
    <row r="1749" hidden="1" x14ac:dyDescent="0.25"/>
    <row r="1750" hidden="1" x14ac:dyDescent="0.25"/>
    <row r="1751" hidden="1" x14ac:dyDescent="0.25"/>
    <row r="1752" hidden="1" x14ac:dyDescent="0.25"/>
    <row r="1753" hidden="1" x14ac:dyDescent="0.25"/>
    <row r="1754" hidden="1" x14ac:dyDescent="0.25"/>
    <row r="1755" hidden="1" x14ac:dyDescent="0.25"/>
    <row r="1756" hidden="1" x14ac:dyDescent="0.25"/>
    <row r="1757" hidden="1" x14ac:dyDescent="0.25"/>
    <row r="1758" hidden="1" x14ac:dyDescent="0.25"/>
    <row r="1759" hidden="1" x14ac:dyDescent="0.25"/>
    <row r="1760" hidden="1" x14ac:dyDescent="0.25"/>
    <row r="1761" hidden="1" x14ac:dyDescent="0.25"/>
    <row r="1762" hidden="1" x14ac:dyDescent="0.25"/>
    <row r="1763" hidden="1" x14ac:dyDescent="0.25"/>
    <row r="1764" hidden="1" x14ac:dyDescent="0.25"/>
    <row r="1765" hidden="1" x14ac:dyDescent="0.25"/>
    <row r="1766" hidden="1" x14ac:dyDescent="0.25"/>
    <row r="1767" hidden="1" x14ac:dyDescent="0.25"/>
    <row r="1768" hidden="1" x14ac:dyDescent="0.25"/>
    <row r="1769" hidden="1" x14ac:dyDescent="0.25"/>
    <row r="1770" hidden="1" x14ac:dyDescent="0.25"/>
    <row r="1771" hidden="1" x14ac:dyDescent="0.25"/>
    <row r="1772" hidden="1" x14ac:dyDescent="0.25"/>
    <row r="1773" hidden="1" x14ac:dyDescent="0.25"/>
    <row r="1774" hidden="1" x14ac:dyDescent="0.25"/>
    <row r="1775" hidden="1" x14ac:dyDescent="0.25"/>
    <row r="1776" hidden="1" x14ac:dyDescent="0.25"/>
    <row r="1777" hidden="1" x14ac:dyDescent="0.25"/>
    <row r="1778" hidden="1" x14ac:dyDescent="0.25"/>
    <row r="1779" hidden="1" x14ac:dyDescent="0.25"/>
    <row r="1780" hidden="1" x14ac:dyDescent="0.25"/>
    <row r="1781" hidden="1" x14ac:dyDescent="0.25"/>
    <row r="1782" hidden="1" x14ac:dyDescent="0.25"/>
    <row r="1783" hidden="1" x14ac:dyDescent="0.25"/>
    <row r="1784" hidden="1" x14ac:dyDescent="0.25"/>
    <row r="1785" hidden="1" x14ac:dyDescent="0.25"/>
    <row r="1786" hidden="1" x14ac:dyDescent="0.25"/>
    <row r="1787" hidden="1" x14ac:dyDescent="0.25"/>
    <row r="1788" hidden="1" x14ac:dyDescent="0.25"/>
    <row r="1789" hidden="1" x14ac:dyDescent="0.25"/>
    <row r="1790" hidden="1" x14ac:dyDescent="0.25"/>
    <row r="1791" hidden="1" x14ac:dyDescent="0.25"/>
    <row r="1792" hidden="1" x14ac:dyDescent="0.25"/>
    <row r="1793" hidden="1" x14ac:dyDescent="0.25"/>
    <row r="1794" hidden="1" x14ac:dyDescent="0.25"/>
    <row r="1795" hidden="1" x14ac:dyDescent="0.25"/>
    <row r="1796" hidden="1" x14ac:dyDescent="0.25"/>
    <row r="1797" hidden="1" x14ac:dyDescent="0.25"/>
    <row r="1798" hidden="1" x14ac:dyDescent="0.25"/>
    <row r="1799" hidden="1" x14ac:dyDescent="0.25"/>
    <row r="1800" hidden="1" x14ac:dyDescent="0.25"/>
    <row r="1801" hidden="1" x14ac:dyDescent="0.25"/>
    <row r="1802" hidden="1" x14ac:dyDescent="0.25"/>
    <row r="1803" hidden="1" x14ac:dyDescent="0.25"/>
    <row r="1804" hidden="1" x14ac:dyDescent="0.25"/>
    <row r="1805" hidden="1" x14ac:dyDescent="0.25"/>
    <row r="1806" hidden="1" x14ac:dyDescent="0.25"/>
    <row r="1807" hidden="1" x14ac:dyDescent="0.25"/>
    <row r="1808" hidden="1" x14ac:dyDescent="0.25"/>
    <row r="1809" hidden="1" x14ac:dyDescent="0.25"/>
    <row r="1810" hidden="1" x14ac:dyDescent="0.25"/>
    <row r="1811" hidden="1" x14ac:dyDescent="0.25"/>
    <row r="1812" hidden="1" x14ac:dyDescent="0.25"/>
    <row r="1813" hidden="1" x14ac:dyDescent="0.25"/>
    <row r="1814" hidden="1" x14ac:dyDescent="0.25"/>
    <row r="1815" hidden="1" x14ac:dyDescent="0.25"/>
    <row r="1816" hidden="1" x14ac:dyDescent="0.25"/>
    <row r="1817" hidden="1" x14ac:dyDescent="0.25"/>
    <row r="1818" hidden="1" x14ac:dyDescent="0.25"/>
    <row r="1819" hidden="1" x14ac:dyDescent="0.25"/>
    <row r="1820" hidden="1" x14ac:dyDescent="0.25"/>
    <row r="1821" hidden="1" x14ac:dyDescent="0.25"/>
    <row r="1822" hidden="1" x14ac:dyDescent="0.25"/>
    <row r="1823" hidden="1" x14ac:dyDescent="0.25"/>
    <row r="1824" hidden="1" x14ac:dyDescent="0.25"/>
    <row r="1825" hidden="1" x14ac:dyDescent="0.25"/>
    <row r="1826" hidden="1" x14ac:dyDescent="0.25"/>
    <row r="1827" hidden="1" x14ac:dyDescent="0.25"/>
    <row r="1828" hidden="1" x14ac:dyDescent="0.25"/>
    <row r="1829" hidden="1" x14ac:dyDescent="0.25"/>
    <row r="1830" hidden="1" x14ac:dyDescent="0.25"/>
    <row r="1831" hidden="1" x14ac:dyDescent="0.25"/>
    <row r="1832" hidden="1" x14ac:dyDescent="0.25"/>
    <row r="1833" hidden="1" x14ac:dyDescent="0.25"/>
    <row r="1834" hidden="1" x14ac:dyDescent="0.25"/>
    <row r="1835" hidden="1" x14ac:dyDescent="0.25"/>
    <row r="1836" hidden="1" x14ac:dyDescent="0.25"/>
    <row r="1837" hidden="1" x14ac:dyDescent="0.25"/>
    <row r="1838" hidden="1" x14ac:dyDescent="0.25"/>
    <row r="1839" hidden="1" x14ac:dyDescent="0.25"/>
    <row r="1840" hidden="1" x14ac:dyDescent="0.25"/>
    <row r="1841" hidden="1" x14ac:dyDescent="0.25"/>
    <row r="1842" hidden="1" x14ac:dyDescent="0.25"/>
    <row r="1843" hidden="1" x14ac:dyDescent="0.25"/>
    <row r="1844" hidden="1" x14ac:dyDescent="0.25"/>
    <row r="1845" hidden="1" x14ac:dyDescent="0.25"/>
    <row r="1846" hidden="1" x14ac:dyDescent="0.25"/>
    <row r="1847" hidden="1" x14ac:dyDescent="0.25"/>
    <row r="1848" hidden="1" x14ac:dyDescent="0.25"/>
    <row r="1849" hidden="1" x14ac:dyDescent="0.25"/>
    <row r="1850" hidden="1" x14ac:dyDescent="0.25"/>
    <row r="1851" hidden="1" x14ac:dyDescent="0.25"/>
    <row r="1852" hidden="1" x14ac:dyDescent="0.25"/>
    <row r="1853" hidden="1" x14ac:dyDescent="0.25"/>
    <row r="1854" hidden="1" x14ac:dyDescent="0.25"/>
    <row r="1855" hidden="1" x14ac:dyDescent="0.25"/>
    <row r="1856" hidden="1" x14ac:dyDescent="0.25"/>
    <row r="1857" hidden="1" x14ac:dyDescent="0.25"/>
    <row r="1858" hidden="1" x14ac:dyDescent="0.25"/>
    <row r="1859" hidden="1" x14ac:dyDescent="0.25"/>
    <row r="1860" hidden="1" x14ac:dyDescent="0.25"/>
    <row r="1861" hidden="1" x14ac:dyDescent="0.25"/>
    <row r="1862" hidden="1" x14ac:dyDescent="0.25"/>
    <row r="1863" hidden="1" x14ac:dyDescent="0.25"/>
    <row r="1864" hidden="1" x14ac:dyDescent="0.25"/>
    <row r="1865" hidden="1" x14ac:dyDescent="0.25"/>
    <row r="1866" hidden="1" x14ac:dyDescent="0.25"/>
    <row r="1867" hidden="1" x14ac:dyDescent="0.25"/>
    <row r="1868" hidden="1" x14ac:dyDescent="0.25"/>
    <row r="1869" hidden="1" x14ac:dyDescent="0.25"/>
    <row r="1870" hidden="1" x14ac:dyDescent="0.25"/>
    <row r="1871" hidden="1" x14ac:dyDescent="0.25"/>
    <row r="1872" hidden="1" x14ac:dyDescent="0.25"/>
    <row r="1873" hidden="1" x14ac:dyDescent="0.25"/>
    <row r="1874" hidden="1" x14ac:dyDescent="0.25"/>
    <row r="1875" hidden="1" x14ac:dyDescent="0.25"/>
    <row r="1876" hidden="1" x14ac:dyDescent="0.25"/>
    <row r="1877" hidden="1" x14ac:dyDescent="0.25"/>
    <row r="1878" hidden="1" x14ac:dyDescent="0.25"/>
    <row r="1879" hidden="1" x14ac:dyDescent="0.25"/>
    <row r="1880" hidden="1" x14ac:dyDescent="0.25"/>
    <row r="1881" hidden="1" x14ac:dyDescent="0.25"/>
    <row r="1882" hidden="1" x14ac:dyDescent="0.25"/>
    <row r="1883" hidden="1" x14ac:dyDescent="0.25"/>
    <row r="1884" hidden="1" x14ac:dyDescent="0.25"/>
    <row r="1885" hidden="1" x14ac:dyDescent="0.25"/>
    <row r="1886" hidden="1" x14ac:dyDescent="0.25"/>
    <row r="1887" hidden="1" x14ac:dyDescent="0.25"/>
    <row r="1888" hidden="1" x14ac:dyDescent="0.25"/>
    <row r="1889" hidden="1" x14ac:dyDescent="0.25"/>
    <row r="1890" hidden="1" x14ac:dyDescent="0.25"/>
    <row r="1891" hidden="1" x14ac:dyDescent="0.25"/>
    <row r="1892" hidden="1" x14ac:dyDescent="0.25"/>
    <row r="1893" hidden="1" x14ac:dyDescent="0.25"/>
    <row r="1894" hidden="1" x14ac:dyDescent="0.25"/>
    <row r="1895" hidden="1" x14ac:dyDescent="0.25"/>
    <row r="1896" hidden="1" x14ac:dyDescent="0.25"/>
    <row r="1897" hidden="1" x14ac:dyDescent="0.25"/>
    <row r="1898" hidden="1" x14ac:dyDescent="0.25"/>
    <row r="1899" hidden="1" x14ac:dyDescent="0.25"/>
    <row r="1900" hidden="1" x14ac:dyDescent="0.25"/>
    <row r="1901" hidden="1" x14ac:dyDescent="0.25"/>
    <row r="1902" hidden="1" x14ac:dyDescent="0.25"/>
    <row r="1903" hidden="1" x14ac:dyDescent="0.25"/>
    <row r="1904" hidden="1" x14ac:dyDescent="0.25"/>
    <row r="1905" hidden="1" x14ac:dyDescent="0.25"/>
    <row r="1906" hidden="1" x14ac:dyDescent="0.25"/>
    <row r="1907" hidden="1" x14ac:dyDescent="0.25"/>
    <row r="1908" hidden="1" x14ac:dyDescent="0.25"/>
    <row r="1909" hidden="1" x14ac:dyDescent="0.25"/>
    <row r="1910" hidden="1" x14ac:dyDescent="0.25"/>
    <row r="1911" hidden="1" x14ac:dyDescent="0.25"/>
    <row r="1912" hidden="1" x14ac:dyDescent="0.25"/>
    <row r="1913" hidden="1" x14ac:dyDescent="0.25"/>
    <row r="1914" hidden="1" x14ac:dyDescent="0.25"/>
    <row r="1915" hidden="1" x14ac:dyDescent="0.25"/>
    <row r="1916" hidden="1" x14ac:dyDescent="0.25"/>
    <row r="1917" hidden="1" x14ac:dyDescent="0.25"/>
    <row r="1918" hidden="1" x14ac:dyDescent="0.25"/>
    <row r="1919" hidden="1" x14ac:dyDescent="0.25"/>
    <row r="1920" hidden="1" x14ac:dyDescent="0.25"/>
    <row r="1921" hidden="1" x14ac:dyDescent="0.25"/>
    <row r="1922" hidden="1" x14ac:dyDescent="0.25"/>
    <row r="1923" hidden="1" x14ac:dyDescent="0.25"/>
    <row r="1924" hidden="1" x14ac:dyDescent="0.25"/>
    <row r="1925" hidden="1" x14ac:dyDescent="0.25"/>
    <row r="1926" hidden="1" x14ac:dyDescent="0.25"/>
    <row r="1927" hidden="1" x14ac:dyDescent="0.25"/>
    <row r="1928" hidden="1" x14ac:dyDescent="0.25"/>
    <row r="1929" hidden="1" x14ac:dyDescent="0.25"/>
    <row r="1930" hidden="1" x14ac:dyDescent="0.25"/>
    <row r="1931" hidden="1" x14ac:dyDescent="0.25"/>
    <row r="1932" hidden="1" x14ac:dyDescent="0.25"/>
    <row r="1933" hidden="1" x14ac:dyDescent="0.25"/>
    <row r="1934" hidden="1" x14ac:dyDescent="0.25"/>
    <row r="1935" hidden="1" x14ac:dyDescent="0.25"/>
    <row r="1936" hidden="1" x14ac:dyDescent="0.25"/>
    <row r="1937" hidden="1" x14ac:dyDescent="0.25"/>
    <row r="1938" hidden="1" x14ac:dyDescent="0.25"/>
    <row r="1939" hidden="1" x14ac:dyDescent="0.25"/>
    <row r="1940" hidden="1" x14ac:dyDescent="0.25"/>
    <row r="1941" hidden="1" x14ac:dyDescent="0.25"/>
    <row r="1942" hidden="1" x14ac:dyDescent="0.25"/>
    <row r="1943" hidden="1" x14ac:dyDescent="0.25"/>
    <row r="1944" hidden="1" x14ac:dyDescent="0.25"/>
    <row r="1945" hidden="1" x14ac:dyDescent="0.25"/>
    <row r="1946" hidden="1" x14ac:dyDescent="0.25"/>
    <row r="1947" hidden="1" x14ac:dyDescent="0.25"/>
    <row r="1948" hidden="1" x14ac:dyDescent="0.25"/>
    <row r="1949" hidden="1" x14ac:dyDescent="0.25"/>
    <row r="1950" hidden="1" x14ac:dyDescent="0.25"/>
    <row r="1951" hidden="1" x14ac:dyDescent="0.25"/>
    <row r="1952" hidden="1" x14ac:dyDescent="0.25"/>
    <row r="1953" hidden="1" x14ac:dyDescent="0.25"/>
    <row r="1954" hidden="1" x14ac:dyDescent="0.25"/>
    <row r="1955" hidden="1" x14ac:dyDescent="0.25"/>
    <row r="1956" hidden="1" x14ac:dyDescent="0.25"/>
    <row r="1957" hidden="1" x14ac:dyDescent="0.25"/>
    <row r="1958" hidden="1" x14ac:dyDescent="0.25"/>
    <row r="1959" hidden="1" x14ac:dyDescent="0.25"/>
    <row r="1960" hidden="1" x14ac:dyDescent="0.25"/>
    <row r="1961" hidden="1" x14ac:dyDescent="0.25"/>
    <row r="1962" hidden="1" x14ac:dyDescent="0.25"/>
    <row r="1963" hidden="1" x14ac:dyDescent="0.25"/>
    <row r="1964" hidden="1" x14ac:dyDescent="0.25"/>
    <row r="1965" hidden="1" x14ac:dyDescent="0.25"/>
    <row r="1966" hidden="1" x14ac:dyDescent="0.25"/>
    <row r="1967" hidden="1" x14ac:dyDescent="0.25"/>
    <row r="1968" hidden="1" x14ac:dyDescent="0.25"/>
    <row r="1969" hidden="1" x14ac:dyDescent="0.25"/>
    <row r="1970" hidden="1" x14ac:dyDescent="0.25"/>
    <row r="1971" hidden="1" x14ac:dyDescent="0.25"/>
    <row r="1972" hidden="1" x14ac:dyDescent="0.25"/>
    <row r="1973" hidden="1" x14ac:dyDescent="0.25"/>
    <row r="1974" hidden="1" x14ac:dyDescent="0.25"/>
    <row r="1975" hidden="1" x14ac:dyDescent="0.25"/>
    <row r="1976" hidden="1" x14ac:dyDescent="0.25"/>
    <row r="1977" hidden="1" x14ac:dyDescent="0.25"/>
    <row r="1978" hidden="1" x14ac:dyDescent="0.25"/>
    <row r="1979" hidden="1" x14ac:dyDescent="0.25"/>
    <row r="1980" hidden="1" x14ac:dyDescent="0.25"/>
    <row r="1981" hidden="1" x14ac:dyDescent="0.25"/>
    <row r="1982" hidden="1" x14ac:dyDescent="0.25"/>
    <row r="1983" hidden="1" x14ac:dyDescent="0.25"/>
    <row r="1984" hidden="1" x14ac:dyDescent="0.25"/>
    <row r="1985" hidden="1" x14ac:dyDescent="0.25"/>
    <row r="1986" hidden="1" x14ac:dyDescent="0.25"/>
    <row r="1987" hidden="1" x14ac:dyDescent="0.25"/>
    <row r="1988" hidden="1" x14ac:dyDescent="0.25"/>
    <row r="1989" hidden="1" x14ac:dyDescent="0.25"/>
    <row r="1990" hidden="1" x14ac:dyDescent="0.25"/>
    <row r="1991" hidden="1" x14ac:dyDescent="0.25"/>
    <row r="1992" hidden="1" x14ac:dyDescent="0.25"/>
    <row r="1993" hidden="1" x14ac:dyDescent="0.25"/>
    <row r="1994" hidden="1" x14ac:dyDescent="0.25"/>
    <row r="1995" hidden="1" x14ac:dyDescent="0.25"/>
    <row r="1996" hidden="1" x14ac:dyDescent="0.25"/>
    <row r="1997" hidden="1" x14ac:dyDescent="0.25"/>
    <row r="1998" hidden="1" x14ac:dyDescent="0.25"/>
    <row r="1999" hidden="1" x14ac:dyDescent="0.25"/>
    <row r="2000" hidden="1" x14ac:dyDescent="0.25"/>
    <row r="2003" spans="26:26" x14ac:dyDescent="0.25">
      <c r="Z2003">
        <f>SUBTOTAL(3,Z2:Z2001)</f>
        <v>41</v>
      </c>
    </row>
    <row r="2080" spans="5:5" x14ac:dyDescent="0.25">
      <c r="E2080" s="2" t="s">
        <v>5074</v>
      </c>
    </row>
    <row r="2081" spans="5:5" x14ac:dyDescent="0.25">
      <c r="E2081" s="20" t="s">
        <v>5075</v>
      </c>
    </row>
    <row r="2082" spans="5:5" x14ac:dyDescent="0.25">
      <c r="E2082" s="22" t="s">
        <v>5076</v>
      </c>
    </row>
    <row r="2083" spans="5:5" x14ac:dyDescent="0.25">
      <c r="E2083" s="23" t="s">
        <v>5077</v>
      </c>
    </row>
  </sheetData>
  <autoFilter ref="A1:Z2000">
    <filterColumn colId="2">
      <filters>
        <filter val="Emerging"/>
        <filter val="Open"/>
      </filters>
    </filterColumn>
    <filterColumn colId="4">
      <filters>
        <filter val="3PAR File Persona"/>
      </filters>
    </filterColumn>
    <filterColumn colId="14">
      <filters>
        <filter val="Development"/>
      </filters>
    </filterColumn>
  </autoFilter>
  <conditionalFormatting sqref="J2:L2000">
    <cfRule type="expression" dxfId="16" priority="13">
      <formula>IF(FIND("Green",J2)&gt;0,1,0)</formula>
    </cfRule>
    <cfRule type="expression" dxfId="15" priority="14">
      <formula>IF(FIND("Yellow",J2)&gt;0,1,0)</formula>
    </cfRule>
    <cfRule type="expression" dxfId="14" priority="15">
      <formula>IF(FIND("Red",J2)&gt;0,1,0)</formula>
    </cfRule>
  </conditionalFormatting>
  <conditionalFormatting sqref="E2:E2000">
    <cfRule type="expression" dxfId="13" priority="7">
      <formula>IF((W2+X2+Y2)&gt;0,IF(FIND("Data",V2)&gt;0,1,0))</formula>
    </cfRule>
    <cfRule type="expression" dxfId="12" priority="8">
      <formula>IF((W2+X2+Y2)&gt;0,IF(ISBLANK(V2),1,IF(FIND("--",V2),1,0)))</formula>
    </cfRule>
    <cfRule type="expression" dxfId="11" priority="12">
      <formula>IF((W2+X2+Y2)=0,IF(FIND("Data",V2)&gt;0,1,0))</formula>
    </cfRule>
  </conditionalFormatting>
  <conditionalFormatting sqref="E2080">
    <cfRule type="expression" dxfId="10" priority="4">
      <formula>IF((W2080+X2080+Y2080)&gt;0,IF(FIND("Data",V2080)&gt;0,1,0))</formula>
    </cfRule>
    <cfRule type="expression" dxfId="9" priority="5">
      <formula>IF((W2080+X2080+Y2080)&gt;0,IF(ISBLANK(V2080),1,IF(FIND("--",V2080),1,0)))</formula>
    </cfRule>
    <cfRule type="expression" dxfId="8" priority="6">
      <formula>IF((W2080+X2080+Y2080)=0,IF(FIND("Data",V2080)&gt;0,1,0))</formula>
    </cfRule>
  </conditionalFormatting>
  <conditionalFormatting sqref="X2013">
    <cfRule type="expression" dxfId="7" priority="1">
      <formula>IF((AP2013+AQ2013+AR2013)&gt;0,IF(FIND("Data",AO2013)&gt;0,1,0))</formula>
    </cfRule>
    <cfRule type="expression" dxfId="6" priority="2">
      <formula>IF((AP2013+AQ2013+AR2013)&gt;0,IF(ISBLANK(AO2013),1,IF(FIND("--",AO2013),1,0)))</formula>
    </cfRule>
    <cfRule type="expression" dxfId="5" priority="3">
      <formula>IF((AP2013+AQ2013+AR2013)=0,IF(FIND("Data",AO2013)&gt;0,1,0))</formula>
    </cfRule>
  </conditionalFormatting>
  <hyperlinks>
    <hyperlink ref="E1" location="CFIdb!E2083" display="CFIdb!E2083"/>
    <hyperlink ref="E2080" location="CFIdb!E2" display="Legend"/>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FullRefresh">
                <anchor moveWithCells="1" sizeWithCells="1">
                  <from>
                    <xdr:col>16</xdr:col>
                    <xdr:colOff>419100</xdr:colOff>
                    <xdr:row>0</xdr:row>
                    <xdr:rowOff>9525</xdr:rowOff>
                  </from>
                  <to>
                    <xdr:col>16</xdr:col>
                    <xdr:colOff>1314450</xdr:colOff>
                    <xdr:row>0</xdr:row>
                    <xdr:rowOff>180975</xdr:rowOff>
                  </to>
                </anchor>
              </controlPr>
            </control>
          </mc:Choice>
        </mc:AlternateContent>
        <mc:AlternateContent xmlns:mc="http://schemas.openxmlformats.org/markup-compatibility/2006">
          <mc:Choice Requires="x14">
            <control shapeId="1026" r:id="rId5" name="Button 2">
              <controlPr defaultSize="0" print="0" autoFill="0" autoPict="0" macro="[0]!CFIlogin">
                <anchor moveWithCells="1" sizeWithCells="1">
                  <from>
                    <xdr:col>16</xdr:col>
                    <xdr:colOff>1333500</xdr:colOff>
                    <xdr:row>0</xdr:row>
                    <xdr:rowOff>19050</xdr:rowOff>
                  </from>
                  <to>
                    <xdr:col>16</xdr:col>
                    <xdr:colOff>2333625</xdr:colOff>
                    <xdr:row>0</xdr:row>
                    <xdr:rowOff>180975</xdr:rowOff>
                  </to>
                </anchor>
              </controlPr>
            </control>
          </mc:Choice>
        </mc:AlternateContent>
        <mc:AlternateContent xmlns:mc="http://schemas.openxmlformats.org/markup-compatibility/2006">
          <mc:Choice Requires="x14">
            <control shapeId="1027" r:id="rId6" name="Button 3">
              <controlPr defaultSize="0" print="0" autoFill="0" autoPict="0" macro="[0]!OpenDev">
                <anchor moveWithCells="1" sizeWithCells="1">
                  <from>
                    <xdr:col>16</xdr:col>
                    <xdr:colOff>2352675</xdr:colOff>
                    <xdr:row>0</xdr:row>
                    <xdr:rowOff>9525</xdr:rowOff>
                  </from>
                  <to>
                    <xdr:col>16</xdr:col>
                    <xdr:colOff>3238500</xdr:colOff>
                    <xdr:row>0</xdr:row>
                    <xdr:rowOff>171450</xdr:rowOff>
                  </to>
                </anchor>
              </controlPr>
            </control>
          </mc:Choice>
        </mc:AlternateContent>
        <mc:AlternateContent xmlns:mc="http://schemas.openxmlformats.org/markup-compatibility/2006">
          <mc:Choice Requires="x14">
            <control shapeId="1028" r:id="rId7" name="Button 4">
              <controlPr defaultSize="0" print="0" autoFill="0" autoPict="0" macro="[0]!ClearFilters">
                <anchor moveWithCells="1" sizeWithCells="1">
                  <from>
                    <xdr:col>16</xdr:col>
                    <xdr:colOff>3257550</xdr:colOff>
                    <xdr:row>0</xdr:row>
                    <xdr:rowOff>0</xdr:rowOff>
                  </from>
                  <to>
                    <xdr:col>16</xdr:col>
                    <xdr:colOff>3714750</xdr:colOff>
                    <xdr:row>0</xdr:row>
                    <xdr:rowOff>171450</xdr:rowOff>
                  </to>
                </anchor>
              </controlPr>
            </control>
          </mc:Choice>
        </mc:AlternateContent>
        <mc:AlternateContent xmlns:mc="http://schemas.openxmlformats.org/markup-compatibility/2006">
          <mc:Choice Requires="x14">
            <control shapeId="1029" r:id="rId8" name="Button 5">
              <controlPr defaultSize="0" print="0" autoFill="0" autoPict="0" macro="[0]!UnHideColumns">
                <anchor moveWithCells="1" sizeWithCells="1">
                  <from>
                    <xdr:col>16</xdr:col>
                    <xdr:colOff>3848100</xdr:colOff>
                    <xdr:row>0</xdr:row>
                    <xdr:rowOff>19050</xdr:rowOff>
                  </from>
                  <to>
                    <xdr:col>16</xdr:col>
                    <xdr:colOff>4514850</xdr:colOff>
                    <xdr:row>0</xdr:row>
                    <xdr:rowOff>171450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W7436"/>
  <sheetViews>
    <sheetView zoomScale="94" zoomScaleNormal="94" workbookViewId="0">
      <pane ySplit="1" topLeftCell="A531" activePane="bottomLeft" state="frozen"/>
      <selection pane="bottomLeft" activeCell="A2" sqref="A2"/>
    </sheetView>
  </sheetViews>
  <sheetFormatPr defaultRowHeight="15" x14ac:dyDescent="0.25"/>
  <cols>
    <col min="1" max="1" width="16.7109375" customWidth="1"/>
    <col min="2" max="2" width="16.42578125" style="6" customWidth="1"/>
    <col min="4" max="4" width="73.85546875" customWidth="1"/>
    <col min="6" max="11" width="9.140625" customWidth="1"/>
    <col min="12" max="12" width="13.7109375" customWidth="1"/>
    <col min="13" max="17" width="9.140625" customWidth="1"/>
    <col min="18" max="18" width="14.42578125" style="1" bestFit="1" customWidth="1"/>
    <col min="19" max="19" width="10.7109375" style="1" customWidth="1"/>
    <col min="20" max="22" width="9.140625" customWidth="1"/>
  </cols>
  <sheetData>
    <row r="1" spans="1:23" x14ac:dyDescent="0.25">
      <c r="A1" t="str">
        <f>CONCATENATE("CFI State  ",SUBTOTAL(3,C2:C4027))</f>
        <v>CFI State  2121</v>
      </c>
      <c r="B1" s="6" t="s">
        <v>196</v>
      </c>
      <c r="C1" s="9" t="s">
        <v>10</v>
      </c>
      <c r="D1" s="9" t="s">
        <v>11</v>
      </c>
      <c r="E1" s="9" t="s">
        <v>12</v>
      </c>
      <c r="F1" s="9" t="s">
        <v>13</v>
      </c>
      <c r="G1" s="9" t="s">
        <v>14</v>
      </c>
      <c r="H1" s="9" t="s">
        <v>15</v>
      </c>
      <c r="I1" s="9" t="s">
        <v>16</v>
      </c>
      <c r="J1" s="9" t="s">
        <v>17</v>
      </c>
      <c r="K1" s="9" t="s">
        <v>18</v>
      </c>
      <c r="L1" s="9" t="s">
        <v>19</v>
      </c>
      <c r="M1" s="9" t="s">
        <v>257</v>
      </c>
      <c r="N1" s="9" t="s">
        <v>20</v>
      </c>
      <c r="O1" s="9" t="s">
        <v>21</v>
      </c>
      <c r="P1" s="9" t="s">
        <v>22</v>
      </c>
      <c r="Q1" s="9" t="s">
        <v>23</v>
      </c>
      <c r="R1" s="11" t="s">
        <v>24</v>
      </c>
      <c r="S1" s="11" t="s">
        <v>25</v>
      </c>
      <c r="T1" s="9" t="s">
        <v>26</v>
      </c>
      <c r="U1" s="9" t="s">
        <v>3933</v>
      </c>
      <c r="V1" s="9" t="s">
        <v>4056</v>
      </c>
      <c r="W1" s="10" t="s">
        <v>4096</v>
      </c>
    </row>
    <row r="2" spans="1:23" x14ac:dyDescent="0.25">
      <c r="B2" s="6">
        <v>1</v>
      </c>
      <c r="C2" s="2">
        <f>HYPERLINK(URLs!B36 &amp; 43449,43449)</f>
        <v>43449</v>
      </c>
      <c r="D2" t="s">
        <v>3830</v>
      </c>
      <c r="E2" t="s">
        <v>371</v>
      </c>
      <c r="F2" t="s">
        <v>305</v>
      </c>
      <c r="G2" t="s">
        <v>1621</v>
      </c>
      <c r="H2" t="s">
        <v>30</v>
      </c>
      <c r="I2" t="s">
        <v>35</v>
      </c>
      <c r="J2" t="s">
        <v>32</v>
      </c>
      <c r="K2" t="s">
        <v>35</v>
      </c>
      <c r="L2" t="s">
        <v>34</v>
      </c>
      <c r="M2" t="s">
        <v>368</v>
      </c>
      <c r="N2" t="s">
        <v>46</v>
      </c>
      <c r="P2" t="s">
        <v>56</v>
      </c>
      <c r="Q2" t="s">
        <v>3828</v>
      </c>
      <c r="R2">
        <v>41792.629629629628</v>
      </c>
      <c r="S2">
        <v>42034.660196759258</v>
      </c>
      <c r="T2" t="s">
        <v>2047</v>
      </c>
      <c r="U2" t="s">
        <v>35</v>
      </c>
      <c r="V2" t="s">
        <v>35</v>
      </c>
      <c r="W2" t="s">
        <v>4134</v>
      </c>
    </row>
    <row r="3" spans="1:23" x14ac:dyDescent="0.25">
      <c r="B3" s="6">
        <v>1</v>
      </c>
      <c r="C3" s="2">
        <f>HYPERLINK(URLs!B36 &amp; 43448,43448)</f>
        <v>43448</v>
      </c>
      <c r="D3" t="s">
        <v>3829</v>
      </c>
      <c r="E3" t="s">
        <v>371</v>
      </c>
      <c r="F3" t="s">
        <v>305</v>
      </c>
      <c r="G3" t="s">
        <v>304</v>
      </c>
      <c r="H3" t="s">
        <v>30</v>
      </c>
      <c r="I3" t="s">
        <v>35</v>
      </c>
      <c r="J3" t="s">
        <v>32</v>
      </c>
      <c r="K3" t="s">
        <v>35</v>
      </c>
      <c r="L3" t="s">
        <v>34</v>
      </c>
      <c r="M3" t="s">
        <v>368</v>
      </c>
      <c r="N3" t="s">
        <v>46</v>
      </c>
      <c r="P3" t="s">
        <v>56</v>
      </c>
      <c r="Q3" t="s">
        <v>3828</v>
      </c>
      <c r="R3">
        <v>41792.626550925925</v>
      </c>
      <c r="S3">
        <v>42058.622175925928</v>
      </c>
      <c r="T3" t="s">
        <v>2047</v>
      </c>
      <c r="U3" t="s">
        <v>35</v>
      </c>
      <c r="V3" t="s">
        <v>35</v>
      </c>
      <c r="W3" t="s">
        <v>4098</v>
      </c>
    </row>
    <row r="4" spans="1:23" x14ac:dyDescent="0.25">
      <c r="B4" s="6">
        <v>1</v>
      </c>
      <c r="C4" s="2">
        <f>HYPERLINK(URLs!B36 &amp; 43171,43171)</f>
        <v>43171</v>
      </c>
      <c r="D4" t="s">
        <v>3827</v>
      </c>
      <c r="E4" t="s">
        <v>2047</v>
      </c>
      <c r="F4" t="s">
        <v>305</v>
      </c>
      <c r="G4" t="s">
        <v>310</v>
      </c>
      <c r="H4" t="s">
        <v>30</v>
      </c>
      <c r="I4" t="s">
        <v>31</v>
      </c>
      <c r="J4" t="s">
        <v>32</v>
      </c>
      <c r="K4" t="s">
        <v>35</v>
      </c>
      <c r="L4" t="s">
        <v>34</v>
      </c>
      <c r="M4" t="s">
        <v>368</v>
      </c>
      <c r="N4" t="s">
        <v>46</v>
      </c>
      <c r="P4" t="s">
        <v>56</v>
      </c>
      <c r="Q4" t="s">
        <v>3828</v>
      </c>
      <c r="R4">
        <v>41781.463865740741</v>
      </c>
      <c r="S4">
        <v>42034.641238425924</v>
      </c>
      <c r="T4" t="s">
        <v>2387</v>
      </c>
      <c r="U4" t="s">
        <v>35</v>
      </c>
      <c r="V4" t="s">
        <v>35</v>
      </c>
      <c r="W4" t="s">
        <v>4112</v>
      </c>
    </row>
    <row r="5" spans="1:23" x14ac:dyDescent="0.25">
      <c r="B5" s="6">
        <v>2</v>
      </c>
      <c r="C5" s="2">
        <f>HYPERLINK(URLs!B36 &amp; 117554,117554)</f>
        <v>117554</v>
      </c>
      <c r="D5" t="s">
        <v>4843</v>
      </c>
      <c r="E5" t="s">
        <v>4080</v>
      </c>
      <c r="F5" t="s">
        <v>305</v>
      </c>
      <c r="G5" t="s">
        <v>304</v>
      </c>
      <c r="H5" t="s">
        <v>116</v>
      </c>
      <c r="I5" t="s">
        <v>31</v>
      </c>
      <c r="J5" t="s">
        <v>32</v>
      </c>
      <c r="K5" t="s">
        <v>44</v>
      </c>
      <c r="L5" t="s">
        <v>45</v>
      </c>
      <c r="M5" t="s">
        <v>4844</v>
      </c>
      <c r="N5" t="s">
        <v>4845</v>
      </c>
      <c r="P5" t="s">
        <v>4171</v>
      </c>
      <c r="Q5" t="s">
        <v>4846</v>
      </c>
      <c r="R5">
        <v>43313.449236111112</v>
      </c>
      <c r="S5">
        <v>43355.131874999999</v>
      </c>
      <c r="T5" t="s">
        <v>4847</v>
      </c>
      <c r="U5" t="s">
        <v>35</v>
      </c>
      <c r="V5" t="s">
        <v>4057</v>
      </c>
      <c r="W5" t="s">
        <v>4171</v>
      </c>
    </row>
    <row r="6" spans="1:23" x14ac:dyDescent="0.25">
      <c r="B6" s="19">
        <v>2555</v>
      </c>
      <c r="C6" s="2">
        <f>HYPERLINK(URLs!B36 &amp; 19684,19684)</f>
        <v>19684</v>
      </c>
      <c r="D6" t="s">
        <v>1551</v>
      </c>
      <c r="E6" t="s">
        <v>1527</v>
      </c>
      <c r="F6" t="s">
        <v>305</v>
      </c>
      <c r="G6" t="s">
        <v>304</v>
      </c>
      <c r="H6" t="s">
        <v>54</v>
      </c>
      <c r="I6" t="s">
        <v>35</v>
      </c>
      <c r="J6" t="s">
        <v>43</v>
      </c>
      <c r="K6" t="s">
        <v>35</v>
      </c>
      <c r="L6" t="s">
        <v>73</v>
      </c>
      <c r="M6" t="s">
        <v>263</v>
      </c>
      <c r="N6" t="s">
        <v>46</v>
      </c>
      <c r="P6" t="s">
        <v>1528</v>
      </c>
      <c r="R6">
        <v>40952.971782407411</v>
      </c>
      <c r="S6">
        <v>41815.736956018518</v>
      </c>
      <c r="T6" t="s">
        <v>70</v>
      </c>
      <c r="U6" t="s">
        <v>35</v>
      </c>
      <c r="V6" t="s">
        <v>35</v>
      </c>
      <c r="W6" t="s">
        <v>1530</v>
      </c>
    </row>
    <row r="7" spans="1:23" x14ac:dyDescent="0.25">
      <c r="B7" s="19">
        <v>2555</v>
      </c>
      <c r="C7" s="2">
        <f>HYPERLINK(URLs!B36 &amp; 19587,19587)</f>
        <v>19587</v>
      </c>
      <c r="D7" t="s">
        <v>1549</v>
      </c>
      <c r="E7" t="s">
        <v>387</v>
      </c>
      <c r="F7" t="s">
        <v>305</v>
      </c>
      <c r="G7" t="s">
        <v>310</v>
      </c>
      <c r="H7" t="s">
        <v>54</v>
      </c>
      <c r="I7" t="s">
        <v>35</v>
      </c>
      <c r="J7" t="s">
        <v>43</v>
      </c>
      <c r="K7" t="s">
        <v>35</v>
      </c>
      <c r="L7" t="s">
        <v>73</v>
      </c>
      <c r="M7" t="s">
        <v>263</v>
      </c>
      <c r="N7" t="s">
        <v>46</v>
      </c>
      <c r="P7" t="s">
        <v>1520</v>
      </c>
      <c r="R7">
        <v>40947.89880787037</v>
      </c>
      <c r="S7">
        <v>42649.822800925926</v>
      </c>
      <c r="T7" t="s">
        <v>1529</v>
      </c>
      <c r="U7" t="s">
        <v>35</v>
      </c>
      <c r="V7" t="s">
        <v>35</v>
      </c>
      <c r="W7" t="s">
        <v>4102</v>
      </c>
    </row>
    <row r="8" spans="1:23" x14ac:dyDescent="0.25">
      <c r="B8" s="19">
        <v>2948</v>
      </c>
      <c r="C8" s="2">
        <f>HYPERLINK(URLs!B36 &amp; 19600,19600)</f>
        <v>19600</v>
      </c>
      <c r="D8" t="s">
        <v>1550</v>
      </c>
      <c r="E8" t="s">
        <v>387</v>
      </c>
      <c r="F8" t="s">
        <v>305</v>
      </c>
      <c r="G8" t="s">
        <v>310</v>
      </c>
      <c r="H8" t="s">
        <v>30</v>
      </c>
      <c r="I8" t="s">
        <v>35</v>
      </c>
      <c r="J8" t="s">
        <v>43</v>
      </c>
      <c r="K8" t="s">
        <v>35</v>
      </c>
      <c r="L8" t="s">
        <v>73</v>
      </c>
      <c r="M8" t="s">
        <v>1514</v>
      </c>
      <c r="N8" t="s">
        <v>46</v>
      </c>
      <c r="P8" t="s">
        <v>1520</v>
      </c>
      <c r="R8">
        <v>40947.976134259261</v>
      </c>
      <c r="S8">
        <v>42649.822777777779</v>
      </c>
      <c r="T8" t="s">
        <v>1529</v>
      </c>
      <c r="U8" t="s">
        <v>35</v>
      </c>
      <c r="V8" t="s">
        <v>35</v>
      </c>
      <c r="W8" t="s">
        <v>4102</v>
      </c>
    </row>
    <row r="9" spans="1:23" x14ac:dyDescent="0.25">
      <c r="B9" s="19">
        <v>2948</v>
      </c>
      <c r="C9" s="2">
        <f>HYPERLINK(URLs!B36 &amp; 19233,19233)</f>
        <v>19233</v>
      </c>
      <c r="D9" t="s">
        <v>1539</v>
      </c>
      <c r="E9" t="s">
        <v>387</v>
      </c>
      <c r="F9" t="s">
        <v>305</v>
      </c>
      <c r="G9" t="s">
        <v>304</v>
      </c>
      <c r="H9" t="s">
        <v>30</v>
      </c>
      <c r="I9" t="s">
        <v>35</v>
      </c>
      <c r="J9" t="s">
        <v>43</v>
      </c>
      <c r="K9" t="s">
        <v>35</v>
      </c>
      <c r="L9" t="s">
        <v>73</v>
      </c>
      <c r="M9" t="s">
        <v>263</v>
      </c>
      <c r="N9" t="s">
        <v>46</v>
      </c>
      <c r="P9" t="s">
        <v>1520</v>
      </c>
      <c r="R9">
        <v>40927.959594907406</v>
      </c>
      <c r="S9">
        <v>41815.73646990741</v>
      </c>
      <c r="T9" t="s">
        <v>1540</v>
      </c>
      <c r="U9" t="s">
        <v>35</v>
      </c>
      <c r="V9" t="s">
        <v>35</v>
      </c>
      <c r="W9" t="s">
        <v>4100</v>
      </c>
    </row>
    <row r="10" spans="1:23" x14ac:dyDescent="0.25">
      <c r="B10" s="19">
        <v>2948</v>
      </c>
      <c r="C10" s="2">
        <f>HYPERLINK(URLs!B36 &amp; 19088,19088)</f>
        <v>19088</v>
      </c>
      <c r="D10" t="s">
        <v>1535</v>
      </c>
      <c r="E10" t="s">
        <v>387</v>
      </c>
      <c r="F10" t="s">
        <v>305</v>
      </c>
      <c r="G10" t="s">
        <v>304</v>
      </c>
      <c r="H10" t="s">
        <v>30</v>
      </c>
      <c r="I10" t="s">
        <v>35</v>
      </c>
      <c r="J10" t="s">
        <v>43</v>
      </c>
      <c r="K10" t="s">
        <v>35</v>
      </c>
      <c r="L10" t="s">
        <v>73</v>
      </c>
      <c r="M10" t="s">
        <v>1514</v>
      </c>
      <c r="N10" t="s">
        <v>46</v>
      </c>
      <c r="P10" t="s">
        <v>1520</v>
      </c>
      <c r="R10">
        <v>40918.935694444444</v>
      </c>
      <c r="S10">
        <v>41815.736712962964</v>
      </c>
      <c r="T10" t="s">
        <v>1529</v>
      </c>
      <c r="U10" t="s">
        <v>35</v>
      </c>
      <c r="V10" t="s">
        <v>35</v>
      </c>
      <c r="W10" t="s">
        <v>1530</v>
      </c>
    </row>
    <row r="11" spans="1:23" x14ac:dyDescent="0.25">
      <c r="B11" s="19">
        <v>2954</v>
      </c>
      <c r="C11" s="2">
        <f>HYPERLINK(URLs!B36 &amp; 19133,19133)</f>
        <v>19133</v>
      </c>
      <c r="D11" t="s">
        <v>1537</v>
      </c>
      <c r="E11" t="s">
        <v>387</v>
      </c>
      <c r="F11" t="s">
        <v>305</v>
      </c>
      <c r="G11" t="s">
        <v>353</v>
      </c>
      <c r="H11" t="s">
        <v>54</v>
      </c>
      <c r="I11" t="s">
        <v>35</v>
      </c>
      <c r="J11" t="s">
        <v>1516</v>
      </c>
      <c r="K11" t="s">
        <v>51</v>
      </c>
      <c r="L11" t="s">
        <v>73</v>
      </c>
      <c r="M11" t="s">
        <v>263</v>
      </c>
      <c r="N11" t="s">
        <v>1538</v>
      </c>
      <c r="P11" t="s">
        <v>1530</v>
      </c>
      <c r="R11">
        <v>40920.715451388889</v>
      </c>
      <c r="S11">
        <v>42404.653611111113</v>
      </c>
      <c r="T11" t="s">
        <v>1518</v>
      </c>
      <c r="U11" t="s">
        <v>35</v>
      </c>
      <c r="V11" t="s">
        <v>35</v>
      </c>
      <c r="W11" t="s">
        <v>4097</v>
      </c>
    </row>
    <row r="12" spans="1:23" x14ac:dyDescent="0.25">
      <c r="B12" s="19">
        <v>2991</v>
      </c>
      <c r="C12" s="2">
        <f>HYPERLINK(URLs!B36 &amp; 19701,19701)</f>
        <v>19701</v>
      </c>
      <c r="D12" t="s">
        <v>1556</v>
      </c>
      <c r="E12" t="s">
        <v>387</v>
      </c>
      <c r="F12" t="s">
        <v>305</v>
      </c>
      <c r="G12" t="s">
        <v>310</v>
      </c>
      <c r="H12" t="s">
        <v>54</v>
      </c>
      <c r="I12" t="s">
        <v>35</v>
      </c>
      <c r="J12" t="s">
        <v>32</v>
      </c>
      <c r="K12" t="s">
        <v>35</v>
      </c>
      <c r="L12" t="s">
        <v>73</v>
      </c>
      <c r="M12" t="s">
        <v>263</v>
      </c>
      <c r="N12" t="s">
        <v>46</v>
      </c>
      <c r="P12" t="s">
        <v>1520</v>
      </c>
      <c r="R12">
        <v>40953.740914351853</v>
      </c>
      <c r="S12">
        <v>42649.822592592594</v>
      </c>
      <c r="T12" t="s">
        <v>1529</v>
      </c>
      <c r="U12" t="s">
        <v>35</v>
      </c>
      <c r="V12" t="s">
        <v>35</v>
      </c>
      <c r="W12" t="s">
        <v>4102</v>
      </c>
    </row>
    <row r="13" spans="1:23" x14ac:dyDescent="0.25">
      <c r="B13" s="19">
        <v>2991</v>
      </c>
      <c r="C13" s="2">
        <f>HYPERLINK(URLs!B36 &amp; 19700,19700)</f>
        <v>19700</v>
      </c>
      <c r="D13" t="s">
        <v>1555</v>
      </c>
      <c r="E13" t="s">
        <v>387</v>
      </c>
      <c r="F13" t="s">
        <v>305</v>
      </c>
      <c r="G13" t="s">
        <v>310</v>
      </c>
      <c r="H13" t="s">
        <v>54</v>
      </c>
      <c r="I13" t="s">
        <v>35</v>
      </c>
      <c r="J13" t="s">
        <v>32</v>
      </c>
      <c r="K13" t="s">
        <v>35</v>
      </c>
      <c r="L13" t="s">
        <v>73</v>
      </c>
      <c r="M13" t="s">
        <v>263</v>
      </c>
      <c r="N13" t="s">
        <v>46</v>
      </c>
      <c r="P13" t="s">
        <v>1520</v>
      </c>
      <c r="R13">
        <v>40953.739537037036</v>
      </c>
      <c r="S13">
        <v>42649.822685185187</v>
      </c>
      <c r="T13" t="s">
        <v>1529</v>
      </c>
      <c r="U13" t="s">
        <v>35</v>
      </c>
      <c r="V13" t="s">
        <v>35</v>
      </c>
      <c r="W13" t="s">
        <v>4103</v>
      </c>
    </row>
    <row r="14" spans="1:23" x14ac:dyDescent="0.25">
      <c r="B14" s="19">
        <v>2991</v>
      </c>
      <c r="C14" s="2">
        <f>HYPERLINK(URLs!B36 &amp; 19699,19699)</f>
        <v>19699</v>
      </c>
      <c r="D14" t="s">
        <v>1554</v>
      </c>
      <c r="E14" t="s">
        <v>387</v>
      </c>
      <c r="F14" t="s">
        <v>305</v>
      </c>
      <c r="G14" t="s">
        <v>310</v>
      </c>
      <c r="H14" t="s">
        <v>54</v>
      </c>
      <c r="I14" t="s">
        <v>35</v>
      </c>
      <c r="J14" t="s">
        <v>32</v>
      </c>
      <c r="K14" t="s">
        <v>35</v>
      </c>
      <c r="L14" t="s">
        <v>73</v>
      </c>
      <c r="M14" t="s">
        <v>263</v>
      </c>
      <c r="N14" t="s">
        <v>46</v>
      </c>
      <c r="P14" t="s">
        <v>1520</v>
      </c>
      <c r="R14">
        <v>40953.737974537034</v>
      </c>
      <c r="S14">
        <v>42649.822615740741</v>
      </c>
      <c r="T14" t="s">
        <v>1529</v>
      </c>
      <c r="U14" t="s">
        <v>35</v>
      </c>
      <c r="V14" t="s">
        <v>35</v>
      </c>
      <c r="W14" t="s">
        <v>1530</v>
      </c>
    </row>
    <row r="15" spans="1:23" x14ac:dyDescent="0.25">
      <c r="B15" s="19">
        <v>2991</v>
      </c>
      <c r="C15" s="2">
        <f>HYPERLINK(URLs!B36 &amp; 19698,19698)</f>
        <v>19698</v>
      </c>
      <c r="D15" t="s">
        <v>1553</v>
      </c>
      <c r="E15" t="s">
        <v>387</v>
      </c>
      <c r="F15" t="s">
        <v>305</v>
      </c>
      <c r="G15" t="s">
        <v>353</v>
      </c>
      <c r="H15" t="s">
        <v>54</v>
      </c>
      <c r="I15" t="s">
        <v>35</v>
      </c>
      <c r="J15" t="s">
        <v>32</v>
      </c>
      <c r="K15" t="s">
        <v>35</v>
      </c>
      <c r="L15" t="s">
        <v>73</v>
      </c>
      <c r="M15" t="s">
        <v>263</v>
      </c>
      <c r="N15" t="s">
        <v>46</v>
      </c>
      <c r="P15" t="s">
        <v>1520</v>
      </c>
      <c r="R15">
        <v>40953.730115740742</v>
      </c>
      <c r="S15">
        <v>42649.822962962964</v>
      </c>
      <c r="T15" t="s">
        <v>1523</v>
      </c>
      <c r="U15" t="s">
        <v>35</v>
      </c>
      <c r="V15" t="s">
        <v>35</v>
      </c>
      <c r="W15" t="s">
        <v>4098</v>
      </c>
    </row>
    <row r="16" spans="1:23" x14ac:dyDescent="0.25">
      <c r="B16" s="19">
        <v>3006</v>
      </c>
      <c r="C16" s="2">
        <f>HYPERLINK(URLs!B36 &amp; 20649,20649)</f>
        <v>20649</v>
      </c>
      <c r="D16" t="s">
        <v>1568</v>
      </c>
      <c r="E16" t="s">
        <v>387</v>
      </c>
      <c r="F16" t="s">
        <v>305</v>
      </c>
      <c r="G16" t="s">
        <v>328</v>
      </c>
      <c r="H16" t="s">
        <v>54</v>
      </c>
      <c r="I16" t="s">
        <v>35</v>
      </c>
      <c r="J16" t="s">
        <v>43</v>
      </c>
      <c r="K16" t="s">
        <v>35</v>
      </c>
      <c r="L16" t="s">
        <v>73</v>
      </c>
      <c r="M16" t="s">
        <v>263</v>
      </c>
      <c r="N16" t="s">
        <v>46</v>
      </c>
      <c r="P16" t="s">
        <v>1543</v>
      </c>
      <c r="R16">
        <v>40985.968009259261</v>
      </c>
      <c r="S16">
        <v>42649.823935185188</v>
      </c>
      <c r="T16" t="s">
        <v>1529</v>
      </c>
      <c r="U16" t="s">
        <v>35</v>
      </c>
      <c r="V16" t="s">
        <v>35</v>
      </c>
      <c r="W16" t="s">
        <v>1646</v>
      </c>
    </row>
    <row r="17" spans="2:23" x14ac:dyDescent="0.25">
      <c r="B17" s="19">
        <v>3006</v>
      </c>
      <c r="C17" s="2">
        <f>HYPERLINK(URLs!B36 &amp; 19534,19534)</f>
        <v>19534</v>
      </c>
      <c r="D17" t="s">
        <v>1547</v>
      </c>
      <c r="E17" t="s">
        <v>387</v>
      </c>
      <c r="F17" t="s">
        <v>305</v>
      </c>
      <c r="G17" t="s">
        <v>328</v>
      </c>
      <c r="H17" t="s">
        <v>54</v>
      </c>
      <c r="I17" t="s">
        <v>35</v>
      </c>
      <c r="J17" t="s">
        <v>43</v>
      </c>
      <c r="K17" t="s">
        <v>35</v>
      </c>
      <c r="L17" t="s">
        <v>73</v>
      </c>
      <c r="M17" t="s">
        <v>263</v>
      </c>
      <c r="N17" t="s">
        <v>46</v>
      </c>
      <c r="O17" t="s">
        <v>1548</v>
      </c>
      <c r="P17" t="s">
        <v>1543</v>
      </c>
      <c r="R17">
        <v>40945.903067129628</v>
      </c>
      <c r="S17">
        <v>42649.822824074072</v>
      </c>
      <c r="T17" t="s">
        <v>1529</v>
      </c>
      <c r="U17" t="s">
        <v>35</v>
      </c>
      <c r="V17" t="s">
        <v>35</v>
      </c>
      <c r="W17" t="s">
        <v>4104</v>
      </c>
    </row>
    <row r="18" spans="2:23" x14ac:dyDescent="0.25">
      <c r="B18" s="19">
        <v>3006</v>
      </c>
      <c r="C18" s="2">
        <f>HYPERLINK(URLs!B36 &amp; 19533,19533)</f>
        <v>19533</v>
      </c>
      <c r="D18" t="s">
        <v>1546</v>
      </c>
      <c r="E18" t="s">
        <v>387</v>
      </c>
      <c r="F18" t="s">
        <v>305</v>
      </c>
      <c r="G18" t="s">
        <v>328</v>
      </c>
      <c r="H18" t="s">
        <v>54</v>
      </c>
      <c r="I18" t="s">
        <v>35</v>
      </c>
      <c r="J18" t="s">
        <v>43</v>
      </c>
      <c r="K18" t="s">
        <v>35</v>
      </c>
      <c r="L18" t="s">
        <v>73</v>
      </c>
      <c r="M18" t="s">
        <v>263</v>
      </c>
      <c r="N18" t="s">
        <v>46</v>
      </c>
      <c r="P18" t="s">
        <v>1543</v>
      </c>
      <c r="R18">
        <v>40945.901805555557</v>
      </c>
      <c r="S18">
        <v>42649.822500000002</v>
      </c>
      <c r="T18" t="s">
        <v>1529</v>
      </c>
      <c r="U18" t="s">
        <v>35</v>
      </c>
      <c r="V18" t="s">
        <v>35</v>
      </c>
      <c r="W18" t="s">
        <v>4103</v>
      </c>
    </row>
    <row r="19" spans="2:23" x14ac:dyDescent="0.25">
      <c r="B19" s="19">
        <v>3006</v>
      </c>
      <c r="C19" s="2">
        <f>HYPERLINK(URLs!B36 &amp; 19532,19532)</f>
        <v>19532</v>
      </c>
      <c r="D19" t="s">
        <v>1545</v>
      </c>
      <c r="E19" t="s">
        <v>387</v>
      </c>
      <c r="F19" t="s">
        <v>305</v>
      </c>
      <c r="G19" t="s">
        <v>328</v>
      </c>
      <c r="H19" t="s">
        <v>54</v>
      </c>
      <c r="I19" t="s">
        <v>35</v>
      </c>
      <c r="J19" t="s">
        <v>43</v>
      </c>
      <c r="K19" t="s">
        <v>35</v>
      </c>
      <c r="L19" t="s">
        <v>73</v>
      </c>
      <c r="M19" t="s">
        <v>263</v>
      </c>
      <c r="N19" t="s">
        <v>46</v>
      </c>
      <c r="P19" t="s">
        <v>1543</v>
      </c>
      <c r="R19">
        <v>40945.900613425925</v>
      </c>
      <c r="S19">
        <v>42649.82309027778</v>
      </c>
      <c r="T19" t="s">
        <v>1529</v>
      </c>
      <c r="U19" t="s">
        <v>35</v>
      </c>
      <c r="V19" t="s">
        <v>35</v>
      </c>
      <c r="W19" t="s">
        <v>4102</v>
      </c>
    </row>
    <row r="20" spans="2:23" x14ac:dyDescent="0.25">
      <c r="B20" s="19">
        <v>3006</v>
      </c>
      <c r="C20" s="2">
        <f>HYPERLINK(URLs!B36 &amp; 19462,19462)</f>
        <v>19462</v>
      </c>
      <c r="D20" t="s">
        <v>1542</v>
      </c>
      <c r="E20" t="s">
        <v>387</v>
      </c>
      <c r="F20" t="s">
        <v>305</v>
      </c>
      <c r="G20" t="s">
        <v>328</v>
      </c>
      <c r="H20" t="s">
        <v>54</v>
      </c>
      <c r="I20" t="s">
        <v>35</v>
      </c>
      <c r="J20" t="s">
        <v>43</v>
      </c>
      <c r="K20" t="s">
        <v>35</v>
      </c>
      <c r="L20" t="s">
        <v>73</v>
      </c>
      <c r="M20" t="s">
        <v>263</v>
      </c>
      <c r="N20" t="s">
        <v>46</v>
      </c>
      <c r="P20" t="s">
        <v>1543</v>
      </c>
      <c r="R20">
        <v>40940.710775462961</v>
      </c>
      <c r="S20">
        <v>42649.822754629633</v>
      </c>
      <c r="T20" t="s">
        <v>1544</v>
      </c>
      <c r="U20" t="s">
        <v>35</v>
      </c>
      <c r="V20" t="s">
        <v>35</v>
      </c>
      <c r="W20" t="s">
        <v>4098</v>
      </c>
    </row>
    <row r="21" spans="2:23" x14ac:dyDescent="0.25">
      <c r="B21" s="19">
        <v>3124</v>
      </c>
      <c r="C21" s="2">
        <f>HYPERLINK(URLs!B36 &amp; 20313,20313)</f>
        <v>20313</v>
      </c>
      <c r="D21" t="s">
        <v>1560</v>
      </c>
      <c r="E21" t="s">
        <v>387</v>
      </c>
      <c r="F21" t="s">
        <v>305</v>
      </c>
      <c r="G21" t="s">
        <v>304</v>
      </c>
      <c r="H21" t="s">
        <v>30</v>
      </c>
      <c r="I21" t="s">
        <v>35</v>
      </c>
      <c r="J21" t="s">
        <v>43</v>
      </c>
      <c r="K21" t="s">
        <v>35</v>
      </c>
      <c r="L21" t="s">
        <v>96</v>
      </c>
      <c r="M21" t="s">
        <v>269</v>
      </c>
      <c r="N21" t="s">
        <v>46</v>
      </c>
      <c r="P21" t="s">
        <v>1520</v>
      </c>
      <c r="R21">
        <v>40973.916608796295</v>
      </c>
      <c r="S21">
        <v>41815.736805555556</v>
      </c>
      <c r="T21" t="s">
        <v>1529</v>
      </c>
      <c r="U21" t="s">
        <v>35</v>
      </c>
      <c r="V21" t="s">
        <v>35</v>
      </c>
      <c r="W21" t="s">
        <v>1646</v>
      </c>
    </row>
    <row r="22" spans="2:23" x14ac:dyDescent="0.25">
      <c r="B22" s="19">
        <v>3124</v>
      </c>
      <c r="C22" s="2">
        <f>HYPERLINK(URLs!B36 &amp; 20312,20312)</f>
        <v>20312</v>
      </c>
      <c r="D22" t="s">
        <v>1559</v>
      </c>
      <c r="E22" t="s">
        <v>387</v>
      </c>
      <c r="F22" t="s">
        <v>305</v>
      </c>
      <c r="G22" t="s">
        <v>337</v>
      </c>
      <c r="H22" t="s">
        <v>30</v>
      </c>
      <c r="I22" t="s">
        <v>35</v>
      </c>
      <c r="J22" t="s">
        <v>43</v>
      </c>
      <c r="K22" t="s">
        <v>35</v>
      </c>
      <c r="L22" t="s">
        <v>96</v>
      </c>
      <c r="M22" t="s">
        <v>269</v>
      </c>
      <c r="N22" t="s">
        <v>46</v>
      </c>
      <c r="P22" t="s">
        <v>1520</v>
      </c>
      <c r="R22">
        <v>40973.915092592593</v>
      </c>
      <c r="S22">
        <v>42649.823634259257</v>
      </c>
      <c r="T22" t="s">
        <v>1529</v>
      </c>
      <c r="U22" t="s">
        <v>35</v>
      </c>
      <c r="V22" t="s">
        <v>35</v>
      </c>
      <c r="W22" t="s">
        <v>4104</v>
      </c>
    </row>
    <row r="23" spans="2:23" x14ac:dyDescent="0.25">
      <c r="B23" s="19">
        <v>3124</v>
      </c>
      <c r="C23" s="2">
        <f>HYPERLINK(URLs!B36 &amp; 20311,20311)</f>
        <v>20311</v>
      </c>
      <c r="D23" t="s">
        <v>1558</v>
      </c>
      <c r="E23" t="s">
        <v>387</v>
      </c>
      <c r="F23" t="s">
        <v>305</v>
      </c>
      <c r="G23" t="s">
        <v>337</v>
      </c>
      <c r="H23" t="s">
        <v>30</v>
      </c>
      <c r="I23" t="s">
        <v>35</v>
      </c>
      <c r="J23" t="s">
        <v>43</v>
      </c>
      <c r="K23" t="s">
        <v>35</v>
      </c>
      <c r="L23" t="s">
        <v>96</v>
      </c>
      <c r="M23" t="s">
        <v>269</v>
      </c>
      <c r="N23" t="s">
        <v>46</v>
      </c>
      <c r="P23" t="s">
        <v>1520</v>
      </c>
      <c r="R23">
        <v>40973.9137962963</v>
      </c>
      <c r="S23">
        <v>42649.822928240741</v>
      </c>
      <c r="T23" t="s">
        <v>1529</v>
      </c>
      <c r="U23" t="s">
        <v>35</v>
      </c>
      <c r="V23" t="s">
        <v>35</v>
      </c>
      <c r="W23" t="s">
        <v>4103</v>
      </c>
    </row>
    <row r="24" spans="2:23" x14ac:dyDescent="0.25">
      <c r="B24" s="19">
        <v>3124</v>
      </c>
      <c r="C24" s="2">
        <f>HYPERLINK(URLs!B36 &amp; 20310,20310)</f>
        <v>20310</v>
      </c>
      <c r="D24" t="s">
        <v>1557</v>
      </c>
      <c r="E24" t="s">
        <v>387</v>
      </c>
      <c r="F24" t="s">
        <v>305</v>
      </c>
      <c r="G24" t="s">
        <v>337</v>
      </c>
      <c r="H24" t="s">
        <v>30</v>
      </c>
      <c r="I24" t="s">
        <v>35</v>
      </c>
      <c r="J24" t="s">
        <v>43</v>
      </c>
      <c r="K24" t="s">
        <v>35</v>
      </c>
      <c r="L24" t="s">
        <v>96</v>
      </c>
      <c r="M24" t="s">
        <v>269</v>
      </c>
      <c r="N24" t="s">
        <v>46</v>
      </c>
      <c r="P24" t="s">
        <v>1520</v>
      </c>
      <c r="R24">
        <v>40973.912291666667</v>
      </c>
      <c r="S24">
        <v>42649.823252314818</v>
      </c>
      <c r="T24" t="s">
        <v>1529</v>
      </c>
      <c r="U24" t="s">
        <v>35</v>
      </c>
      <c r="V24" t="s">
        <v>35</v>
      </c>
      <c r="W24" t="s">
        <v>4105</v>
      </c>
    </row>
    <row r="25" spans="2:23" x14ac:dyDescent="0.25">
      <c r="B25" s="19">
        <v>3130</v>
      </c>
      <c r="C25" s="2">
        <f>HYPERLINK(URLs!B36 &amp; 21451,21451)</f>
        <v>21451</v>
      </c>
      <c r="D25" t="s">
        <v>1584</v>
      </c>
      <c r="E25" t="s">
        <v>387</v>
      </c>
      <c r="F25" t="s">
        <v>305</v>
      </c>
      <c r="G25" t="s">
        <v>310</v>
      </c>
      <c r="H25" t="s">
        <v>30</v>
      </c>
      <c r="I25" t="s">
        <v>35</v>
      </c>
      <c r="J25" t="s">
        <v>43</v>
      </c>
      <c r="K25" t="s">
        <v>35</v>
      </c>
      <c r="L25" t="s">
        <v>96</v>
      </c>
      <c r="M25" t="s">
        <v>269</v>
      </c>
      <c r="N25" t="s">
        <v>46</v>
      </c>
      <c r="P25" t="s">
        <v>1520</v>
      </c>
      <c r="R25">
        <v>41018.609247685185</v>
      </c>
      <c r="S25">
        <v>42649.825150462966</v>
      </c>
      <c r="T25" t="s">
        <v>1529</v>
      </c>
      <c r="U25" t="s">
        <v>35</v>
      </c>
      <c r="V25" t="s">
        <v>35</v>
      </c>
      <c r="W25" t="s">
        <v>4105</v>
      </c>
    </row>
    <row r="26" spans="2:23" x14ac:dyDescent="0.25">
      <c r="B26" s="19">
        <v>3130</v>
      </c>
      <c r="C26" s="2">
        <f>HYPERLINK(URLs!B36 &amp; 21450,21450)</f>
        <v>21450</v>
      </c>
      <c r="D26" t="s">
        <v>1583</v>
      </c>
      <c r="E26" t="s">
        <v>387</v>
      </c>
      <c r="F26" t="s">
        <v>305</v>
      </c>
      <c r="G26" t="s">
        <v>304</v>
      </c>
      <c r="H26" t="s">
        <v>30</v>
      </c>
      <c r="I26" t="s">
        <v>35</v>
      </c>
      <c r="J26" t="s">
        <v>43</v>
      </c>
      <c r="K26" t="s">
        <v>35</v>
      </c>
      <c r="L26" t="s">
        <v>96</v>
      </c>
      <c r="M26" t="s">
        <v>269</v>
      </c>
      <c r="N26" t="s">
        <v>46</v>
      </c>
      <c r="P26" t="s">
        <v>1520</v>
      </c>
      <c r="R26">
        <v>41018.608148148145</v>
      </c>
      <c r="S26">
        <v>41815.73678240741</v>
      </c>
      <c r="T26" t="s">
        <v>1529</v>
      </c>
      <c r="U26" t="s">
        <v>35</v>
      </c>
      <c r="V26" t="s">
        <v>35</v>
      </c>
      <c r="W26" t="s">
        <v>1646</v>
      </c>
    </row>
    <row r="27" spans="2:23" x14ac:dyDescent="0.25">
      <c r="B27" s="19">
        <v>3130</v>
      </c>
      <c r="C27" s="2">
        <f>HYPERLINK(URLs!B36 &amp; 21449,21449)</f>
        <v>21449</v>
      </c>
      <c r="D27" t="s">
        <v>1582</v>
      </c>
      <c r="E27" t="s">
        <v>387</v>
      </c>
      <c r="F27" t="s">
        <v>305</v>
      </c>
      <c r="G27" t="s">
        <v>304</v>
      </c>
      <c r="H27" t="s">
        <v>30</v>
      </c>
      <c r="I27" t="s">
        <v>35</v>
      </c>
      <c r="J27" t="s">
        <v>43</v>
      </c>
      <c r="K27" t="s">
        <v>35</v>
      </c>
      <c r="L27" t="s">
        <v>96</v>
      </c>
      <c r="M27" t="s">
        <v>269</v>
      </c>
      <c r="N27" t="s">
        <v>46</v>
      </c>
      <c r="P27" t="s">
        <v>1520</v>
      </c>
      <c r="R27">
        <v>41018.606782407405</v>
      </c>
      <c r="S27">
        <v>41815.736909722225</v>
      </c>
      <c r="T27" t="s">
        <v>1529</v>
      </c>
      <c r="U27" t="s">
        <v>35</v>
      </c>
      <c r="V27" t="s">
        <v>35</v>
      </c>
      <c r="W27" t="s">
        <v>4104</v>
      </c>
    </row>
    <row r="28" spans="2:23" x14ac:dyDescent="0.25">
      <c r="B28" s="19">
        <v>3130</v>
      </c>
      <c r="C28" s="2">
        <f>HYPERLINK(URLs!B36 &amp; 21448,21448)</f>
        <v>21448</v>
      </c>
      <c r="D28" t="s">
        <v>1581</v>
      </c>
      <c r="E28" t="s">
        <v>387</v>
      </c>
      <c r="F28" t="s">
        <v>305</v>
      </c>
      <c r="G28" t="s">
        <v>337</v>
      </c>
      <c r="H28" t="s">
        <v>30</v>
      </c>
      <c r="I28" t="s">
        <v>35</v>
      </c>
      <c r="J28" t="s">
        <v>43</v>
      </c>
      <c r="K28" t="s">
        <v>35</v>
      </c>
      <c r="L28" t="s">
        <v>96</v>
      </c>
      <c r="M28" t="s">
        <v>269</v>
      </c>
      <c r="N28" t="s">
        <v>46</v>
      </c>
      <c r="P28" t="s">
        <v>1520</v>
      </c>
      <c r="R28">
        <v>41018.602731481478</v>
      </c>
      <c r="S28">
        <v>42649.825428240743</v>
      </c>
      <c r="T28" t="s">
        <v>1529</v>
      </c>
      <c r="U28" t="s">
        <v>35</v>
      </c>
      <c r="V28" t="s">
        <v>35</v>
      </c>
      <c r="W28" t="s">
        <v>4103</v>
      </c>
    </row>
    <row r="29" spans="2:23" x14ac:dyDescent="0.25">
      <c r="B29" s="19">
        <v>3130</v>
      </c>
      <c r="C29" s="2">
        <f>HYPERLINK(URLs!B36 &amp; 21447,21447)</f>
        <v>21447</v>
      </c>
      <c r="D29" t="s">
        <v>1580</v>
      </c>
      <c r="E29" t="s">
        <v>387</v>
      </c>
      <c r="F29" t="s">
        <v>305</v>
      </c>
      <c r="G29" t="s">
        <v>304</v>
      </c>
      <c r="H29" t="s">
        <v>30</v>
      </c>
      <c r="I29" t="s">
        <v>35</v>
      </c>
      <c r="J29" t="s">
        <v>43</v>
      </c>
      <c r="K29" t="s">
        <v>35</v>
      </c>
      <c r="L29" t="s">
        <v>96</v>
      </c>
      <c r="M29" t="s">
        <v>269</v>
      </c>
      <c r="N29" t="s">
        <v>46</v>
      </c>
      <c r="P29" t="s">
        <v>1520</v>
      </c>
      <c r="R29">
        <v>41018.583784722221</v>
      </c>
      <c r="S29">
        <v>41815.750208333331</v>
      </c>
      <c r="T29" t="s">
        <v>48</v>
      </c>
      <c r="U29" t="s">
        <v>35</v>
      </c>
      <c r="V29" t="s">
        <v>35</v>
      </c>
      <c r="W29" t="s">
        <v>4098</v>
      </c>
    </row>
    <row r="30" spans="2:23" x14ac:dyDescent="0.25">
      <c r="B30" s="19">
        <v>3175</v>
      </c>
      <c r="C30" s="2">
        <f>HYPERLINK(URLs!B36 &amp; 22009,22009)</f>
        <v>22009</v>
      </c>
      <c r="D30" t="s">
        <v>1590</v>
      </c>
      <c r="E30" t="s">
        <v>387</v>
      </c>
      <c r="F30" t="s">
        <v>305</v>
      </c>
      <c r="G30" t="s">
        <v>304</v>
      </c>
      <c r="H30" t="s">
        <v>30</v>
      </c>
      <c r="I30" t="s">
        <v>35</v>
      </c>
      <c r="J30" t="s">
        <v>43</v>
      </c>
      <c r="K30" t="s">
        <v>35</v>
      </c>
      <c r="L30" t="s">
        <v>73</v>
      </c>
      <c r="M30" t="s">
        <v>263</v>
      </c>
      <c r="N30" t="s">
        <v>46</v>
      </c>
      <c r="P30" t="s">
        <v>1520</v>
      </c>
      <c r="R30">
        <v>41045.513796296298</v>
      </c>
      <c r="S30">
        <v>42648.810081018521</v>
      </c>
      <c r="T30" t="s">
        <v>1529</v>
      </c>
      <c r="U30" t="s">
        <v>35</v>
      </c>
      <c r="V30" t="s">
        <v>35</v>
      </c>
      <c r="W30" t="s">
        <v>4101</v>
      </c>
    </row>
    <row r="31" spans="2:23" x14ac:dyDescent="0.25">
      <c r="B31" s="19">
        <v>3175</v>
      </c>
      <c r="C31" s="2">
        <f>HYPERLINK(URLs!B36 &amp; 22008,22008)</f>
        <v>22008</v>
      </c>
      <c r="D31" t="s">
        <v>1589</v>
      </c>
      <c r="E31" t="s">
        <v>387</v>
      </c>
      <c r="F31" t="s">
        <v>305</v>
      </c>
      <c r="G31" t="s">
        <v>304</v>
      </c>
      <c r="H31" t="s">
        <v>30</v>
      </c>
      <c r="I31" t="s">
        <v>35</v>
      </c>
      <c r="J31" t="s">
        <v>43</v>
      </c>
      <c r="K31" t="s">
        <v>35</v>
      </c>
      <c r="L31" t="s">
        <v>73</v>
      </c>
      <c r="M31" t="s">
        <v>263</v>
      </c>
      <c r="N31" t="s">
        <v>46</v>
      </c>
      <c r="P31" t="s">
        <v>1520</v>
      </c>
      <c r="R31">
        <v>41045.512997685182</v>
      </c>
      <c r="S31">
        <v>42648.810069444444</v>
      </c>
      <c r="T31" t="s">
        <v>1529</v>
      </c>
      <c r="U31" t="s">
        <v>35</v>
      </c>
      <c r="V31" t="s">
        <v>35</v>
      </c>
      <c r="W31" t="s">
        <v>4099</v>
      </c>
    </row>
    <row r="32" spans="2:23" x14ac:dyDescent="0.25">
      <c r="B32" s="19">
        <v>3175</v>
      </c>
      <c r="C32" s="2">
        <f>HYPERLINK(URLs!B36 &amp; 22007,22007)</f>
        <v>22007</v>
      </c>
      <c r="D32" t="s">
        <v>1588</v>
      </c>
      <c r="E32" t="s">
        <v>387</v>
      </c>
      <c r="F32" t="s">
        <v>305</v>
      </c>
      <c r="G32" t="s">
        <v>304</v>
      </c>
      <c r="H32" t="s">
        <v>30</v>
      </c>
      <c r="I32" t="s">
        <v>35</v>
      </c>
      <c r="J32" t="s">
        <v>43</v>
      </c>
      <c r="K32" t="s">
        <v>35</v>
      </c>
      <c r="L32" t="s">
        <v>73</v>
      </c>
      <c r="M32" t="s">
        <v>263</v>
      </c>
      <c r="N32" t="s">
        <v>46</v>
      </c>
      <c r="P32" t="s">
        <v>1520</v>
      </c>
      <c r="R32">
        <v>41045.511956018519</v>
      </c>
      <c r="S32">
        <v>42648.810208333336</v>
      </c>
      <c r="T32" t="s">
        <v>1529</v>
      </c>
      <c r="U32" t="s">
        <v>35</v>
      </c>
      <c r="V32" t="s">
        <v>35</v>
      </c>
      <c r="W32" t="s">
        <v>4107</v>
      </c>
    </row>
    <row r="33" spans="2:23" x14ac:dyDescent="0.25">
      <c r="B33" s="19">
        <v>3175</v>
      </c>
      <c r="C33" s="2">
        <f>HYPERLINK(URLs!B36 &amp; 22006,22006)</f>
        <v>22006</v>
      </c>
      <c r="D33" t="s">
        <v>1587</v>
      </c>
      <c r="E33" t="s">
        <v>387</v>
      </c>
      <c r="F33" t="s">
        <v>305</v>
      </c>
      <c r="G33" t="s">
        <v>304</v>
      </c>
      <c r="H33" t="s">
        <v>30</v>
      </c>
      <c r="I33" t="s">
        <v>35</v>
      </c>
      <c r="J33" t="s">
        <v>43</v>
      </c>
      <c r="K33" t="s">
        <v>35</v>
      </c>
      <c r="L33" t="s">
        <v>73</v>
      </c>
      <c r="M33" t="s">
        <v>263</v>
      </c>
      <c r="N33" t="s">
        <v>46</v>
      </c>
      <c r="P33" t="s">
        <v>1520</v>
      </c>
      <c r="R33">
        <v>41045.510196759256</v>
      </c>
      <c r="S33">
        <v>41815.736527777779</v>
      </c>
      <c r="T33" t="s">
        <v>1529</v>
      </c>
      <c r="U33" t="s">
        <v>35</v>
      </c>
      <c r="V33" t="s">
        <v>35</v>
      </c>
      <c r="W33" t="s">
        <v>1646</v>
      </c>
    </row>
    <row r="34" spans="2:23" x14ac:dyDescent="0.25">
      <c r="B34" s="19">
        <v>3175</v>
      </c>
      <c r="C34" s="2">
        <f>HYPERLINK(URLs!B36 &amp; 22000,22000)</f>
        <v>22000</v>
      </c>
      <c r="D34" t="s">
        <v>1586</v>
      </c>
      <c r="E34" t="s">
        <v>387</v>
      </c>
      <c r="F34" t="s">
        <v>305</v>
      </c>
      <c r="G34" t="s">
        <v>304</v>
      </c>
      <c r="H34" t="s">
        <v>30</v>
      </c>
      <c r="I34" t="s">
        <v>35</v>
      </c>
      <c r="J34" t="s">
        <v>43</v>
      </c>
      <c r="K34" t="s">
        <v>35</v>
      </c>
      <c r="L34" t="s">
        <v>73</v>
      </c>
      <c r="M34" t="s">
        <v>263</v>
      </c>
      <c r="N34" t="s">
        <v>46</v>
      </c>
      <c r="P34" t="s">
        <v>1520</v>
      </c>
      <c r="R34">
        <v>41045.117418981485</v>
      </c>
      <c r="S34">
        <v>41815.750381944446</v>
      </c>
      <c r="T34" t="s">
        <v>2</v>
      </c>
      <c r="U34" t="s">
        <v>35</v>
      </c>
      <c r="V34" t="s">
        <v>35</v>
      </c>
      <c r="W34" t="s">
        <v>4098</v>
      </c>
    </row>
    <row r="35" spans="2:23" x14ac:dyDescent="0.25">
      <c r="B35" s="19">
        <v>3213</v>
      </c>
      <c r="C35" s="2">
        <f>HYPERLINK(URLs!B36 &amp; 21311,21311)</f>
        <v>21311</v>
      </c>
      <c r="D35" t="s">
        <v>1574</v>
      </c>
      <c r="E35" t="s">
        <v>387</v>
      </c>
      <c r="F35" t="s">
        <v>305</v>
      </c>
      <c r="G35" t="s">
        <v>304</v>
      </c>
      <c r="H35" t="s">
        <v>30</v>
      </c>
      <c r="I35" t="s">
        <v>35</v>
      </c>
      <c r="J35" t="s">
        <v>43</v>
      </c>
      <c r="K35" t="s">
        <v>35</v>
      </c>
      <c r="L35" t="s">
        <v>73</v>
      </c>
      <c r="M35" t="s">
        <v>1514</v>
      </c>
      <c r="N35" t="s">
        <v>46</v>
      </c>
      <c r="P35" t="s">
        <v>1520</v>
      </c>
      <c r="R35">
        <v>41011.954675925925</v>
      </c>
      <c r="S35">
        <v>42648.809837962966</v>
      </c>
      <c r="T35" t="s">
        <v>1529</v>
      </c>
      <c r="U35" t="s">
        <v>35</v>
      </c>
      <c r="V35" t="s">
        <v>35</v>
      </c>
      <c r="W35" t="s">
        <v>4101</v>
      </c>
    </row>
    <row r="36" spans="2:23" x14ac:dyDescent="0.25">
      <c r="B36" s="19">
        <v>3213</v>
      </c>
      <c r="C36" s="2">
        <f>HYPERLINK(URLs!B36 &amp; 21310,21310)</f>
        <v>21310</v>
      </c>
      <c r="D36" t="s">
        <v>1573</v>
      </c>
      <c r="E36" t="s">
        <v>387</v>
      </c>
      <c r="F36" t="s">
        <v>305</v>
      </c>
      <c r="G36" t="s">
        <v>304</v>
      </c>
      <c r="H36" t="s">
        <v>30</v>
      </c>
      <c r="I36" t="s">
        <v>35</v>
      </c>
      <c r="J36" t="s">
        <v>43</v>
      </c>
      <c r="K36" t="s">
        <v>35</v>
      </c>
      <c r="L36" t="s">
        <v>73</v>
      </c>
      <c r="M36" t="s">
        <v>1514</v>
      </c>
      <c r="N36" t="s">
        <v>46</v>
      </c>
      <c r="P36" t="s">
        <v>1520</v>
      </c>
      <c r="R36">
        <v>41011.953611111108</v>
      </c>
      <c r="S36">
        <v>41815.736875000002</v>
      </c>
      <c r="T36" t="s">
        <v>1529</v>
      </c>
      <c r="U36" t="s">
        <v>35</v>
      </c>
      <c r="V36" t="s">
        <v>35</v>
      </c>
      <c r="W36" t="s">
        <v>1646</v>
      </c>
    </row>
    <row r="37" spans="2:23" x14ac:dyDescent="0.25">
      <c r="B37" s="19">
        <v>3213</v>
      </c>
      <c r="C37" s="2">
        <f>HYPERLINK(URLs!B36 &amp; 21309,21309)</f>
        <v>21309</v>
      </c>
      <c r="D37" t="s">
        <v>1572</v>
      </c>
      <c r="E37" t="s">
        <v>387</v>
      </c>
      <c r="F37" t="s">
        <v>305</v>
      </c>
      <c r="G37" t="s">
        <v>304</v>
      </c>
      <c r="H37" t="s">
        <v>30</v>
      </c>
      <c r="I37" t="s">
        <v>35</v>
      </c>
      <c r="J37" t="s">
        <v>43</v>
      </c>
      <c r="K37" t="s">
        <v>35</v>
      </c>
      <c r="L37" t="s">
        <v>73</v>
      </c>
      <c r="M37" t="s">
        <v>1514</v>
      </c>
      <c r="N37" t="s">
        <v>46</v>
      </c>
      <c r="P37" t="s">
        <v>1520</v>
      </c>
      <c r="R37">
        <v>41011.952326388891</v>
      </c>
      <c r="S37">
        <v>42648.809895833336</v>
      </c>
      <c r="T37" t="s">
        <v>1529</v>
      </c>
      <c r="U37" t="s">
        <v>35</v>
      </c>
      <c r="V37" t="s">
        <v>35</v>
      </c>
      <c r="W37" t="s">
        <v>4107</v>
      </c>
    </row>
    <row r="38" spans="2:23" x14ac:dyDescent="0.25">
      <c r="B38" s="19">
        <v>3213</v>
      </c>
      <c r="C38" s="2">
        <f>HYPERLINK(URLs!B36 &amp; 21308,21308)</f>
        <v>21308</v>
      </c>
      <c r="D38" t="s">
        <v>1571</v>
      </c>
      <c r="E38" t="s">
        <v>387</v>
      </c>
      <c r="F38" t="s">
        <v>305</v>
      </c>
      <c r="G38" t="s">
        <v>304</v>
      </c>
      <c r="H38" t="s">
        <v>30</v>
      </c>
      <c r="I38" t="s">
        <v>35</v>
      </c>
      <c r="J38" t="s">
        <v>43</v>
      </c>
      <c r="K38" t="s">
        <v>35</v>
      </c>
      <c r="L38" t="s">
        <v>73</v>
      </c>
      <c r="M38" t="s">
        <v>1514</v>
      </c>
      <c r="N38" t="s">
        <v>46</v>
      </c>
      <c r="P38" t="s">
        <v>1520</v>
      </c>
      <c r="R38">
        <v>41011.951111111113</v>
      </c>
      <c r="S38">
        <v>42648.854699074072</v>
      </c>
      <c r="T38" t="s">
        <v>1529</v>
      </c>
      <c r="U38" t="s">
        <v>35</v>
      </c>
      <c r="V38" t="s">
        <v>35</v>
      </c>
      <c r="W38" t="s">
        <v>4099</v>
      </c>
    </row>
    <row r="39" spans="2:23" x14ac:dyDescent="0.25">
      <c r="B39" s="19">
        <v>3213</v>
      </c>
      <c r="C39" s="2">
        <f>HYPERLINK(URLs!B36 &amp; 21306,21306)</f>
        <v>21306</v>
      </c>
      <c r="D39" t="s">
        <v>1570</v>
      </c>
      <c r="E39" t="s">
        <v>387</v>
      </c>
      <c r="F39" t="s">
        <v>305</v>
      </c>
      <c r="G39" t="s">
        <v>304</v>
      </c>
      <c r="H39" t="s">
        <v>30</v>
      </c>
      <c r="I39" t="s">
        <v>35</v>
      </c>
      <c r="J39" t="s">
        <v>32</v>
      </c>
      <c r="K39" t="s">
        <v>35</v>
      </c>
      <c r="L39" t="s">
        <v>73</v>
      </c>
      <c r="M39" t="s">
        <v>1514</v>
      </c>
      <c r="N39" t="s">
        <v>46</v>
      </c>
      <c r="P39" t="s">
        <v>1520</v>
      </c>
      <c r="R39">
        <v>41011.924085648148</v>
      </c>
      <c r="S39">
        <v>41815.746724537035</v>
      </c>
      <c r="T39" t="s">
        <v>1525</v>
      </c>
      <c r="U39" t="s">
        <v>35</v>
      </c>
      <c r="V39" t="s">
        <v>35</v>
      </c>
      <c r="W39" t="s">
        <v>4098</v>
      </c>
    </row>
    <row r="40" spans="2:23" x14ac:dyDescent="0.25">
      <c r="B40" s="19">
        <v>3218</v>
      </c>
      <c r="C40" s="2">
        <f>HYPERLINK(URLs!B36 &amp; 22437,22437)</f>
        <v>22437</v>
      </c>
      <c r="D40" t="s">
        <v>1595</v>
      </c>
      <c r="E40" t="s">
        <v>387</v>
      </c>
      <c r="F40" t="s">
        <v>305</v>
      </c>
      <c r="G40" t="s">
        <v>310</v>
      </c>
      <c r="H40" t="s">
        <v>30</v>
      </c>
      <c r="I40" t="s">
        <v>35</v>
      </c>
      <c r="J40" t="s">
        <v>43</v>
      </c>
      <c r="K40" t="s">
        <v>35</v>
      </c>
      <c r="L40" t="s">
        <v>96</v>
      </c>
      <c r="M40" t="s">
        <v>269</v>
      </c>
      <c r="N40" t="s">
        <v>46</v>
      </c>
      <c r="P40" t="s">
        <v>1520</v>
      </c>
      <c r="R40">
        <v>41072.91300925926</v>
      </c>
      <c r="S40">
        <v>42649.826365740744</v>
      </c>
      <c r="T40" t="s">
        <v>1529</v>
      </c>
      <c r="U40" t="s">
        <v>35</v>
      </c>
      <c r="V40" t="s">
        <v>35</v>
      </c>
      <c r="W40" t="s">
        <v>4105</v>
      </c>
    </row>
    <row r="41" spans="2:23" x14ac:dyDescent="0.25">
      <c r="B41" s="19">
        <v>3218</v>
      </c>
      <c r="C41" s="2">
        <f>HYPERLINK(URLs!B36 &amp; 22436,22436)</f>
        <v>22436</v>
      </c>
      <c r="D41" t="s">
        <v>1594</v>
      </c>
      <c r="E41" t="s">
        <v>387</v>
      </c>
      <c r="F41" t="s">
        <v>305</v>
      </c>
      <c r="G41" t="s">
        <v>310</v>
      </c>
      <c r="H41" t="s">
        <v>30</v>
      </c>
      <c r="I41" t="s">
        <v>35</v>
      </c>
      <c r="J41" t="s">
        <v>43</v>
      </c>
      <c r="K41" t="s">
        <v>35</v>
      </c>
      <c r="L41" t="s">
        <v>96</v>
      </c>
      <c r="M41" t="s">
        <v>269</v>
      </c>
      <c r="N41" t="s">
        <v>46</v>
      </c>
      <c r="P41" t="s">
        <v>1520</v>
      </c>
      <c r="R41">
        <v>41072.911921296298</v>
      </c>
      <c r="S41">
        <v>42649.826377314814</v>
      </c>
      <c r="T41" t="s">
        <v>1529</v>
      </c>
      <c r="U41" t="s">
        <v>35</v>
      </c>
      <c r="V41" t="s">
        <v>35</v>
      </c>
      <c r="W41" t="s">
        <v>4103</v>
      </c>
    </row>
    <row r="42" spans="2:23" x14ac:dyDescent="0.25">
      <c r="B42" s="19">
        <v>3218</v>
      </c>
      <c r="C42" s="2">
        <f>HYPERLINK(URLs!B36 &amp; 22435,22435)</f>
        <v>22435</v>
      </c>
      <c r="D42" t="s">
        <v>1593</v>
      </c>
      <c r="E42" t="s">
        <v>387</v>
      </c>
      <c r="F42" t="s">
        <v>305</v>
      </c>
      <c r="G42" t="s">
        <v>310</v>
      </c>
      <c r="H42" t="s">
        <v>30</v>
      </c>
      <c r="I42" t="s">
        <v>35</v>
      </c>
      <c r="J42" t="s">
        <v>43</v>
      </c>
      <c r="K42" t="s">
        <v>35</v>
      </c>
      <c r="L42" t="s">
        <v>96</v>
      </c>
      <c r="M42" t="s">
        <v>269</v>
      </c>
      <c r="N42" t="s">
        <v>46</v>
      </c>
      <c r="P42" t="s">
        <v>1520</v>
      </c>
      <c r="R42">
        <v>41072.910879629628</v>
      </c>
      <c r="S42">
        <v>42649.826249999998</v>
      </c>
      <c r="T42" t="s">
        <v>1529</v>
      </c>
      <c r="U42" t="s">
        <v>35</v>
      </c>
      <c r="V42" t="s">
        <v>35</v>
      </c>
      <c r="W42" t="s">
        <v>4104</v>
      </c>
    </row>
    <row r="43" spans="2:23" x14ac:dyDescent="0.25">
      <c r="B43" s="19">
        <v>3218</v>
      </c>
      <c r="C43" s="2">
        <f>HYPERLINK(URLs!B36 &amp; 22434,22434)</f>
        <v>22434</v>
      </c>
      <c r="D43" t="s">
        <v>1592</v>
      </c>
      <c r="E43" t="s">
        <v>387</v>
      </c>
      <c r="F43" t="s">
        <v>305</v>
      </c>
      <c r="G43" t="s">
        <v>310</v>
      </c>
      <c r="H43" t="s">
        <v>30</v>
      </c>
      <c r="I43" t="s">
        <v>35</v>
      </c>
      <c r="J43" t="s">
        <v>43</v>
      </c>
      <c r="K43" t="s">
        <v>35</v>
      </c>
      <c r="L43" t="s">
        <v>96</v>
      </c>
      <c r="M43" t="s">
        <v>269</v>
      </c>
      <c r="N43" t="s">
        <v>46</v>
      </c>
      <c r="P43" t="s">
        <v>1520</v>
      </c>
      <c r="R43">
        <v>41072.908726851849</v>
      </c>
      <c r="S43">
        <v>42649.826041666667</v>
      </c>
      <c r="T43" t="s">
        <v>1529</v>
      </c>
      <c r="U43" t="s">
        <v>35</v>
      </c>
      <c r="V43" t="s">
        <v>35</v>
      </c>
      <c r="W43" t="s">
        <v>1646</v>
      </c>
    </row>
    <row r="44" spans="2:23" x14ac:dyDescent="0.25">
      <c r="B44" s="19">
        <v>3218</v>
      </c>
      <c r="C44" s="2">
        <f>HYPERLINK(URLs!B36 &amp; 22432,22432)</f>
        <v>22432</v>
      </c>
      <c r="D44" t="s">
        <v>1591</v>
      </c>
      <c r="E44" t="s">
        <v>387</v>
      </c>
      <c r="F44" t="s">
        <v>305</v>
      </c>
      <c r="G44" t="s">
        <v>353</v>
      </c>
      <c r="H44" t="s">
        <v>30</v>
      </c>
      <c r="I44" t="s">
        <v>35</v>
      </c>
      <c r="J44" t="s">
        <v>43</v>
      </c>
      <c r="K44" t="s">
        <v>35</v>
      </c>
      <c r="L44" t="s">
        <v>96</v>
      </c>
      <c r="M44" t="s">
        <v>269</v>
      </c>
      <c r="N44" t="s">
        <v>46</v>
      </c>
      <c r="P44" t="s">
        <v>1520</v>
      </c>
      <c r="R44">
        <v>41072.846284722225</v>
      </c>
      <c r="S44">
        <v>42649.82608796296</v>
      </c>
      <c r="T44" t="s">
        <v>1544</v>
      </c>
      <c r="U44" t="s">
        <v>35</v>
      </c>
      <c r="V44" t="s">
        <v>35</v>
      </c>
      <c r="W44" t="s">
        <v>4098</v>
      </c>
    </row>
    <row r="45" spans="2:23" x14ac:dyDescent="0.25">
      <c r="B45" s="19">
        <v>3218</v>
      </c>
      <c r="C45" s="2">
        <f>HYPERLINK(URLs!B36 &amp; 20399,20399)</f>
        <v>20399</v>
      </c>
      <c r="D45" t="s">
        <v>1567</v>
      </c>
      <c r="E45" t="s">
        <v>387</v>
      </c>
      <c r="F45" t="s">
        <v>305</v>
      </c>
      <c r="G45" t="s">
        <v>304</v>
      </c>
      <c r="H45" t="s">
        <v>30</v>
      </c>
      <c r="I45" t="s">
        <v>35</v>
      </c>
      <c r="J45" t="s">
        <v>43</v>
      </c>
      <c r="K45" t="s">
        <v>35</v>
      </c>
      <c r="L45" t="s">
        <v>73</v>
      </c>
      <c r="M45" t="s">
        <v>264</v>
      </c>
      <c r="N45" t="s">
        <v>46</v>
      </c>
      <c r="P45" t="s">
        <v>1530</v>
      </c>
      <c r="R45">
        <v>40976.717453703706</v>
      </c>
      <c r="S45">
        <v>41815.736458333333</v>
      </c>
      <c r="T45" t="s">
        <v>1529</v>
      </c>
      <c r="U45" t="s">
        <v>35</v>
      </c>
      <c r="V45" t="s">
        <v>35</v>
      </c>
      <c r="W45" t="s">
        <v>1646</v>
      </c>
    </row>
    <row r="46" spans="2:23" x14ac:dyDescent="0.25">
      <c r="B46" s="19">
        <v>3218</v>
      </c>
      <c r="C46" s="2">
        <f>HYPERLINK(URLs!B36 &amp; 20398,20398)</f>
        <v>20398</v>
      </c>
      <c r="D46" t="s">
        <v>1566</v>
      </c>
      <c r="E46" t="s">
        <v>1563</v>
      </c>
      <c r="F46" t="s">
        <v>305</v>
      </c>
      <c r="G46" t="s">
        <v>304</v>
      </c>
      <c r="H46" t="s">
        <v>30</v>
      </c>
      <c r="I46" t="s">
        <v>35</v>
      </c>
      <c r="J46" t="s">
        <v>43</v>
      </c>
      <c r="K46" t="s">
        <v>35</v>
      </c>
      <c r="L46" t="s">
        <v>73</v>
      </c>
      <c r="M46" t="s">
        <v>264</v>
      </c>
      <c r="N46" t="s">
        <v>46</v>
      </c>
      <c r="P46" t="s">
        <v>1530</v>
      </c>
      <c r="R46">
        <v>40976.716249999998</v>
      </c>
      <c r="S46">
        <v>41799.769490740742</v>
      </c>
      <c r="T46" t="s">
        <v>1529</v>
      </c>
      <c r="U46" t="s">
        <v>35</v>
      </c>
      <c r="V46" t="s">
        <v>35</v>
      </c>
      <c r="W46" t="s">
        <v>4106</v>
      </c>
    </row>
    <row r="47" spans="2:23" x14ac:dyDescent="0.25">
      <c r="B47" s="19">
        <v>3218</v>
      </c>
      <c r="C47" s="2">
        <f>HYPERLINK(URLs!B36 &amp; 20397,20397)</f>
        <v>20397</v>
      </c>
      <c r="D47" t="s">
        <v>1565</v>
      </c>
      <c r="E47" t="s">
        <v>387</v>
      </c>
      <c r="F47" t="s">
        <v>305</v>
      </c>
      <c r="G47" t="s">
        <v>304</v>
      </c>
      <c r="H47" t="s">
        <v>30</v>
      </c>
      <c r="I47" t="s">
        <v>35</v>
      </c>
      <c r="J47" t="s">
        <v>43</v>
      </c>
      <c r="K47" t="s">
        <v>35</v>
      </c>
      <c r="L47" t="s">
        <v>73</v>
      </c>
      <c r="M47" t="s">
        <v>264</v>
      </c>
      <c r="N47" t="s">
        <v>46</v>
      </c>
      <c r="P47" t="s">
        <v>1530</v>
      </c>
      <c r="R47">
        <v>40976.714780092596</v>
      </c>
      <c r="S47">
        <v>41815.736932870372</v>
      </c>
      <c r="T47" t="s">
        <v>1529</v>
      </c>
      <c r="U47" t="s">
        <v>35</v>
      </c>
      <c r="V47" t="s">
        <v>35</v>
      </c>
      <c r="W47" t="s">
        <v>4103</v>
      </c>
    </row>
    <row r="48" spans="2:23" x14ac:dyDescent="0.25">
      <c r="B48" s="19">
        <v>3218</v>
      </c>
      <c r="C48" s="2">
        <f>HYPERLINK(URLs!B36 &amp; 20396,20396)</f>
        <v>20396</v>
      </c>
      <c r="D48" t="s">
        <v>1564</v>
      </c>
      <c r="E48" t="s">
        <v>387</v>
      </c>
      <c r="F48" t="s">
        <v>305</v>
      </c>
      <c r="G48" t="s">
        <v>337</v>
      </c>
      <c r="H48" t="s">
        <v>30</v>
      </c>
      <c r="I48" t="s">
        <v>35</v>
      </c>
      <c r="J48" t="s">
        <v>43</v>
      </c>
      <c r="K48" t="s">
        <v>35</v>
      </c>
      <c r="L48" t="s">
        <v>73</v>
      </c>
      <c r="M48" t="s">
        <v>264</v>
      </c>
      <c r="N48" t="s">
        <v>46</v>
      </c>
      <c r="P48" t="s">
        <v>1530</v>
      </c>
      <c r="R48">
        <v>40976.712280092594</v>
      </c>
      <c r="S48">
        <v>42649.823414351849</v>
      </c>
      <c r="T48" t="s">
        <v>1529</v>
      </c>
      <c r="U48" t="s">
        <v>35</v>
      </c>
      <c r="V48" t="s">
        <v>35</v>
      </c>
      <c r="W48" t="s">
        <v>4102</v>
      </c>
    </row>
    <row r="49" spans="2:23" x14ac:dyDescent="0.25">
      <c r="B49" s="19">
        <v>3218</v>
      </c>
      <c r="C49" s="2">
        <f>HYPERLINK(URLs!B36 &amp; 20382,20382)</f>
        <v>20382</v>
      </c>
      <c r="D49" t="s">
        <v>1562</v>
      </c>
      <c r="E49" t="s">
        <v>387</v>
      </c>
      <c r="F49" t="s">
        <v>305</v>
      </c>
      <c r="G49" t="s">
        <v>304</v>
      </c>
      <c r="H49" t="s">
        <v>30</v>
      </c>
      <c r="I49" t="s">
        <v>35</v>
      </c>
      <c r="J49" t="s">
        <v>43</v>
      </c>
      <c r="K49" t="s">
        <v>35</v>
      </c>
      <c r="L49" t="s">
        <v>73</v>
      </c>
      <c r="M49" t="s">
        <v>264</v>
      </c>
      <c r="N49" t="s">
        <v>46</v>
      </c>
      <c r="P49" t="s">
        <v>1530</v>
      </c>
      <c r="R49">
        <v>40975.951574074075</v>
      </c>
      <c r="S49">
        <v>41815.747164351851</v>
      </c>
      <c r="T49" t="s">
        <v>1563</v>
      </c>
      <c r="U49" t="s">
        <v>35</v>
      </c>
      <c r="V49" t="s">
        <v>35</v>
      </c>
      <c r="W49" t="s">
        <v>4098</v>
      </c>
    </row>
    <row r="50" spans="2:23" x14ac:dyDescent="0.25">
      <c r="B50" s="19">
        <v>3299</v>
      </c>
      <c r="C50" s="2">
        <f>HYPERLINK(URLs!B36 &amp; 23353,23353)</f>
        <v>23353</v>
      </c>
      <c r="D50" t="s">
        <v>1617</v>
      </c>
      <c r="E50" t="s">
        <v>387</v>
      </c>
      <c r="F50" t="s">
        <v>305</v>
      </c>
      <c r="G50" t="s">
        <v>304</v>
      </c>
      <c r="H50" t="s">
        <v>30</v>
      </c>
      <c r="I50" t="s">
        <v>35</v>
      </c>
      <c r="J50" t="s">
        <v>32</v>
      </c>
      <c r="K50" t="s">
        <v>35</v>
      </c>
      <c r="L50" t="s">
        <v>73</v>
      </c>
      <c r="M50" t="s">
        <v>263</v>
      </c>
      <c r="N50" t="s">
        <v>46</v>
      </c>
      <c r="P50" t="s">
        <v>1520</v>
      </c>
      <c r="R50">
        <v>41124.560115740744</v>
      </c>
      <c r="S50">
        <v>42648.810150462959</v>
      </c>
      <c r="T50" t="s">
        <v>1529</v>
      </c>
      <c r="U50" t="s">
        <v>35</v>
      </c>
      <c r="V50" t="s">
        <v>35</v>
      </c>
      <c r="W50" t="s">
        <v>4101</v>
      </c>
    </row>
    <row r="51" spans="2:23" x14ac:dyDescent="0.25">
      <c r="B51" s="19">
        <v>3299</v>
      </c>
      <c r="C51" s="2">
        <f>HYPERLINK(URLs!B36 &amp; 23352,23352)</f>
        <v>23352</v>
      </c>
      <c r="D51" t="s">
        <v>1616</v>
      </c>
      <c r="E51" t="s">
        <v>387</v>
      </c>
      <c r="F51" t="s">
        <v>305</v>
      </c>
      <c r="G51" t="s">
        <v>304</v>
      </c>
      <c r="H51" t="s">
        <v>30</v>
      </c>
      <c r="I51" t="s">
        <v>35</v>
      </c>
      <c r="J51" t="s">
        <v>32</v>
      </c>
      <c r="K51" t="s">
        <v>35</v>
      </c>
      <c r="L51" t="s">
        <v>73</v>
      </c>
      <c r="M51" t="s">
        <v>263</v>
      </c>
      <c r="N51" t="s">
        <v>46</v>
      </c>
      <c r="P51" t="s">
        <v>1520</v>
      </c>
      <c r="R51">
        <v>41124.559618055559</v>
      </c>
      <c r="S51">
        <v>42648.810046296298</v>
      </c>
      <c r="T51" t="s">
        <v>1529</v>
      </c>
      <c r="U51" t="s">
        <v>35</v>
      </c>
      <c r="V51" t="s">
        <v>35</v>
      </c>
      <c r="W51" t="s">
        <v>4099</v>
      </c>
    </row>
    <row r="52" spans="2:23" x14ac:dyDescent="0.25">
      <c r="B52" s="19">
        <v>3299</v>
      </c>
      <c r="C52" s="2">
        <f>HYPERLINK(URLs!B36 &amp; 23351,23351)</f>
        <v>23351</v>
      </c>
      <c r="D52" t="s">
        <v>1615</v>
      </c>
      <c r="E52" t="s">
        <v>387</v>
      </c>
      <c r="F52" t="s">
        <v>305</v>
      </c>
      <c r="G52" t="s">
        <v>304</v>
      </c>
      <c r="H52" t="s">
        <v>30</v>
      </c>
      <c r="I52" t="s">
        <v>35</v>
      </c>
      <c r="J52" t="s">
        <v>32</v>
      </c>
      <c r="K52" t="s">
        <v>35</v>
      </c>
      <c r="L52" t="s">
        <v>73</v>
      </c>
      <c r="M52" t="s">
        <v>263</v>
      </c>
      <c r="N52" t="s">
        <v>46</v>
      </c>
      <c r="P52" t="s">
        <v>1520</v>
      </c>
      <c r="R52">
        <v>41124.558680555558</v>
      </c>
      <c r="S52">
        <v>41815.73641203704</v>
      </c>
      <c r="T52" t="s">
        <v>1529</v>
      </c>
      <c r="U52" t="s">
        <v>35</v>
      </c>
      <c r="V52" t="s">
        <v>35</v>
      </c>
      <c r="W52" t="s">
        <v>4110</v>
      </c>
    </row>
    <row r="53" spans="2:23" x14ac:dyDescent="0.25">
      <c r="B53" s="19">
        <v>3299</v>
      </c>
      <c r="C53" s="2">
        <f>HYPERLINK(URLs!B36 &amp; 23350,23350)</f>
        <v>23350</v>
      </c>
      <c r="D53" t="s">
        <v>1614</v>
      </c>
      <c r="E53" t="s">
        <v>387</v>
      </c>
      <c r="F53" t="s">
        <v>305</v>
      </c>
      <c r="G53" t="s">
        <v>304</v>
      </c>
      <c r="H53" t="s">
        <v>30</v>
      </c>
      <c r="I53" t="s">
        <v>35</v>
      </c>
      <c r="J53" t="s">
        <v>32</v>
      </c>
      <c r="K53" t="s">
        <v>35</v>
      </c>
      <c r="L53" t="s">
        <v>73</v>
      </c>
      <c r="M53" t="s">
        <v>263</v>
      </c>
      <c r="N53" t="s">
        <v>46</v>
      </c>
      <c r="P53" t="s">
        <v>1520</v>
      </c>
      <c r="R53">
        <v>41124.557719907411</v>
      </c>
      <c r="S53">
        <v>41815.736886574072</v>
      </c>
      <c r="T53" t="s">
        <v>1529</v>
      </c>
      <c r="U53" t="s">
        <v>35</v>
      </c>
      <c r="V53" t="s">
        <v>35</v>
      </c>
      <c r="W53" t="s">
        <v>1646</v>
      </c>
    </row>
    <row r="54" spans="2:23" x14ac:dyDescent="0.25">
      <c r="B54" s="19">
        <v>3299</v>
      </c>
      <c r="C54" s="2">
        <f>HYPERLINK(URLs!B36 &amp; 23349,23349)</f>
        <v>23349</v>
      </c>
      <c r="D54" t="s">
        <v>1612</v>
      </c>
      <c r="E54" t="s">
        <v>1613</v>
      </c>
      <c r="F54" t="s">
        <v>305</v>
      </c>
      <c r="G54" t="s">
        <v>304</v>
      </c>
      <c r="H54" t="s">
        <v>30</v>
      </c>
      <c r="I54" t="s">
        <v>35</v>
      </c>
      <c r="J54" t="s">
        <v>32</v>
      </c>
      <c r="K54" t="s">
        <v>35</v>
      </c>
      <c r="L54" t="s">
        <v>73</v>
      </c>
      <c r="M54" t="s">
        <v>263</v>
      </c>
      <c r="N54" t="s">
        <v>46</v>
      </c>
      <c r="P54" t="s">
        <v>1520</v>
      </c>
      <c r="R54">
        <v>41124.556620370371</v>
      </c>
      <c r="S54">
        <v>42648.809965277775</v>
      </c>
      <c r="T54" t="s">
        <v>1529</v>
      </c>
      <c r="U54" t="s">
        <v>35</v>
      </c>
      <c r="V54" t="s">
        <v>35</v>
      </c>
      <c r="W54" t="s">
        <v>1634</v>
      </c>
    </row>
    <row r="55" spans="2:23" x14ac:dyDescent="0.25">
      <c r="B55" s="19">
        <v>3299</v>
      </c>
      <c r="C55" s="2">
        <f>HYPERLINK(URLs!B36 &amp; 23238,23238)</f>
        <v>23238</v>
      </c>
      <c r="D55" t="s">
        <v>1610</v>
      </c>
      <c r="E55" t="s">
        <v>387</v>
      </c>
      <c r="F55" t="s">
        <v>305</v>
      </c>
      <c r="G55" t="s">
        <v>304</v>
      </c>
      <c r="H55" t="s">
        <v>30</v>
      </c>
      <c r="I55" t="s">
        <v>35</v>
      </c>
      <c r="J55" t="s">
        <v>32</v>
      </c>
      <c r="K55" t="s">
        <v>35</v>
      </c>
      <c r="L55" t="s">
        <v>73</v>
      </c>
      <c r="M55" t="s">
        <v>263</v>
      </c>
      <c r="N55" t="s">
        <v>46</v>
      </c>
      <c r="P55" t="s">
        <v>1520</v>
      </c>
      <c r="R55">
        <v>41121.010081018518</v>
      </c>
      <c r="S55">
        <v>41815.750138888892</v>
      </c>
      <c r="T55" t="s">
        <v>1611</v>
      </c>
      <c r="U55" t="s">
        <v>35</v>
      </c>
      <c r="V55" t="s">
        <v>35</v>
      </c>
      <c r="W55" t="s">
        <v>4098</v>
      </c>
    </row>
    <row r="56" spans="2:23" x14ac:dyDescent="0.25">
      <c r="B56" s="19">
        <v>3299</v>
      </c>
      <c r="C56" s="2">
        <f>HYPERLINK(URLs!B36 &amp; 22679,22679)</f>
        <v>22679</v>
      </c>
      <c r="D56" t="s">
        <v>1602</v>
      </c>
      <c r="E56" t="s">
        <v>387</v>
      </c>
      <c r="F56" t="s">
        <v>305</v>
      </c>
      <c r="G56" t="s">
        <v>310</v>
      </c>
      <c r="H56" t="s">
        <v>30</v>
      </c>
      <c r="I56" t="s">
        <v>35</v>
      </c>
      <c r="J56" t="s">
        <v>32</v>
      </c>
      <c r="K56" t="s">
        <v>35</v>
      </c>
      <c r="L56" t="s">
        <v>73</v>
      </c>
      <c r="M56" t="s">
        <v>263</v>
      </c>
      <c r="N56" t="s">
        <v>46</v>
      </c>
      <c r="P56" t="s">
        <v>1520</v>
      </c>
      <c r="R56">
        <v>41087.934513888889</v>
      </c>
      <c r="S56">
        <v>42649.826377314814</v>
      </c>
      <c r="T56" t="s">
        <v>1529</v>
      </c>
      <c r="U56" t="s">
        <v>35</v>
      </c>
      <c r="V56" t="s">
        <v>35</v>
      </c>
      <c r="W56" t="s">
        <v>4102</v>
      </c>
    </row>
    <row r="57" spans="2:23" x14ac:dyDescent="0.25">
      <c r="B57" s="19">
        <v>3299</v>
      </c>
      <c r="C57" s="2">
        <f>HYPERLINK(URLs!B36 &amp; 22678,22678)</f>
        <v>22678</v>
      </c>
      <c r="D57" t="s">
        <v>1601</v>
      </c>
      <c r="E57" t="s">
        <v>387</v>
      </c>
      <c r="F57" t="s">
        <v>305</v>
      </c>
      <c r="G57" t="s">
        <v>310</v>
      </c>
      <c r="H57" t="s">
        <v>30</v>
      </c>
      <c r="I57" t="s">
        <v>35</v>
      </c>
      <c r="J57" t="s">
        <v>32</v>
      </c>
      <c r="K57" t="s">
        <v>35</v>
      </c>
      <c r="L57" t="s">
        <v>73</v>
      </c>
      <c r="M57" t="s">
        <v>263</v>
      </c>
      <c r="N57" t="s">
        <v>46</v>
      </c>
      <c r="P57" t="s">
        <v>1520</v>
      </c>
      <c r="R57">
        <v>41087.933437500003</v>
      </c>
      <c r="S57">
        <v>42649.826284722221</v>
      </c>
      <c r="T57" t="s">
        <v>1529</v>
      </c>
      <c r="U57" t="s">
        <v>35</v>
      </c>
      <c r="V57" t="s">
        <v>35</v>
      </c>
      <c r="W57" t="s">
        <v>4103</v>
      </c>
    </row>
    <row r="58" spans="2:23" x14ac:dyDescent="0.25">
      <c r="B58" s="19">
        <v>3299</v>
      </c>
      <c r="C58" s="2">
        <f>HYPERLINK(URLs!B36 &amp; 22677,22677)</f>
        <v>22677</v>
      </c>
      <c r="D58" t="s">
        <v>1600</v>
      </c>
      <c r="E58" t="s">
        <v>387</v>
      </c>
      <c r="F58" t="s">
        <v>305</v>
      </c>
      <c r="G58" t="s">
        <v>310</v>
      </c>
      <c r="H58" t="s">
        <v>30</v>
      </c>
      <c r="I58" t="s">
        <v>35</v>
      </c>
      <c r="J58" t="s">
        <v>32</v>
      </c>
      <c r="K58" t="s">
        <v>35</v>
      </c>
      <c r="L58" t="s">
        <v>73</v>
      </c>
      <c r="M58" t="s">
        <v>263</v>
      </c>
      <c r="N58" t="s">
        <v>46</v>
      </c>
      <c r="P58" t="s">
        <v>1520</v>
      </c>
      <c r="R58">
        <v>41087.932175925926</v>
      </c>
      <c r="S58">
        <v>42649.826122685183</v>
      </c>
      <c r="T58" t="s">
        <v>1529</v>
      </c>
      <c r="U58" t="s">
        <v>35</v>
      </c>
      <c r="V58" t="s">
        <v>35</v>
      </c>
      <c r="W58" t="s">
        <v>4104</v>
      </c>
    </row>
    <row r="59" spans="2:23" x14ac:dyDescent="0.25">
      <c r="B59" s="19">
        <v>3299</v>
      </c>
      <c r="C59" s="2">
        <f>HYPERLINK(URLs!B36 &amp; 22676,22676)</f>
        <v>22676</v>
      </c>
      <c r="D59" t="s">
        <v>1599</v>
      </c>
      <c r="E59" t="s">
        <v>387</v>
      </c>
      <c r="F59" t="s">
        <v>305</v>
      </c>
      <c r="G59" t="s">
        <v>310</v>
      </c>
      <c r="H59" t="s">
        <v>30</v>
      </c>
      <c r="I59" t="s">
        <v>35</v>
      </c>
      <c r="J59" t="s">
        <v>32</v>
      </c>
      <c r="K59" t="s">
        <v>35</v>
      </c>
      <c r="L59" t="s">
        <v>73</v>
      </c>
      <c r="M59" t="s">
        <v>263</v>
      </c>
      <c r="N59" t="s">
        <v>46</v>
      </c>
      <c r="P59" t="s">
        <v>1520</v>
      </c>
      <c r="R59">
        <v>41087.93037037037</v>
      </c>
      <c r="S59">
        <v>42649.826423611114</v>
      </c>
      <c r="T59" t="s">
        <v>1529</v>
      </c>
      <c r="U59" t="s">
        <v>35</v>
      </c>
      <c r="V59" t="s">
        <v>35</v>
      </c>
      <c r="W59" t="s">
        <v>1646</v>
      </c>
    </row>
    <row r="60" spans="2:23" x14ac:dyDescent="0.25">
      <c r="B60" s="19">
        <v>3299</v>
      </c>
      <c r="C60" s="2">
        <f>HYPERLINK(URLs!B36 &amp; 22674,22674)</f>
        <v>22674</v>
      </c>
      <c r="D60" t="s">
        <v>1597</v>
      </c>
      <c r="E60" t="s">
        <v>1598</v>
      </c>
      <c r="F60" t="s">
        <v>305</v>
      </c>
      <c r="G60" t="s">
        <v>337</v>
      </c>
      <c r="H60" t="s">
        <v>30</v>
      </c>
      <c r="I60" t="s">
        <v>35</v>
      </c>
      <c r="J60" t="s">
        <v>32</v>
      </c>
      <c r="K60" t="s">
        <v>35</v>
      </c>
      <c r="L60" t="s">
        <v>73</v>
      </c>
      <c r="M60" t="s">
        <v>263</v>
      </c>
      <c r="N60" t="s">
        <v>46</v>
      </c>
      <c r="P60" t="s">
        <v>1520</v>
      </c>
      <c r="R60">
        <v>41087.889918981484</v>
      </c>
      <c r="S60">
        <v>42649.826249999998</v>
      </c>
      <c r="T60" t="s">
        <v>1598</v>
      </c>
      <c r="U60" t="s">
        <v>35</v>
      </c>
      <c r="V60" t="s">
        <v>35</v>
      </c>
      <c r="W60" t="s">
        <v>4098</v>
      </c>
    </row>
    <row r="61" spans="2:23" x14ac:dyDescent="0.25">
      <c r="B61" s="19">
        <v>3345</v>
      </c>
      <c r="C61" s="2">
        <f>HYPERLINK(URLs!B36 &amp; 26299,26299)</f>
        <v>26299</v>
      </c>
      <c r="D61" t="s">
        <v>1724</v>
      </c>
      <c r="E61" t="s">
        <v>1675</v>
      </c>
      <c r="F61" t="s">
        <v>305</v>
      </c>
      <c r="G61" t="s">
        <v>304</v>
      </c>
      <c r="H61" t="s">
        <v>30</v>
      </c>
      <c r="I61" t="s">
        <v>35</v>
      </c>
      <c r="J61" t="s">
        <v>43</v>
      </c>
      <c r="K61" t="s">
        <v>35</v>
      </c>
      <c r="L61" t="s">
        <v>73</v>
      </c>
      <c r="M61" t="s">
        <v>263</v>
      </c>
      <c r="N61" t="s">
        <v>46</v>
      </c>
      <c r="P61" t="s">
        <v>1522</v>
      </c>
      <c r="R61">
        <v>41277.591956018521</v>
      </c>
      <c r="S61">
        <v>42648.813125000001</v>
      </c>
      <c r="T61" t="s">
        <v>1529</v>
      </c>
      <c r="U61" t="s">
        <v>35</v>
      </c>
      <c r="V61" t="s">
        <v>35</v>
      </c>
      <c r="W61" t="s">
        <v>4117</v>
      </c>
    </row>
    <row r="62" spans="2:23" x14ac:dyDescent="0.25">
      <c r="B62" s="19">
        <v>3345</v>
      </c>
      <c r="C62" s="2">
        <f>HYPERLINK(URLs!B36 &amp; 26298,26298)</f>
        <v>26298</v>
      </c>
      <c r="D62" t="s">
        <v>1723</v>
      </c>
      <c r="E62" t="s">
        <v>387</v>
      </c>
      <c r="F62" t="s">
        <v>305</v>
      </c>
      <c r="G62" t="s">
        <v>337</v>
      </c>
      <c r="H62" t="s">
        <v>30</v>
      </c>
      <c r="I62" t="s">
        <v>35</v>
      </c>
      <c r="J62" t="s">
        <v>43</v>
      </c>
      <c r="K62" t="s">
        <v>35</v>
      </c>
      <c r="L62" t="s">
        <v>73</v>
      </c>
      <c r="M62" t="s">
        <v>263</v>
      </c>
      <c r="N62" t="s">
        <v>46</v>
      </c>
      <c r="P62" t="s">
        <v>1522</v>
      </c>
      <c r="R62">
        <v>41277.591770833336</v>
      </c>
      <c r="S62">
        <v>42649.831203703703</v>
      </c>
      <c r="T62" t="s">
        <v>1529</v>
      </c>
      <c r="U62" t="s">
        <v>35</v>
      </c>
      <c r="V62" t="s">
        <v>35</v>
      </c>
      <c r="W62" t="s">
        <v>4103</v>
      </c>
    </row>
    <row r="63" spans="2:23" x14ac:dyDescent="0.25">
      <c r="B63" s="19">
        <v>3345</v>
      </c>
      <c r="C63" s="2">
        <f>HYPERLINK(URLs!B36 &amp; 26297,26297)</f>
        <v>26297</v>
      </c>
      <c r="D63" t="s">
        <v>1722</v>
      </c>
      <c r="E63" t="s">
        <v>387</v>
      </c>
      <c r="F63" t="s">
        <v>305</v>
      </c>
      <c r="G63" t="s">
        <v>304</v>
      </c>
      <c r="H63" t="s">
        <v>30</v>
      </c>
      <c r="I63" t="s">
        <v>35</v>
      </c>
      <c r="J63" t="s">
        <v>43</v>
      </c>
      <c r="K63" t="s">
        <v>35</v>
      </c>
      <c r="L63" t="s">
        <v>73</v>
      </c>
      <c r="M63" t="s">
        <v>263</v>
      </c>
      <c r="N63" t="s">
        <v>46</v>
      </c>
      <c r="P63" t="s">
        <v>1522</v>
      </c>
      <c r="R63">
        <v>41277.591493055559</v>
      </c>
      <c r="S63">
        <v>42648.813067129631</v>
      </c>
      <c r="T63" t="s">
        <v>1529</v>
      </c>
      <c r="U63" t="s">
        <v>35</v>
      </c>
      <c r="V63" t="s">
        <v>35</v>
      </c>
      <c r="W63" t="s">
        <v>4116</v>
      </c>
    </row>
    <row r="64" spans="2:23" x14ac:dyDescent="0.25">
      <c r="B64" s="19">
        <v>3345</v>
      </c>
      <c r="C64" s="2">
        <f>HYPERLINK(URLs!B36 &amp; 26296,26296)</f>
        <v>26296</v>
      </c>
      <c r="D64" t="s">
        <v>1721</v>
      </c>
      <c r="E64" t="s">
        <v>1675</v>
      </c>
      <c r="F64" t="s">
        <v>305</v>
      </c>
      <c r="G64" t="s">
        <v>304</v>
      </c>
      <c r="H64" t="s">
        <v>30</v>
      </c>
      <c r="I64" t="s">
        <v>35</v>
      </c>
      <c r="J64" t="s">
        <v>43</v>
      </c>
      <c r="K64" t="s">
        <v>44</v>
      </c>
      <c r="L64" t="s">
        <v>73</v>
      </c>
      <c r="M64" t="s">
        <v>263</v>
      </c>
      <c r="N64" t="s">
        <v>46</v>
      </c>
      <c r="P64" t="s">
        <v>1522</v>
      </c>
      <c r="R64">
        <v>41277.591354166667</v>
      </c>
      <c r="S64">
        <v>42648.812800925924</v>
      </c>
      <c r="T64" t="s">
        <v>1529</v>
      </c>
      <c r="U64" t="s">
        <v>35</v>
      </c>
      <c r="V64" t="s">
        <v>35</v>
      </c>
      <c r="W64" t="s">
        <v>4115</v>
      </c>
    </row>
    <row r="65" spans="2:23" x14ac:dyDescent="0.25">
      <c r="B65" s="19">
        <v>3345</v>
      </c>
      <c r="C65" s="2">
        <f>HYPERLINK(URLs!B36 &amp; 26295,26295)</f>
        <v>26295</v>
      </c>
      <c r="D65" t="s">
        <v>1720</v>
      </c>
      <c r="E65" t="s">
        <v>1675</v>
      </c>
      <c r="F65" t="s">
        <v>305</v>
      </c>
      <c r="G65" t="s">
        <v>304</v>
      </c>
      <c r="H65" t="s">
        <v>30</v>
      </c>
      <c r="I65" t="s">
        <v>35</v>
      </c>
      <c r="J65" t="s">
        <v>43</v>
      </c>
      <c r="K65" t="s">
        <v>44</v>
      </c>
      <c r="L65" t="s">
        <v>73</v>
      </c>
      <c r="M65" t="s">
        <v>263</v>
      </c>
      <c r="N65" t="s">
        <v>46</v>
      </c>
      <c r="P65" t="s">
        <v>1522</v>
      </c>
      <c r="R65">
        <v>41277.591261574074</v>
      </c>
      <c r="S65">
        <v>42648.812905092593</v>
      </c>
      <c r="T65" t="s">
        <v>1529</v>
      </c>
      <c r="U65" t="s">
        <v>35</v>
      </c>
      <c r="V65" t="s">
        <v>35</v>
      </c>
      <c r="W65" t="s">
        <v>1749</v>
      </c>
    </row>
    <row r="66" spans="2:23" x14ac:dyDescent="0.25">
      <c r="B66" s="19">
        <v>3345</v>
      </c>
      <c r="C66" s="2">
        <f>HYPERLINK(URLs!B36 &amp; 26293,26293)</f>
        <v>26293</v>
      </c>
      <c r="D66" t="s">
        <v>1719</v>
      </c>
      <c r="E66" t="s">
        <v>1613</v>
      </c>
      <c r="F66" t="s">
        <v>305</v>
      </c>
      <c r="G66" t="s">
        <v>304</v>
      </c>
      <c r="H66" t="s">
        <v>30</v>
      </c>
      <c r="I66" t="s">
        <v>35</v>
      </c>
      <c r="J66" t="s">
        <v>43</v>
      </c>
      <c r="K66" t="s">
        <v>35</v>
      </c>
      <c r="L66" t="s">
        <v>73</v>
      </c>
      <c r="M66" t="s">
        <v>263</v>
      </c>
      <c r="N66" t="s">
        <v>46</v>
      </c>
      <c r="P66" t="s">
        <v>1522</v>
      </c>
      <c r="R66">
        <v>41277.591053240743</v>
      </c>
      <c r="S66">
        <v>42648.812962962962</v>
      </c>
      <c r="T66" t="s">
        <v>1529</v>
      </c>
      <c r="U66" t="s">
        <v>35</v>
      </c>
      <c r="V66" t="s">
        <v>35</v>
      </c>
      <c r="W66" t="s">
        <v>1634</v>
      </c>
    </row>
    <row r="67" spans="2:23" x14ac:dyDescent="0.25">
      <c r="B67" s="19">
        <v>3345</v>
      </c>
      <c r="C67" s="2">
        <f>HYPERLINK(URLs!B36 &amp; 26286,26286)</f>
        <v>26286</v>
      </c>
      <c r="D67" t="s">
        <v>1718</v>
      </c>
      <c r="E67" t="s">
        <v>387</v>
      </c>
      <c r="F67" t="s">
        <v>305</v>
      </c>
      <c r="G67" t="s">
        <v>304</v>
      </c>
      <c r="H67" t="s">
        <v>30</v>
      </c>
      <c r="I67" t="s">
        <v>35</v>
      </c>
      <c r="J67" t="s">
        <v>43</v>
      </c>
      <c r="K67" t="s">
        <v>44</v>
      </c>
      <c r="L67" t="s">
        <v>73</v>
      </c>
      <c r="M67" t="s">
        <v>263</v>
      </c>
      <c r="N67" t="s">
        <v>46</v>
      </c>
      <c r="P67" t="s">
        <v>1522</v>
      </c>
      <c r="R67">
        <v>41277.415833333333</v>
      </c>
      <c r="S67">
        <v>41815.747569444444</v>
      </c>
      <c r="T67" t="s">
        <v>1640</v>
      </c>
      <c r="U67" t="s">
        <v>35</v>
      </c>
      <c r="V67" t="s">
        <v>35</v>
      </c>
      <c r="W67" t="s">
        <v>4098</v>
      </c>
    </row>
    <row r="68" spans="2:23" x14ac:dyDescent="0.25">
      <c r="B68" s="19">
        <v>3345</v>
      </c>
      <c r="C68" s="2">
        <f>HYPERLINK(URLs!B36 &amp; 25114,25114)</f>
        <v>25114</v>
      </c>
      <c r="D68" t="s">
        <v>1663</v>
      </c>
      <c r="E68" t="s">
        <v>387</v>
      </c>
      <c r="F68" t="s">
        <v>305</v>
      </c>
      <c r="G68" t="s">
        <v>337</v>
      </c>
      <c r="H68" t="s">
        <v>30</v>
      </c>
      <c r="I68" t="s">
        <v>35</v>
      </c>
      <c r="J68" t="s">
        <v>43</v>
      </c>
      <c r="K68" t="s">
        <v>35</v>
      </c>
      <c r="L68" t="s">
        <v>73</v>
      </c>
      <c r="M68" t="s">
        <v>263</v>
      </c>
      <c r="N68" t="s">
        <v>46</v>
      </c>
      <c r="P68" t="s">
        <v>1520</v>
      </c>
      <c r="R68">
        <v>41208.87096064815</v>
      </c>
      <c r="S68">
        <v>42649.829375000001</v>
      </c>
      <c r="T68" t="s">
        <v>1529</v>
      </c>
      <c r="U68" t="s">
        <v>35</v>
      </c>
      <c r="V68" t="s">
        <v>35</v>
      </c>
      <c r="W68" t="s">
        <v>1749</v>
      </c>
    </row>
    <row r="69" spans="2:23" x14ac:dyDescent="0.25">
      <c r="B69" s="19">
        <v>3345</v>
      </c>
      <c r="C69" s="2">
        <f>HYPERLINK(URLs!B36 &amp; 24955,24955)</f>
        <v>24955</v>
      </c>
      <c r="D69" t="s">
        <v>1654</v>
      </c>
      <c r="E69" t="s">
        <v>387</v>
      </c>
      <c r="F69" t="s">
        <v>305</v>
      </c>
      <c r="G69" t="s">
        <v>337</v>
      </c>
      <c r="H69" t="s">
        <v>30</v>
      </c>
      <c r="I69" t="s">
        <v>35</v>
      </c>
      <c r="J69" t="s">
        <v>58</v>
      </c>
      <c r="K69" t="s">
        <v>35</v>
      </c>
      <c r="L69" t="s">
        <v>73</v>
      </c>
      <c r="M69" t="s">
        <v>263</v>
      </c>
      <c r="N69" t="s">
        <v>46</v>
      </c>
      <c r="P69" t="s">
        <v>1520</v>
      </c>
      <c r="R69">
        <v>41204.550879629627</v>
      </c>
      <c r="S69">
        <v>42649.82917824074</v>
      </c>
      <c r="T69" t="s">
        <v>1529</v>
      </c>
      <c r="U69" t="s">
        <v>35</v>
      </c>
      <c r="V69" t="s">
        <v>35</v>
      </c>
      <c r="W69" t="s">
        <v>4103</v>
      </c>
    </row>
    <row r="70" spans="2:23" x14ac:dyDescent="0.25">
      <c r="B70" s="19">
        <v>3345</v>
      </c>
      <c r="C70" s="2">
        <f>HYPERLINK(URLs!B36 &amp; 24954,24954)</f>
        <v>24954</v>
      </c>
      <c r="D70" t="s">
        <v>1653</v>
      </c>
      <c r="E70" t="s">
        <v>387</v>
      </c>
      <c r="F70" t="s">
        <v>305</v>
      </c>
      <c r="G70" t="s">
        <v>310</v>
      </c>
      <c r="H70" t="s">
        <v>30</v>
      </c>
      <c r="I70" t="s">
        <v>35</v>
      </c>
      <c r="J70" t="s">
        <v>58</v>
      </c>
      <c r="K70" t="s">
        <v>35</v>
      </c>
      <c r="L70" t="s">
        <v>73</v>
      </c>
      <c r="M70" t="s">
        <v>263</v>
      </c>
      <c r="N70" t="s">
        <v>46</v>
      </c>
      <c r="P70" t="s">
        <v>1520</v>
      </c>
      <c r="R70">
        <v>41204.550763888888</v>
      </c>
      <c r="S70">
        <v>42649.829340277778</v>
      </c>
      <c r="T70" t="s">
        <v>1529</v>
      </c>
      <c r="U70" t="s">
        <v>35</v>
      </c>
      <c r="V70" t="s">
        <v>35</v>
      </c>
      <c r="W70" t="s">
        <v>4104</v>
      </c>
    </row>
    <row r="71" spans="2:23" x14ac:dyDescent="0.25">
      <c r="B71" s="19">
        <v>3345</v>
      </c>
      <c r="C71" s="2">
        <f>HYPERLINK(URLs!B36 &amp; 24953,24953)</f>
        <v>24953</v>
      </c>
      <c r="D71" t="s">
        <v>1652</v>
      </c>
      <c r="E71" t="s">
        <v>387</v>
      </c>
      <c r="F71" t="s">
        <v>305</v>
      </c>
      <c r="G71" t="s">
        <v>337</v>
      </c>
      <c r="H71" t="s">
        <v>30</v>
      </c>
      <c r="I71" t="s">
        <v>35</v>
      </c>
      <c r="J71" t="s">
        <v>58</v>
      </c>
      <c r="K71" t="s">
        <v>35</v>
      </c>
      <c r="L71" t="s">
        <v>73</v>
      </c>
      <c r="M71" t="s">
        <v>263</v>
      </c>
      <c r="N71" t="s">
        <v>46</v>
      </c>
      <c r="P71" t="s">
        <v>1520</v>
      </c>
      <c r="R71">
        <v>41204.550659722219</v>
      </c>
      <c r="S71">
        <v>42649.829236111109</v>
      </c>
      <c r="T71" t="s">
        <v>1529</v>
      </c>
      <c r="U71" t="s">
        <v>35</v>
      </c>
      <c r="V71" t="s">
        <v>35</v>
      </c>
      <c r="W71" t="s">
        <v>4113</v>
      </c>
    </row>
    <row r="72" spans="2:23" x14ac:dyDescent="0.25">
      <c r="B72" s="19">
        <v>3360</v>
      </c>
      <c r="C72" s="2">
        <f>HYPERLINK(URLs!B36 &amp; 23934,23934)</f>
        <v>23934</v>
      </c>
      <c r="D72" t="s">
        <v>1619</v>
      </c>
      <c r="E72" t="s">
        <v>1620</v>
      </c>
      <c r="F72" t="s">
        <v>305</v>
      </c>
      <c r="G72" t="s">
        <v>1621</v>
      </c>
      <c r="H72" t="s">
        <v>30</v>
      </c>
      <c r="I72" t="s">
        <v>31</v>
      </c>
      <c r="J72" t="s">
        <v>32</v>
      </c>
      <c r="K72" t="s">
        <v>33</v>
      </c>
      <c r="L72" t="s">
        <v>34</v>
      </c>
      <c r="M72" t="s">
        <v>336</v>
      </c>
      <c r="N72" t="s">
        <v>46</v>
      </c>
      <c r="P72" t="s">
        <v>1530</v>
      </c>
      <c r="R72">
        <v>41156.653368055559</v>
      </c>
      <c r="S72">
        <v>42034.642002314817</v>
      </c>
      <c r="T72" t="s">
        <v>39</v>
      </c>
      <c r="U72" t="s">
        <v>35</v>
      </c>
      <c r="V72" t="s">
        <v>35</v>
      </c>
      <c r="W72" t="s">
        <v>4112</v>
      </c>
    </row>
    <row r="73" spans="2:23" x14ac:dyDescent="0.25">
      <c r="B73" s="19">
        <v>3404</v>
      </c>
      <c r="C73" s="2">
        <f>HYPERLINK(URLs!B36 &amp; 25041,25041)</f>
        <v>25041</v>
      </c>
      <c r="D73" t="s">
        <v>1656</v>
      </c>
      <c r="E73" t="s">
        <v>387</v>
      </c>
      <c r="F73" t="s">
        <v>305</v>
      </c>
      <c r="G73" t="s">
        <v>304</v>
      </c>
      <c r="H73" t="s">
        <v>30</v>
      </c>
      <c r="I73" t="s">
        <v>35</v>
      </c>
      <c r="J73" t="s">
        <v>43</v>
      </c>
      <c r="K73" t="s">
        <v>35</v>
      </c>
      <c r="L73" t="s">
        <v>73</v>
      </c>
      <c r="M73" t="s">
        <v>264</v>
      </c>
      <c r="N73" t="s">
        <v>46</v>
      </c>
      <c r="P73" t="s">
        <v>1646</v>
      </c>
      <c r="R73">
        <v>41208.442766203705</v>
      </c>
      <c r="S73">
        <v>41362.803055555552</v>
      </c>
      <c r="T73" t="s">
        <v>435</v>
      </c>
      <c r="U73" t="s">
        <v>35</v>
      </c>
      <c r="V73" t="s">
        <v>35</v>
      </c>
      <c r="W73" t="s">
        <v>1749</v>
      </c>
    </row>
    <row r="74" spans="2:23" x14ac:dyDescent="0.25">
      <c r="B74" s="19">
        <v>3404</v>
      </c>
      <c r="C74" s="2">
        <f>HYPERLINK(URLs!B36 &amp; 24926,24926)</f>
        <v>24926</v>
      </c>
      <c r="D74" t="s">
        <v>1650</v>
      </c>
      <c r="E74" t="s">
        <v>387</v>
      </c>
      <c r="F74" t="s">
        <v>305</v>
      </c>
      <c r="G74" t="s">
        <v>310</v>
      </c>
      <c r="H74" t="s">
        <v>30</v>
      </c>
      <c r="I74" t="s">
        <v>35</v>
      </c>
      <c r="J74" t="s">
        <v>32</v>
      </c>
      <c r="K74" t="s">
        <v>35</v>
      </c>
      <c r="L74" t="s">
        <v>73</v>
      </c>
      <c r="M74" t="s">
        <v>264</v>
      </c>
      <c r="N74" t="s">
        <v>46</v>
      </c>
      <c r="P74" t="s">
        <v>1646</v>
      </c>
      <c r="R74">
        <v>41201.527870370373</v>
      </c>
      <c r="S74">
        <v>42649.829467592594</v>
      </c>
      <c r="T74" t="s">
        <v>1529</v>
      </c>
      <c r="U74" t="s">
        <v>35</v>
      </c>
      <c r="V74" t="s">
        <v>35</v>
      </c>
      <c r="W74" t="s">
        <v>4104</v>
      </c>
    </row>
    <row r="75" spans="2:23" x14ac:dyDescent="0.25">
      <c r="B75" s="19">
        <v>3404</v>
      </c>
      <c r="C75" s="2">
        <f>HYPERLINK(URLs!B36 &amp; 24925,24925)</f>
        <v>24925</v>
      </c>
      <c r="D75" t="s">
        <v>1649</v>
      </c>
      <c r="E75" t="s">
        <v>387</v>
      </c>
      <c r="F75" t="s">
        <v>305</v>
      </c>
      <c r="G75" t="s">
        <v>304</v>
      </c>
      <c r="H75" t="s">
        <v>30</v>
      </c>
      <c r="I75" t="s">
        <v>35</v>
      </c>
      <c r="J75" t="s">
        <v>32</v>
      </c>
      <c r="K75" t="s">
        <v>35</v>
      </c>
      <c r="L75" t="s">
        <v>73</v>
      </c>
      <c r="M75" t="s">
        <v>264</v>
      </c>
      <c r="N75" t="s">
        <v>46</v>
      </c>
      <c r="P75" t="s">
        <v>1646</v>
      </c>
      <c r="R75">
        <v>41201.527789351851</v>
      </c>
      <c r="S75">
        <v>41815.736527777779</v>
      </c>
      <c r="T75" t="s">
        <v>1529</v>
      </c>
      <c r="U75" t="s">
        <v>35</v>
      </c>
      <c r="V75" t="s">
        <v>35</v>
      </c>
      <c r="W75" t="s">
        <v>1646</v>
      </c>
    </row>
    <row r="76" spans="2:23" x14ac:dyDescent="0.25">
      <c r="B76" s="19">
        <v>3404</v>
      </c>
      <c r="C76" s="2">
        <f>HYPERLINK(URLs!B36 &amp; 24924,24924)</f>
        <v>24924</v>
      </c>
      <c r="D76" t="s">
        <v>1648</v>
      </c>
      <c r="E76" t="s">
        <v>387</v>
      </c>
      <c r="F76" t="s">
        <v>305</v>
      </c>
      <c r="G76" t="s">
        <v>310</v>
      </c>
      <c r="H76" t="s">
        <v>30</v>
      </c>
      <c r="I76" t="s">
        <v>35</v>
      </c>
      <c r="J76" t="s">
        <v>32</v>
      </c>
      <c r="K76" t="s">
        <v>35</v>
      </c>
      <c r="L76" t="s">
        <v>73</v>
      </c>
      <c r="M76" t="s">
        <v>264</v>
      </c>
      <c r="N76" t="s">
        <v>46</v>
      </c>
      <c r="P76" t="s">
        <v>1646</v>
      </c>
      <c r="R76">
        <v>41201.527685185189</v>
      </c>
      <c r="S76">
        <v>42649.829027777778</v>
      </c>
      <c r="T76" t="s">
        <v>1529</v>
      </c>
      <c r="U76" t="s">
        <v>35</v>
      </c>
      <c r="V76" t="s">
        <v>35</v>
      </c>
      <c r="W76" t="s">
        <v>1634</v>
      </c>
    </row>
    <row r="77" spans="2:23" x14ac:dyDescent="0.25">
      <c r="B77" s="19">
        <v>3404</v>
      </c>
      <c r="C77" s="2">
        <f>HYPERLINK(URLs!B36 &amp; 24920,24920)</f>
        <v>24920</v>
      </c>
      <c r="D77" t="s">
        <v>1645</v>
      </c>
      <c r="E77" t="s">
        <v>387</v>
      </c>
      <c r="F77" t="s">
        <v>305</v>
      </c>
      <c r="G77" t="s">
        <v>304</v>
      </c>
      <c r="H77" t="s">
        <v>30</v>
      </c>
      <c r="I77" t="s">
        <v>35</v>
      </c>
      <c r="J77" t="s">
        <v>32</v>
      </c>
      <c r="K77" t="s">
        <v>35</v>
      </c>
      <c r="L77" t="s">
        <v>73</v>
      </c>
      <c r="M77" t="s">
        <v>264</v>
      </c>
      <c r="N77" t="s">
        <v>46</v>
      </c>
      <c r="P77" t="s">
        <v>1646</v>
      </c>
      <c r="R77">
        <v>41201.288414351853</v>
      </c>
      <c r="S77">
        <v>41362.806562500002</v>
      </c>
      <c r="T77" t="s">
        <v>1647</v>
      </c>
      <c r="U77" t="s">
        <v>35</v>
      </c>
      <c r="V77" t="s">
        <v>35</v>
      </c>
      <c r="W77" t="s">
        <v>4098</v>
      </c>
    </row>
    <row r="78" spans="2:23" x14ac:dyDescent="0.25">
      <c r="B78" s="19">
        <v>3467</v>
      </c>
      <c r="C78" s="2">
        <f>HYPERLINK(URLs!B36 &amp; 24598,24598)</f>
        <v>24598</v>
      </c>
      <c r="D78" t="s">
        <v>1630</v>
      </c>
      <c r="E78" t="s">
        <v>387</v>
      </c>
      <c r="F78" t="s">
        <v>305</v>
      </c>
      <c r="G78" t="s">
        <v>310</v>
      </c>
      <c r="H78" t="s">
        <v>30</v>
      </c>
      <c r="I78" t="s">
        <v>35</v>
      </c>
      <c r="J78" t="s">
        <v>58</v>
      </c>
      <c r="K78" t="s">
        <v>35</v>
      </c>
      <c r="L78" t="s">
        <v>73</v>
      </c>
      <c r="M78" t="s">
        <v>263</v>
      </c>
      <c r="N78" t="s">
        <v>46</v>
      </c>
      <c r="P78" t="s">
        <v>1520</v>
      </c>
      <c r="R78">
        <v>41186.523530092592</v>
      </c>
      <c r="S78">
        <v>42649.828912037039</v>
      </c>
      <c r="T78" t="s">
        <v>1529</v>
      </c>
      <c r="U78" t="s">
        <v>35</v>
      </c>
      <c r="V78" t="s">
        <v>35</v>
      </c>
      <c r="W78" t="s">
        <v>4103</v>
      </c>
    </row>
    <row r="79" spans="2:23" x14ac:dyDescent="0.25">
      <c r="B79" s="19">
        <v>3467</v>
      </c>
      <c r="C79" s="2">
        <f>HYPERLINK(URLs!B36 &amp; 24597,24597)</f>
        <v>24597</v>
      </c>
      <c r="D79" t="s">
        <v>1629</v>
      </c>
      <c r="E79" t="s">
        <v>387</v>
      </c>
      <c r="F79" t="s">
        <v>305</v>
      </c>
      <c r="G79" t="s">
        <v>310</v>
      </c>
      <c r="H79" t="s">
        <v>30</v>
      </c>
      <c r="I79" t="s">
        <v>35</v>
      </c>
      <c r="J79" t="s">
        <v>43</v>
      </c>
      <c r="K79" t="s">
        <v>35</v>
      </c>
      <c r="L79" t="s">
        <v>73</v>
      </c>
      <c r="M79" t="s">
        <v>263</v>
      </c>
      <c r="N79" t="s">
        <v>46</v>
      </c>
      <c r="P79" t="s">
        <v>1520</v>
      </c>
      <c r="R79">
        <v>41186.5234375</v>
      </c>
      <c r="S79">
        <v>42649.828750000001</v>
      </c>
      <c r="T79" t="s">
        <v>1529</v>
      </c>
      <c r="U79" t="s">
        <v>35</v>
      </c>
      <c r="V79" t="s">
        <v>35</v>
      </c>
      <c r="W79" t="s">
        <v>4104</v>
      </c>
    </row>
    <row r="80" spans="2:23" x14ac:dyDescent="0.25">
      <c r="B80" s="19">
        <v>3467</v>
      </c>
      <c r="C80" s="2">
        <f>HYPERLINK(URLs!B36 &amp; 24596,24596)</f>
        <v>24596</v>
      </c>
      <c r="D80" t="s">
        <v>1628</v>
      </c>
      <c r="E80" t="s">
        <v>387</v>
      </c>
      <c r="F80" t="s">
        <v>305</v>
      </c>
      <c r="G80" t="s">
        <v>310</v>
      </c>
      <c r="H80" t="s">
        <v>30</v>
      </c>
      <c r="I80" t="s">
        <v>35</v>
      </c>
      <c r="J80" t="s">
        <v>58</v>
      </c>
      <c r="K80" t="s">
        <v>35</v>
      </c>
      <c r="L80" t="s">
        <v>73</v>
      </c>
      <c r="M80" t="s">
        <v>263</v>
      </c>
      <c r="N80" t="s">
        <v>46</v>
      </c>
      <c r="P80" t="s">
        <v>1520</v>
      </c>
      <c r="R80">
        <v>41186.523344907408</v>
      </c>
      <c r="S80">
        <v>42649.828969907408</v>
      </c>
      <c r="T80" t="s">
        <v>1529</v>
      </c>
      <c r="U80" t="s">
        <v>35</v>
      </c>
      <c r="V80" t="s">
        <v>35</v>
      </c>
      <c r="W80" t="s">
        <v>1646</v>
      </c>
    </row>
    <row r="81" spans="2:23" x14ac:dyDescent="0.25">
      <c r="B81" s="19">
        <v>3467</v>
      </c>
      <c r="C81" s="2">
        <f>HYPERLINK(URLs!B36 &amp; 24595,24595)</f>
        <v>24595</v>
      </c>
      <c r="D81" t="s">
        <v>1627</v>
      </c>
      <c r="E81" t="s">
        <v>387</v>
      </c>
      <c r="F81" t="s">
        <v>305</v>
      </c>
      <c r="G81" t="s">
        <v>310</v>
      </c>
      <c r="H81" t="s">
        <v>30</v>
      </c>
      <c r="I81" t="s">
        <v>35</v>
      </c>
      <c r="J81" t="s">
        <v>58</v>
      </c>
      <c r="K81" t="s">
        <v>35</v>
      </c>
      <c r="L81" t="s">
        <v>73</v>
      </c>
      <c r="M81" t="s">
        <v>263</v>
      </c>
      <c r="N81" t="s">
        <v>46</v>
      </c>
      <c r="P81" t="s">
        <v>56</v>
      </c>
      <c r="R81">
        <v>41186.5231712963</v>
      </c>
      <c r="S81">
        <v>42649.828692129631</v>
      </c>
      <c r="T81" t="s">
        <v>1529</v>
      </c>
      <c r="U81" t="s">
        <v>35</v>
      </c>
      <c r="V81" t="s">
        <v>35</v>
      </c>
      <c r="W81" t="s">
        <v>1634</v>
      </c>
    </row>
    <row r="82" spans="2:23" x14ac:dyDescent="0.25">
      <c r="B82" s="19">
        <v>3467</v>
      </c>
      <c r="C82" s="2">
        <f>HYPERLINK(URLs!B36 &amp; 24588,24588)</f>
        <v>24588</v>
      </c>
      <c r="D82" t="s">
        <v>1626</v>
      </c>
      <c r="E82" t="s">
        <v>387</v>
      </c>
      <c r="F82" t="s">
        <v>305</v>
      </c>
      <c r="G82" t="s">
        <v>337</v>
      </c>
      <c r="H82" t="s">
        <v>30</v>
      </c>
      <c r="I82" t="s">
        <v>35</v>
      </c>
      <c r="J82" t="s">
        <v>43</v>
      </c>
      <c r="K82" t="s">
        <v>35</v>
      </c>
      <c r="L82" t="s">
        <v>73</v>
      </c>
      <c r="M82" t="s">
        <v>263</v>
      </c>
      <c r="N82" t="s">
        <v>46</v>
      </c>
      <c r="P82" t="s">
        <v>1520</v>
      </c>
      <c r="R82">
        <v>41186.238356481481</v>
      </c>
      <c r="S82">
        <v>42649.828668981485</v>
      </c>
      <c r="T82" t="s">
        <v>299</v>
      </c>
      <c r="U82" t="s">
        <v>35</v>
      </c>
      <c r="V82" t="s">
        <v>35</v>
      </c>
      <c r="W82" t="s">
        <v>4098</v>
      </c>
    </row>
    <row r="83" spans="2:23" x14ac:dyDescent="0.25">
      <c r="B83" s="19">
        <v>3469</v>
      </c>
      <c r="C83" s="2">
        <f>HYPERLINK(URLs!B36 &amp; 25034,25034)</f>
        <v>25034</v>
      </c>
      <c r="D83" t="s">
        <v>1655</v>
      </c>
      <c r="E83" t="s">
        <v>1533</v>
      </c>
      <c r="F83" t="s">
        <v>305</v>
      </c>
      <c r="G83" t="s">
        <v>337</v>
      </c>
      <c r="H83" t="s">
        <v>30</v>
      </c>
      <c r="I83" t="s">
        <v>35</v>
      </c>
      <c r="J83" t="s">
        <v>43</v>
      </c>
      <c r="K83" t="s">
        <v>35</v>
      </c>
      <c r="L83" t="s">
        <v>73</v>
      </c>
      <c r="M83" t="s">
        <v>1514</v>
      </c>
      <c r="N83" t="s">
        <v>46</v>
      </c>
      <c r="P83" t="s">
        <v>1528</v>
      </c>
      <c r="R83">
        <v>41207.941805555558</v>
      </c>
      <c r="S83">
        <v>42649.829467592594</v>
      </c>
      <c r="T83" t="s">
        <v>1529</v>
      </c>
      <c r="U83" t="s">
        <v>35</v>
      </c>
      <c r="V83" t="s">
        <v>35</v>
      </c>
      <c r="W83" t="s">
        <v>1749</v>
      </c>
    </row>
    <row r="84" spans="2:23" x14ac:dyDescent="0.25">
      <c r="B84" s="19">
        <v>3469</v>
      </c>
      <c r="C84" s="2">
        <f>HYPERLINK(URLs!B36 &amp; 24148,24148)</f>
        <v>24148</v>
      </c>
      <c r="D84" t="s">
        <v>1624</v>
      </c>
      <c r="E84" t="s">
        <v>1533</v>
      </c>
      <c r="F84" t="s">
        <v>305</v>
      </c>
      <c r="G84" t="s">
        <v>337</v>
      </c>
      <c r="H84" t="s">
        <v>30</v>
      </c>
      <c r="I84" t="s">
        <v>35</v>
      </c>
      <c r="J84" t="s">
        <v>43</v>
      </c>
      <c r="K84" t="s">
        <v>35</v>
      </c>
      <c r="L84" t="s">
        <v>73</v>
      </c>
      <c r="M84" t="s">
        <v>1514</v>
      </c>
      <c r="N84" t="s">
        <v>46</v>
      </c>
      <c r="P84" t="s">
        <v>1528</v>
      </c>
      <c r="R84">
        <v>41165.676655092589</v>
      </c>
      <c r="S84">
        <v>42649.828483796293</v>
      </c>
      <c r="T84" t="s">
        <v>1529</v>
      </c>
      <c r="U84" t="s">
        <v>35</v>
      </c>
      <c r="V84" t="s">
        <v>35</v>
      </c>
      <c r="W84" t="s">
        <v>4104</v>
      </c>
    </row>
    <row r="85" spans="2:23" x14ac:dyDescent="0.25">
      <c r="B85" s="19">
        <v>3469</v>
      </c>
      <c r="C85" s="2">
        <f>HYPERLINK(URLs!B36 &amp; 24147,24147)</f>
        <v>24147</v>
      </c>
      <c r="D85" t="s">
        <v>1623</v>
      </c>
      <c r="E85" t="s">
        <v>1533</v>
      </c>
      <c r="F85" t="s">
        <v>305</v>
      </c>
      <c r="G85" t="s">
        <v>337</v>
      </c>
      <c r="H85" t="s">
        <v>30</v>
      </c>
      <c r="I85" t="s">
        <v>35</v>
      </c>
      <c r="J85" t="s">
        <v>43</v>
      </c>
      <c r="K85" t="s">
        <v>35</v>
      </c>
      <c r="L85" t="s">
        <v>73</v>
      </c>
      <c r="M85" t="s">
        <v>1514</v>
      </c>
      <c r="N85" t="s">
        <v>46</v>
      </c>
      <c r="P85" t="s">
        <v>1528</v>
      </c>
      <c r="R85">
        <v>41165.676458333335</v>
      </c>
      <c r="S85">
        <v>42649.828541666669</v>
      </c>
      <c r="T85" t="s">
        <v>1529</v>
      </c>
      <c r="U85" t="s">
        <v>35</v>
      </c>
      <c r="V85" t="s">
        <v>35</v>
      </c>
      <c r="W85" t="s">
        <v>4113</v>
      </c>
    </row>
    <row r="86" spans="2:23" x14ac:dyDescent="0.25">
      <c r="B86" s="19">
        <v>3469</v>
      </c>
      <c r="C86" s="2">
        <f>HYPERLINK(URLs!B36 &amp; 24146,24146)</f>
        <v>24146</v>
      </c>
      <c r="D86" t="s">
        <v>1622</v>
      </c>
      <c r="E86" t="s">
        <v>1613</v>
      </c>
      <c r="F86" t="s">
        <v>305</v>
      </c>
      <c r="G86" t="s">
        <v>304</v>
      </c>
      <c r="H86" t="s">
        <v>30</v>
      </c>
      <c r="I86" t="s">
        <v>35</v>
      </c>
      <c r="J86" t="s">
        <v>43</v>
      </c>
      <c r="K86" t="s">
        <v>35</v>
      </c>
      <c r="L86" t="s">
        <v>73</v>
      </c>
      <c r="M86" t="s">
        <v>1514</v>
      </c>
      <c r="N86" t="s">
        <v>46</v>
      </c>
      <c r="P86" t="s">
        <v>1528</v>
      </c>
      <c r="R86">
        <v>41165.676342592589</v>
      </c>
      <c r="S86">
        <v>42648.811331018522</v>
      </c>
      <c r="T86" t="s">
        <v>1529</v>
      </c>
      <c r="U86" t="s">
        <v>35</v>
      </c>
      <c r="V86" t="s">
        <v>35</v>
      </c>
      <c r="W86" t="s">
        <v>1634</v>
      </c>
    </row>
    <row r="87" spans="2:23" x14ac:dyDescent="0.25">
      <c r="B87" s="19">
        <v>3469</v>
      </c>
      <c r="C87" s="2">
        <f>HYPERLINK(URLs!B36 &amp; 19031,19031)</f>
        <v>19031</v>
      </c>
      <c r="D87" t="s">
        <v>1534</v>
      </c>
      <c r="E87" t="s">
        <v>387</v>
      </c>
      <c r="F87" t="s">
        <v>305</v>
      </c>
      <c r="G87" t="s">
        <v>310</v>
      </c>
      <c r="H87" t="s">
        <v>30</v>
      </c>
      <c r="I87" t="s">
        <v>35</v>
      </c>
      <c r="J87" t="s">
        <v>43</v>
      </c>
      <c r="K87" t="s">
        <v>35</v>
      </c>
      <c r="L87" t="s">
        <v>73</v>
      </c>
      <c r="M87" t="s">
        <v>1514</v>
      </c>
      <c r="N87" t="s">
        <v>46</v>
      </c>
      <c r="P87" t="s">
        <v>1528</v>
      </c>
      <c r="R87">
        <v>40918.544699074075</v>
      </c>
      <c r="S87">
        <v>42649.822337962964</v>
      </c>
      <c r="T87" t="s">
        <v>1529</v>
      </c>
      <c r="U87" t="s">
        <v>35</v>
      </c>
      <c r="V87" t="s">
        <v>35</v>
      </c>
      <c r="W87" t="s">
        <v>1530</v>
      </c>
    </row>
    <row r="88" spans="2:23" x14ac:dyDescent="0.25">
      <c r="B88" s="19">
        <v>3469</v>
      </c>
      <c r="C88" s="2">
        <f>HYPERLINK(URLs!B36 &amp; 19002,19002)</f>
        <v>19002</v>
      </c>
      <c r="D88" t="s">
        <v>1532</v>
      </c>
      <c r="E88" t="s">
        <v>1533</v>
      </c>
      <c r="F88" t="s">
        <v>305</v>
      </c>
      <c r="G88" t="s">
        <v>304</v>
      </c>
      <c r="H88" t="s">
        <v>30</v>
      </c>
      <c r="I88" t="s">
        <v>35</v>
      </c>
      <c r="J88" t="s">
        <v>43</v>
      </c>
      <c r="K88" t="s">
        <v>35</v>
      </c>
      <c r="L88" t="s">
        <v>73</v>
      </c>
      <c r="M88" t="s">
        <v>1514</v>
      </c>
      <c r="N88" t="s">
        <v>46</v>
      </c>
      <c r="P88" t="s">
        <v>1528</v>
      </c>
      <c r="R88">
        <v>40914.894004629627</v>
      </c>
      <c r="S88">
        <v>41815.750277777777</v>
      </c>
      <c r="T88" t="s">
        <v>332</v>
      </c>
      <c r="U88" t="s">
        <v>35</v>
      </c>
      <c r="V88" t="s">
        <v>35</v>
      </c>
      <c r="W88" t="s">
        <v>4098</v>
      </c>
    </row>
    <row r="89" spans="2:23" x14ac:dyDescent="0.25">
      <c r="B89" s="19">
        <v>3487</v>
      </c>
      <c r="C89" s="2">
        <f>HYPERLINK(URLs!B36 &amp; 25117,25117)</f>
        <v>25117</v>
      </c>
      <c r="D89" t="s">
        <v>1664</v>
      </c>
      <c r="E89" t="s">
        <v>387</v>
      </c>
      <c r="F89" t="s">
        <v>305</v>
      </c>
      <c r="G89" t="s">
        <v>337</v>
      </c>
      <c r="H89" t="s">
        <v>30</v>
      </c>
      <c r="I89" t="s">
        <v>35</v>
      </c>
      <c r="J89" t="s">
        <v>43</v>
      </c>
      <c r="K89" t="s">
        <v>35</v>
      </c>
      <c r="L89" t="s">
        <v>73</v>
      </c>
      <c r="M89" t="s">
        <v>263</v>
      </c>
      <c r="N89" t="s">
        <v>46</v>
      </c>
      <c r="P89" t="s">
        <v>1530</v>
      </c>
      <c r="R89">
        <v>41208.878958333335</v>
      </c>
      <c r="S89">
        <v>42649.829618055555</v>
      </c>
      <c r="T89" t="s">
        <v>1529</v>
      </c>
      <c r="U89" t="s">
        <v>35</v>
      </c>
      <c r="V89" t="s">
        <v>35</v>
      </c>
      <c r="W89" t="s">
        <v>1749</v>
      </c>
    </row>
    <row r="90" spans="2:23" x14ac:dyDescent="0.25">
      <c r="B90" s="19">
        <v>3487</v>
      </c>
      <c r="C90" s="2">
        <f>HYPERLINK(URLs!B36 &amp; 24799,24799)</f>
        <v>24799</v>
      </c>
      <c r="D90" t="s">
        <v>1643</v>
      </c>
      <c r="E90" t="s">
        <v>387</v>
      </c>
      <c r="F90" t="s">
        <v>305</v>
      </c>
      <c r="G90" t="s">
        <v>328</v>
      </c>
      <c r="H90" t="s">
        <v>30</v>
      </c>
      <c r="I90" t="s">
        <v>35</v>
      </c>
      <c r="J90" t="s">
        <v>43</v>
      </c>
      <c r="K90" t="s">
        <v>35</v>
      </c>
      <c r="L90" t="s">
        <v>73</v>
      </c>
      <c r="M90" t="s">
        <v>263</v>
      </c>
      <c r="N90" t="s">
        <v>46</v>
      </c>
      <c r="P90" t="s">
        <v>1530</v>
      </c>
      <c r="R90">
        <v>41194.740543981483</v>
      </c>
      <c r="S90">
        <v>42649.829074074078</v>
      </c>
      <c r="T90" t="s">
        <v>1529</v>
      </c>
      <c r="U90" t="s">
        <v>35</v>
      </c>
      <c r="V90" t="s">
        <v>35</v>
      </c>
      <c r="W90" t="s">
        <v>4104</v>
      </c>
    </row>
    <row r="91" spans="2:23" x14ac:dyDescent="0.25">
      <c r="B91" s="19">
        <v>3487</v>
      </c>
      <c r="C91" s="2">
        <f>HYPERLINK(URLs!B36 &amp; 24798,24798)</f>
        <v>24798</v>
      </c>
      <c r="D91" t="s">
        <v>1642</v>
      </c>
      <c r="E91" t="s">
        <v>387</v>
      </c>
      <c r="F91" t="s">
        <v>305</v>
      </c>
      <c r="G91" t="s">
        <v>310</v>
      </c>
      <c r="H91" t="s">
        <v>30</v>
      </c>
      <c r="I91" t="s">
        <v>35</v>
      </c>
      <c r="J91" t="s">
        <v>43</v>
      </c>
      <c r="K91" t="s">
        <v>35</v>
      </c>
      <c r="L91" t="s">
        <v>73</v>
      </c>
      <c r="M91" t="s">
        <v>263</v>
      </c>
      <c r="N91" t="s">
        <v>46</v>
      </c>
      <c r="P91" t="s">
        <v>1530</v>
      </c>
      <c r="R91">
        <v>41194.740312499998</v>
      </c>
      <c r="S91">
        <v>42649.829189814816</v>
      </c>
      <c r="T91" t="s">
        <v>1529</v>
      </c>
      <c r="U91" t="s">
        <v>35</v>
      </c>
      <c r="V91" t="s">
        <v>35</v>
      </c>
      <c r="W91" t="s">
        <v>4113</v>
      </c>
    </row>
    <row r="92" spans="2:23" x14ac:dyDescent="0.25">
      <c r="B92" s="19">
        <v>3487</v>
      </c>
      <c r="C92" s="2">
        <f>HYPERLINK(URLs!B36 &amp; 24797,24797)</f>
        <v>24797</v>
      </c>
      <c r="D92" t="s">
        <v>1641</v>
      </c>
      <c r="E92" t="s">
        <v>387</v>
      </c>
      <c r="F92" t="s">
        <v>305</v>
      </c>
      <c r="G92" t="s">
        <v>310</v>
      </c>
      <c r="H92" t="s">
        <v>30</v>
      </c>
      <c r="I92" t="s">
        <v>35</v>
      </c>
      <c r="J92" t="s">
        <v>43</v>
      </c>
      <c r="K92" t="s">
        <v>35</v>
      </c>
      <c r="L92" t="s">
        <v>73</v>
      </c>
      <c r="M92" t="s">
        <v>263</v>
      </c>
      <c r="N92" t="s">
        <v>46</v>
      </c>
      <c r="P92" t="s">
        <v>1530</v>
      </c>
      <c r="R92">
        <v>41194.740046296298</v>
      </c>
      <c r="S92">
        <v>42649.829664351855</v>
      </c>
      <c r="T92" t="s">
        <v>1529</v>
      </c>
      <c r="U92" t="s">
        <v>35</v>
      </c>
      <c r="V92" t="s">
        <v>35</v>
      </c>
      <c r="W92" t="s">
        <v>1634</v>
      </c>
    </row>
    <row r="93" spans="2:23" x14ac:dyDescent="0.25">
      <c r="B93" s="19">
        <v>3487</v>
      </c>
      <c r="C93" s="2">
        <f>HYPERLINK(URLs!B36 &amp; 24796,24796)</f>
        <v>24796</v>
      </c>
      <c r="D93" t="s">
        <v>1639</v>
      </c>
      <c r="E93" t="s">
        <v>387</v>
      </c>
      <c r="F93" t="s">
        <v>305</v>
      </c>
      <c r="G93" t="s">
        <v>328</v>
      </c>
      <c r="H93" t="s">
        <v>30</v>
      </c>
      <c r="I93" t="s">
        <v>35</v>
      </c>
      <c r="J93" t="s">
        <v>43</v>
      </c>
      <c r="K93" t="s">
        <v>35</v>
      </c>
      <c r="L93" t="s">
        <v>73</v>
      </c>
      <c r="M93" t="s">
        <v>263</v>
      </c>
      <c r="N93" t="s">
        <v>46</v>
      </c>
      <c r="P93" t="s">
        <v>1530</v>
      </c>
      <c r="R93">
        <v>41194.72996527778</v>
      </c>
      <c r="S93">
        <v>42649.829305555555</v>
      </c>
      <c r="T93" t="s">
        <v>1640</v>
      </c>
      <c r="U93" t="s">
        <v>35</v>
      </c>
      <c r="V93" t="s">
        <v>35</v>
      </c>
      <c r="W93" t="s">
        <v>4098</v>
      </c>
    </row>
    <row r="94" spans="2:23" x14ac:dyDescent="0.25">
      <c r="B94" s="19">
        <v>3527</v>
      </c>
      <c r="C94" s="2">
        <f>HYPERLINK(URLs!B36 &amp; 25211,25211)</f>
        <v>25211</v>
      </c>
      <c r="D94" t="s">
        <v>1669</v>
      </c>
      <c r="E94" t="s">
        <v>387</v>
      </c>
      <c r="F94" t="s">
        <v>305</v>
      </c>
      <c r="G94" t="s">
        <v>310</v>
      </c>
      <c r="H94" t="s">
        <v>30</v>
      </c>
      <c r="I94" t="s">
        <v>35</v>
      </c>
      <c r="J94" t="s">
        <v>43</v>
      </c>
      <c r="K94" t="s">
        <v>35</v>
      </c>
      <c r="L94" t="s">
        <v>73</v>
      </c>
      <c r="M94" t="s">
        <v>263</v>
      </c>
      <c r="N94" t="s">
        <v>46</v>
      </c>
      <c r="P94" t="s">
        <v>1530</v>
      </c>
      <c r="R94">
        <v>41213.619050925925</v>
      </c>
      <c r="S94">
        <v>42649.829988425925</v>
      </c>
      <c r="T94" t="s">
        <v>1529</v>
      </c>
      <c r="U94" t="s">
        <v>35</v>
      </c>
      <c r="V94" t="s">
        <v>35</v>
      </c>
      <c r="W94" t="s">
        <v>4113</v>
      </c>
    </row>
    <row r="95" spans="2:23" x14ac:dyDescent="0.25">
      <c r="B95" s="19">
        <v>3527</v>
      </c>
      <c r="C95" s="2">
        <f>HYPERLINK(URLs!B36 &amp; 25210,25210)</f>
        <v>25210</v>
      </c>
      <c r="D95" t="s">
        <v>1668</v>
      </c>
      <c r="E95" t="s">
        <v>387</v>
      </c>
      <c r="F95" t="s">
        <v>305</v>
      </c>
      <c r="G95" t="s">
        <v>310</v>
      </c>
      <c r="H95" t="s">
        <v>30</v>
      </c>
      <c r="I95" t="s">
        <v>35</v>
      </c>
      <c r="J95" t="s">
        <v>43</v>
      </c>
      <c r="K95" t="s">
        <v>35</v>
      </c>
      <c r="L95" t="s">
        <v>73</v>
      </c>
      <c r="M95" t="s">
        <v>263</v>
      </c>
      <c r="N95" t="s">
        <v>46</v>
      </c>
      <c r="P95" t="s">
        <v>1530</v>
      </c>
      <c r="R95">
        <v>41213.618877314817</v>
      </c>
      <c r="S95">
        <v>42649.83017361111</v>
      </c>
      <c r="T95" t="s">
        <v>1529</v>
      </c>
      <c r="U95" t="s">
        <v>35</v>
      </c>
      <c r="V95" t="s">
        <v>35</v>
      </c>
      <c r="W95" t="s">
        <v>1749</v>
      </c>
    </row>
    <row r="96" spans="2:23" x14ac:dyDescent="0.25">
      <c r="B96" s="19">
        <v>3527</v>
      </c>
      <c r="C96" s="2">
        <f>HYPERLINK(URLs!B36 &amp; 25209,25209)</f>
        <v>25209</v>
      </c>
      <c r="D96" t="s">
        <v>1667</v>
      </c>
      <c r="E96" t="s">
        <v>387</v>
      </c>
      <c r="F96" t="s">
        <v>305</v>
      </c>
      <c r="G96" t="s">
        <v>310</v>
      </c>
      <c r="H96" t="s">
        <v>30</v>
      </c>
      <c r="I96" t="s">
        <v>35</v>
      </c>
      <c r="J96" t="s">
        <v>43</v>
      </c>
      <c r="K96" t="s">
        <v>35</v>
      </c>
      <c r="L96" t="s">
        <v>73</v>
      </c>
      <c r="M96" t="s">
        <v>263</v>
      </c>
      <c r="N96" t="s">
        <v>46</v>
      </c>
      <c r="P96" t="s">
        <v>1530</v>
      </c>
      <c r="R96">
        <v>41213.618796296294</v>
      </c>
      <c r="S96">
        <v>42649.830231481479</v>
      </c>
      <c r="T96" t="s">
        <v>1529</v>
      </c>
      <c r="U96" t="s">
        <v>35</v>
      </c>
      <c r="V96" t="s">
        <v>35</v>
      </c>
      <c r="W96" t="s">
        <v>1634</v>
      </c>
    </row>
    <row r="97" spans="2:23" x14ac:dyDescent="0.25">
      <c r="B97" s="19">
        <v>3527</v>
      </c>
      <c r="C97" s="2">
        <f>HYPERLINK(URLs!B36 &amp; 25192,25192)</f>
        <v>25192</v>
      </c>
      <c r="D97" t="s">
        <v>1666</v>
      </c>
      <c r="E97" t="s">
        <v>387</v>
      </c>
      <c r="F97" t="s">
        <v>305</v>
      </c>
      <c r="G97" t="s">
        <v>353</v>
      </c>
      <c r="H97" t="s">
        <v>30</v>
      </c>
      <c r="I97" t="s">
        <v>35</v>
      </c>
      <c r="J97" t="s">
        <v>43</v>
      </c>
      <c r="K97" t="s">
        <v>35</v>
      </c>
      <c r="L97" t="s">
        <v>73</v>
      </c>
      <c r="M97" t="s">
        <v>263</v>
      </c>
      <c r="N97" t="s">
        <v>46</v>
      </c>
      <c r="P97" t="s">
        <v>1530</v>
      </c>
      <c r="R97">
        <v>41213.101793981485</v>
      </c>
      <c r="S97">
        <v>42649.829745370371</v>
      </c>
      <c r="T97" t="s">
        <v>48</v>
      </c>
      <c r="U97" t="s">
        <v>35</v>
      </c>
      <c r="V97" t="s">
        <v>35</v>
      </c>
      <c r="W97" t="s">
        <v>4098</v>
      </c>
    </row>
    <row r="98" spans="2:23" x14ac:dyDescent="0.25">
      <c r="B98" s="19">
        <v>3553</v>
      </c>
      <c r="C98" s="2">
        <f>HYPERLINK(URLs!B36 &amp; 25097,25097)</f>
        <v>25097</v>
      </c>
      <c r="D98" t="s">
        <v>1660</v>
      </c>
      <c r="E98" t="s">
        <v>387</v>
      </c>
      <c r="F98" t="s">
        <v>305</v>
      </c>
      <c r="G98" t="s">
        <v>337</v>
      </c>
      <c r="H98" t="s">
        <v>54</v>
      </c>
      <c r="I98" t="s">
        <v>35</v>
      </c>
      <c r="J98" t="s">
        <v>43</v>
      </c>
      <c r="K98" t="s">
        <v>35</v>
      </c>
      <c r="L98" t="s">
        <v>73</v>
      </c>
      <c r="M98" t="s">
        <v>263</v>
      </c>
      <c r="N98" t="s">
        <v>46</v>
      </c>
      <c r="P98" t="s">
        <v>1530</v>
      </c>
      <c r="R98">
        <v>41208.749236111114</v>
      </c>
      <c r="S98">
        <v>42649.829525462963</v>
      </c>
      <c r="T98" t="s">
        <v>1529</v>
      </c>
      <c r="U98" t="s">
        <v>35</v>
      </c>
      <c r="V98" t="s">
        <v>35</v>
      </c>
      <c r="W98" t="s">
        <v>4113</v>
      </c>
    </row>
    <row r="99" spans="2:23" x14ac:dyDescent="0.25">
      <c r="B99" s="19">
        <v>3553</v>
      </c>
      <c r="C99" s="2">
        <f>HYPERLINK(URLs!B36 &amp; 25096,25096)</f>
        <v>25096</v>
      </c>
      <c r="D99" t="s">
        <v>1659</v>
      </c>
      <c r="E99" t="s">
        <v>387</v>
      </c>
      <c r="F99" t="s">
        <v>305</v>
      </c>
      <c r="G99" t="s">
        <v>310</v>
      </c>
      <c r="H99" t="s">
        <v>54</v>
      </c>
      <c r="I99" t="s">
        <v>35</v>
      </c>
      <c r="J99" t="s">
        <v>43</v>
      </c>
      <c r="K99" t="s">
        <v>35</v>
      </c>
      <c r="L99" t="s">
        <v>73</v>
      </c>
      <c r="M99" t="s">
        <v>263</v>
      </c>
      <c r="N99" t="s">
        <v>46</v>
      </c>
      <c r="P99" t="s">
        <v>1530</v>
      </c>
      <c r="R99">
        <v>41208.749155092592</v>
      </c>
      <c r="S99">
        <v>42649.829502314817</v>
      </c>
      <c r="T99" t="s">
        <v>1529</v>
      </c>
      <c r="U99" t="s">
        <v>35</v>
      </c>
      <c r="V99" t="s">
        <v>35</v>
      </c>
      <c r="W99" t="s">
        <v>1634</v>
      </c>
    </row>
    <row r="100" spans="2:23" x14ac:dyDescent="0.25">
      <c r="B100" s="19">
        <v>3553</v>
      </c>
      <c r="C100" s="2">
        <f>HYPERLINK(URLs!B36 &amp; 25064,25064)</f>
        <v>25064</v>
      </c>
      <c r="D100" t="s">
        <v>1658</v>
      </c>
      <c r="E100" t="s">
        <v>1613</v>
      </c>
      <c r="F100" t="s">
        <v>305</v>
      </c>
      <c r="G100" t="s">
        <v>304</v>
      </c>
      <c r="H100" t="s">
        <v>54</v>
      </c>
      <c r="I100" t="s">
        <v>35</v>
      </c>
      <c r="J100" t="s">
        <v>43</v>
      </c>
      <c r="K100" t="s">
        <v>35</v>
      </c>
      <c r="L100" t="s">
        <v>73</v>
      </c>
      <c r="M100" t="s">
        <v>263</v>
      </c>
      <c r="N100" t="s">
        <v>46</v>
      </c>
      <c r="P100" t="s">
        <v>1530</v>
      </c>
      <c r="R100">
        <v>41208.683634259258</v>
      </c>
      <c r="S100">
        <v>42648.811979166669</v>
      </c>
      <c r="T100" t="s">
        <v>1529</v>
      </c>
      <c r="U100" t="s">
        <v>35</v>
      </c>
      <c r="V100" t="s">
        <v>35</v>
      </c>
      <c r="W100" t="s">
        <v>1634</v>
      </c>
    </row>
    <row r="101" spans="2:23" x14ac:dyDescent="0.25">
      <c r="B101" s="19">
        <v>3553</v>
      </c>
      <c r="C101" s="2">
        <f>HYPERLINK(URLs!B36 &amp; 25060,25060)</f>
        <v>25060</v>
      </c>
      <c r="D101" t="s">
        <v>1657</v>
      </c>
      <c r="E101" t="s">
        <v>387</v>
      </c>
      <c r="F101" t="s">
        <v>305</v>
      </c>
      <c r="G101" t="s">
        <v>337</v>
      </c>
      <c r="H101" t="s">
        <v>54</v>
      </c>
      <c r="I101" t="s">
        <v>35</v>
      </c>
      <c r="J101" t="s">
        <v>43</v>
      </c>
      <c r="K101" t="s">
        <v>35</v>
      </c>
      <c r="L101" t="s">
        <v>73</v>
      </c>
      <c r="M101" t="s">
        <v>263</v>
      </c>
      <c r="N101" t="s">
        <v>46</v>
      </c>
      <c r="P101" t="s">
        <v>1530</v>
      </c>
      <c r="R101">
        <v>41208.67696759259</v>
      </c>
      <c r="S101">
        <v>42649.829710648148</v>
      </c>
      <c r="T101" t="s">
        <v>1529</v>
      </c>
      <c r="U101" t="s">
        <v>35</v>
      </c>
      <c r="V101" t="s">
        <v>35</v>
      </c>
      <c r="W101" t="s">
        <v>1749</v>
      </c>
    </row>
    <row r="102" spans="2:23" x14ac:dyDescent="0.25">
      <c r="B102" s="19">
        <v>3553</v>
      </c>
      <c r="C102" s="2">
        <f>HYPERLINK(URLs!B36 &amp; 21427,21427)</f>
        <v>21427</v>
      </c>
      <c r="D102" t="s">
        <v>1578</v>
      </c>
      <c r="E102" t="s">
        <v>387</v>
      </c>
      <c r="F102" t="s">
        <v>305</v>
      </c>
      <c r="G102" t="s">
        <v>310</v>
      </c>
      <c r="H102" t="s">
        <v>30</v>
      </c>
      <c r="I102" t="s">
        <v>35</v>
      </c>
      <c r="J102" t="s">
        <v>43</v>
      </c>
      <c r="K102" t="s">
        <v>35</v>
      </c>
      <c r="L102" t="s">
        <v>73</v>
      </c>
      <c r="M102" t="s">
        <v>263</v>
      </c>
      <c r="N102" t="s">
        <v>46</v>
      </c>
      <c r="P102" t="s">
        <v>1530</v>
      </c>
      <c r="R102">
        <v>41017.731458333335</v>
      </c>
      <c r="S102">
        <v>42649.82508101852</v>
      </c>
      <c r="T102" t="s">
        <v>1529</v>
      </c>
      <c r="U102" t="s">
        <v>35</v>
      </c>
      <c r="V102" t="s">
        <v>35</v>
      </c>
      <c r="W102" t="s">
        <v>1646</v>
      </c>
    </row>
    <row r="103" spans="2:23" x14ac:dyDescent="0.25">
      <c r="B103" s="19">
        <v>3553</v>
      </c>
      <c r="C103" s="2">
        <f>HYPERLINK(URLs!B36 &amp; 21426,21426)</f>
        <v>21426</v>
      </c>
      <c r="D103" t="s">
        <v>1577</v>
      </c>
      <c r="E103" t="s">
        <v>387</v>
      </c>
      <c r="F103" t="s">
        <v>305</v>
      </c>
      <c r="G103" t="s">
        <v>304</v>
      </c>
      <c r="H103" t="s">
        <v>30</v>
      </c>
      <c r="I103" t="s">
        <v>35</v>
      </c>
      <c r="J103" t="s">
        <v>43</v>
      </c>
      <c r="K103" t="s">
        <v>35</v>
      </c>
      <c r="L103" t="s">
        <v>73</v>
      </c>
      <c r="M103" t="s">
        <v>263</v>
      </c>
      <c r="N103" t="s">
        <v>46</v>
      </c>
      <c r="P103" t="s">
        <v>1530</v>
      </c>
      <c r="R103">
        <v>41017.730590277781</v>
      </c>
      <c r="S103">
        <v>42648.809872685182</v>
      </c>
      <c r="T103" t="s">
        <v>1529</v>
      </c>
      <c r="U103" t="s">
        <v>35</v>
      </c>
      <c r="V103" t="s">
        <v>35</v>
      </c>
      <c r="W103" t="s">
        <v>4108</v>
      </c>
    </row>
    <row r="104" spans="2:23" x14ac:dyDescent="0.25">
      <c r="B104" s="19">
        <v>3553</v>
      </c>
      <c r="C104" s="2">
        <f>HYPERLINK(URLs!B36 &amp; 21420,21420)</f>
        <v>21420</v>
      </c>
      <c r="D104" t="s">
        <v>1576</v>
      </c>
      <c r="E104" t="s">
        <v>387</v>
      </c>
      <c r="F104" t="s">
        <v>305</v>
      </c>
      <c r="G104" t="s">
        <v>304</v>
      </c>
      <c r="H104" t="s">
        <v>54</v>
      </c>
      <c r="I104" t="s">
        <v>35</v>
      </c>
      <c r="J104" t="s">
        <v>43</v>
      </c>
      <c r="K104" t="s">
        <v>35</v>
      </c>
      <c r="L104" t="s">
        <v>73</v>
      </c>
      <c r="M104" t="s">
        <v>263</v>
      </c>
      <c r="N104" t="s">
        <v>46</v>
      </c>
      <c r="P104" t="s">
        <v>1530</v>
      </c>
      <c r="R104">
        <v>41017.68445601852</v>
      </c>
      <c r="S104">
        <v>41815.75037037037</v>
      </c>
      <c r="T104" t="s">
        <v>1521</v>
      </c>
      <c r="U104" t="s">
        <v>35</v>
      </c>
      <c r="V104" t="s">
        <v>35</v>
      </c>
      <c r="W104" t="s">
        <v>4098</v>
      </c>
    </row>
    <row r="105" spans="2:23" x14ac:dyDescent="0.25">
      <c r="B105" s="19">
        <v>3576</v>
      </c>
      <c r="C105" s="2">
        <f>HYPERLINK(URLs!B36 &amp; 25693,25693)</f>
        <v>25693</v>
      </c>
      <c r="D105" t="s">
        <v>1692</v>
      </c>
      <c r="E105" t="s">
        <v>387</v>
      </c>
      <c r="F105" t="s">
        <v>305</v>
      </c>
      <c r="G105" t="s">
        <v>328</v>
      </c>
      <c r="H105" t="s">
        <v>30</v>
      </c>
      <c r="I105" t="s">
        <v>35</v>
      </c>
      <c r="J105" t="s">
        <v>32</v>
      </c>
      <c r="K105" t="s">
        <v>35</v>
      </c>
      <c r="L105" t="s">
        <v>73</v>
      </c>
      <c r="M105" t="s">
        <v>263</v>
      </c>
      <c r="N105" t="s">
        <v>46</v>
      </c>
      <c r="P105" t="s">
        <v>1530</v>
      </c>
      <c r="R105">
        <v>41242.589675925927</v>
      </c>
      <c r="S105">
        <v>42649.830474537041</v>
      </c>
      <c r="T105" t="s">
        <v>1529</v>
      </c>
      <c r="U105" t="s">
        <v>35</v>
      </c>
      <c r="V105" t="s">
        <v>35</v>
      </c>
      <c r="W105" t="s">
        <v>4104</v>
      </c>
    </row>
    <row r="106" spans="2:23" x14ac:dyDescent="0.25">
      <c r="B106" s="19">
        <v>3576</v>
      </c>
      <c r="C106" s="2">
        <f>HYPERLINK(URLs!B36 &amp; 25691,25691)</f>
        <v>25691</v>
      </c>
      <c r="D106" t="s">
        <v>1691</v>
      </c>
      <c r="E106" t="s">
        <v>387</v>
      </c>
      <c r="F106" t="s">
        <v>305</v>
      </c>
      <c r="G106" t="s">
        <v>328</v>
      </c>
      <c r="H106" t="s">
        <v>30</v>
      </c>
      <c r="I106" t="s">
        <v>35</v>
      </c>
      <c r="J106" t="s">
        <v>32</v>
      </c>
      <c r="K106" t="s">
        <v>35</v>
      </c>
      <c r="L106" t="s">
        <v>73</v>
      </c>
      <c r="M106" t="s">
        <v>263</v>
      </c>
      <c r="N106" t="s">
        <v>46</v>
      </c>
      <c r="P106" t="s">
        <v>1530</v>
      </c>
      <c r="R106">
        <v>41242.584513888891</v>
      </c>
      <c r="S106">
        <v>42649.830949074072</v>
      </c>
      <c r="T106" t="s">
        <v>1529</v>
      </c>
      <c r="U106" t="s">
        <v>35</v>
      </c>
      <c r="V106" t="s">
        <v>35</v>
      </c>
      <c r="W106" t="s">
        <v>4102</v>
      </c>
    </row>
    <row r="107" spans="2:23" x14ac:dyDescent="0.25">
      <c r="B107" s="19">
        <v>3576</v>
      </c>
      <c r="C107" s="2">
        <f>HYPERLINK(URLs!B36 &amp; 25690,25690)</f>
        <v>25690</v>
      </c>
      <c r="D107" t="s">
        <v>1690</v>
      </c>
      <c r="E107" t="s">
        <v>387</v>
      </c>
      <c r="F107" t="s">
        <v>305</v>
      </c>
      <c r="G107" t="s">
        <v>310</v>
      </c>
      <c r="H107" t="s">
        <v>30</v>
      </c>
      <c r="I107" t="s">
        <v>35</v>
      </c>
      <c r="J107" t="s">
        <v>32</v>
      </c>
      <c r="K107" t="s">
        <v>35</v>
      </c>
      <c r="L107" t="s">
        <v>73</v>
      </c>
      <c r="M107" t="s">
        <v>263</v>
      </c>
      <c r="N107" t="s">
        <v>46</v>
      </c>
      <c r="P107" t="s">
        <v>1530</v>
      </c>
      <c r="R107">
        <v>41242.584363425929</v>
      </c>
      <c r="S107">
        <v>42649.830740740741</v>
      </c>
      <c r="T107" t="s">
        <v>1529</v>
      </c>
      <c r="U107" t="s">
        <v>35</v>
      </c>
      <c r="V107" t="s">
        <v>35</v>
      </c>
      <c r="W107" t="s">
        <v>4113</v>
      </c>
    </row>
    <row r="108" spans="2:23" x14ac:dyDescent="0.25">
      <c r="B108" s="19">
        <v>3576</v>
      </c>
      <c r="C108" s="2">
        <f>HYPERLINK(URLs!B36 &amp; 25689,25689)</f>
        <v>25689</v>
      </c>
      <c r="D108" t="s">
        <v>1688</v>
      </c>
      <c r="E108" t="s">
        <v>1683</v>
      </c>
      <c r="F108" t="s">
        <v>305</v>
      </c>
      <c r="G108" t="s">
        <v>310</v>
      </c>
      <c r="H108" t="s">
        <v>30</v>
      </c>
      <c r="I108" t="s">
        <v>35</v>
      </c>
      <c r="J108" t="s">
        <v>32</v>
      </c>
      <c r="K108" t="s">
        <v>33</v>
      </c>
      <c r="L108" t="s">
        <v>73</v>
      </c>
      <c r="M108" t="s">
        <v>263</v>
      </c>
      <c r="N108" t="s">
        <v>46</v>
      </c>
      <c r="O108" t="s">
        <v>1689</v>
      </c>
      <c r="P108" t="s">
        <v>1530</v>
      </c>
      <c r="R108">
        <v>41242.583726851852</v>
      </c>
      <c r="S108">
        <v>42649.830555555556</v>
      </c>
      <c r="T108" t="s">
        <v>1529</v>
      </c>
      <c r="U108" t="s">
        <v>35</v>
      </c>
      <c r="V108" t="s">
        <v>35</v>
      </c>
      <c r="W108" t="s">
        <v>3039</v>
      </c>
    </row>
    <row r="109" spans="2:23" x14ac:dyDescent="0.25">
      <c r="B109" s="19">
        <v>3576</v>
      </c>
      <c r="C109" s="2">
        <f>HYPERLINK(URLs!B36 &amp; 25688,25688)</f>
        <v>25688</v>
      </c>
      <c r="D109" t="s">
        <v>1687</v>
      </c>
      <c r="E109" t="s">
        <v>387</v>
      </c>
      <c r="F109" t="s">
        <v>305</v>
      </c>
      <c r="G109" t="s">
        <v>310</v>
      </c>
      <c r="H109" t="s">
        <v>30</v>
      </c>
      <c r="I109" t="s">
        <v>35</v>
      </c>
      <c r="J109" t="s">
        <v>32</v>
      </c>
      <c r="K109" t="s">
        <v>35</v>
      </c>
      <c r="L109" t="s">
        <v>73</v>
      </c>
      <c r="M109" t="s">
        <v>263</v>
      </c>
      <c r="N109" t="s">
        <v>46</v>
      </c>
      <c r="P109" t="s">
        <v>1530</v>
      </c>
      <c r="R109">
        <v>41242.583599537036</v>
      </c>
      <c r="S109">
        <v>42649.830833333333</v>
      </c>
      <c r="T109" t="s">
        <v>1529</v>
      </c>
      <c r="U109" t="s">
        <v>35</v>
      </c>
      <c r="V109" t="s">
        <v>35</v>
      </c>
      <c r="W109" t="s">
        <v>1634</v>
      </c>
    </row>
    <row r="110" spans="2:23" x14ac:dyDescent="0.25">
      <c r="B110" s="19">
        <v>3576</v>
      </c>
      <c r="C110" s="2">
        <f>HYPERLINK(URLs!B36 &amp; 25679,25679)</f>
        <v>25679</v>
      </c>
      <c r="D110" t="s">
        <v>1682</v>
      </c>
      <c r="E110" t="s">
        <v>1683</v>
      </c>
      <c r="F110" t="s">
        <v>305</v>
      </c>
      <c r="G110" t="s">
        <v>328</v>
      </c>
      <c r="H110" t="s">
        <v>30</v>
      </c>
      <c r="I110" t="s">
        <v>35</v>
      </c>
      <c r="J110" t="s">
        <v>32</v>
      </c>
      <c r="K110" t="s">
        <v>35</v>
      </c>
      <c r="L110" t="s">
        <v>73</v>
      </c>
      <c r="M110" t="s">
        <v>263</v>
      </c>
      <c r="N110" t="s">
        <v>46</v>
      </c>
      <c r="P110" t="s">
        <v>1530</v>
      </c>
      <c r="R110">
        <v>41241.983217592591</v>
      </c>
      <c r="S110">
        <v>42649.830868055556</v>
      </c>
      <c r="T110" t="s">
        <v>1683</v>
      </c>
      <c r="U110" t="s">
        <v>35</v>
      </c>
      <c r="V110" t="s">
        <v>35</v>
      </c>
      <c r="W110" t="s">
        <v>4098</v>
      </c>
    </row>
    <row r="111" spans="2:23" x14ac:dyDescent="0.25">
      <c r="B111" s="19">
        <v>3602</v>
      </c>
      <c r="C111" s="2">
        <f>HYPERLINK(URLs!B36 &amp; 25528,25528)</f>
        <v>25528</v>
      </c>
      <c r="D111" t="s">
        <v>1679</v>
      </c>
      <c r="E111" t="s">
        <v>1525</v>
      </c>
      <c r="F111" t="s">
        <v>305</v>
      </c>
      <c r="G111" t="s">
        <v>304</v>
      </c>
      <c r="H111" t="s">
        <v>54</v>
      </c>
      <c r="I111" t="s">
        <v>35</v>
      </c>
      <c r="J111" t="s">
        <v>32</v>
      </c>
      <c r="K111" t="s">
        <v>35</v>
      </c>
      <c r="L111" t="s">
        <v>73</v>
      </c>
      <c r="M111" t="s">
        <v>1514</v>
      </c>
      <c r="N111" t="s">
        <v>46</v>
      </c>
      <c r="O111" t="s">
        <v>1680</v>
      </c>
      <c r="P111" t="s">
        <v>1530</v>
      </c>
      <c r="R111">
        <v>41232.856446759259</v>
      </c>
      <c r="S111">
        <v>42648.812361111108</v>
      </c>
      <c r="T111" t="s">
        <v>1529</v>
      </c>
      <c r="U111" t="s">
        <v>35</v>
      </c>
      <c r="V111" t="s">
        <v>35</v>
      </c>
      <c r="W111" t="s">
        <v>1749</v>
      </c>
    </row>
    <row r="112" spans="2:23" x14ac:dyDescent="0.25">
      <c r="B112" s="19">
        <v>3602</v>
      </c>
      <c r="C112" s="2">
        <f>HYPERLINK(URLs!B36 &amp; 25527,25527)</f>
        <v>25527</v>
      </c>
      <c r="D112" t="s">
        <v>1678</v>
      </c>
      <c r="E112" t="s">
        <v>1533</v>
      </c>
      <c r="F112" t="s">
        <v>305</v>
      </c>
      <c r="G112" t="s">
        <v>304</v>
      </c>
      <c r="H112" t="s">
        <v>54</v>
      </c>
      <c r="I112" t="s">
        <v>35</v>
      </c>
      <c r="J112" t="s">
        <v>32</v>
      </c>
      <c r="K112" t="s">
        <v>35</v>
      </c>
      <c r="L112" t="s">
        <v>73</v>
      </c>
      <c r="M112" t="s">
        <v>1514</v>
      </c>
      <c r="N112" t="s">
        <v>46</v>
      </c>
      <c r="P112" t="s">
        <v>1530</v>
      </c>
      <c r="R112">
        <v>41232.85601851852</v>
      </c>
      <c r="S112">
        <v>42648.81212962963</v>
      </c>
      <c r="T112" t="s">
        <v>1529</v>
      </c>
      <c r="U112" t="s">
        <v>35</v>
      </c>
      <c r="V112" t="s">
        <v>35</v>
      </c>
      <c r="W112" t="s">
        <v>1634</v>
      </c>
    </row>
    <row r="113" spans="2:23" x14ac:dyDescent="0.25">
      <c r="B113" s="19">
        <v>3602</v>
      </c>
      <c r="C113" s="2">
        <f>HYPERLINK(URLs!B36 &amp; 22788,22788)</f>
        <v>22788</v>
      </c>
      <c r="D113" t="s">
        <v>1609</v>
      </c>
      <c r="E113" t="s">
        <v>387</v>
      </c>
      <c r="F113" t="s">
        <v>305</v>
      </c>
      <c r="G113" t="s">
        <v>337</v>
      </c>
      <c r="H113" t="s">
        <v>30</v>
      </c>
      <c r="I113" t="s">
        <v>35</v>
      </c>
      <c r="J113" t="s">
        <v>32</v>
      </c>
      <c r="K113" t="s">
        <v>35</v>
      </c>
      <c r="L113" t="s">
        <v>96</v>
      </c>
      <c r="M113" t="s">
        <v>269</v>
      </c>
      <c r="N113" t="s">
        <v>46</v>
      </c>
      <c r="P113" t="s">
        <v>1530</v>
      </c>
      <c r="R113">
        <v>41094.608634259261</v>
      </c>
      <c r="S113">
        <v>42649.82644675926</v>
      </c>
      <c r="T113" t="s">
        <v>1529</v>
      </c>
      <c r="U113" t="s">
        <v>35</v>
      </c>
      <c r="V113" t="s">
        <v>35</v>
      </c>
      <c r="W113" t="s">
        <v>4105</v>
      </c>
    </row>
    <row r="114" spans="2:23" x14ac:dyDescent="0.25">
      <c r="B114" s="19">
        <v>3602</v>
      </c>
      <c r="C114" s="2">
        <f>HYPERLINK(URLs!B36 &amp; 22787,22787)</f>
        <v>22787</v>
      </c>
      <c r="D114" t="s">
        <v>1608</v>
      </c>
      <c r="E114" t="s">
        <v>387</v>
      </c>
      <c r="F114" t="s">
        <v>305</v>
      </c>
      <c r="G114" t="s">
        <v>337</v>
      </c>
      <c r="H114" t="s">
        <v>30</v>
      </c>
      <c r="I114" t="s">
        <v>35</v>
      </c>
      <c r="J114" t="s">
        <v>32</v>
      </c>
      <c r="K114" t="s">
        <v>35</v>
      </c>
      <c r="L114" t="s">
        <v>96</v>
      </c>
      <c r="M114" t="s">
        <v>269</v>
      </c>
      <c r="N114" t="s">
        <v>46</v>
      </c>
      <c r="P114" t="s">
        <v>1530</v>
      </c>
      <c r="R114">
        <v>41094.607222222221</v>
      </c>
      <c r="S114">
        <v>42649.82640046296</v>
      </c>
      <c r="T114" t="s">
        <v>1529</v>
      </c>
      <c r="U114" t="s">
        <v>35</v>
      </c>
      <c r="V114" t="s">
        <v>35</v>
      </c>
      <c r="W114" t="s">
        <v>4103</v>
      </c>
    </row>
    <row r="115" spans="2:23" x14ac:dyDescent="0.25">
      <c r="B115" s="19">
        <v>3602</v>
      </c>
      <c r="C115" s="2">
        <f>HYPERLINK(URLs!B36 &amp; 22786,22786)</f>
        <v>22786</v>
      </c>
      <c r="D115" t="s">
        <v>1607</v>
      </c>
      <c r="E115" t="s">
        <v>1533</v>
      </c>
      <c r="F115" t="s">
        <v>305</v>
      </c>
      <c r="G115" t="s">
        <v>304</v>
      </c>
      <c r="H115" t="s">
        <v>30</v>
      </c>
      <c r="I115" t="s">
        <v>35</v>
      </c>
      <c r="J115" t="s">
        <v>32</v>
      </c>
      <c r="K115" t="s">
        <v>35</v>
      </c>
      <c r="L115" t="s">
        <v>96</v>
      </c>
      <c r="M115" t="s">
        <v>269</v>
      </c>
      <c r="N115" t="s">
        <v>46</v>
      </c>
      <c r="P115" t="s">
        <v>1530</v>
      </c>
      <c r="R115">
        <v>41094.606145833335</v>
      </c>
      <c r="S115">
        <v>41815.736666666664</v>
      </c>
      <c r="T115" t="s">
        <v>1529</v>
      </c>
      <c r="U115" t="s">
        <v>35</v>
      </c>
      <c r="V115" t="s">
        <v>35</v>
      </c>
      <c r="W115" t="s">
        <v>4108</v>
      </c>
    </row>
    <row r="116" spans="2:23" x14ac:dyDescent="0.25">
      <c r="B116" s="19">
        <v>3602</v>
      </c>
      <c r="C116" s="2">
        <f>HYPERLINK(URLs!B36 &amp; 22785,22785)</f>
        <v>22785</v>
      </c>
      <c r="D116" t="s">
        <v>1606</v>
      </c>
      <c r="E116" t="s">
        <v>1533</v>
      </c>
      <c r="F116" t="s">
        <v>305</v>
      </c>
      <c r="G116" t="s">
        <v>304</v>
      </c>
      <c r="H116" t="s">
        <v>30</v>
      </c>
      <c r="I116" t="s">
        <v>35</v>
      </c>
      <c r="J116" t="s">
        <v>32</v>
      </c>
      <c r="K116" t="s">
        <v>35</v>
      </c>
      <c r="L116" t="s">
        <v>96</v>
      </c>
      <c r="M116" t="s">
        <v>269</v>
      </c>
      <c r="N116" t="s">
        <v>46</v>
      </c>
      <c r="P116" t="s">
        <v>1530</v>
      </c>
      <c r="R116">
        <v>41094.604201388887</v>
      </c>
      <c r="S116">
        <v>41815.736817129633</v>
      </c>
      <c r="T116" t="s">
        <v>1529</v>
      </c>
      <c r="U116" t="s">
        <v>35</v>
      </c>
      <c r="V116" t="s">
        <v>35</v>
      </c>
      <c r="W116" t="s">
        <v>4109</v>
      </c>
    </row>
    <row r="117" spans="2:23" x14ac:dyDescent="0.25">
      <c r="B117" s="19">
        <v>3602</v>
      </c>
      <c r="C117" s="2">
        <f>HYPERLINK(URLs!B36 &amp; 22783,22783)</f>
        <v>22783</v>
      </c>
      <c r="D117" t="s">
        <v>1604</v>
      </c>
      <c r="E117" t="s">
        <v>1533</v>
      </c>
      <c r="F117" t="s">
        <v>305</v>
      </c>
      <c r="G117" t="s">
        <v>304</v>
      </c>
      <c r="H117" t="s">
        <v>54</v>
      </c>
      <c r="I117" t="s">
        <v>35</v>
      </c>
      <c r="J117" t="s">
        <v>32</v>
      </c>
      <c r="K117" t="s">
        <v>35</v>
      </c>
      <c r="L117" t="s">
        <v>73</v>
      </c>
      <c r="M117" t="s">
        <v>1514</v>
      </c>
      <c r="N117" t="s">
        <v>46</v>
      </c>
      <c r="P117" t="s">
        <v>1530</v>
      </c>
      <c r="R117">
        <v>41094.336458333331</v>
      </c>
      <c r="S117">
        <v>41705.871944444443</v>
      </c>
      <c r="T117" t="s">
        <v>1605</v>
      </c>
      <c r="U117" t="s">
        <v>35</v>
      </c>
      <c r="V117" t="s">
        <v>35</v>
      </c>
      <c r="W117" t="s">
        <v>4098</v>
      </c>
    </row>
    <row r="118" spans="2:23" x14ac:dyDescent="0.25">
      <c r="B118" s="19">
        <v>3621</v>
      </c>
      <c r="C118" s="2">
        <f>HYPERLINK(URLs!B36 &amp; 25965,25965)</f>
        <v>25965</v>
      </c>
      <c r="D118" t="s">
        <v>1698</v>
      </c>
      <c r="E118" t="s">
        <v>387</v>
      </c>
      <c r="F118" t="s">
        <v>305</v>
      </c>
      <c r="G118" t="s">
        <v>304</v>
      </c>
      <c r="H118" t="s">
        <v>30</v>
      </c>
      <c r="I118" t="s">
        <v>35</v>
      </c>
      <c r="J118" t="s">
        <v>43</v>
      </c>
      <c r="K118" t="s">
        <v>51</v>
      </c>
      <c r="L118" t="s">
        <v>96</v>
      </c>
      <c r="M118" t="s">
        <v>269</v>
      </c>
      <c r="N118" t="s">
        <v>46</v>
      </c>
      <c r="P118" t="s">
        <v>1530</v>
      </c>
      <c r="R118">
        <v>41254.836446759262</v>
      </c>
      <c r="S118">
        <v>42648.813217592593</v>
      </c>
      <c r="T118" t="s">
        <v>1529</v>
      </c>
      <c r="U118" t="s">
        <v>35</v>
      </c>
      <c r="V118" t="s">
        <v>35</v>
      </c>
      <c r="W118" t="s">
        <v>4108</v>
      </c>
    </row>
    <row r="119" spans="2:23" x14ac:dyDescent="0.25">
      <c r="B119" s="19">
        <v>3621</v>
      </c>
      <c r="C119" s="2">
        <f>HYPERLINK(URLs!B36 &amp; 25964,25964)</f>
        <v>25964</v>
      </c>
      <c r="D119" t="s">
        <v>1697</v>
      </c>
      <c r="E119" t="s">
        <v>387</v>
      </c>
      <c r="F119" t="s">
        <v>305</v>
      </c>
      <c r="G119" t="s">
        <v>310</v>
      </c>
      <c r="H119" t="s">
        <v>30</v>
      </c>
      <c r="I119" t="s">
        <v>35</v>
      </c>
      <c r="J119" t="s">
        <v>43</v>
      </c>
      <c r="K119" t="s">
        <v>35</v>
      </c>
      <c r="L119" t="s">
        <v>96</v>
      </c>
      <c r="M119" t="s">
        <v>269</v>
      </c>
      <c r="N119" t="s">
        <v>46</v>
      </c>
      <c r="P119" t="s">
        <v>1530</v>
      </c>
      <c r="R119">
        <v>41254.836261574077</v>
      </c>
      <c r="S119">
        <v>42649.830891203703</v>
      </c>
      <c r="T119" t="s">
        <v>1529</v>
      </c>
      <c r="U119" t="s">
        <v>35</v>
      </c>
      <c r="V119" t="s">
        <v>35</v>
      </c>
      <c r="W119" t="s">
        <v>4113</v>
      </c>
    </row>
    <row r="120" spans="2:23" x14ac:dyDescent="0.25">
      <c r="B120" s="19">
        <v>3621</v>
      </c>
      <c r="C120" s="2">
        <f>HYPERLINK(URLs!B36 &amp; 25963,25963)</f>
        <v>25963</v>
      </c>
      <c r="D120" t="s">
        <v>1696</v>
      </c>
      <c r="E120" t="s">
        <v>387</v>
      </c>
      <c r="F120" t="s">
        <v>305</v>
      </c>
      <c r="G120" t="s">
        <v>310</v>
      </c>
      <c r="H120" t="s">
        <v>30</v>
      </c>
      <c r="I120" t="s">
        <v>35</v>
      </c>
      <c r="J120" t="s">
        <v>43</v>
      </c>
      <c r="K120" t="s">
        <v>33</v>
      </c>
      <c r="L120" t="s">
        <v>96</v>
      </c>
      <c r="M120" t="s">
        <v>269</v>
      </c>
      <c r="N120" t="s">
        <v>46</v>
      </c>
      <c r="P120" t="s">
        <v>1530</v>
      </c>
      <c r="R120">
        <v>41254.836145833331</v>
      </c>
      <c r="S120">
        <v>42649.830995370372</v>
      </c>
      <c r="T120" t="s">
        <v>1529</v>
      </c>
      <c r="U120" t="s">
        <v>35</v>
      </c>
      <c r="V120" t="s">
        <v>35</v>
      </c>
      <c r="W120" t="s">
        <v>1749</v>
      </c>
    </row>
    <row r="121" spans="2:23" x14ac:dyDescent="0.25">
      <c r="B121" s="19">
        <v>3621</v>
      </c>
      <c r="C121" s="2">
        <f>HYPERLINK(URLs!B36 &amp; 25962,25962)</f>
        <v>25962</v>
      </c>
      <c r="D121" t="s">
        <v>1695</v>
      </c>
      <c r="E121" t="s">
        <v>387</v>
      </c>
      <c r="F121" t="s">
        <v>305</v>
      </c>
      <c r="G121" t="s">
        <v>310</v>
      </c>
      <c r="H121" t="s">
        <v>30</v>
      </c>
      <c r="I121" t="s">
        <v>35</v>
      </c>
      <c r="J121" t="s">
        <v>43</v>
      </c>
      <c r="K121" t="s">
        <v>35</v>
      </c>
      <c r="L121" t="s">
        <v>96</v>
      </c>
      <c r="M121" t="s">
        <v>269</v>
      </c>
      <c r="N121" t="s">
        <v>46</v>
      </c>
      <c r="P121" t="s">
        <v>1530</v>
      </c>
      <c r="R121">
        <v>41254.835960648146</v>
      </c>
      <c r="S121">
        <v>42649.831087962964</v>
      </c>
      <c r="T121" t="s">
        <v>1529</v>
      </c>
      <c r="U121" t="s">
        <v>35</v>
      </c>
      <c r="V121" t="s">
        <v>35</v>
      </c>
      <c r="W121" t="s">
        <v>1634</v>
      </c>
    </row>
    <row r="122" spans="2:23" x14ac:dyDescent="0.25">
      <c r="B122" s="19">
        <v>3621</v>
      </c>
      <c r="C122" s="2">
        <f>HYPERLINK(URLs!B36 &amp; 25959,25959)</f>
        <v>25959</v>
      </c>
      <c r="D122" t="s">
        <v>1694</v>
      </c>
      <c r="E122" t="s">
        <v>387</v>
      </c>
      <c r="F122" t="s">
        <v>305</v>
      </c>
      <c r="G122" t="s">
        <v>304</v>
      </c>
      <c r="H122" t="s">
        <v>30</v>
      </c>
      <c r="I122" t="s">
        <v>35</v>
      </c>
      <c r="J122" t="s">
        <v>43</v>
      </c>
      <c r="K122" t="s">
        <v>35</v>
      </c>
      <c r="L122" t="s">
        <v>96</v>
      </c>
      <c r="M122" t="s">
        <v>269</v>
      </c>
      <c r="N122" t="s">
        <v>46</v>
      </c>
      <c r="P122" t="s">
        <v>1530</v>
      </c>
      <c r="R122">
        <v>41254.793761574074</v>
      </c>
      <c r="S122">
        <v>41815.74695601852</v>
      </c>
      <c r="T122" t="s">
        <v>1517</v>
      </c>
      <c r="U122" t="s">
        <v>35</v>
      </c>
      <c r="V122" t="s">
        <v>35</v>
      </c>
      <c r="W122" t="s">
        <v>4098</v>
      </c>
    </row>
    <row r="123" spans="2:23" x14ac:dyDescent="0.25">
      <c r="B123" s="19">
        <v>3624</v>
      </c>
      <c r="C123" s="2">
        <f>HYPERLINK(URLs!B36 &amp; 26060,26060)</f>
        <v>26060</v>
      </c>
      <c r="D123" t="s">
        <v>1705</v>
      </c>
      <c r="E123" t="s">
        <v>387</v>
      </c>
      <c r="F123" t="s">
        <v>305</v>
      </c>
      <c r="G123" t="s">
        <v>310</v>
      </c>
      <c r="H123" t="s">
        <v>30</v>
      </c>
      <c r="I123" t="s">
        <v>35</v>
      </c>
      <c r="J123" t="s">
        <v>43</v>
      </c>
      <c r="K123" t="s">
        <v>35</v>
      </c>
      <c r="L123" t="s">
        <v>73</v>
      </c>
      <c r="M123" t="s">
        <v>1514</v>
      </c>
      <c r="N123" t="s">
        <v>46</v>
      </c>
      <c r="P123" t="s">
        <v>1530</v>
      </c>
      <c r="R123">
        <v>41257.769062500003</v>
      </c>
      <c r="S123">
        <v>42649.83116898148</v>
      </c>
      <c r="T123" t="s">
        <v>70</v>
      </c>
      <c r="U123" t="s">
        <v>35</v>
      </c>
      <c r="V123" t="s">
        <v>35</v>
      </c>
      <c r="W123" t="s">
        <v>4104</v>
      </c>
    </row>
    <row r="124" spans="2:23" x14ac:dyDescent="0.25">
      <c r="B124" s="19">
        <v>3624</v>
      </c>
      <c r="C124" s="2">
        <f>HYPERLINK(URLs!B36 &amp; 26059,26059)</f>
        <v>26059</v>
      </c>
      <c r="D124" t="s">
        <v>1704</v>
      </c>
      <c r="E124" t="s">
        <v>387</v>
      </c>
      <c r="F124" t="s">
        <v>305</v>
      </c>
      <c r="G124" t="s">
        <v>310</v>
      </c>
      <c r="H124" t="s">
        <v>30</v>
      </c>
      <c r="I124" t="s">
        <v>35</v>
      </c>
      <c r="J124" t="s">
        <v>43</v>
      </c>
      <c r="K124" t="s">
        <v>35</v>
      </c>
      <c r="L124" t="s">
        <v>73</v>
      </c>
      <c r="M124" t="s">
        <v>1514</v>
      </c>
      <c r="N124" t="s">
        <v>46</v>
      </c>
      <c r="P124" t="s">
        <v>1530</v>
      </c>
      <c r="R124">
        <v>41257.768958333334</v>
      </c>
      <c r="S124">
        <v>42649.830763888887</v>
      </c>
      <c r="T124" t="s">
        <v>70</v>
      </c>
      <c r="U124" t="s">
        <v>35</v>
      </c>
      <c r="V124" t="s">
        <v>35</v>
      </c>
      <c r="W124" t="s">
        <v>4113</v>
      </c>
    </row>
    <row r="125" spans="2:23" x14ac:dyDescent="0.25">
      <c r="B125" s="19">
        <v>3624</v>
      </c>
      <c r="C125" s="2">
        <f>HYPERLINK(URLs!B36 &amp; 26058,26058)</f>
        <v>26058</v>
      </c>
      <c r="D125" t="s">
        <v>1703</v>
      </c>
      <c r="E125" t="s">
        <v>387</v>
      </c>
      <c r="F125" t="s">
        <v>305</v>
      </c>
      <c r="G125" t="s">
        <v>310</v>
      </c>
      <c r="H125" t="s">
        <v>30</v>
      </c>
      <c r="I125" t="s">
        <v>35</v>
      </c>
      <c r="J125" t="s">
        <v>43</v>
      </c>
      <c r="K125" t="s">
        <v>35</v>
      </c>
      <c r="L125" t="s">
        <v>73</v>
      </c>
      <c r="M125" t="s">
        <v>1514</v>
      </c>
      <c r="N125" t="s">
        <v>46</v>
      </c>
      <c r="P125" t="s">
        <v>1530</v>
      </c>
      <c r="R125">
        <v>41257.768842592595</v>
      </c>
      <c r="S125">
        <v>42649.831377314818</v>
      </c>
      <c r="T125" t="s">
        <v>70</v>
      </c>
      <c r="U125" t="s">
        <v>35</v>
      </c>
      <c r="V125" t="s">
        <v>35</v>
      </c>
      <c r="W125" t="s">
        <v>3039</v>
      </c>
    </row>
    <row r="126" spans="2:23" x14ac:dyDescent="0.25">
      <c r="B126" s="19">
        <v>3624</v>
      </c>
      <c r="C126" s="2">
        <f>HYPERLINK(URLs!B36 &amp; 26057,26057)</f>
        <v>26057</v>
      </c>
      <c r="D126" t="s">
        <v>1702</v>
      </c>
      <c r="E126" t="s">
        <v>387</v>
      </c>
      <c r="F126" t="s">
        <v>305</v>
      </c>
      <c r="G126" t="s">
        <v>310</v>
      </c>
      <c r="H126" t="s">
        <v>30</v>
      </c>
      <c r="I126" t="s">
        <v>35</v>
      </c>
      <c r="J126" t="s">
        <v>43</v>
      </c>
      <c r="K126" t="s">
        <v>35</v>
      </c>
      <c r="L126" t="s">
        <v>73</v>
      </c>
      <c r="M126" t="s">
        <v>1514</v>
      </c>
      <c r="N126" t="s">
        <v>46</v>
      </c>
      <c r="P126" t="s">
        <v>1530</v>
      </c>
      <c r="R126">
        <v>41257.768773148149</v>
      </c>
      <c r="S126">
        <v>42649.831273148149</v>
      </c>
      <c r="T126" t="s">
        <v>70</v>
      </c>
      <c r="U126" t="s">
        <v>35</v>
      </c>
      <c r="V126" t="s">
        <v>35</v>
      </c>
      <c r="W126" t="s">
        <v>1634</v>
      </c>
    </row>
    <row r="127" spans="2:23" x14ac:dyDescent="0.25">
      <c r="B127" s="19">
        <v>3624</v>
      </c>
      <c r="C127" s="2">
        <f>HYPERLINK(URLs!B36 &amp; 26056,26056)</f>
        <v>26056</v>
      </c>
      <c r="D127" t="s">
        <v>1699</v>
      </c>
      <c r="E127" t="s">
        <v>1700</v>
      </c>
      <c r="F127" t="s">
        <v>305</v>
      </c>
      <c r="G127" t="s">
        <v>1701</v>
      </c>
      <c r="H127" t="s">
        <v>30</v>
      </c>
      <c r="I127" t="s">
        <v>35</v>
      </c>
      <c r="J127" t="s">
        <v>43</v>
      </c>
      <c r="K127" t="s">
        <v>35</v>
      </c>
      <c r="L127" t="s">
        <v>73</v>
      </c>
      <c r="M127" t="s">
        <v>1514</v>
      </c>
      <c r="N127" t="s">
        <v>46</v>
      </c>
      <c r="P127" t="s">
        <v>1530</v>
      </c>
      <c r="R127">
        <v>41257.754016203704</v>
      </c>
      <c r="S127">
        <v>42649.830821759257</v>
      </c>
      <c r="T127" t="s">
        <v>1700</v>
      </c>
      <c r="U127" t="s">
        <v>35</v>
      </c>
      <c r="V127" t="s">
        <v>35</v>
      </c>
      <c r="W127" t="s">
        <v>4098</v>
      </c>
    </row>
    <row r="128" spans="2:23" x14ac:dyDescent="0.25">
      <c r="B128" s="19">
        <v>3624</v>
      </c>
      <c r="C128" s="2">
        <f>HYPERLINK(URLs!B36 &amp; 25102,25102)</f>
        <v>25102</v>
      </c>
      <c r="D128" t="s">
        <v>1661</v>
      </c>
      <c r="E128" t="s">
        <v>1525</v>
      </c>
      <c r="F128" t="s">
        <v>305</v>
      </c>
      <c r="G128" t="s">
        <v>304</v>
      </c>
      <c r="H128" t="s">
        <v>30</v>
      </c>
      <c r="I128" t="s">
        <v>35</v>
      </c>
      <c r="J128" t="s">
        <v>43</v>
      </c>
      <c r="K128" t="s">
        <v>35</v>
      </c>
      <c r="L128" t="s">
        <v>73</v>
      </c>
      <c r="M128" t="s">
        <v>1514</v>
      </c>
      <c r="N128" t="s">
        <v>46</v>
      </c>
      <c r="O128" t="s">
        <v>1662</v>
      </c>
      <c r="P128" t="s">
        <v>1530</v>
      </c>
      <c r="R128">
        <v>41208.767094907409</v>
      </c>
      <c r="S128">
        <v>41716.582638888889</v>
      </c>
      <c r="T128" t="s">
        <v>1529</v>
      </c>
      <c r="U128" t="s">
        <v>35</v>
      </c>
      <c r="V128" t="s">
        <v>35</v>
      </c>
      <c r="W128" t="s">
        <v>1749</v>
      </c>
    </row>
    <row r="129" spans="2:23" x14ac:dyDescent="0.25">
      <c r="B129" s="19">
        <v>3624</v>
      </c>
      <c r="C129" s="2">
        <f>HYPERLINK(URLs!B36 &amp; 24655,24655)</f>
        <v>24655</v>
      </c>
      <c r="D129" t="s">
        <v>1637</v>
      </c>
      <c r="E129" t="s">
        <v>1533</v>
      </c>
      <c r="F129" t="s">
        <v>305</v>
      </c>
      <c r="G129" t="s">
        <v>304</v>
      </c>
      <c r="H129" t="s">
        <v>30</v>
      </c>
      <c r="I129" t="s">
        <v>35</v>
      </c>
      <c r="J129" t="s">
        <v>43</v>
      </c>
      <c r="K129" t="s">
        <v>35</v>
      </c>
      <c r="L129" t="s">
        <v>73</v>
      </c>
      <c r="M129" t="s">
        <v>1514</v>
      </c>
      <c r="N129" t="s">
        <v>46</v>
      </c>
      <c r="P129" t="s">
        <v>1530</v>
      </c>
      <c r="R129">
        <v>41189.855138888888</v>
      </c>
      <c r="S129">
        <v>42648.811701388891</v>
      </c>
      <c r="T129" t="s">
        <v>1529</v>
      </c>
      <c r="U129" t="s">
        <v>35</v>
      </c>
      <c r="V129" t="s">
        <v>35</v>
      </c>
      <c r="W129" t="s">
        <v>4108</v>
      </c>
    </row>
    <row r="130" spans="2:23" x14ac:dyDescent="0.25">
      <c r="B130" s="19">
        <v>3624</v>
      </c>
      <c r="C130" s="2">
        <f>HYPERLINK(URLs!B36 &amp; 24654,24654)</f>
        <v>24654</v>
      </c>
      <c r="D130" t="s">
        <v>1636</v>
      </c>
      <c r="E130" t="s">
        <v>1533</v>
      </c>
      <c r="F130" t="s">
        <v>305</v>
      </c>
      <c r="G130" t="s">
        <v>304</v>
      </c>
      <c r="H130" t="s">
        <v>30</v>
      </c>
      <c r="I130" t="s">
        <v>35</v>
      </c>
      <c r="J130" t="s">
        <v>43</v>
      </c>
      <c r="K130" t="s">
        <v>35</v>
      </c>
      <c r="L130" t="s">
        <v>73</v>
      </c>
      <c r="M130" t="s">
        <v>1514</v>
      </c>
      <c r="N130" t="s">
        <v>46</v>
      </c>
      <c r="P130" t="s">
        <v>1530</v>
      </c>
      <c r="R130">
        <v>41189.855057870373</v>
      </c>
      <c r="S130">
        <v>42648.811909722222</v>
      </c>
      <c r="T130" t="s">
        <v>1529</v>
      </c>
      <c r="U130" t="s">
        <v>35</v>
      </c>
      <c r="V130" t="s">
        <v>35</v>
      </c>
      <c r="W130" t="s">
        <v>4109</v>
      </c>
    </row>
    <row r="131" spans="2:23" x14ac:dyDescent="0.25">
      <c r="B131" s="19">
        <v>3624</v>
      </c>
      <c r="C131" s="2">
        <f>HYPERLINK(URLs!B36 &amp; 24653,24653)</f>
        <v>24653</v>
      </c>
      <c r="D131" t="s">
        <v>1635</v>
      </c>
      <c r="E131" t="s">
        <v>1533</v>
      </c>
      <c r="F131" t="s">
        <v>305</v>
      </c>
      <c r="G131" t="s">
        <v>304</v>
      </c>
      <c r="H131" t="s">
        <v>30</v>
      </c>
      <c r="I131" t="s">
        <v>35</v>
      </c>
      <c r="J131" t="s">
        <v>43</v>
      </c>
      <c r="K131" t="s">
        <v>51</v>
      </c>
      <c r="L131" t="s">
        <v>73</v>
      </c>
      <c r="M131" t="s">
        <v>1514</v>
      </c>
      <c r="N131" t="s">
        <v>46</v>
      </c>
      <c r="P131" t="s">
        <v>1530</v>
      </c>
      <c r="R131">
        <v>41189.854988425926</v>
      </c>
      <c r="S131">
        <v>41955.858275462961</v>
      </c>
      <c r="T131" t="s">
        <v>1529</v>
      </c>
      <c r="U131" t="s">
        <v>35</v>
      </c>
      <c r="V131" t="s">
        <v>35</v>
      </c>
      <c r="W131" t="s">
        <v>1634</v>
      </c>
    </row>
    <row r="132" spans="2:23" x14ac:dyDescent="0.25">
      <c r="B132" s="19">
        <v>3624</v>
      </c>
      <c r="C132" s="2">
        <f>HYPERLINK(URLs!B36 &amp; 24651,24651)</f>
        <v>24651</v>
      </c>
      <c r="D132" t="s">
        <v>1632</v>
      </c>
      <c r="E132" t="s">
        <v>1633</v>
      </c>
      <c r="F132" t="s">
        <v>305</v>
      </c>
      <c r="G132" t="s">
        <v>304</v>
      </c>
      <c r="H132" t="s">
        <v>30</v>
      </c>
      <c r="I132" t="s">
        <v>35</v>
      </c>
      <c r="J132" t="s">
        <v>43</v>
      </c>
      <c r="K132" t="s">
        <v>35</v>
      </c>
      <c r="L132" t="s">
        <v>73</v>
      </c>
      <c r="M132" t="s">
        <v>1514</v>
      </c>
      <c r="N132" t="s">
        <v>46</v>
      </c>
      <c r="P132" t="s">
        <v>1634</v>
      </c>
      <c r="R132">
        <v>41189.643692129626</v>
      </c>
      <c r="S132">
        <v>42648.811863425923</v>
      </c>
      <c r="T132" t="s">
        <v>1521</v>
      </c>
      <c r="U132" t="s">
        <v>35</v>
      </c>
      <c r="V132" t="s">
        <v>35</v>
      </c>
      <c r="W132" t="s">
        <v>4098</v>
      </c>
    </row>
    <row r="133" spans="2:23" x14ac:dyDescent="0.25">
      <c r="B133" s="19">
        <v>3636</v>
      </c>
      <c r="C133" s="2">
        <f>HYPERLINK(URLs!B36 &amp; 26207,26207)</f>
        <v>26207</v>
      </c>
      <c r="D133" t="s">
        <v>1713</v>
      </c>
      <c r="E133" t="s">
        <v>387</v>
      </c>
      <c r="F133" t="s">
        <v>305</v>
      </c>
      <c r="G133" t="s">
        <v>337</v>
      </c>
      <c r="H133" t="s">
        <v>30</v>
      </c>
      <c r="I133" t="s">
        <v>35</v>
      </c>
      <c r="J133" t="s">
        <v>43</v>
      </c>
      <c r="K133" t="s">
        <v>44</v>
      </c>
      <c r="L133" t="s">
        <v>96</v>
      </c>
      <c r="M133" t="s">
        <v>269</v>
      </c>
      <c r="N133" t="s">
        <v>46</v>
      </c>
      <c r="P133" t="s">
        <v>1530</v>
      </c>
      <c r="R133">
        <v>41265.006458333337</v>
      </c>
      <c r="S133">
        <v>42649.831006944441</v>
      </c>
      <c r="T133" t="s">
        <v>1529</v>
      </c>
      <c r="U133" t="s">
        <v>35</v>
      </c>
      <c r="V133" t="s">
        <v>35</v>
      </c>
      <c r="W133" t="s">
        <v>4104</v>
      </c>
    </row>
    <row r="134" spans="2:23" x14ac:dyDescent="0.25">
      <c r="B134" s="19">
        <v>3636</v>
      </c>
      <c r="C134" s="2">
        <f>HYPERLINK(URLs!B36 &amp; 26206,26206)</f>
        <v>26206</v>
      </c>
      <c r="D134" t="s">
        <v>1712</v>
      </c>
      <c r="E134" t="s">
        <v>387</v>
      </c>
      <c r="F134" t="s">
        <v>305</v>
      </c>
      <c r="G134" t="s">
        <v>310</v>
      </c>
      <c r="H134" t="s">
        <v>30</v>
      </c>
      <c r="I134" t="s">
        <v>35</v>
      </c>
      <c r="J134" t="s">
        <v>43</v>
      </c>
      <c r="K134" t="s">
        <v>44</v>
      </c>
      <c r="L134" t="s">
        <v>96</v>
      </c>
      <c r="M134" t="s">
        <v>269</v>
      </c>
      <c r="N134" t="s">
        <v>46</v>
      </c>
      <c r="P134" t="s">
        <v>1530</v>
      </c>
      <c r="R134">
        <v>41265.006331018521</v>
      </c>
      <c r="S134">
        <v>42649.831747685188</v>
      </c>
      <c r="T134" t="s">
        <v>1529</v>
      </c>
      <c r="U134" t="s">
        <v>35</v>
      </c>
      <c r="V134" t="s">
        <v>35</v>
      </c>
      <c r="W134" t="s">
        <v>4113</v>
      </c>
    </row>
    <row r="135" spans="2:23" x14ac:dyDescent="0.25">
      <c r="B135" s="19">
        <v>3636</v>
      </c>
      <c r="C135" s="2">
        <f>HYPERLINK(URLs!B36 &amp; 26205,26205)</f>
        <v>26205</v>
      </c>
      <c r="D135" t="s">
        <v>1711</v>
      </c>
      <c r="E135" t="s">
        <v>1544</v>
      </c>
      <c r="F135" t="s">
        <v>305</v>
      </c>
      <c r="G135" t="s">
        <v>310</v>
      </c>
      <c r="H135" t="s">
        <v>30</v>
      </c>
      <c r="I135" t="s">
        <v>35</v>
      </c>
      <c r="J135" t="s">
        <v>43</v>
      </c>
      <c r="K135" t="s">
        <v>44</v>
      </c>
      <c r="L135" t="s">
        <v>96</v>
      </c>
      <c r="M135" t="s">
        <v>269</v>
      </c>
      <c r="N135" t="s">
        <v>46</v>
      </c>
      <c r="P135" t="s">
        <v>1530</v>
      </c>
      <c r="R135">
        <v>41265.006122685183</v>
      </c>
      <c r="S135">
        <v>42649.831377314818</v>
      </c>
      <c r="T135" t="s">
        <v>1529</v>
      </c>
      <c r="U135" t="s">
        <v>35</v>
      </c>
      <c r="V135" t="s">
        <v>35</v>
      </c>
      <c r="W135" t="s">
        <v>3039</v>
      </c>
    </row>
    <row r="136" spans="2:23" x14ac:dyDescent="0.25">
      <c r="B136" s="19">
        <v>3636</v>
      </c>
      <c r="C136" s="2">
        <f>HYPERLINK(URLs!B36 &amp; 26204,26204)</f>
        <v>26204</v>
      </c>
      <c r="D136" t="s">
        <v>1709</v>
      </c>
      <c r="E136" t="s">
        <v>387</v>
      </c>
      <c r="F136" t="s">
        <v>305</v>
      </c>
      <c r="G136" t="s">
        <v>310</v>
      </c>
      <c r="H136" t="s">
        <v>30</v>
      </c>
      <c r="I136" t="s">
        <v>35</v>
      </c>
      <c r="J136" t="s">
        <v>43</v>
      </c>
      <c r="K136" t="s">
        <v>44</v>
      </c>
      <c r="L136" t="s">
        <v>96</v>
      </c>
      <c r="M136" t="s">
        <v>269</v>
      </c>
      <c r="N136" t="s">
        <v>46</v>
      </c>
      <c r="O136" t="s">
        <v>1710</v>
      </c>
      <c r="P136" t="s">
        <v>1530</v>
      </c>
      <c r="R136">
        <v>41265.005983796298</v>
      </c>
      <c r="S136">
        <v>42649.831574074073</v>
      </c>
      <c r="T136" t="s">
        <v>1529</v>
      </c>
      <c r="U136" t="s">
        <v>35</v>
      </c>
      <c r="V136" t="s">
        <v>35</v>
      </c>
      <c r="W136" t="s">
        <v>1634</v>
      </c>
    </row>
    <row r="137" spans="2:23" x14ac:dyDescent="0.25">
      <c r="B137" s="19">
        <v>3636</v>
      </c>
      <c r="C137" s="2">
        <f>HYPERLINK(URLs!B36 &amp; 26201,26201)</f>
        <v>26201</v>
      </c>
      <c r="D137" t="s">
        <v>1707</v>
      </c>
      <c r="E137" t="s">
        <v>387</v>
      </c>
      <c r="F137" t="s">
        <v>305</v>
      </c>
      <c r="G137" t="s">
        <v>337</v>
      </c>
      <c r="H137" t="s">
        <v>30</v>
      </c>
      <c r="I137" t="s">
        <v>35</v>
      </c>
      <c r="J137" t="s">
        <v>43</v>
      </c>
      <c r="K137" t="s">
        <v>44</v>
      </c>
      <c r="L137" t="s">
        <v>96</v>
      </c>
      <c r="M137" t="s">
        <v>269</v>
      </c>
      <c r="N137" t="s">
        <v>46</v>
      </c>
      <c r="O137" t="s">
        <v>1708</v>
      </c>
      <c r="P137" t="s">
        <v>1530</v>
      </c>
      <c r="R137">
        <v>41264.837175925924</v>
      </c>
      <c r="S137">
        <v>42649.831469907411</v>
      </c>
      <c r="T137" t="s">
        <v>1544</v>
      </c>
      <c r="U137" t="s">
        <v>35</v>
      </c>
      <c r="V137" t="s">
        <v>35</v>
      </c>
      <c r="W137" t="s">
        <v>4098</v>
      </c>
    </row>
    <row r="138" spans="2:23" x14ac:dyDescent="0.25">
      <c r="B138" s="19">
        <v>3649</v>
      </c>
      <c r="C138" s="2">
        <f>HYPERLINK(URLs!B36 &amp; 26299,26299)</f>
        <v>26299</v>
      </c>
      <c r="D138" t="s">
        <v>1724</v>
      </c>
      <c r="E138" t="s">
        <v>1675</v>
      </c>
      <c r="F138" t="s">
        <v>305</v>
      </c>
      <c r="G138" t="s">
        <v>304</v>
      </c>
      <c r="H138" t="s">
        <v>30</v>
      </c>
      <c r="I138" t="s">
        <v>35</v>
      </c>
      <c r="J138" t="s">
        <v>43</v>
      </c>
      <c r="K138" t="s">
        <v>35</v>
      </c>
      <c r="L138" t="s">
        <v>73</v>
      </c>
      <c r="M138" t="s">
        <v>263</v>
      </c>
      <c r="N138" t="s">
        <v>46</v>
      </c>
      <c r="P138" t="s">
        <v>1522</v>
      </c>
      <c r="R138">
        <v>41277.591956018521</v>
      </c>
      <c r="S138">
        <v>42648.813125000001</v>
      </c>
      <c r="T138" t="s">
        <v>1529</v>
      </c>
      <c r="U138" t="s">
        <v>35</v>
      </c>
      <c r="V138" t="s">
        <v>35</v>
      </c>
      <c r="W138" t="s">
        <v>4117</v>
      </c>
    </row>
    <row r="139" spans="2:23" x14ac:dyDescent="0.25">
      <c r="B139" s="19">
        <v>3649</v>
      </c>
      <c r="C139" s="2">
        <f>HYPERLINK(URLs!B36 &amp; 26298,26298)</f>
        <v>26298</v>
      </c>
      <c r="D139" t="s">
        <v>1723</v>
      </c>
      <c r="E139" t="s">
        <v>387</v>
      </c>
      <c r="F139" t="s">
        <v>305</v>
      </c>
      <c r="G139" t="s">
        <v>337</v>
      </c>
      <c r="H139" t="s">
        <v>30</v>
      </c>
      <c r="I139" t="s">
        <v>35</v>
      </c>
      <c r="J139" t="s">
        <v>43</v>
      </c>
      <c r="K139" t="s">
        <v>35</v>
      </c>
      <c r="L139" t="s">
        <v>73</v>
      </c>
      <c r="M139" t="s">
        <v>263</v>
      </c>
      <c r="N139" t="s">
        <v>46</v>
      </c>
      <c r="P139" t="s">
        <v>1522</v>
      </c>
      <c r="R139">
        <v>41277.591770833336</v>
      </c>
      <c r="S139">
        <v>42649.831203703703</v>
      </c>
      <c r="T139" t="s">
        <v>1529</v>
      </c>
      <c r="U139" t="s">
        <v>35</v>
      </c>
      <c r="V139" t="s">
        <v>35</v>
      </c>
      <c r="W139" t="s">
        <v>4103</v>
      </c>
    </row>
    <row r="140" spans="2:23" x14ac:dyDescent="0.25">
      <c r="B140" s="19">
        <v>3649</v>
      </c>
      <c r="C140" s="2">
        <f>HYPERLINK(URLs!B36 &amp; 26297,26297)</f>
        <v>26297</v>
      </c>
      <c r="D140" t="s">
        <v>1722</v>
      </c>
      <c r="E140" t="s">
        <v>387</v>
      </c>
      <c r="F140" t="s">
        <v>305</v>
      </c>
      <c r="G140" t="s">
        <v>304</v>
      </c>
      <c r="H140" t="s">
        <v>30</v>
      </c>
      <c r="I140" t="s">
        <v>35</v>
      </c>
      <c r="J140" t="s">
        <v>43</v>
      </c>
      <c r="K140" t="s">
        <v>35</v>
      </c>
      <c r="L140" t="s">
        <v>73</v>
      </c>
      <c r="M140" t="s">
        <v>263</v>
      </c>
      <c r="N140" t="s">
        <v>46</v>
      </c>
      <c r="P140" t="s">
        <v>1522</v>
      </c>
      <c r="R140">
        <v>41277.591493055559</v>
      </c>
      <c r="S140">
        <v>42648.813067129631</v>
      </c>
      <c r="T140" t="s">
        <v>1529</v>
      </c>
      <c r="U140" t="s">
        <v>35</v>
      </c>
      <c r="V140" t="s">
        <v>35</v>
      </c>
      <c r="W140" t="s">
        <v>4116</v>
      </c>
    </row>
    <row r="141" spans="2:23" x14ac:dyDescent="0.25">
      <c r="B141" s="19">
        <v>3649</v>
      </c>
      <c r="C141" s="2">
        <f>HYPERLINK(URLs!B36 &amp; 26296,26296)</f>
        <v>26296</v>
      </c>
      <c r="D141" t="s">
        <v>1721</v>
      </c>
      <c r="E141" t="s">
        <v>1675</v>
      </c>
      <c r="F141" t="s">
        <v>305</v>
      </c>
      <c r="G141" t="s">
        <v>304</v>
      </c>
      <c r="H141" t="s">
        <v>30</v>
      </c>
      <c r="I141" t="s">
        <v>35</v>
      </c>
      <c r="J141" t="s">
        <v>43</v>
      </c>
      <c r="K141" t="s">
        <v>44</v>
      </c>
      <c r="L141" t="s">
        <v>73</v>
      </c>
      <c r="M141" t="s">
        <v>263</v>
      </c>
      <c r="N141" t="s">
        <v>46</v>
      </c>
      <c r="P141" t="s">
        <v>1522</v>
      </c>
      <c r="R141">
        <v>41277.591354166667</v>
      </c>
      <c r="S141">
        <v>42648.812800925924</v>
      </c>
      <c r="T141" t="s">
        <v>1529</v>
      </c>
      <c r="U141" t="s">
        <v>35</v>
      </c>
      <c r="V141" t="s">
        <v>35</v>
      </c>
      <c r="W141" t="s">
        <v>4115</v>
      </c>
    </row>
    <row r="142" spans="2:23" x14ac:dyDescent="0.25">
      <c r="B142" s="19">
        <v>3649</v>
      </c>
      <c r="C142" s="2">
        <f>HYPERLINK(URLs!B36 &amp; 26295,26295)</f>
        <v>26295</v>
      </c>
      <c r="D142" t="s">
        <v>1720</v>
      </c>
      <c r="E142" t="s">
        <v>1675</v>
      </c>
      <c r="F142" t="s">
        <v>305</v>
      </c>
      <c r="G142" t="s">
        <v>304</v>
      </c>
      <c r="H142" t="s">
        <v>30</v>
      </c>
      <c r="I142" t="s">
        <v>35</v>
      </c>
      <c r="J142" t="s">
        <v>43</v>
      </c>
      <c r="K142" t="s">
        <v>44</v>
      </c>
      <c r="L142" t="s">
        <v>73</v>
      </c>
      <c r="M142" t="s">
        <v>263</v>
      </c>
      <c r="N142" t="s">
        <v>46</v>
      </c>
      <c r="P142" t="s">
        <v>1522</v>
      </c>
      <c r="R142">
        <v>41277.591261574074</v>
      </c>
      <c r="S142">
        <v>42648.812905092593</v>
      </c>
      <c r="T142" t="s">
        <v>1529</v>
      </c>
      <c r="U142" t="s">
        <v>35</v>
      </c>
      <c r="V142" t="s">
        <v>35</v>
      </c>
      <c r="W142" t="s">
        <v>1749</v>
      </c>
    </row>
    <row r="143" spans="2:23" x14ac:dyDescent="0.25">
      <c r="B143" s="19">
        <v>3649</v>
      </c>
      <c r="C143" s="2">
        <f>HYPERLINK(URLs!B36 &amp; 26293,26293)</f>
        <v>26293</v>
      </c>
      <c r="D143" t="s">
        <v>1719</v>
      </c>
      <c r="E143" t="s">
        <v>1613</v>
      </c>
      <c r="F143" t="s">
        <v>305</v>
      </c>
      <c r="G143" t="s">
        <v>304</v>
      </c>
      <c r="H143" t="s">
        <v>30</v>
      </c>
      <c r="I143" t="s">
        <v>35</v>
      </c>
      <c r="J143" t="s">
        <v>43</v>
      </c>
      <c r="K143" t="s">
        <v>35</v>
      </c>
      <c r="L143" t="s">
        <v>73</v>
      </c>
      <c r="M143" t="s">
        <v>263</v>
      </c>
      <c r="N143" t="s">
        <v>46</v>
      </c>
      <c r="P143" t="s">
        <v>1522</v>
      </c>
      <c r="R143">
        <v>41277.591053240743</v>
      </c>
      <c r="S143">
        <v>42648.812962962962</v>
      </c>
      <c r="T143" t="s">
        <v>1529</v>
      </c>
      <c r="U143" t="s">
        <v>35</v>
      </c>
      <c r="V143" t="s">
        <v>35</v>
      </c>
      <c r="W143" t="s">
        <v>1634</v>
      </c>
    </row>
    <row r="144" spans="2:23" x14ac:dyDescent="0.25">
      <c r="B144" s="19">
        <v>3649</v>
      </c>
      <c r="C144" s="2">
        <f>HYPERLINK(URLs!B36 &amp; 26286,26286)</f>
        <v>26286</v>
      </c>
      <c r="D144" t="s">
        <v>1718</v>
      </c>
      <c r="E144" t="s">
        <v>387</v>
      </c>
      <c r="F144" t="s">
        <v>305</v>
      </c>
      <c r="G144" t="s">
        <v>304</v>
      </c>
      <c r="H144" t="s">
        <v>30</v>
      </c>
      <c r="I144" t="s">
        <v>35</v>
      </c>
      <c r="J144" t="s">
        <v>43</v>
      </c>
      <c r="K144" t="s">
        <v>44</v>
      </c>
      <c r="L144" t="s">
        <v>73</v>
      </c>
      <c r="M144" t="s">
        <v>263</v>
      </c>
      <c r="N144" t="s">
        <v>46</v>
      </c>
      <c r="P144" t="s">
        <v>1522</v>
      </c>
      <c r="R144">
        <v>41277.415833333333</v>
      </c>
      <c r="S144">
        <v>41815.747569444444</v>
      </c>
      <c r="T144" t="s">
        <v>1640</v>
      </c>
      <c r="U144" t="s">
        <v>35</v>
      </c>
      <c r="V144" t="s">
        <v>35</v>
      </c>
      <c r="W144" t="s">
        <v>4098</v>
      </c>
    </row>
    <row r="145" spans="2:23" x14ac:dyDescent="0.25">
      <c r="B145" s="19">
        <v>3649</v>
      </c>
      <c r="C145" s="2">
        <f>HYPERLINK(URLs!B36 &amp; 25114,25114)</f>
        <v>25114</v>
      </c>
      <c r="D145" t="s">
        <v>1663</v>
      </c>
      <c r="E145" t="s">
        <v>387</v>
      </c>
      <c r="F145" t="s">
        <v>305</v>
      </c>
      <c r="G145" t="s">
        <v>337</v>
      </c>
      <c r="H145" t="s">
        <v>30</v>
      </c>
      <c r="I145" t="s">
        <v>35</v>
      </c>
      <c r="J145" t="s">
        <v>43</v>
      </c>
      <c r="K145" t="s">
        <v>35</v>
      </c>
      <c r="L145" t="s">
        <v>73</v>
      </c>
      <c r="M145" t="s">
        <v>263</v>
      </c>
      <c r="N145" t="s">
        <v>46</v>
      </c>
      <c r="P145" t="s">
        <v>1520</v>
      </c>
      <c r="R145">
        <v>41208.87096064815</v>
      </c>
      <c r="S145">
        <v>42649.829375000001</v>
      </c>
      <c r="T145" t="s">
        <v>1529</v>
      </c>
      <c r="U145" t="s">
        <v>35</v>
      </c>
      <c r="V145" t="s">
        <v>35</v>
      </c>
      <c r="W145" t="s">
        <v>1749</v>
      </c>
    </row>
    <row r="146" spans="2:23" x14ac:dyDescent="0.25">
      <c r="B146" s="19">
        <v>3649</v>
      </c>
      <c r="C146" s="2">
        <f>HYPERLINK(URLs!B36 &amp; 24955,24955)</f>
        <v>24955</v>
      </c>
      <c r="D146" t="s">
        <v>1654</v>
      </c>
      <c r="E146" t="s">
        <v>387</v>
      </c>
      <c r="F146" t="s">
        <v>305</v>
      </c>
      <c r="G146" t="s">
        <v>337</v>
      </c>
      <c r="H146" t="s">
        <v>30</v>
      </c>
      <c r="I146" t="s">
        <v>35</v>
      </c>
      <c r="J146" t="s">
        <v>58</v>
      </c>
      <c r="K146" t="s">
        <v>35</v>
      </c>
      <c r="L146" t="s">
        <v>73</v>
      </c>
      <c r="M146" t="s">
        <v>263</v>
      </c>
      <c r="N146" t="s">
        <v>46</v>
      </c>
      <c r="P146" t="s">
        <v>1520</v>
      </c>
      <c r="R146">
        <v>41204.550879629627</v>
      </c>
      <c r="S146">
        <v>42649.82917824074</v>
      </c>
      <c r="T146" t="s">
        <v>1529</v>
      </c>
      <c r="U146" t="s">
        <v>35</v>
      </c>
      <c r="V146" t="s">
        <v>35</v>
      </c>
      <c r="W146" t="s">
        <v>4103</v>
      </c>
    </row>
    <row r="147" spans="2:23" x14ac:dyDescent="0.25">
      <c r="B147" s="19">
        <v>3649</v>
      </c>
      <c r="C147" s="2">
        <f>HYPERLINK(URLs!B36 &amp; 24954,24954)</f>
        <v>24954</v>
      </c>
      <c r="D147" t="s">
        <v>1653</v>
      </c>
      <c r="E147" t="s">
        <v>387</v>
      </c>
      <c r="F147" t="s">
        <v>305</v>
      </c>
      <c r="G147" t="s">
        <v>310</v>
      </c>
      <c r="H147" t="s">
        <v>30</v>
      </c>
      <c r="I147" t="s">
        <v>35</v>
      </c>
      <c r="J147" t="s">
        <v>58</v>
      </c>
      <c r="K147" t="s">
        <v>35</v>
      </c>
      <c r="L147" t="s">
        <v>73</v>
      </c>
      <c r="M147" t="s">
        <v>263</v>
      </c>
      <c r="N147" t="s">
        <v>46</v>
      </c>
      <c r="P147" t="s">
        <v>1520</v>
      </c>
      <c r="R147">
        <v>41204.550763888888</v>
      </c>
      <c r="S147">
        <v>42649.829340277778</v>
      </c>
      <c r="T147" t="s">
        <v>1529</v>
      </c>
      <c r="U147" t="s">
        <v>35</v>
      </c>
      <c r="V147" t="s">
        <v>35</v>
      </c>
      <c r="W147" t="s">
        <v>4104</v>
      </c>
    </row>
    <row r="148" spans="2:23" x14ac:dyDescent="0.25">
      <c r="B148" s="19">
        <v>3649</v>
      </c>
      <c r="C148" s="2">
        <f>HYPERLINK(URLs!B36 &amp; 24953,24953)</f>
        <v>24953</v>
      </c>
      <c r="D148" t="s">
        <v>1652</v>
      </c>
      <c r="E148" t="s">
        <v>387</v>
      </c>
      <c r="F148" t="s">
        <v>305</v>
      </c>
      <c r="G148" t="s">
        <v>337</v>
      </c>
      <c r="H148" t="s">
        <v>30</v>
      </c>
      <c r="I148" t="s">
        <v>35</v>
      </c>
      <c r="J148" t="s">
        <v>58</v>
      </c>
      <c r="K148" t="s">
        <v>35</v>
      </c>
      <c r="L148" t="s">
        <v>73</v>
      </c>
      <c r="M148" t="s">
        <v>263</v>
      </c>
      <c r="N148" t="s">
        <v>46</v>
      </c>
      <c r="P148" t="s">
        <v>1520</v>
      </c>
      <c r="R148">
        <v>41204.550659722219</v>
      </c>
      <c r="S148">
        <v>42649.829236111109</v>
      </c>
      <c r="T148" t="s">
        <v>1529</v>
      </c>
      <c r="U148" t="s">
        <v>35</v>
      </c>
      <c r="V148" t="s">
        <v>35</v>
      </c>
      <c r="W148" t="s">
        <v>4113</v>
      </c>
    </row>
    <row r="149" spans="2:23" x14ac:dyDescent="0.25">
      <c r="B149" s="19">
        <v>3674</v>
      </c>
      <c r="C149" s="2">
        <f>HYPERLINK(URLs!B36 &amp; 27374,27374)</f>
        <v>27374</v>
      </c>
      <c r="D149" t="s">
        <v>1732</v>
      </c>
      <c r="E149" t="s">
        <v>53</v>
      </c>
      <c r="F149" t="s">
        <v>305</v>
      </c>
      <c r="G149" t="s">
        <v>304</v>
      </c>
      <c r="H149" t="s">
        <v>426</v>
      </c>
      <c r="I149" t="s">
        <v>35</v>
      </c>
      <c r="J149" t="s">
        <v>43</v>
      </c>
      <c r="K149" t="s">
        <v>1733</v>
      </c>
      <c r="L149" t="s">
        <v>34</v>
      </c>
      <c r="M149" t="s">
        <v>1734</v>
      </c>
      <c r="N149" t="s">
        <v>46</v>
      </c>
      <c r="P149" t="s">
        <v>1646</v>
      </c>
      <c r="R149">
        <v>41280.134259259263</v>
      </c>
      <c r="S149">
        <v>41411.68273148148</v>
      </c>
      <c r="T149" t="s">
        <v>1730</v>
      </c>
      <c r="U149" t="s">
        <v>35</v>
      </c>
      <c r="V149" t="s">
        <v>35</v>
      </c>
      <c r="W149" t="s">
        <v>4118</v>
      </c>
    </row>
    <row r="150" spans="2:23" x14ac:dyDescent="0.25">
      <c r="B150" s="19">
        <v>3716</v>
      </c>
      <c r="C150" s="2">
        <f>HYPERLINK(URLs!B36 &amp; 33754,33754)</f>
        <v>33754</v>
      </c>
      <c r="D150" t="s">
        <v>3798</v>
      </c>
      <c r="E150" t="s">
        <v>1864</v>
      </c>
      <c r="F150" t="s">
        <v>305</v>
      </c>
      <c r="G150" t="s">
        <v>304</v>
      </c>
      <c r="H150" t="s">
        <v>426</v>
      </c>
      <c r="I150" t="s">
        <v>31</v>
      </c>
      <c r="J150" t="s">
        <v>43</v>
      </c>
      <c r="K150" t="s">
        <v>44</v>
      </c>
      <c r="L150" t="s">
        <v>34</v>
      </c>
      <c r="M150" t="s">
        <v>3780</v>
      </c>
      <c r="N150" t="s">
        <v>46</v>
      </c>
      <c r="P150" t="s">
        <v>1646</v>
      </c>
      <c r="R150">
        <v>41505.621574074074</v>
      </c>
      <c r="S150">
        <v>42039.770891203705</v>
      </c>
      <c r="T150" t="s">
        <v>1913</v>
      </c>
      <c r="U150" t="s">
        <v>35</v>
      </c>
      <c r="V150" t="s">
        <v>35</v>
      </c>
      <c r="W150" t="s">
        <v>4119</v>
      </c>
    </row>
    <row r="151" spans="2:23" x14ac:dyDescent="0.25">
      <c r="B151" s="19">
        <v>3716</v>
      </c>
      <c r="C151" s="2">
        <f>HYPERLINK(URLs!B36 &amp; 33753,33753)</f>
        <v>33753</v>
      </c>
      <c r="D151" t="s">
        <v>3797</v>
      </c>
      <c r="E151" t="s">
        <v>1913</v>
      </c>
      <c r="F151" t="s">
        <v>305</v>
      </c>
      <c r="G151" t="s">
        <v>304</v>
      </c>
      <c r="H151" t="s">
        <v>426</v>
      </c>
      <c r="I151" t="s">
        <v>68</v>
      </c>
      <c r="J151" t="s">
        <v>43</v>
      </c>
      <c r="K151" t="s">
        <v>33</v>
      </c>
      <c r="L151" t="s">
        <v>34</v>
      </c>
      <c r="M151" t="s">
        <v>368</v>
      </c>
      <c r="N151" t="s">
        <v>46</v>
      </c>
      <c r="P151" t="s">
        <v>1646</v>
      </c>
      <c r="R151">
        <v>41505.621342592596</v>
      </c>
      <c r="S151">
        <v>42039.725694444445</v>
      </c>
      <c r="T151" t="s">
        <v>1913</v>
      </c>
      <c r="U151" t="s">
        <v>35</v>
      </c>
      <c r="V151" t="s">
        <v>35</v>
      </c>
      <c r="W151" t="s">
        <v>1634</v>
      </c>
    </row>
    <row r="152" spans="2:23" x14ac:dyDescent="0.25">
      <c r="B152" s="19">
        <v>3716</v>
      </c>
      <c r="C152" s="2">
        <f>HYPERLINK(URLs!B36 &amp; 30043,30043)</f>
        <v>30043</v>
      </c>
      <c r="D152" t="s">
        <v>1812</v>
      </c>
      <c r="E152" t="s">
        <v>376</v>
      </c>
      <c r="F152" t="s">
        <v>305</v>
      </c>
      <c r="G152" t="s">
        <v>337</v>
      </c>
      <c r="H152" t="s">
        <v>30</v>
      </c>
      <c r="I152" t="s">
        <v>68</v>
      </c>
      <c r="J152" t="s">
        <v>58</v>
      </c>
      <c r="K152" t="s">
        <v>44</v>
      </c>
      <c r="L152" t="s">
        <v>34</v>
      </c>
      <c r="M152" t="s">
        <v>1813</v>
      </c>
      <c r="N152" t="s">
        <v>46</v>
      </c>
      <c r="O152" t="s">
        <v>1814</v>
      </c>
      <c r="P152" t="s">
        <v>1646</v>
      </c>
      <c r="R152">
        <v>41393.644537037035</v>
      </c>
      <c r="S152">
        <v>42678.633912037039</v>
      </c>
      <c r="T152" t="s">
        <v>2</v>
      </c>
      <c r="U152" t="s">
        <v>35</v>
      </c>
      <c r="V152" t="s">
        <v>35</v>
      </c>
      <c r="W152" t="s">
        <v>4122</v>
      </c>
    </row>
    <row r="153" spans="2:23" x14ac:dyDescent="0.25">
      <c r="B153" s="19">
        <v>3716</v>
      </c>
      <c r="C153" s="2">
        <f>HYPERLINK(URLs!B36 &amp; 27837,27837)</f>
        <v>27837</v>
      </c>
      <c r="D153" t="s">
        <v>3781</v>
      </c>
      <c r="E153" t="s">
        <v>1913</v>
      </c>
      <c r="F153" t="s">
        <v>305</v>
      </c>
      <c r="G153" t="s">
        <v>304</v>
      </c>
      <c r="H153" t="s">
        <v>426</v>
      </c>
      <c r="I153" t="s">
        <v>35</v>
      </c>
      <c r="J153" t="s">
        <v>43</v>
      </c>
      <c r="K153" t="s">
        <v>44</v>
      </c>
      <c r="L153" t="s">
        <v>34</v>
      </c>
      <c r="M153" t="s">
        <v>368</v>
      </c>
      <c r="N153" t="s">
        <v>46</v>
      </c>
      <c r="P153" t="s">
        <v>1646</v>
      </c>
      <c r="R153">
        <v>41302.697569444441</v>
      </c>
      <c r="S153">
        <v>41816.551944444444</v>
      </c>
      <c r="T153" t="s">
        <v>1</v>
      </c>
      <c r="U153" t="s">
        <v>35</v>
      </c>
      <c r="V153" t="s">
        <v>35</v>
      </c>
      <c r="W153" t="s">
        <v>4098</v>
      </c>
    </row>
    <row r="154" spans="2:23" x14ac:dyDescent="0.25">
      <c r="B154" s="19">
        <v>3728</v>
      </c>
      <c r="C154" s="2">
        <f>HYPERLINK(URLs!B36 &amp; 64337,64337)</f>
        <v>64337</v>
      </c>
      <c r="D154" t="s">
        <v>2524</v>
      </c>
      <c r="E154" t="s">
        <v>2525</v>
      </c>
      <c r="F154" t="s">
        <v>305</v>
      </c>
      <c r="G154" t="s">
        <v>353</v>
      </c>
      <c r="H154" t="s">
        <v>2213</v>
      </c>
      <c r="I154" t="s">
        <v>35</v>
      </c>
      <c r="J154" t="s">
        <v>32</v>
      </c>
      <c r="K154" t="s">
        <v>33</v>
      </c>
      <c r="L154" t="s">
        <v>45</v>
      </c>
      <c r="M154" t="s">
        <v>265</v>
      </c>
      <c r="N154" t="s">
        <v>46</v>
      </c>
      <c r="P154" t="s">
        <v>428</v>
      </c>
      <c r="R154">
        <v>42174.689953703702</v>
      </c>
      <c r="S154">
        <v>42678.631284722222</v>
      </c>
      <c r="T154" t="s">
        <v>2526</v>
      </c>
      <c r="U154" t="s">
        <v>35</v>
      </c>
      <c r="V154" t="s">
        <v>321</v>
      </c>
      <c r="W154" t="s">
        <v>428</v>
      </c>
    </row>
    <row r="155" spans="2:23" x14ac:dyDescent="0.25">
      <c r="B155" s="19">
        <v>3728</v>
      </c>
      <c r="C155" s="2">
        <f>HYPERLINK(URLs!B36 &amp; 61849,61849)</f>
        <v>61849</v>
      </c>
      <c r="D155" t="s">
        <v>2455</v>
      </c>
      <c r="E155" t="s">
        <v>2451</v>
      </c>
      <c r="F155" t="s">
        <v>305</v>
      </c>
      <c r="G155" t="s">
        <v>310</v>
      </c>
      <c r="H155" t="s">
        <v>2213</v>
      </c>
      <c r="I155" t="s">
        <v>35</v>
      </c>
      <c r="J155" t="s">
        <v>32</v>
      </c>
      <c r="K155" t="s">
        <v>33</v>
      </c>
      <c r="L155" t="s">
        <v>45</v>
      </c>
      <c r="M155" t="s">
        <v>265</v>
      </c>
      <c r="N155" t="s">
        <v>46</v>
      </c>
      <c r="P155" t="s">
        <v>61</v>
      </c>
      <c r="R155">
        <v>42129.809525462966</v>
      </c>
      <c r="S155">
        <v>42678.661122685182</v>
      </c>
      <c r="T155" t="s">
        <v>53</v>
      </c>
      <c r="U155" t="s">
        <v>3943</v>
      </c>
      <c r="V155" t="s">
        <v>321</v>
      </c>
      <c r="W155" t="s">
        <v>61</v>
      </c>
    </row>
    <row r="156" spans="2:23" x14ac:dyDescent="0.25">
      <c r="B156" s="19">
        <v>3728</v>
      </c>
      <c r="C156" s="2">
        <f>HYPERLINK(URLs!B36 &amp; 61643,61643)</f>
        <v>61643</v>
      </c>
      <c r="D156" t="s">
        <v>2454</v>
      </c>
      <c r="E156" t="s">
        <v>2451</v>
      </c>
      <c r="F156" t="s">
        <v>305</v>
      </c>
      <c r="G156" t="s">
        <v>304</v>
      </c>
      <c r="H156" t="s">
        <v>2213</v>
      </c>
      <c r="I156" t="s">
        <v>31</v>
      </c>
      <c r="J156" t="s">
        <v>32</v>
      </c>
      <c r="K156" t="s">
        <v>33</v>
      </c>
      <c r="L156" t="s">
        <v>45</v>
      </c>
      <c r="M156" t="s">
        <v>265</v>
      </c>
      <c r="N156" t="s">
        <v>46</v>
      </c>
      <c r="P156" t="s">
        <v>394</v>
      </c>
      <c r="R156">
        <v>42124.630914351852</v>
      </c>
      <c r="S156">
        <v>42648.936273148145</v>
      </c>
      <c r="T156" t="s">
        <v>383</v>
      </c>
      <c r="U156" t="s">
        <v>3943</v>
      </c>
      <c r="V156" t="s">
        <v>321</v>
      </c>
      <c r="W156" t="s">
        <v>61</v>
      </c>
    </row>
    <row r="157" spans="2:23" x14ac:dyDescent="0.25">
      <c r="B157" s="19">
        <v>3728</v>
      </c>
      <c r="C157" s="2">
        <f>HYPERLINK(URLs!B36 &amp; 61641,61641)</f>
        <v>61641</v>
      </c>
      <c r="D157" t="s">
        <v>2453</v>
      </c>
      <c r="E157" t="s">
        <v>2451</v>
      </c>
      <c r="F157" t="s">
        <v>305</v>
      </c>
      <c r="G157" t="s">
        <v>304</v>
      </c>
      <c r="H157" t="s">
        <v>2213</v>
      </c>
      <c r="I157" t="s">
        <v>31</v>
      </c>
      <c r="J157" t="s">
        <v>32</v>
      </c>
      <c r="K157" t="s">
        <v>33</v>
      </c>
      <c r="L157" t="s">
        <v>45</v>
      </c>
      <c r="M157" t="s">
        <v>265</v>
      </c>
      <c r="N157" t="s">
        <v>46</v>
      </c>
      <c r="P157" t="s">
        <v>394</v>
      </c>
      <c r="R157">
        <v>42124.625127314815</v>
      </c>
      <c r="S157">
        <v>43007.436412037037</v>
      </c>
      <c r="T157" t="s">
        <v>383</v>
      </c>
      <c r="U157" t="s">
        <v>3934</v>
      </c>
      <c r="V157" t="s">
        <v>321</v>
      </c>
      <c r="W157" t="s">
        <v>65</v>
      </c>
    </row>
    <row r="158" spans="2:23" x14ac:dyDescent="0.25">
      <c r="B158" s="19">
        <v>3728</v>
      </c>
      <c r="C158" s="2">
        <f>HYPERLINK(URLs!B36 &amp; 61640,61640)</f>
        <v>61640</v>
      </c>
      <c r="D158" t="s">
        <v>2450</v>
      </c>
      <c r="E158" t="s">
        <v>2451</v>
      </c>
      <c r="F158" t="s">
        <v>305</v>
      </c>
      <c r="G158" t="s">
        <v>337</v>
      </c>
      <c r="H158" t="s">
        <v>2213</v>
      </c>
      <c r="I158" t="s">
        <v>31</v>
      </c>
      <c r="J158" t="s">
        <v>32</v>
      </c>
      <c r="K158" t="s">
        <v>33</v>
      </c>
      <c r="L158" t="s">
        <v>45</v>
      </c>
      <c r="M158" t="s">
        <v>265</v>
      </c>
      <c r="N158" t="s">
        <v>46</v>
      </c>
      <c r="O158" t="s">
        <v>2452</v>
      </c>
      <c r="P158" t="s">
        <v>394</v>
      </c>
      <c r="R158">
        <v>42124.62327546296</v>
      </c>
      <c r="S158">
        <v>42678.631342592591</v>
      </c>
      <c r="T158" t="s">
        <v>383</v>
      </c>
      <c r="U158" t="s">
        <v>35</v>
      </c>
      <c r="V158" t="s">
        <v>321</v>
      </c>
      <c r="W158" t="s">
        <v>4147</v>
      </c>
    </row>
    <row r="159" spans="2:23" x14ac:dyDescent="0.25">
      <c r="B159" s="19">
        <v>3736</v>
      </c>
      <c r="C159" s="2">
        <f>HYPERLINK(URLs!B36 &amp; 27841,27841)</f>
        <v>27841</v>
      </c>
      <c r="D159" t="s">
        <v>1744</v>
      </c>
      <c r="E159" t="s">
        <v>387</v>
      </c>
      <c r="F159" t="s">
        <v>305</v>
      </c>
      <c r="G159" t="s">
        <v>310</v>
      </c>
      <c r="H159" t="s">
        <v>54</v>
      </c>
      <c r="I159" t="s">
        <v>35</v>
      </c>
      <c r="J159" t="s">
        <v>32</v>
      </c>
      <c r="K159" t="s">
        <v>35</v>
      </c>
      <c r="L159" t="s">
        <v>73</v>
      </c>
      <c r="M159" t="s">
        <v>263</v>
      </c>
      <c r="N159" t="s">
        <v>1515</v>
      </c>
      <c r="P159" t="s">
        <v>1530</v>
      </c>
      <c r="R159">
        <v>41302.704895833333</v>
      </c>
      <c r="S159">
        <v>42649.831817129627</v>
      </c>
      <c r="T159" t="s">
        <v>1529</v>
      </c>
      <c r="U159" t="s">
        <v>35</v>
      </c>
      <c r="V159" t="s">
        <v>35</v>
      </c>
      <c r="W159" t="s">
        <v>4104</v>
      </c>
    </row>
    <row r="160" spans="2:23" x14ac:dyDescent="0.25">
      <c r="B160" s="19">
        <v>3736</v>
      </c>
      <c r="C160" s="2">
        <f>HYPERLINK(URLs!B36 &amp; 27840,27840)</f>
        <v>27840</v>
      </c>
      <c r="D160" t="s">
        <v>1743</v>
      </c>
      <c r="E160" t="s">
        <v>387</v>
      </c>
      <c r="F160" t="s">
        <v>305</v>
      </c>
      <c r="G160" t="s">
        <v>310</v>
      </c>
      <c r="H160" t="s">
        <v>54</v>
      </c>
      <c r="I160" t="s">
        <v>35</v>
      </c>
      <c r="J160" t="s">
        <v>32</v>
      </c>
      <c r="K160" t="s">
        <v>35</v>
      </c>
      <c r="L160" t="s">
        <v>73</v>
      </c>
      <c r="M160" t="s">
        <v>263</v>
      </c>
      <c r="N160" t="s">
        <v>1515</v>
      </c>
      <c r="P160" t="s">
        <v>1530</v>
      </c>
      <c r="R160">
        <v>41302.70480324074</v>
      </c>
      <c r="S160">
        <v>42649.831388888888</v>
      </c>
      <c r="T160" t="s">
        <v>1529</v>
      </c>
      <c r="U160" t="s">
        <v>35</v>
      </c>
      <c r="V160" t="s">
        <v>35</v>
      </c>
      <c r="W160" t="s">
        <v>4113</v>
      </c>
    </row>
    <row r="161" spans="2:23" x14ac:dyDescent="0.25">
      <c r="B161" s="19">
        <v>3736</v>
      </c>
      <c r="C161" s="2">
        <f>HYPERLINK(URLs!B36 &amp; 27838,27838)</f>
        <v>27838</v>
      </c>
      <c r="D161" t="s">
        <v>1742</v>
      </c>
      <c r="E161" t="s">
        <v>387</v>
      </c>
      <c r="F161" t="s">
        <v>305</v>
      </c>
      <c r="G161" t="s">
        <v>310</v>
      </c>
      <c r="H161" t="s">
        <v>54</v>
      </c>
      <c r="I161" t="s">
        <v>35</v>
      </c>
      <c r="J161" t="s">
        <v>32</v>
      </c>
      <c r="K161" t="s">
        <v>35</v>
      </c>
      <c r="L161" t="s">
        <v>73</v>
      </c>
      <c r="M161" t="s">
        <v>263</v>
      </c>
      <c r="N161" t="s">
        <v>1515</v>
      </c>
      <c r="P161" t="s">
        <v>1530</v>
      </c>
      <c r="R161">
        <v>41302.704641203702</v>
      </c>
      <c r="S161">
        <v>42649.831724537034</v>
      </c>
      <c r="T161" t="s">
        <v>1529</v>
      </c>
      <c r="U161" t="s">
        <v>35</v>
      </c>
      <c r="V161" t="s">
        <v>35</v>
      </c>
      <c r="W161" t="s">
        <v>1634</v>
      </c>
    </row>
    <row r="162" spans="2:23" x14ac:dyDescent="0.25">
      <c r="B162" s="19">
        <v>3821</v>
      </c>
      <c r="C162" s="2">
        <f>HYPERLINK(URLs!B36 &amp; 30623,30623)</f>
        <v>30623</v>
      </c>
      <c r="D162" t="s">
        <v>1831</v>
      </c>
      <c r="E162" t="s">
        <v>387</v>
      </c>
      <c r="F162" t="s">
        <v>305</v>
      </c>
      <c r="G162" t="s">
        <v>304</v>
      </c>
      <c r="H162" t="s">
        <v>54</v>
      </c>
      <c r="I162" t="s">
        <v>35</v>
      </c>
      <c r="J162" t="s">
        <v>43</v>
      </c>
      <c r="K162" t="s">
        <v>44</v>
      </c>
      <c r="L162" t="s">
        <v>73</v>
      </c>
      <c r="M162" t="s">
        <v>263</v>
      </c>
      <c r="N162" t="s">
        <v>1515</v>
      </c>
      <c r="P162" t="s">
        <v>1646</v>
      </c>
      <c r="R162">
        <v>41405.874849537038</v>
      </c>
      <c r="S162">
        <v>42649.834664351853</v>
      </c>
      <c r="T162" t="s">
        <v>1529</v>
      </c>
      <c r="U162" t="s">
        <v>35</v>
      </c>
      <c r="V162" t="s">
        <v>35</v>
      </c>
      <c r="W162" t="s">
        <v>4097</v>
      </c>
    </row>
    <row r="163" spans="2:23" x14ac:dyDescent="0.25">
      <c r="B163" s="19">
        <v>3821</v>
      </c>
      <c r="C163" s="2">
        <f>HYPERLINK(URLs!B36 &amp; 29931,29931)</f>
        <v>29931</v>
      </c>
      <c r="D163" t="s">
        <v>1803</v>
      </c>
      <c r="E163" t="s">
        <v>387</v>
      </c>
      <c r="F163" t="s">
        <v>305</v>
      </c>
      <c r="G163" t="s">
        <v>337</v>
      </c>
      <c r="H163" t="s">
        <v>54</v>
      </c>
      <c r="I163" t="s">
        <v>35</v>
      </c>
      <c r="J163" t="s">
        <v>43</v>
      </c>
      <c r="K163" t="s">
        <v>44</v>
      </c>
      <c r="L163" t="s">
        <v>73</v>
      </c>
      <c r="M163" t="s">
        <v>263</v>
      </c>
      <c r="N163" t="s">
        <v>1515</v>
      </c>
      <c r="P163" t="s">
        <v>1646</v>
      </c>
      <c r="R163">
        <v>41388.806562500002</v>
      </c>
      <c r="S163">
        <v>42649.834097222221</v>
      </c>
      <c r="T163" t="s">
        <v>1529</v>
      </c>
      <c r="U163" t="s">
        <v>35</v>
      </c>
      <c r="V163" t="s">
        <v>35</v>
      </c>
      <c r="W163" t="s">
        <v>4120</v>
      </c>
    </row>
    <row r="164" spans="2:23" x14ac:dyDescent="0.25">
      <c r="B164" s="19">
        <v>3821</v>
      </c>
      <c r="C164" s="2">
        <f>HYPERLINK(URLs!B36 &amp; 28480,28480)</f>
        <v>28480</v>
      </c>
      <c r="D164" t="s">
        <v>1756</v>
      </c>
      <c r="E164" t="s">
        <v>387</v>
      </c>
      <c r="F164" t="s">
        <v>305</v>
      </c>
      <c r="G164" t="s">
        <v>337</v>
      </c>
      <c r="H164" t="s">
        <v>54</v>
      </c>
      <c r="I164" t="s">
        <v>35</v>
      </c>
      <c r="J164" t="s">
        <v>43</v>
      </c>
      <c r="K164" t="s">
        <v>44</v>
      </c>
      <c r="L164" t="s">
        <v>73</v>
      </c>
      <c r="M164" t="s">
        <v>263</v>
      </c>
      <c r="N164" t="s">
        <v>1515</v>
      </c>
      <c r="P164" t="s">
        <v>1646</v>
      </c>
      <c r="R164">
        <v>41333.603773148148</v>
      </c>
      <c r="S164">
        <v>42649.832337962966</v>
      </c>
      <c r="T164" t="s">
        <v>1529</v>
      </c>
      <c r="U164" t="s">
        <v>35</v>
      </c>
      <c r="V164" t="s">
        <v>35</v>
      </c>
      <c r="W164" t="s">
        <v>4104</v>
      </c>
    </row>
    <row r="165" spans="2:23" x14ac:dyDescent="0.25">
      <c r="B165" s="19">
        <v>3821</v>
      </c>
      <c r="C165" s="2">
        <f>HYPERLINK(URLs!B36 &amp; 28479,28479)</f>
        <v>28479</v>
      </c>
      <c r="D165" t="s">
        <v>1755</v>
      </c>
      <c r="E165" t="s">
        <v>387</v>
      </c>
      <c r="F165" t="s">
        <v>305</v>
      </c>
      <c r="G165" t="s">
        <v>337</v>
      </c>
      <c r="H165" t="s">
        <v>54</v>
      </c>
      <c r="I165" t="s">
        <v>35</v>
      </c>
      <c r="J165" t="s">
        <v>43</v>
      </c>
      <c r="K165" t="s">
        <v>44</v>
      </c>
      <c r="L165" t="s">
        <v>73</v>
      </c>
      <c r="M165" t="s">
        <v>263</v>
      </c>
      <c r="N165" t="s">
        <v>1515</v>
      </c>
      <c r="P165" t="s">
        <v>1646</v>
      </c>
      <c r="R165">
        <v>41333.603680555556</v>
      </c>
      <c r="S165">
        <v>42649.900509259256</v>
      </c>
      <c r="T165" t="s">
        <v>1529</v>
      </c>
      <c r="U165" t="s">
        <v>35</v>
      </c>
      <c r="V165" t="s">
        <v>35</v>
      </c>
      <c r="W165" t="s">
        <v>4113</v>
      </c>
    </row>
    <row r="166" spans="2:23" x14ac:dyDescent="0.25">
      <c r="B166" s="19">
        <v>3821</v>
      </c>
      <c r="C166" s="2">
        <f>HYPERLINK(URLs!B36 &amp; 28478,28478)</f>
        <v>28478</v>
      </c>
      <c r="D166" t="s">
        <v>1754</v>
      </c>
      <c r="E166" t="s">
        <v>387</v>
      </c>
      <c r="F166" t="s">
        <v>305</v>
      </c>
      <c r="G166" t="s">
        <v>304</v>
      </c>
      <c r="H166" t="s">
        <v>54</v>
      </c>
      <c r="I166" t="s">
        <v>35</v>
      </c>
      <c r="J166" t="s">
        <v>43</v>
      </c>
      <c r="K166" t="s">
        <v>44</v>
      </c>
      <c r="L166" t="s">
        <v>73</v>
      </c>
      <c r="M166" t="s">
        <v>263</v>
      </c>
      <c r="N166" t="s">
        <v>1515</v>
      </c>
      <c r="P166" t="s">
        <v>1646</v>
      </c>
      <c r="R166">
        <v>41333.60355324074</v>
      </c>
      <c r="S166">
        <v>42648.815034722225</v>
      </c>
      <c r="T166" t="s">
        <v>1529</v>
      </c>
      <c r="U166" t="s">
        <v>35</v>
      </c>
      <c r="V166" t="s">
        <v>35</v>
      </c>
      <c r="W166" t="s">
        <v>4119</v>
      </c>
    </row>
    <row r="167" spans="2:23" x14ac:dyDescent="0.25">
      <c r="B167" s="19">
        <v>3821</v>
      </c>
      <c r="C167" s="2">
        <f>HYPERLINK(URLs!B36 &amp; 28477,28477)</f>
        <v>28477</v>
      </c>
      <c r="D167" t="s">
        <v>1753</v>
      </c>
      <c r="E167" t="s">
        <v>387</v>
      </c>
      <c r="F167" t="s">
        <v>305</v>
      </c>
      <c r="G167" t="s">
        <v>304</v>
      </c>
      <c r="H167" t="s">
        <v>54</v>
      </c>
      <c r="I167" t="s">
        <v>35</v>
      </c>
      <c r="J167" t="s">
        <v>43</v>
      </c>
      <c r="K167" t="s">
        <v>44</v>
      </c>
      <c r="L167" t="s">
        <v>73</v>
      </c>
      <c r="M167" t="s">
        <v>263</v>
      </c>
      <c r="N167" t="s">
        <v>1515</v>
      </c>
      <c r="O167" t="s">
        <v>1710</v>
      </c>
      <c r="P167" t="s">
        <v>1646</v>
      </c>
      <c r="R167">
        <v>41333.603437500002</v>
      </c>
      <c r="S167">
        <v>42648.815057870372</v>
      </c>
      <c r="T167" t="s">
        <v>1529</v>
      </c>
      <c r="U167" t="s">
        <v>35</v>
      </c>
      <c r="V167" t="s">
        <v>35</v>
      </c>
      <c r="W167" t="s">
        <v>1634</v>
      </c>
    </row>
    <row r="168" spans="2:23" x14ac:dyDescent="0.25">
      <c r="B168" s="19">
        <v>3821</v>
      </c>
      <c r="C168" s="2">
        <f>HYPERLINK(URLs!B36 &amp; 28476,28476)</f>
        <v>28476</v>
      </c>
      <c r="D168" t="s">
        <v>1751</v>
      </c>
      <c r="E168" t="s">
        <v>387</v>
      </c>
      <c r="F168" t="s">
        <v>305</v>
      </c>
      <c r="G168" t="s">
        <v>304</v>
      </c>
      <c r="H168" t="s">
        <v>54</v>
      </c>
      <c r="I168" t="s">
        <v>35</v>
      </c>
      <c r="J168" t="s">
        <v>43</v>
      </c>
      <c r="K168" t="s">
        <v>44</v>
      </c>
      <c r="L168" t="s">
        <v>73</v>
      </c>
      <c r="M168" t="s">
        <v>263</v>
      </c>
      <c r="N168" t="s">
        <v>1515</v>
      </c>
      <c r="P168" t="s">
        <v>1646</v>
      </c>
      <c r="R168">
        <v>41333.58935185185</v>
      </c>
      <c r="S168">
        <v>41815.750243055554</v>
      </c>
      <c r="T168" t="s">
        <v>1752</v>
      </c>
      <c r="U168" t="s">
        <v>35</v>
      </c>
      <c r="V168" t="s">
        <v>35</v>
      </c>
      <c r="W168" t="s">
        <v>4098</v>
      </c>
    </row>
    <row r="169" spans="2:23" x14ac:dyDescent="0.25">
      <c r="B169" s="19">
        <v>3822</v>
      </c>
      <c r="C169" s="2">
        <f>HYPERLINK(URLs!B36 &amp; 29643,29643)</f>
        <v>29643</v>
      </c>
      <c r="D169" t="s">
        <v>1790</v>
      </c>
      <c r="E169" t="s">
        <v>387</v>
      </c>
      <c r="F169" t="s">
        <v>305</v>
      </c>
      <c r="G169" t="s">
        <v>304</v>
      </c>
      <c r="H169" t="s">
        <v>30</v>
      </c>
      <c r="I169" t="s">
        <v>35</v>
      </c>
      <c r="J169" t="s">
        <v>43</v>
      </c>
      <c r="K169" t="s">
        <v>35</v>
      </c>
      <c r="L169" t="s">
        <v>73</v>
      </c>
      <c r="M169" t="s">
        <v>263</v>
      </c>
      <c r="N169" t="s">
        <v>46</v>
      </c>
      <c r="P169" t="s">
        <v>1634</v>
      </c>
      <c r="R169">
        <v>41380.748437499999</v>
      </c>
      <c r="S169">
        <v>42648.81521990741</v>
      </c>
      <c r="T169" t="s">
        <v>1788</v>
      </c>
      <c r="U169" t="s">
        <v>35</v>
      </c>
      <c r="V169" t="s">
        <v>35</v>
      </c>
      <c r="W169" t="s">
        <v>4121</v>
      </c>
    </row>
    <row r="170" spans="2:23" x14ac:dyDescent="0.25">
      <c r="B170" s="19">
        <v>3822</v>
      </c>
      <c r="C170" s="2">
        <f>HYPERLINK(URLs!B36 &amp; 28575,28575)</f>
        <v>28575</v>
      </c>
      <c r="D170" t="s">
        <v>1760</v>
      </c>
      <c r="E170" t="s">
        <v>387</v>
      </c>
      <c r="F170" t="s">
        <v>305</v>
      </c>
      <c r="G170" t="s">
        <v>337</v>
      </c>
      <c r="H170" t="s">
        <v>30</v>
      </c>
      <c r="I170" t="s">
        <v>35</v>
      </c>
      <c r="J170" t="s">
        <v>43</v>
      </c>
      <c r="K170" t="s">
        <v>44</v>
      </c>
      <c r="L170" t="s">
        <v>73</v>
      </c>
      <c r="M170" t="s">
        <v>263</v>
      </c>
      <c r="N170" t="s">
        <v>46</v>
      </c>
      <c r="P170" t="s">
        <v>1634</v>
      </c>
      <c r="R170">
        <v>41338.736828703702</v>
      </c>
      <c r="S170">
        <v>42649.832476851851</v>
      </c>
      <c r="T170" t="s">
        <v>1529</v>
      </c>
      <c r="U170" t="s">
        <v>35</v>
      </c>
      <c r="V170" t="s">
        <v>35</v>
      </c>
      <c r="W170" t="s">
        <v>4104</v>
      </c>
    </row>
    <row r="171" spans="2:23" x14ac:dyDescent="0.25">
      <c r="B171" s="19">
        <v>3822</v>
      </c>
      <c r="C171" s="2">
        <f>HYPERLINK(URLs!B36 &amp; 28574,28574)</f>
        <v>28574</v>
      </c>
      <c r="D171" t="s">
        <v>1759</v>
      </c>
      <c r="E171" t="s">
        <v>387</v>
      </c>
      <c r="F171" t="s">
        <v>305</v>
      </c>
      <c r="G171" t="s">
        <v>304</v>
      </c>
      <c r="H171" t="s">
        <v>30</v>
      </c>
      <c r="I171" t="s">
        <v>35</v>
      </c>
      <c r="J171" t="s">
        <v>43</v>
      </c>
      <c r="K171" t="s">
        <v>44</v>
      </c>
      <c r="L171" t="s">
        <v>73</v>
      </c>
      <c r="M171" t="s">
        <v>263</v>
      </c>
      <c r="N171" t="s">
        <v>46</v>
      </c>
      <c r="P171" t="s">
        <v>1634</v>
      </c>
      <c r="R171">
        <v>41338.736724537041</v>
      </c>
      <c r="S171">
        <v>42648.814849537041</v>
      </c>
      <c r="T171" t="s">
        <v>1529</v>
      </c>
      <c r="U171" t="s">
        <v>35</v>
      </c>
      <c r="V171" t="s">
        <v>35</v>
      </c>
      <c r="W171" t="s">
        <v>4115</v>
      </c>
    </row>
    <row r="172" spans="2:23" x14ac:dyDescent="0.25">
      <c r="B172" s="19">
        <v>3822</v>
      </c>
      <c r="C172" s="2">
        <f>HYPERLINK(URLs!B36 &amp; 28573,28573)</f>
        <v>28573</v>
      </c>
      <c r="D172" t="s">
        <v>1758</v>
      </c>
      <c r="E172" t="s">
        <v>387</v>
      </c>
      <c r="F172" t="s">
        <v>305</v>
      </c>
      <c r="G172" t="s">
        <v>304</v>
      </c>
      <c r="H172" t="s">
        <v>30</v>
      </c>
      <c r="I172" t="s">
        <v>35</v>
      </c>
      <c r="J172" t="s">
        <v>43</v>
      </c>
      <c r="K172" t="s">
        <v>44</v>
      </c>
      <c r="L172" t="s">
        <v>73</v>
      </c>
      <c r="M172" t="s">
        <v>263</v>
      </c>
      <c r="N172" t="s">
        <v>46</v>
      </c>
      <c r="P172" t="s">
        <v>1634</v>
      </c>
      <c r="R172">
        <v>41338.736574074072</v>
      </c>
      <c r="S172">
        <v>42648.815023148149</v>
      </c>
      <c r="T172" t="s">
        <v>1529</v>
      </c>
      <c r="U172" t="s">
        <v>35</v>
      </c>
      <c r="V172" t="s">
        <v>35</v>
      </c>
      <c r="W172" t="s">
        <v>4114</v>
      </c>
    </row>
    <row r="173" spans="2:23" x14ac:dyDescent="0.25">
      <c r="B173" s="19">
        <v>3822</v>
      </c>
      <c r="C173" s="2">
        <f>HYPERLINK(URLs!B36 &amp; 28572,28572)</f>
        <v>28572</v>
      </c>
      <c r="D173" t="s">
        <v>1757</v>
      </c>
      <c r="E173" t="s">
        <v>1613</v>
      </c>
      <c r="F173" t="s">
        <v>305</v>
      </c>
      <c r="G173" t="s">
        <v>304</v>
      </c>
      <c r="H173" t="s">
        <v>30</v>
      </c>
      <c r="I173" t="s">
        <v>35</v>
      </c>
      <c r="J173" t="s">
        <v>43</v>
      </c>
      <c r="K173" t="s">
        <v>44</v>
      </c>
      <c r="L173" t="s">
        <v>73</v>
      </c>
      <c r="M173" t="s">
        <v>263</v>
      </c>
      <c r="N173" t="s">
        <v>46</v>
      </c>
      <c r="P173" t="s">
        <v>1634</v>
      </c>
      <c r="R173">
        <v>41338.736458333333</v>
      </c>
      <c r="S173">
        <v>42648.814814814818</v>
      </c>
      <c r="T173" t="s">
        <v>1529</v>
      </c>
      <c r="U173" t="s">
        <v>35</v>
      </c>
      <c r="V173" t="s">
        <v>35</v>
      </c>
      <c r="W173" t="s">
        <v>1634</v>
      </c>
    </row>
    <row r="174" spans="2:23" x14ac:dyDescent="0.25">
      <c r="B174" s="19">
        <v>3822</v>
      </c>
      <c r="C174" s="2">
        <f>HYPERLINK(URLs!B36 &amp; 25680,25680)</f>
        <v>25680</v>
      </c>
      <c r="D174" t="s">
        <v>1685</v>
      </c>
      <c r="E174" t="s">
        <v>387</v>
      </c>
      <c r="F174" t="s">
        <v>305</v>
      </c>
      <c r="G174" t="s">
        <v>304</v>
      </c>
      <c r="H174" t="s">
        <v>30</v>
      </c>
      <c r="I174" t="s">
        <v>35</v>
      </c>
      <c r="J174" t="s">
        <v>43</v>
      </c>
      <c r="K174" t="s">
        <v>44</v>
      </c>
      <c r="L174" t="s">
        <v>73</v>
      </c>
      <c r="M174" t="s">
        <v>263</v>
      </c>
      <c r="N174" t="s">
        <v>46</v>
      </c>
      <c r="P174" t="s">
        <v>1634</v>
      </c>
      <c r="R174">
        <v>41242.076805555553</v>
      </c>
      <c r="S174">
        <v>41815.750324074077</v>
      </c>
      <c r="T174" t="s">
        <v>1686</v>
      </c>
      <c r="U174" t="s">
        <v>35</v>
      </c>
      <c r="V174" t="s">
        <v>35</v>
      </c>
      <c r="W174" t="s">
        <v>4098</v>
      </c>
    </row>
    <row r="175" spans="2:23" x14ac:dyDescent="0.25">
      <c r="B175" s="19">
        <v>3823</v>
      </c>
      <c r="C175" s="2">
        <f>HYPERLINK(URLs!B36 &amp; 29641,29641)</f>
        <v>29641</v>
      </c>
      <c r="D175" t="s">
        <v>1789</v>
      </c>
      <c r="E175" t="s">
        <v>387</v>
      </c>
      <c r="F175" t="s">
        <v>305</v>
      </c>
      <c r="G175" t="s">
        <v>304</v>
      </c>
      <c r="H175" t="s">
        <v>30</v>
      </c>
      <c r="I175" t="s">
        <v>35</v>
      </c>
      <c r="J175" t="s">
        <v>58</v>
      </c>
      <c r="K175" t="s">
        <v>51</v>
      </c>
      <c r="L175" t="s">
        <v>73</v>
      </c>
      <c r="M175" t="s">
        <v>263</v>
      </c>
      <c r="N175" t="s">
        <v>46</v>
      </c>
      <c r="P175" t="s">
        <v>1530</v>
      </c>
      <c r="R175">
        <v>41380.747581018521</v>
      </c>
      <c r="S175">
        <v>42648.814965277779</v>
      </c>
      <c r="T175" t="s">
        <v>1788</v>
      </c>
      <c r="U175" t="s">
        <v>35</v>
      </c>
      <c r="V175" t="s">
        <v>35</v>
      </c>
      <c r="W175" t="s">
        <v>4121</v>
      </c>
    </row>
    <row r="176" spans="2:23" x14ac:dyDescent="0.25">
      <c r="B176" s="19">
        <v>3823</v>
      </c>
      <c r="C176" s="2">
        <f>HYPERLINK(URLs!B36 &amp; 28592,28592)</f>
        <v>28592</v>
      </c>
      <c r="D176" t="s">
        <v>1761</v>
      </c>
      <c r="E176" t="s">
        <v>387</v>
      </c>
      <c r="F176" t="s">
        <v>305</v>
      </c>
      <c r="G176" t="s">
        <v>353</v>
      </c>
      <c r="H176" t="s">
        <v>30</v>
      </c>
      <c r="I176" t="s">
        <v>35</v>
      </c>
      <c r="J176" t="s">
        <v>333</v>
      </c>
      <c r="K176" t="s">
        <v>51</v>
      </c>
      <c r="L176" t="s">
        <v>73</v>
      </c>
      <c r="M176" t="s">
        <v>263</v>
      </c>
      <c r="N176" t="s">
        <v>46</v>
      </c>
      <c r="P176" t="s">
        <v>1530</v>
      </c>
      <c r="R176">
        <v>41339.530787037038</v>
      </c>
      <c r="S176">
        <v>42649.832187499997</v>
      </c>
      <c r="T176" t="s">
        <v>300</v>
      </c>
      <c r="U176" t="s">
        <v>35</v>
      </c>
      <c r="V176" t="s">
        <v>35</v>
      </c>
      <c r="W176" t="s">
        <v>4098</v>
      </c>
    </row>
    <row r="177" spans="2:23" x14ac:dyDescent="0.25">
      <c r="B177" s="19">
        <v>3823</v>
      </c>
      <c r="C177" s="2">
        <f>HYPERLINK(URLs!B36 &amp; 25322,25322)</f>
        <v>25322</v>
      </c>
      <c r="D177" t="s">
        <v>1677</v>
      </c>
      <c r="E177" t="s">
        <v>387</v>
      </c>
      <c r="F177" t="s">
        <v>305</v>
      </c>
      <c r="G177" t="s">
        <v>304</v>
      </c>
      <c r="H177" t="s">
        <v>30</v>
      </c>
      <c r="I177" t="s">
        <v>35</v>
      </c>
      <c r="J177" t="s">
        <v>58</v>
      </c>
      <c r="K177" t="s">
        <v>51</v>
      </c>
      <c r="L177" t="s">
        <v>73</v>
      </c>
      <c r="M177" t="s">
        <v>263</v>
      </c>
      <c r="N177" t="s">
        <v>46</v>
      </c>
      <c r="P177" t="s">
        <v>1530</v>
      </c>
      <c r="R177">
        <v>41219.58011574074</v>
      </c>
      <c r="S177">
        <v>42648.812303240738</v>
      </c>
      <c r="T177" t="s">
        <v>1529</v>
      </c>
      <c r="U177" t="s">
        <v>35</v>
      </c>
      <c r="V177" t="s">
        <v>35</v>
      </c>
      <c r="W177" t="s">
        <v>4116</v>
      </c>
    </row>
    <row r="178" spans="2:23" x14ac:dyDescent="0.25">
      <c r="B178" s="19">
        <v>3823</v>
      </c>
      <c r="C178" s="2">
        <f>HYPERLINK(URLs!B36 &amp; 25321,25321)</f>
        <v>25321</v>
      </c>
      <c r="D178" t="s">
        <v>1676</v>
      </c>
      <c r="E178" t="s">
        <v>387</v>
      </c>
      <c r="F178" t="s">
        <v>305</v>
      </c>
      <c r="G178" t="s">
        <v>304</v>
      </c>
      <c r="H178" t="s">
        <v>30</v>
      </c>
      <c r="I178" t="s">
        <v>35</v>
      </c>
      <c r="J178" t="s">
        <v>58</v>
      </c>
      <c r="K178" t="s">
        <v>51</v>
      </c>
      <c r="L178" t="s">
        <v>73</v>
      </c>
      <c r="M178" t="s">
        <v>263</v>
      </c>
      <c r="N178" t="s">
        <v>46</v>
      </c>
      <c r="P178" t="s">
        <v>1530</v>
      </c>
      <c r="R178">
        <v>41219.580023148148</v>
      </c>
      <c r="S178">
        <v>42648.812013888892</v>
      </c>
      <c r="T178" t="s">
        <v>1529</v>
      </c>
      <c r="U178" t="s">
        <v>35</v>
      </c>
      <c r="V178" t="s">
        <v>35</v>
      </c>
      <c r="W178" t="s">
        <v>4115</v>
      </c>
    </row>
    <row r="179" spans="2:23" x14ac:dyDescent="0.25">
      <c r="B179" s="19">
        <v>3823</v>
      </c>
      <c r="C179" s="2">
        <f>HYPERLINK(URLs!B36 &amp; 25320,25320)</f>
        <v>25320</v>
      </c>
      <c r="D179" t="s">
        <v>1674</v>
      </c>
      <c r="E179" t="s">
        <v>1675</v>
      </c>
      <c r="F179" t="s">
        <v>305</v>
      </c>
      <c r="G179" t="s">
        <v>304</v>
      </c>
      <c r="H179" t="s">
        <v>30</v>
      </c>
      <c r="I179" t="s">
        <v>35</v>
      </c>
      <c r="J179" t="s">
        <v>58</v>
      </c>
      <c r="K179" t="s">
        <v>51</v>
      </c>
      <c r="L179" t="s">
        <v>73</v>
      </c>
      <c r="M179" t="s">
        <v>263</v>
      </c>
      <c r="N179" t="s">
        <v>46</v>
      </c>
      <c r="P179" t="s">
        <v>1530</v>
      </c>
      <c r="R179">
        <v>41219.579942129632</v>
      </c>
      <c r="S179">
        <v>42648.812326388892</v>
      </c>
      <c r="T179" t="s">
        <v>1529</v>
      </c>
      <c r="U179" t="s">
        <v>35</v>
      </c>
      <c r="V179" t="s">
        <v>35</v>
      </c>
      <c r="W179" t="s">
        <v>4114</v>
      </c>
    </row>
    <row r="180" spans="2:23" x14ac:dyDescent="0.25">
      <c r="B180" s="19">
        <v>3823</v>
      </c>
      <c r="C180" s="2">
        <f>HYPERLINK(URLs!B36 &amp; 25319,25319)</f>
        <v>25319</v>
      </c>
      <c r="D180" t="s">
        <v>1673</v>
      </c>
      <c r="E180" t="s">
        <v>387</v>
      </c>
      <c r="F180" t="s">
        <v>305</v>
      </c>
      <c r="G180" t="s">
        <v>304</v>
      </c>
      <c r="H180" t="s">
        <v>30</v>
      </c>
      <c r="I180" t="s">
        <v>35</v>
      </c>
      <c r="J180" t="s">
        <v>58</v>
      </c>
      <c r="K180" t="s">
        <v>51</v>
      </c>
      <c r="L180" t="s">
        <v>73</v>
      </c>
      <c r="M180" t="s">
        <v>263</v>
      </c>
      <c r="N180" t="s">
        <v>46</v>
      </c>
      <c r="P180" t="s">
        <v>1530</v>
      </c>
      <c r="R180">
        <v>41219.579699074071</v>
      </c>
      <c r="S180">
        <v>41838.557824074072</v>
      </c>
      <c r="T180" t="s">
        <v>1529</v>
      </c>
      <c r="U180" t="s">
        <v>35</v>
      </c>
      <c r="V180" t="s">
        <v>35</v>
      </c>
      <c r="W180" t="s">
        <v>1634</v>
      </c>
    </row>
    <row r="181" spans="2:23" x14ac:dyDescent="0.25">
      <c r="B181" s="19">
        <v>3823</v>
      </c>
      <c r="C181" s="2">
        <f>HYPERLINK(URLs!B36 &amp; 25309,25309)</f>
        <v>25309</v>
      </c>
      <c r="D181" t="s">
        <v>1671</v>
      </c>
      <c r="E181" t="s">
        <v>387</v>
      </c>
      <c r="F181" t="s">
        <v>305</v>
      </c>
      <c r="G181" t="s">
        <v>304</v>
      </c>
      <c r="H181" t="s">
        <v>30</v>
      </c>
      <c r="I181" t="s">
        <v>35</v>
      </c>
      <c r="J181" t="s">
        <v>58</v>
      </c>
      <c r="K181" t="s">
        <v>35</v>
      </c>
      <c r="L181" t="s">
        <v>73</v>
      </c>
      <c r="M181" t="s">
        <v>263</v>
      </c>
      <c r="N181" t="s">
        <v>46</v>
      </c>
      <c r="P181" t="s">
        <v>1530</v>
      </c>
      <c r="R181">
        <v>41219.275694444441</v>
      </c>
      <c r="S181">
        <v>41815.750231481485</v>
      </c>
      <c r="T181" t="s">
        <v>1672</v>
      </c>
      <c r="U181" t="s">
        <v>35</v>
      </c>
      <c r="V181" t="s">
        <v>35</v>
      </c>
      <c r="W181" t="s">
        <v>4098</v>
      </c>
    </row>
    <row r="182" spans="2:23" x14ac:dyDescent="0.25">
      <c r="B182" s="19">
        <v>3824</v>
      </c>
      <c r="C182" s="2">
        <f>HYPERLINK(URLs!B36 &amp; 29942,29942)</f>
        <v>29942</v>
      </c>
      <c r="D182" t="s">
        <v>1804</v>
      </c>
      <c r="E182" t="s">
        <v>1675</v>
      </c>
      <c r="F182" t="s">
        <v>305</v>
      </c>
      <c r="G182" t="s">
        <v>304</v>
      </c>
      <c r="H182" t="s">
        <v>30</v>
      </c>
      <c r="I182" t="s">
        <v>35</v>
      </c>
      <c r="J182" t="s">
        <v>43</v>
      </c>
      <c r="K182" t="s">
        <v>51</v>
      </c>
      <c r="L182" t="s">
        <v>73</v>
      </c>
      <c r="M182" t="s">
        <v>263</v>
      </c>
      <c r="N182" t="s">
        <v>1515</v>
      </c>
      <c r="P182" t="s">
        <v>1634</v>
      </c>
      <c r="R182">
        <v>41388.926863425928</v>
      </c>
      <c r="S182">
        <v>42648.815300925926</v>
      </c>
      <c r="T182" t="s">
        <v>1529</v>
      </c>
      <c r="U182" t="s">
        <v>35</v>
      </c>
      <c r="V182" t="s">
        <v>35</v>
      </c>
      <c r="W182" t="s">
        <v>4121</v>
      </c>
    </row>
    <row r="183" spans="2:23" x14ac:dyDescent="0.25">
      <c r="B183" s="19">
        <v>3824</v>
      </c>
      <c r="C183" s="2">
        <f>HYPERLINK(URLs!B36 &amp; 28610,28610)</f>
        <v>28610</v>
      </c>
      <c r="D183" t="s">
        <v>1766</v>
      </c>
      <c r="E183" t="s">
        <v>387</v>
      </c>
      <c r="F183" t="s">
        <v>305</v>
      </c>
      <c r="G183" t="s">
        <v>337</v>
      </c>
      <c r="H183" t="s">
        <v>30</v>
      </c>
      <c r="I183" t="s">
        <v>35</v>
      </c>
      <c r="J183" t="s">
        <v>43</v>
      </c>
      <c r="K183" t="s">
        <v>51</v>
      </c>
      <c r="L183" t="s">
        <v>73</v>
      </c>
      <c r="M183" t="s">
        <v>263</v>
      </c>
      <c r="N183" t="s">
        <v>1515</v>
      </c>
      <c r="P183" t="s">
        <v>1634</v>
      </c>
      <c r="R183">
        <v>41339.957326388889</v>
      </c>
      <c r="S183">
        <v>42649.83258101852</v>
      </c>
      <c r="T183" t="s">
        <v>1529</v>
      </c>
      <c r="U183" t="s">
        <v>35</v>
      </c>
      <c r="V183" t="s">
        <v>35</v>
      </c>
      <c r="W183" t="s">
        <v>4104</v>
      </c>
    </row>
    <row r="184" spans="2:23" x14ac:dyDescent="0.25">
      <c r="B184" s="19">
        <v>3824</v>
      </c>
      <c r="C184" s="2">
        <f>HYPERLINK(URLs!B36 &amp; 28609,28609)</f>
        <v>28609</v>
      </c>
      <c r="D184" t="s">
        <v>1765</v>
      </c>
      <c r="E184" t="s">
        <v>1675</v>
      </c>
      <c r="F184" t="s">
        <v>305</v>
      </c>
      <c r="G184" t="s">
        <v>304</v>
      </c>
      <c r="H184" t="s">
        <v>30</v>
      </c>
      <c r="I184" t="s">
        <v>35</v>
      </c>
      <c r="J184" t="s">
        <v>43</v>
      </c>
      <c r="K184" t="s">
        <v>51</v>
      </c>
      <c r="L184" t="s">
        <v>73</v>
      </c>
      <c r="M184" t="s">
        <v>263</v>
      </c>
      <c r="N184" t="s">
        <v>1515</v>
      </c>
      <c r="P184" t="s">
        <v>1634</v>
      </c>
      <c r="R184">
        <v>41339.957013888888</v>
      </c>
      <c r="S184">
        <v>42648.815081018518</v>
      </c>
      <c r="T184" t="s">
        <v>1529</v>
      </c>
      <c r="U184" t="s">
        <v>35</v>
      </c>
      <c r="V184" t="s">
        <v>35</v>
      </c>
      <c r="W184" t="s">
        <v>4115</v>
      </c>
    </row>
    <row r="185" spans="2:23" x14ac:dyDescent="0.25">
      <c r="B185" s="19">
        <v>3824</v>
      </c>
      <c r="C185" s="2">
        <f>HYPERLINK(URLs!B36 &amp; 28608,28608)</f>
        <v>28608</v>
      </c>
      <c r="D185" t="s">
        <v>1764</v>
      </c>
      <c r="E185" t="s">
        <v>387</v>
      </c>
      <c r="F185" t="s">
        <v>305</v>
      </c>
      <c r="G185" t="s">
        <v>304</v>
      </c>
      <c r="H185" t="s">
        <v>30</v>
      </c>
      <c r="I185" t="s">
        <v>35</v>
      </c>
      <c r="J185" t="s">
        <v>43</v>
      </c>
      <c r="K185" t="s">
        <v>51</v>
      </c>
      <c r="L185" t="s">
        <v>73</v>
      </c>
      <c r="M185" t="s">
        <v>263</v>
      </c>
      <c r="N185" t="s">
        <v>1515</v>
      </c>
      <c r="P185" t="s">
        <v>1634</v>
      </c>
      <c r="R185">
        <v>41339.95689814815</v>
      </c>
      <c r="S185">
        <v>42648.814976851849</v>
      </c>
      <c r="T185" t="s">
        <v>1529</v>
      </c>
      <c r="U185" t="s">
        <v>35</v>
      </c>
      <c r="V185" t="s">
        <v>35</v>
      </c>
      <c r="W185" t="s">
        <v>4114</v>
      </c>
    </row>
    <row r="186" spans="2:23" x14ac:dyDescent="0.25">
      <c r="B186" s="19">
        <v>3824</v>
      </c>
      <c r="C186" s="2">
        <f>HYPERLINK(URLs!B36 &amp; 28607,28607)</f>
        <v>28607</v>
      </c>
      <c r="D186" t="s">
        <v>1763</v>
      </c>
      <c r="E186" t="s">
        <v>1613</v>
      </c>
      <c r="F186" t="s">
        <v>305</v>
      </c>
      <c r="G186" t="s">
        <v>304</v>
      </c>
      <c r="H186" t="s">
        <v>30</v>
      </c>
      <c r="I186" t="s">
        <v>35</v>
      </c>
      <c r="J186" t="s">
        <v>43</v>
      </c>
      <c r="K186" t="s">
        <v>51</v>
      </c>
      <c r="L186" t="s">
        <v>73</v>
      </c>
      <c r="M186" t="s">
        <v>263</v>
      </c>
      <c r="N186" t="s">
        <v>1515</v>
      </c>
      <c r="P186" t="s">
        <v>1634</v>
      </c>
      <c r="R186">
        <v>41339.956805555557</v>
      </c>
      <c r="S186">
        <v>42648.814872685187</v>
      </c>
      <c r="T186" t="s">
        <v>1529</v>
      </c>
      <c r="U186" t="s">
        <v>35</v>
      </c>
      <c r="V186" t="s">
        <v>35</v>
      </c>
      <c r="W186" t="s">
        <v>1634</v>
      </c>
    </row>
    <row r="187" spans="2:23" x14ac:dyDescent="0.25">
      <c r="B187" s="19">
        <v>3824</v>
      </c>
      <c r="C187" s="2">
        <f>HYPERLINK(URLs!B36 &amp; 28593,28593)</f>
        <v>28593</v>
      </c>
      <c r="D187" t="s">
        <v>1762</v>
      </c>
      <c r="E187" t="s">
        <v>387</v>
      </c>
      <c r="F187" t="s">
        <v>305</v>
      </c>
      <c r="G187" t="s">
        <v>353</v>
      </c>
      <c r="H187" t="s">
        <v>30</v>
      </c>
      <c r="I187" t="s">
        <v>35</v>
      </c>
      <c r="J187" t="s">
        <v>333</v>
      </c>
      <c r="K187" t="s">
        <v>35</v>
      </c>
      <c r="L187" t="s">
        <v>73</v>
      </c>
      <c r="M187" t="s">
        <v>263</v>
      </c>
      <c r="N187" t="s">
        <v>46</v>
      </c>
      <c r="P187" t="s">
        <v>1530</v>
      </c>
      <c r="R187">
        <v>41339.534548611111</v>
      </c>
      <c r="S187">
        <v>42649.832499999997</v>
      </c>
      <c r="T187" t="s">
        <v>300</v>
      </c>
      <c r="U187" t="s">
        <v>35</v>
      </c>
      <c r="V187" t="s">
        <v>35</v>
      </c>
      <c r="W187" t="s">
        <v>4098</v>
      </c>
    </row>
    <row r="188" spans="2:23" x14ac:dyDescent="0.25">
      <c r="B188" s="19">
        <v>3824</v>
      </c>
      <c r="C188" s="2">
        <f>HYPERLINK(URLs!B36 &amp; 26267,26267)</f>
        <v>26267</v>
      </c>
      <c r="D188" t="s">
        <v>1716</v>
      </c>
      <c r="E188" t="s">
        <v>387</v>
      </c>
      <c r="F188" t="s">
        <v>305</v>
      </c>
      <c r="G188" t="s">
        <v>310</v>
      </c>
      <c r="H188" t="s">
        <v>30</v>
      </c>
      <c r="I188" t="s">
        <v>35</v>
      </c>
      <c r="J188" t="s">
        <v>58</v>
      </c>
      <c r="K188" t="s">
        <v>35</v>
      </c>
      <c r="L188" t="s">
        <v>73</v>
      </c>
      <c r="M188" t="s">
        <v>263</v>
      </c>
      <c r="N188" t="s">
        <v>1515</v>
      </c>
      <c r="O188" t="s">
        <v>1717</v>
      </c>
      <c r="P188" t="s">
        <v>1634</v>
      </c>
      <c r="R188">
        <v>41276.409155092595</v>
      </c>
      <c r="S188">
        <v>42649.831099537034</v>
      </c>
      <c r="T188" t="s">
        <v>72</v>
      </c>
      <c r="U188" t="s">
        <v>35</v>
      </c>
      <c r="V188" t="s">
        <v>35</v>
      </c>
      <c r="W188" t="s">
        <v>1634</v>
      </c>
    </row>
    <row r="189" spans="2:23" x14ac:dyDescent="0.25">
      <c r="B189" s="19">
        <v>3824</v>
      </c>
      <c r="C189" s="2">
        <f>HYPERLINK(URLs!B36 &amp; 26266,26266)</f>
        <v>26266</v>
      </c>
      <c r="D189" t="s">
        <v>1715</v>
      </c>
      <c r="E189" t="s">
        <v>387</v>
      </c>
      <c r="F189" t="s">
        <v>305</v>
      </c>
      <c r="G189" t="s">
        <v>304</v>
      </c>
      <c r="H189" t="s">
        <v>30</v>
      </c>
      <c r="I189" t="s">
        <v>35</v>
      </c>
      <c r="J189" t="s">
        <v>43</v>
      </c>
      <c r="K189" t="s">
        <v>35</v>
      </c>
      <c r="L189" t="s">
        <v>73</v>
      </c>
      <c r="M189" t="s">
        <v>263</v>
      </c>
      <c r="N189" t="s">
        <v>1515</v>
      </c>
      <c r="P189" t="s">
        <v>1634</v>
      </c>
      <c r="R189">
        <v>41276.403483796297</v>
      </c>
      <c r="S189">
        <v>41815.74763888889</v>
      </c>
      <c r="T189" t="s">
        <v>72</v>
      </c>
      <c r="U189" t="s">
        <v>35</v>
      </c>
      <c r="V189" t="s">
        <v>35</v>
      </c>
      <c r="W189" t="s">
        <v>4098</v>
      </c>
    </row>
    <row r="190" spans="2:23" x14ac:dyDescent="0.25">
      <c r="B190" s="19">
        <v>3835</v>
      </c>
      <c r="C190" s="2">
        <f>HYPERLINK(URLs!B36 &amp; 28664,28664)</f>
        <v>28664</v>
      </c>
      <c r="D190" t="s">
        <v>1774</v>
      </c>
      <c r="E190" t="s">
        <v>387</v>
      </c>
      <c r="F190" t="s">
        <v>305</v>
      </c>
      <c r="G190" t="s">
        <v>310</v>
      </c>
      <c r="H190" t="s">
        <v>30</v>
      </c>
      <c r="I190" t="s">
        <v>35</v>
      </c>
      <c r="J190" t="s">
        <v>43</v>
      </c>
      <c r="K190" t="s">
        <v>44</v>
      </c>
      <c r="L190" t="s">
        <v>73</v>
      </c>
      <c r="M190" t="s">
        <v>263</v>
      </c>
      <c r="N190" t="s">
        <v>46</v>
      </c>
      <c r="P190" t="s">
        <v>1646</v>
      </c>
      <c r="R190">
        <v>41341.573657407411</v>
      </c>
      <c r="S190">
        <v>42649.832650462966</v>
      </c>
      <c r="T190" t="s">
        <v>1529</v>
      </c>
      <c r="U190" t="s">
        <v>35</v>
      </c>
      <c r="V190" t="s">
        <v>35</v>
      </c>
      <c r="W190" t="s">
        <v>4104</v>
      </c>
    </row>
    <row r="191" spans="2:23" x14ac:dyDescent="0.25">
      <c r="B191" s="19">
        <v>3835</v>
      </c>
      <c r="C191" s="2">
        <f>HYPERLINK(URLs!B36 &amp; 28663,28663)</f>
        <v>28663</v>
      </c>
      <c r="D191" t="s">
        <v>1773</v>
      </c>
      <c r="E191" t="s">
        <v>1675</v>
      </c>
      <c r="F191" t="s">
        <v>305</v>
      </c>
      <c r="G191" t="s">
        <v>304</v>
      </c>
      <c r="H191" t="s">
        <v>30</v>
      </c>
      <c r="I191" t="s">
        <v>35</v>
      </c>
      <c r="J191" t="s">
        <v>43</v>
      </c>
      <c r="K191" t="s">
        <v>44</v>
      </c>
      <c r="L191" t="s">
        <v>73</v>
      </c>
      <c r="M191" t="s">
        <v>263</v>
      </c>
      <c r="N191" t="s">
        <v>46</v>
      </c>
      <c r="P191" t="s">
        <v>1646</v>
      </c>
      <c r="R191">
        <v>41341.573530092595</v>
      </c>
      <c r="S191">
        <v>42648.854872685188</v>
      </c>
      <c r="T191" t="s">
        <v>1529</v>
      </c>
      <c r="U191" t="s">
        <v>35</v>
      </c>
      <c r="V191" t="s">
        <v>35</v>
      </c>
      <c r="W191" t="s">
        <v>4115</v>
      </c>
    </row>
    <row r="192" spans="2:23" x14ac:dyDescent="0.25">
      <c r="B192" s="19">
        <v>3835</v>
      </c>
      <c r="C192" s="2">
        <f>HYPERLINK(URLs!B36 &amp; 28662,28662)</f>
        <v>28662</v>
      </c>
      <c r="D192" t="s">
        <v>1772</v>
      </c>
      <c r="E192" t="s">
        <v>387</v>
      </c>
      <c r="F192" t="s">
        <v>305</v>
      </c>
      <c r="G192" t="s">
        <v>310</v>
      </c>
      <c r="H192" t="s">
        <v>30</v>
      </c>
      <c r="I192" t="s">
        <v>35</v>
      </c>
      <c r="J192" t="s">
        <v>43</v>
      </c>
      <c r="K192" t="s">
        <v>44</v>
      </c>
      <c r="L192" t="s">
        <v>73</v>
      </c>
      <c r="M192" t="s">
        <v>263</v>
      </c>
      <c r="N192" t="s">
        <v>46</v>
      </c>
      <c r="P192" t="s">
        <v>1646</v>
      </c>
      <c r="R192">
        <v>41341.573425925926</v>
      </c>
      <c r="S192">
        <v>42649.832256944443</v>
      </c>
      <c r="T192" t="s">
        <v>1529</v>
      </c>
      <c r="U192" t="s">
        <v>35</v>
      </c>
      <c r="V192" t="s">
        <v>35</v>
      </c>
      <c r="W192" t="s">
        <v>3039</v>
      </c>
    </row>
    <row r="193" spans="2:23" x14ac:dyDescent="0.25">
      <c r="B193" s="19">
        <v>3835</v>
      </c>
      <c r="C193" s="2">
        <f>HYPERLINK(URLs!B36 &amp; 28661,28661)</f>
        <v>28661</v>
      </c>
      <c r="D193" t="s">
        <v>1771</v>
      </c>
      <c r="E193" t="s">
        <v>387</v>
      </c>
      <c r="F193" t="s">
        <v>305</v>
      </c>
      <c r="G193" t="s">
        <v>310</v>
      </c>
      <c r="H193" t="s">
        <v>30</v>
      </c>
      <c r="I193" t="s">
        <v>35</v>
      </c>
      <c r="J193" t="s">
        <v>43</v>
      </c>
      <c r="K193" t="s">
        <v>44</v>
      </c>
      <c r="L193" t="s">
        <v>73</v>
      </c>
      <c r="M193" t="s">
        <v>263</v>
      </c>
      <c r="N193" t="s">
        <v>46</v>
      </c>
      <c r="P193" t="s">
        <v>1646</v>
      </c>
      <c r="R193">
        <v>41341.573321759257</v>
      </c>
      <c r="S193">
        <v>42649.832557870373</v>
      </c>
      <c r="T193" t="s">
        <v>1529</v>
      </c>
      <c r="U193" t="s">
        <v>35</v>
      </c>
      <c r="V193" t="s">
        <v>35</v>
      </c>
      <c r="W193" t="s">
        <v>1634</v>
      </c>
    </row>
    <row r="194" spans="2:23" x14ac:dyDescent="0.25">
      <c r="B194" s="19">
        <v>3835</v>
      </c>
      <c r="C194" s="2">
        <f>HYPERLINK(URLs!B36 &amp; 28657,28657)</f>
        <v>28657</v>
      </c>
      <c r="D194" t="s">
        <v>1768</v>
      </c>
      <c r="E194" t="s">
        <v>387</v>
      </c>
      <c r="F194" t="s">
        <v>305</v>
      </c>
      <c r="G194" t="s">
        <v>304</v>
      </c>
      <c r="H194" t="s">
        <v>30</v>
      </c>
      <c r="I194" t="s">
        <v>35</v>
      </c>
      <c r="J194" t="s">
        <v>43</v>
      </c>
      <c r="K194" t="s">
        <v>44</v>
      </c>
      <c r="L194" t="s">
        <v>73</v>
      </c>
      <c r="M194" t="s">
        <v>263</v>
      </c>
      <c r="N194" t="s">
        <v>46</v>
      </c>
      <c r="P194" t="s">
        <v>1646</v>
      </c>
      <c r="R194">
        <v>41341.554409722223</v>
      </c>
      <c r="S194">
        <v>41815.750069444446</v>
      </c>
      <c r="T194" t="s">
        <v>387</v>
      </c>
      <c r="U194" t="s">
        <v>35</v>
      </c>
      <c r="V194" t="s">
        <v>35</v>
      </c>
      <c r="W194" t="s">
        <v>4098</v>
      </c>
    </row>
    <row r="195" spans="2:23" x14ac:dyDescent="0.25">
      <c r="B195" s="19">
        <v>3836</v>
      </c>
      <c r="C195" s="2">
        <f>HYPERLINK(URLs!B36 &amp; 29639,29639)</f>
        <v>29639</v>
      </c>
      <c r="D195" t="s">
        <v>1787</v>
      </c>
      <c r="E195" t="s">
        <v>1675</v>
      </c>
      <c r="F195" t="s">
        <v>305</v>
      </c>
      <c r="G195" t="s">
        <v>304</v>
      </c>
      <c r="H195" t="s">
        <v>30</v>
      </c>
      <c r="I195" t="s">
        <v>35</v>
      </c>
      <c r="J195" t="s">
        <v>43</v>
      </c>
      <c r="K195" t="s">
        <v>35</v>
      </c>
      <c r="L195" t="s">
        <v>73</v>
      </c>
      <c r="M195" t="s">
        <v>263</v>
      </c>
      <c r="N195" t="s">
        <v>46</v>
      </c>
      <c r="P195" t="s">
        <v>1646</v>
      </c>
      <c r="R195">
        <v>41380.744606481479</v>
      </c>
      <c r="S195">
        <v>42648.815115740741</v>
      </c>
      <c r="T195" t="s">
        <v>1788</v>
      </c>
      <c r="U195" t="s">
        <v>35</v>
      </c>
      <c r="V195" t="s">
        <v>35</v>
      </c>
      <c r="W195" t="s">
        <v>4121</v>
      </c>
    </row>
    <row r="196" spans="2:23" x14ac:dyDescent="0.25">
      <c r="B196" s="19">
        <v>3836</v>
      </c>
      <c r="C196" s="2">
        <f>HYPERLINK(URLs!B36 &amp; 28668,28668)</f>
        <v>28668</v>
      </c>
      <c r="D196" t="s">
        <v>1778</v>
      </c>
      <c r="E196" t="s">
        <v>387</v>
      </c>
      <c r="F196" t="s">
        <v>305</v>
      </c>
      <c r="G196" t="s">
        <v>310</v>
      </c>
      <c r="H196" t="s">
        <v>30</v>
      </c>
      <c r="I196" t="s">
        <v>35</v>
      </c>
      <c r="J196" t="s">
        <v>43</v>
      </c>
      <c r="K196" t="s">
        <v>44</v>
      </c>
      <c r="L196" t="s">
        <v>73</v>
      </c>
      <c r="M196" t="s">
        <v>263</v>
      </c>
      <c r="N196" t="s">
        <v>46</v>
      </c>
      <c r="P196" t="s">
        <v>1646</v>
      </c>
      <c r="R196">
        <v>41341.582395833335</v>
      </c>
      <c r="S196">
        <v>42649.832418981481</v>
      </c>
      <c r="T196" t="s">
        <v>1529</v>
      </c>
      <c r="U196" t="s">
        <v>35</v>
      </c>
      <c r="V196" t="s">
        <v>35</v>
      </c>
      <c r="W196" t="s">
        <v>4104</v>
      </c>
    </row>
    <row r="197" spans="2:23" x14ac:dyDescent="0.25">
      <c r="B197" s="19">
        <v>3836</v>
      </c>
      <c r="C197" s="2">
        <f>HYPERLINK(URLs!B36 &amp; 28667,28667)</f>
        <v>28667</v>
      </c>
      <c r="D197" t="s">
        <v>1777</v>
      </c>
      <c r="E197" t="s">
        <v>1675</v>
      </c>
      <c r="F197" t="s">
        <v>305</v>
      </c>
      <c r="G197" t="s">
        <v>304</v>
      </c>
      <c r="H197" t="s">
        <v>30</v>
      </c>
      <c r="I197" t="s">
        <v>35</v>
      </c>
      <c r="J197" t="s">
        <v>43</v>
      </c>
      <c r="K197" t="s">
        <v>44</v>
      </c>
      <c r="L197" t="s">
        <v>73</v>
      </c>
      <c r="M197" t="s">
        <v>263</v>
      </c>
      <c r="N197" t="s">
        <v>46</v>
      </c>
      <c r="P197" t="s">
        <v>1646</v>
      </c>
      <c r="R197">
        <v>41341.582245370373</v>
      </c>
      <c r="S197">
        <v>42648.81486111111</v>
      </c>
      <c r="T197" t="s">
        <v>1529</v>
      </c>
      <c r="U197" t="s">
        <v>35</v>
      </c>
      <c r="V197" t="s">
        <v>35</v>
      </c>
      <c r="W197" t="s">
        <v>4115</v>
      </c>
    </row>
    <row r="198" spans="2:23" x14ac:dyDescent="0.25">
      <c r="B198" s="19">
        <v>3836</v>
      </c>
      <c r="C198" s="2">
        <f>HYPERLINK(URLs!B36 &amp; 28666,28666)</f>
        <v>28666</v>
      </c>
      <c r="D198" t="s">
        <v>1776</v>
      </c>
      <c r="E198" t="s">
        <v>387</v>
      </c>
      <c r="F198" t="s">
        <v>305</v>
      </c>
      <c r="G198" t="s">
        <v>304</v>
      </c>
      <c r="H198" t="s">
        <v>30</v>
      </c>
      <c r="I198" t="s">
        <v>35</v>
      </c>
      <c r="J198" t="s">
        <v>43</v>
      </c>
      <c r="K198" t="s">
        <v>44</v>
      </c>
      <c r="L198" t="s">
        <v>73</v>
      </c>
      <c r="M198" t="s">
        <v>263</v>
      </c>
      <c r="N198" t="s">
        <v>46</v>
      </c>
      <c r="P198" t="s">
        <v>1646</v>
      </c>
      <c r="R198">
        <v>41341.582129629627</v>
      </c>
      <c r="S198">
        <v>42648.814988425926</v>
      </c>
      <c r="T198" t="s">
        <v>1529</v>
      </c>
      <c r="U198" t="s">
        <v>35</v>
      </c>
      <c r="V198" t="s">
        <v>35</v>
      </c>
      <c r="W198" t="s">
        <v>4114</v>
      </c>
    </row>
    <row r="199" spans="2:23" x14ac:dyDescent="0.25">
      <c r="B199" s="19">
        <v>3836</v>
      </c>
      <c r="C199" s="2">
        <f>HYPERLINK(URLs!B36 &amp; 28665,28665)</f>
        <v>28665</v>
      </c>
      <c r="D199" t="s">
        <v>1775</v>
      </c>
      <c r="E199" t="s">
        <v>1613</v>
      </c>
      <c r="F199" t="s">
        <v>305</v>
      </c>
      <c r="G199" t="s">
        <v>304</v>
      </c>
      <c r="H199" t="s">
        <v>30</v>
      </c>
      <c r="I199" t="s">
        <v>35</v>
      </c>
      <c r="J199" t="s">
        <v>43</v>
      </c>
      <c r="K199" t="s">
        <v>44</v>
      </c>
      <c r="L199" t="s">
        <v>73</v>
      </c>
      <c r="M199" t="s">
        <v>263</v>
      </c>
      <c r="N199" t="s">
        <v>46</v>
      </c>
      <c r="P199" t="s">
        <v>1646</v>
      </c>
      <c r="R199">
        <v>41341.582025462965</v>
      </c>
      <c r="S199">
        <v>42648.815324074072</v>
      </c>
      <c r="T199" t="s">
        <v>1529</v>
      </c>
      <c r="U199" t="s">
        <v>35</v>
      </c>
      <c r="V199" t="s">
        <v>35</v>
      </c>
      <c r="W199" t="s">
        <v>1634</v>
      </c>
    </row>
    <row r="200" spans="2:23" x14ac:dyDescent="0.25">
      <c r="B200" s="19">
        <v>3836</v>
      </c>
      <c r="C200" s="2">
        <f>HYPERLINK(URLs!B36 &amp; 28659,28659)</f>
        <v>28659</v>
      </c>
      <c r="D200" t="s">
        <v>1770</v>
      </c>
      <c r="E200" t="s">
        <v>387</v>
      </c>
      <c r="F200" t="s">
        <v>305</v>
      </c>
      <c r="G200" t="s">
        <v>304</v>
      </c>
      <c r="H200" t="s">
        <v>30</v>
      </c>
      <c r="I200" t="s">
        <v>35</v>
      </c>
      <c r="J200" t="s">
        <v>43</v>
      </c>
      <c r="K200" t="s">
        <v>44</v>
      </c>
      <c r="L200" t="s">
        <v>73</v>
      </c>
      <c r="M200" t="s">
        <v>263</v>
      </c>
      <c r="N200" t="s">
        <v>46</v>
      </c>
      <c r="P200" t="s">
        <v>1646</v>
      </c>
      <c r="R200">
        <v>41341.562858796293</v>
      </c>
      <c r="S200">
        <v>41815.747662037036</v>
      </c>
      <c r="T200" t="s">
        <v>387</v>
      </c>
      <c r="U200" t="s">
        <v>35</v>
      </c>
      <c r="V200" t="s">
        <v>35</v>
      </c>
      <c r="W200" t="s">
        <v>4098</v>
      </c>
    </row>
    <row r="201" spans="2:23" x14ac:dyDescent="0.25">
      <c r="B201" s="19">
        <v>3867</v>
      </c>
      <c r="C201" s="2">
        <f>HYPERLINK(URLs!B36 &amp; 28579,28579)</f>
        <v>28579</v>
      </c>
      <c r="D201" t="s">
        <v>3784</v>
      </c>
      <c r="E201" t="s">
        <v>1827</v>
      </c>
      <c r="F201" t="s">
        <v>305</v>
      </c>
      <c r="G201" t="s">
        <v>304</v>
      </c>
      <c r="H201" t="s">
        <v>426</v>
      </c>
      <c r="I201" t="s">
        <v>35</v>
      </c>
      <c r="J201" t="s">
        <v>43</v>
      </c>
      <c r="K201" t="s">
        <v>44</v>
      </c>
      <c r="L201" t="s">
        <v>34</v>
      </c>
      <c r="M201" t="s">
        <v>3780</v>
      </c>
      <c r="N201" t="s">
        <v>46</v>
      </c>
      <c r="P201" t="s">
        <v>1530</v>
      </c>
      <c r="R201">
        <v>41338.888912037037</v>
      </c>
      <c r="S201">
        <v>41863.802824074075</v>
      </c>
      <c r="T201" t="s">
        <v>39</v>
      </c>
      <c r="U201" t="s">
        <v>35</v>
      </c>
      <c r="V201" t="s">
        <v>35</v>
      </c>
      <c r="W201" t="s">
        <v>4118</v>
      </c>
    </row>
    <row r="202" spans="2:23" x14ac:dyDescent="0.25">
      <c r="B202" s="19">
        <v>3867</v>
      </c>
      <c r="C202" s="2">
        <f>HYPERLINK(URLs!B36 &amp; 28578,28578)</f>
        <v>28578</v>
      </c>
      <c r="D202" t="s">
        <v>3783</v>
      </c>
      <c r="E202" t="s">
        <v>39</v>
      </c>
      <c r="F202" t="s">
        <v>305</v>
      </c>
      <c r="G202" t="s">
        <v>304</v>
      </c>
      <c r="H202" t="s">
        <v>426</v>
      </c>
      <c r="I202" t="s">
        <v>35</v>
      </c>
      <c r="J202" t="s">
        <v>58</v>
      </c>
      <c r="K202" t="s">
        <v>44</v>
      </c>
      <c r="L202" t="s">
        <v>34</v>
      </c>
      <c r="M202" t="s">
        <v>3780</v>
      </c>
      <c r="N202" t="s">
        <v>46</v>
      </c>
      <c r="P202" t="s">
        <v>1530</v>
      </c>
      <c r="R202">
        <v>41338.885497685187</v>
      </c>
      <c r="S202">
        <v>41816.561759259261</v>
      </c>
      <c r="T202" t="s">
        <v>39</v>
      </c>
      <c r="U202" t="s">
        <v>35</v>
      </c>
      <c r="V202" t="s">
        <v>35</v>
      </c>
      <c r="W202" t="s">
        <v>1749</v>
      </c>
    </row>
    <row r="203" spans="2:23" x14ac:dyDescent="0.25">
      <c r="B203" s="19">
        <v>3885</v>
      </c>
      <c r="C203" s="2">
        <f>HYPERLINK(URLs!B36 &amp; 29929,29929)</f>
        <v>29929</v>
      </c>
      <c r="D203" t="s">
        <v>1802</v>
      </c>
      <c r="E203" t="s">
        <v>1533</v>
      </c>
      <c r="F203" t="s">
        <v>305</v>
      </c>
      <c r="G203" t="s">
        <v>337</v>
      </c>
      <c r="H203" t="s">
        <v>30</v>
      </c>
      <c r="I203" t="s">
        <v>35</v>
      </c>
      <c r="J203" t="s">
        <v>32</v>
      </c>
      <c r="K203" t="s">
        <v>33</v>
      </c>
      <c r="L203" t="s">
        <v>73</v>
      </c>
      <c r="M203" t="s">
        <v>1514</v>
      </c>
      <c r="N203" t="s">
        <v>1515</v>
      </c>
      <c r="P203" t="s">
        <v>1530</v>
      </c>
      <c r="R203">
        <v>41388.794953703706</v>
      </c>
      <c r="S203">
        <v>42649.834050925929</v>
      </c>
      <c r="T203" t="s">
        <v>1529</v>
      </c>
      <c r="U203" t="s">
        <v>35</v>
      </c>
      <c r="V203" t="s">
        <v>35</v>
      </c>
      <c r="W203" t="s">
        <v>4120</v>
      </c>
    </row>
    <row r="204" spans="2:23" x14ac:dyDescent="0.25">
      <c r="B204" s="19">
        <v>3885</v>
      </c>
      <c r="C204" s="2">
        <f>HYPERLINK(URLs!B36 &amp; 27587,27587)</f>
        <v>27587</v>
      </c>
      <c r="D204" t="s">
        <v>1740</v>
      </c>
      <c r="E204" t="s">
        <v>1533</v>
      </c>
      <c r="F204" t="s">
        <v>305</v>
      </c>
      <c r="G204" t="s">
        <v>337</v>
      </c>
      <c r="H204" t="s">
        <v>30</v>
      </c>
      <c r="I204" t="s">
        <v>35</v>
      </c>
      <c r="J204" t="s">
        <v>32</v>
      </c>
      <c r="K204" t="s">
        <v>33</v>
      </c>
      <c r="L204" t="s">
        <v>73</v>
      </c>
      <c r="M204" t="s">
        <v>1514</v>
      </c>
      <c r="N204" t="s">
        <v>1515</v>
      </c>
      <c r="P204" t="s">
        <v>1530</v>
      </c>
      <c r="R204">
        <v>41288.916122685187</v>
      </c>
      <c r="S204">
        <v>42649.831932870373</v>
      </c>
      <c r="T204" t="s">
        <v>1529</v>
      </c>
      <c r="U204" t="s">
        <v>35</v>
      </c>
      <c r="V204" t="s">
        <v>35</v>
      </c>
      <c r="W204" t="s">
        <v>4104</v>
      </c>
    </row>
    <row r="205" spans="2:23" x14ac:dyDescent="0.25">
      <c r="B205" s="19">
        <v>3885</v>
      </c>
      <c r="C205" s="2">
        <f>HYPERLINK(URLs!B36 &amp; 27586,27586)</f>
        <v>27586</v>
      </c>
      <c r="D205" t="s">
        <v>1739</v>
      </c>
      <c r="E205" t="s">
        <v>1533</v>
      </c>
      <c r="F205" t="s">
        <v>305</v>
      </c>
      <c r="G205" t="s">
        <v>337</v>
      </c>
      <c r="H205" t="s">
        <v>30</v>
      </c>
      <c r="I205" t="s">
        <v>35</v>
      </c>
      <c r="J205" t="s">
        <v>32</v>
      </c>
      <c r="K205" t="s">
        <v>33</v>
      </c>
      <c r="L205" t="s">
        <v>73</v>
      </c>
      <c r="M205" t="s">
        <v>1514</v>
      </c>
      <c r="N205" t="s">
        <v>1515</v>
      </c>
      <c r="P205" t="s">
        <v>1530</v>
      </c>
      <c r="R205">
        <v>41288.916018518517</v>
      </c>
      <c r="S205">
        <v>42649.831435185188</v>
      </c>
      <c r="T205" t="s">
        <v>1529</v>
      </c>
      <c r="U205" t="s">
        <v>35</v>
      </c>
      <c r="V205" t="s">
        <v>35</v>
      </c>
      <c r="W205" t="s">
        <v>4113</v>
      </c>
    </row>
    <row r="206" spans="2:23" x14ac:dyDescent="0.25">
      <c r="B206" s="19">
        <v>3885</v>
      </c>
      <c r="C206" s="2">
        <f>HYPERLINK(URLs!B36 &amp; 27585,27585)</f>
        <v>27585</v>
      </c>
      <c r="D206" t="s">
        <v>1738</v>
      </c>
      <c r="E206" t="s">
        <v>1533</v>
      </c>
      <c r="F206" t="s">
        <v>305</v>
      </c>
      <c r="G206" t="s">
        <v>304</v>
      </c>
      <c r="H206" t="s">
        <v>30</v>
      </c>
      <c r="I206" t="s">
        <v>35</v>
      </c>
      <c r="J206" t="s">
        <v>32</v>
      </c>
      <c r="K206" t="s">
        <v>33</v>
      </c>
      <c r="L206" t="s">
        <v>73</v>
      </c>
      <c r="M206" t="s">
        <v>1514</v>
      </c>
      <c r="N206" t="s">
        <v>1515</v>
      </c>
      <c r="P206" t="s">
        <v>1530</v>
      </c>
      <c r="R206">
        <v>41288.915902777779</v>
      </c>
      <c r="S206">
        <v>42648.814791666664</v>
      </c>
      <c r="T206" t="s">
        <v>1529</v>
      </c>
      <c r="U206" t="s">
        <v>35</v>
      </c>
      <c r="V206" t="s">
        <v>35</v>
      </c>
      <c r="W206" t="s">
        <v>4119</v>
      </c>
    </row>
    <row r="207" spans="2:23" x14ac:dyDescent="0.25">
      <c r="B207" s="19">
        <v>3885</v>
      </c>
      <c r="C207" s="2">
        <f>HYPERLINK(URLs!B36 &amp; 27584,27584)</f>
        <v>27584</v>
      </c>
      <c r="D207" t="s">
        <v>1737</v>
      </c>
      <c r="E207" t="s">
        <v>1533</v>
      </c>
      <c r="F207" t="s">
        <v>305</v>
      </c>
      <c r="G207" t="s">
        <v>304</v>
      </c>
      <c r="H207" t="s">
        <v>30</v>
      </c>
      <c r="I207" t="s">
        <v>35</v>
      </c>
      <c r="J207" t="s">
        <v>32</v>
      </c>
      <c r="K207" t="s">
        <v>33</v>
      </c>
      <c r="L207" t="s">
        <v>73</v>
      </c>
      <c r="M207" t="s">
        <v>1514</v>
      </c>
      <c r="N207" t="s">
        <v>1515</v>
      </c>
      <c r="O207" t="s">
        <v>1710</v>
      </c>
      <c r="P207" t="s">
        <v>1530</v>
      </c>
      <c r="R207">
        <v>41288.91578703704</v>
      </c>
      <c r="S207">
        <v>42648.814652777779</v>
      </c>
      <c r="T207" t="s">
        <v>1529</v>
      </c>
      <c r="U207" t="s">
        <v>35</v>
      </c>
      <c r="V207" t="s">
        <v>35</v>
      </c>
      <c r="W207" t="s">
        <v>1634</v>
      </c>
    </row>
    <row r="208" spans="2:23" x14ac:dyDescent="0.25">
      <c r="B208" s="19">
        <v>3885</v>
      </c>
      <c r="C208" s="2">
        <f>HYPERLINK(URLs!B36 &amp; 27583,27583)</f>
        <v>27583</v>
      </c>
      <c r="D208" t="s">
        <v>1736</v>
      </c>
      <c r="E208" t="s">
        <v>1533</v>
      </c>
      <c r="F208" t="s">
        <v>305</v>
      </c>
      <c r="G208" t="s">
        <v>304</v>
      </c>
      <c r="H208" t="s">
        <v>30</v>
      </c>
      <c r="I208" t="s">
        <v>35</v>
      </c>
      <c r="J208" t="s">
        <v>32</v>
      </c>
      <c r="K208" t="s">
        <v>33</v>
      </c>
      <c r="L208" t="s">
        <v>73</v>
      </c>
      <c r="M208" t="s">
        <v>1514</v>
      </c>
      <c r="N208" t="s">
        <v>1515</v>
      </c>
      <c r="P208" t="s">
        <v>1530</v>
      </c>
      <c r="R208">
        <v>41288.909837962965</v>
      </c>
      <c r="S208">
        <v>42648.814699074072</v>
      </c>
      <c r="T208" t="s">
        <v>1529</v>
      </c>
      <c r="U208" t="s">
        <v>35</v>
      </c>
      <c r="V208" t="s">
        <v>35</v>
      </c>
      <c r="W208" t="s">
        <v>4098</v>
      </c>
    </row>
    <row r="209" spans="2:23" x14ac:dyDescent="0.25">
      <c r="B209" s="19">
        <v>3934</v>
      </c>
      <c r="C209" s="2">
        <f>HYPERLINK(URLs!B36 &amp; 30618,30618)</f>
        <v>30618</v>
      </c>
      <c r="D209" t="s">
        <v>1830</v>
      </c>
      <c r="E209" t="s">
        <v>387</v>
      </c>
      <c r="F209" t="s">
        <v>305</v>
      </c>
      <c r="G209" t="s">
        <v>304</v>
      </c>
      <c r="H209" t="s">
        <v>54</v>
      </c>
      <c r="I209" t="s">
        <v>35</v>
      </c>
      <c r="J209" t="s">
        <v>43</v>
      </c>
      <c r="K209" t="s">
        <v>51</v>
      </c>
      <c r="L209" t="s">
        <v>96</v>
      </c>
      <c r="M209" t="s">
        <v>269</v>
      </c>
      <c r="N209" t="s">
        <v>46</v>
      </c>
      <c r="P209" t="s">
        <v>1646</v>
      </c>
      <c r="R209">
        <v>41405.866597222222</v>
      </c>
      <c r="S209">
        <v>42649.835104166668</v>
      </c>
      <c r="T209" t="s">
        <v>1529</v>
      </c>
      <c r="U209" t="s">
        <v>35</v>
      </c>
      <c r="V209" t="s">
        <v>35</v>
      </c>
      <c r="W209" t="s">
        <v>4097</v>
      </c>
    </row>
    <row r="210" spans="2:23" x14ac:dyDescent="0.25">
      <c r="B210" s="19">
        <v>3934</v>
      </c>
      <c r="C210" s="2">
        <f>HYPERLINK(URLs!B36 &amp; 29668,29668)</f>
        <v>29668</v>
      </c>
      <c r="D210" t="s">
        <v>1795</v>
      </c>
      <c r="E210" t="s">
        <v>387</v>
      </c>
      <c r="F210" t="s">
        <v>305</v>
      </c>
      <c r="G210" t="s">
        <v>337</v>
      </c>
      <c r="H210" t="s">
        <v>54</v>
      </c>
      <c r="I210" t="s">
        <v>35</v>
      </c>
      <c r="J210" t="s">
        <v>43</v>
      </c>
      <c r="K210" t="s">
        <v>51</v>
      </c>
      <c r="L210" t="s">
        <v>96</v>
      </c>
      <c r="M210" t="s">
        <v>269</v>
      </c>
      <c r="N210" t="s">
        <v>46</v>
      </c>
      <c r="P210" t="s">
        <v>1646</v>
      </c>
      <c r="R210">
        <v>41381.083009259259</v>
      </c>
      <c r="S210">
        <v>41780.775312500002</v>
      </c>
      <c r="T210" t="s">
        <v>1529</v>
      </c>
      <c r="U210" t="s">
        <v>35</v>
      </c>
      <c r="V210" t="s">
        <v>35</v>
      </c>
      <c r="W210" t="s">
        <v>4113</v>
      </c>
    </row>
    <row r="211" spans="2:23" x14ac:dyDescent="0.25">
      <c r="B211" s="19">
        <v>3934</v>
      </c>
      <c r="C211" s="2">
        <f>HYPERLINK(URLs!B36 &amp; 29667,29667)</f>
        <v>29667</v>
      </c>
      <c r="D211" t="s">
        <v>1794</v>
      </c>
      <c r="E211" t="s">
        <v>1675</v>
      </c>
      <c r="F211" t="s">
        <v>305</v>
      </c>
      <c r="G211" t="s">
        <v>304</v>
      </c>
      <c r="H211" t="s">
        <v>54</v>
      </c>
      <c r="I211" t="s">
        <v>35</v>
      </c>
      <c r="J211" t="s">
        <v>43</v>
      </c>
      <c r="K211" t="s">
        <v>51</v>
      </c>
      <c r="L211" t="s">
        <v>96</v>
      </c>
      <c r="M211" t="s">
        <v>269</v>
      </c>
      <c r="N211" t="s">
        <v>46</v>
      </c>
      <c r="P211" t="s">
        <v>1646</v>
      </c>
      <c r="R211">
        <v>41381.082858796297</v>
      </c>
      <c r="S211">
        <v>42648.815497685187</v>
      </c>
      <c r="T211" t="s">
        <v>1529</v>
      </c>
      <c r="U211" t="s">
        <v>35</v>
      </c>
      <c r="V211" t="s">
        <v>35</v>
      </c>
      <c r="W211" t="s">
        <v>4119</v>
      </c>
    </row>
    <row r="212" spans="2:23" x14ac:dyDescent="0.25">
      <c r="B212" s="19">
        <v>3934</v>
      </c>
      <c r="C212" s="2">
        <f>HYPERLINK(URLs!B36 &amp; 29666,29666)</f>
        <v>29666</v>
      </c>
      <c r="D212" t="s">
        <v>1793</v>
      </c>
      <c r="E212" t="s">
        <v>387</v>
      </c>
      <c r="F212" t="s">
        <v>305</v>
      </c>
      <c r="G212" t="s">
        <v>337</v>
      </c>
      <c r="H212" t="s">
        <v>54</v>
      </c>
      <c r="I212" t="s">
        <v>35</v>
      </c>
      <c r="J212" t="s">
        <v>43</v>
      </c>
      <c r="K212" t="s">
        <v>51</v>
      </c>
      <c r="L212" t="s">
        <v>96</v>
      </c>
      <c r="M212" t="s">
        <v>269</v>
      </c>
      <c r="N212" t="s">
        <v>46</v>
      </c>
      <c r="P212" t="s">
        <v>1646</v>
      </c>
      <c r="R212">
        <v>41381.082708333335</v>
      </c>
      <c r="S212">
        <v>42649.833749999998</v>
      </c>
      <c r="T212" t="s">
        <v>1529</v>
      </c>
      <c r="U212" t="s">
        <v>35</v>
      </c>
      <c r="V212" t="s">
        <v>35</v>
      </c>
      <c r="W212" t="s">
        <v>4120</v>
      </c>
    </row>
    <row r="213" spans="2:23" x14ac:dyDescent="0.25">
      <c r="B213" s="19">
        <v>3934</v>
      </c>
      <c r="C213" s="2">
        <f>HYPERLINK(URLs!B36 &amp; 29665,29665)</f>
        <v>29665</v>
      </c>
      <c r="D213" t="s">
        <v>1791</v>
      </c>
      <c r="E213" t="s">
        <v>1675</v>
      </c>
      <c r="F213" t="s">
        <v>305</v>
      </c>
      <c r="G213" t="s">
        <v>304</v>
      </c>
      <c r="H213" t="s">
        <v>54</v>
      </c>
      <c r="I213" t="s">
        <v>35</v>
      </c>
      <c r="J213" t="s">
        <v>43</v>
      </c>
      <c r="K213" t="s">
        <v>51</v>
      </c>
      <c r="L213" t="s">
        <v>96</v>
      </c>
      <c r="M213" t="s">
        <v>269</v>
      </c>
      <c r="N213" t="s">
        <v>46</v>
      </c>
      <c r="O213" t="s">
        <v>1792</v>
      </c>
      <c r="P213" t="s">
        <v>1646</v>
      </c>
      <c r="R213">
        <v>41381.082546296297</v>
      </c>
      <c r="S213">
        <v>42648.815324074072</v>
      </c>
      <c r="T213" t="s">
        <v>1529</v>
      </c>
      <c r="U213" t="s">
        <v>35</v>
      </c>
      <c r="V213" t="s">
        <v>35</v>
      </c>
      <c r="W213" t="s">
        <v>1634</v>
      </c>
    </row>
    <row r="214" spans="2:23" x14ac:dyDescent="0.25">
      <c r="B214" s="19">
        <v>3934</v>
      </c>
      <c r="C214" s="2">
        <f>HYPERLINK(URLs!B36 &amp; 29598,29598)</f>
        <v>29598</v>
      </c>
      <c r="D214" t="s">
        <v>1786</v>
      </c>
      <c r="E214" t="s">
        <v>387</v>
      </c>
      <c r="F214" t="s">
        <v>305</v>
      </c>
      <c r="G214" t="s">
        <v>304</v>
      </c>
      <c r="H214" t="s">
        <v>54</v>
      </c>
      <c r="I214" t="s">
        <v>35</v>
      </c>
      <c r="J214" t="s">
        <v>43</v>
      </c>
      <c r="K214" t="s">
        <v>51</v>
      </c>
      <c r="L214" t="s">
        <v>96</v>
      </c>
      <c r="M214" t="s">
        <v>269</v>
      </c>
      <c r="N214" t="s">
        <v>46</v>
      </c>
      <c r="P214" t="s">
        <v>1646</v>
      </c>
      <c r="R214">
        <v>41380.457557870373</v>
      </c>
      <c r="S214">
        <v>41815.750254629631</v>
      </c>
      <c r="T214" t="s">
        <v>1640</v>
      </c>
      <c r="U214" t="s">
        <v>35</v>
      </c>
      <c r="V214" t="s">
        <v>35</v>
      </c>
      <c r="W214" t="s">
        <v>4098</v>
      </c>
    </row>
    <row r="215" spans="2:23" x14ac:dyDescent="0.25">
      <c r="B215" s="19">
        <v>3934</v>
      </c>
      <c r="C215" s="2">
        <f>HYPERLINK(URLs!B36 &amp; 28922,28922)</f>
        <v>28922</v>
      </c>
      <c r="D215" t="s">
        <v>1785</v>
      </c>
      <c r="E215" t="s">
        <v>387</v>
      </c>
      <c r="F215" t="s">
        <v>305</v>
      </c>
      <c r="G215" t="s">
        <v>337</v>
      </c>
      <c r="H215" t="s">
        <v>30</v>
      </c>
      <c r="I215" t="s">
        <v>35</v>
      </c>
      <c r="J215" t="s">
        <v>1516</v>
      </c>
      <c r="K215" t="s">
        <v>51</v>
      </c>
      <c r="L215" t="s">
        <v>73</v>
      </c>
      <c r="M215" t="s">
        <v>263</v>
      </c>
      <c r="N215" t="s">
        <v>46</v>
      </c>
      <c r="P215" t="s">
        <v>1634</v>
      </c>
      <c r="R215">
        <v>41354.91101851852</v>
      </c>
      <c r="S215">
        <v>42404.712407407409</v>
      </c>
      <c r="T215" t="s">
        <v>1529</v>
      </c>
      <c r="U215" t="s">
        <v>35</v>
      </c>
      <c r="V215" t="s">
        <v>35</v>
      </c>
      <c r="W215" t="s">
        <v>4104</v>
      </c>
    </row>
    <row r="216" spans="2:23" x14ac:dyDescent="0.25">
      <c r="B216" s="19">
        <v>3934</v>
      </c>
      <c r="C216" s="2">
        <f>HYPERLINK(URLs!B36 &amp; 28921,28921)</f>
        <v>28921</v>
      </c>
      <c r="D216" t="s">
        <v>1784</v>
      </c>
      <c r="E216" t="s">
        <v>387</v>
      </c>
      <c r="F216" t="s">
        <v>305</v>
      </c>
      <c r="G216" t="s">
        <v>337</v>
      </c>
      <c r="H216" t="s">
        <v>30</v>
      </c>
      <c r="I216" t="s">
        <v>35</v>
      </c>
      <c r="J216" t="s">
        <v>1516</v>
      </c>
      <c r="K216" t="s">
        <v>51</v>
      </c>
      <c r="L216" t="s">
        <v>73</v>
      </c>
      <c r="M216" t="s">
        <v>263</v>
      </c>
      <c r="N216" t="s">
        <v>46</v>
      </c>
      <c r="P216" t="s">
        <v>1634</v>
      </c>
      <c r="R216">
        <v>41354.910856481481</v>
      </c>
      <c r="S216">
        <v>42404.712939814817</v>
      </c>
      <c r="T216" t="s">
        <v>1529</v>
      </c>
      <c r="U216" t="s">
        <v>35</v>
      </c>
      <c r="V216" t="s">
        <v>35</v>
      </c>
      <c r="W216" t="s">
        <v>4113</v>
      </c>
    </row>
    <row r="217" spans="2:23" x14ac:dyDescent="0.25">
      <c r="B217" s="19">
        <v>3934</v>
      </c>
      <c r="C217" s="2">
        <f>HYPERLINK(URLs!B36 &amp; 28920,28920)</f>
        <v>28920</v>
      </c>
      <c r="D217" t="s">
        <v>1783</v>
      </c>
      <c r="E217" t="s">
        <v>1675</v>
      </c>
      <c r="F217" t="s">
        <v>305</v>
      </c>
      <c r="G217" t="s">
        <v>304</v>
      </c>
      <c r="H217" t="s">
        <v>30</v>
      </c>
      <c r="I217" t="s">
        <v>35</v>
      </c>
      <c r="J217" t="s">
        <v>1516</v>
      </c>
      <c r="K217" t="s">
        <v>51</v>
      </c>
      <c r="L217" t="s">
        <v>73</v>
      </c>
      <c r="M217" t="s">
        <v>263</v>
      </c>
      <c r="N217" t="s">
        <v>46</v>
      </c>
      <c r="P217" t="s">
        <v>1634</v>
      </c>
      <c r="R217">
        <v>41354.910405092596</v>
      </c>
      <c r="S217">
        <v>42404.745335648149</v>
      </c>
      <c r="T217" t="s">
        <v>1529</v>
      </c>
      <c r="U217" t="s">
        <v>35</v>
      </c>
      <c r="V217" t="s">
        <v>35</v>
      </c>
      <c r="W217" t="s">
        <v>4119</v>
      </c>
    </row>
    <row r="218" spans="2:23" x14ac:dyDescent="0.25">
      <c r="B218" s="19">
        <v>3934</v>
      </c>
      <c r="C218" s="2">
        <f>HYPERLINK(URLs!B36 &amp; 28919,28919)</f>
        <v>28919</v>
      </c>
      <c r="D218" t="s">
        <v>1782</v>
      </c>
      <c r="E218" t="s">
        <v>387</v>
      </c>
      <c r="F218" t="s">
        <v>305</v>
      </c>
      <c r="G218" t="s">
        <v>337</v>
      </c>
      <c r="H218" t="s">
        <v>30</v>
      </c>
      <c r="I218" t="s">
        <v>35</v>
      </c>
      <c r="J218" t="s">
        <v>1516</v>
      </c>
      <c r="K218" t="s">
        <v>51</v>
      </c>
      <c r="L218" t="s">
        <v>73</v>
      </c>
      <c r="M218" t="s">
        <v>263</v>
      </c>
      <c r="N218" t="s">
        <v>46</v>
      </c>
      <c r="P218" t="s">
        <v>1634</v>
      </c>
      <c r="R218">
        <v>41354.909884259258</v>
      </c>
      <c r="S218">
        <v>42404.722291666665</v>
      </c>
      <c r="T218" t="s">
        <v>1529</v>
      </c>
      <c r="U218" t="s">
        <v>35</v>
      </c>
      <c r="V218" t="s">
        <v>35</v>
      </c>
      <c r="W218" t="s">
        <v>4120</v>
      </c>
    </row>
    <row r="219" spans="2:23" x14ac:dyDescent="0.25">
      <c r="B219" s="19">
        <v>3934</v>
      </c>
      <c r="C219" s="2">
        <f>HYPERLINK(URLs!B36 &amp; 28918,28918)</f>
        <v>28918</v>
      </c>
      <c r="D219" t="s">
        <v>1781</v>
      </c>
      <c r="E219" t="s">
        <v>387</v>
      </c>
      <c r="F219" t="s">
        <v>305</v>
      </c>
      <c r="G219" t="s">
        <v>304</v>
      </c>
      <c r="H219" t="s">
        <v>30</v>
      </c>
      <c r="I219" t="s">
        <v>35</v>
      </c>
      <c r="J219" t="s">
        <v>1516</v>
      </c>
      <c r="K219" t="s">
        <v>51</v>
      </c>
      <c r="L219" t="s">
        <v>73</v>
      </c>
      <c r="M219" t="s">
        <v>263</v>
      </c>
      <c r="N219" t="s">
        <v>46</v>
      </c>
      <c r="P219" t="s">
        <v>1634</v>
      </c>
      <c r="R219">
        <v>41354.909479166665</v>
      </c>
      <c r="S219">
        <v>41955.877118055556</v>
      </c>
      <c r="T219" t="s">
        <v>1529</v>
      </c>
      <c r="U219" t="s">
        <v>35</v>
      </c>
      <c r="V219" t="s">
        <v>35</v>
      </c>
      <c r="W219" t="s">
        <v>1634</v>
      </c>
    </row>
    <row r="220" spans="2:23" x14ac:dyDescent="0.25">
      <c r="B220" s="19">
        <v>3934</v>
      </c>
      <c r="C220" s="2">
        <f>HYPERLINK(URLs!B36 &amp; 28914,28914)</f>
        <v>28914</v>
      </c>
      <c r="D220" t="s">
        <v>1780</v>
      </c>
      <c r="E220" t="s">
        <v>387</v>
      </c>
      <c r="F220" t="s">
        <v>305</v>
      </c>
      <c r="G220" t="s">
        <v>304</v>
      </c>
      <c r="H220" t="s">
        <v>30</v>
      </c>
      <c r="I220" t="s">
        <v>35</v>
      </c>
      <c r="J220" t="s">
        <v>1516</v>
      </c>
      <c r="K220" t="s">
        <v>51</v>
      </c>
      <c r="L220" t="s">
        <v>73</v>
      </c>
      <c r="M220" t="s">
        <v>263</v>
      </c>
      <c r="N220" t="s">
        <v>46</v>
      </c>
      <c r="P220" t="s">
        <v>1634</v>
      </c>
      <c r="R220">
        <v>41354.879155092596</v>
      </c>
      <c r="S220">
        <v>41815.747199074074</v>
      </c>
      <c r="T220" t="s">
        <v>291</v>
      </c>
      <c r="U220" t="s">
        <v>35</v>
      </c>
      <c r="V220" t="s">
        <v>35</v>
      </c>
      <c r="W220" t="s">
        <v>4098</v>
      </c>
    </row>
    <row r="221" spans="2:23" x14ac:dyDescent="0.25">
      <c r="B221" s="19">
        <v>3954</v>
      </c>
      <c r="C221" s="2">
        <f>HYPERLINK(URLs!B36 &amp; 29973,29973)</f>
        <v>29973</v>
      </c>
      <c r="D221" t="s">
        <v>1810</v>
      </c>
      <c r="E221" t="s">
        <v>387</v>
      </c>
      <c r="F221" t="s">
        <v>305</v>
      </c>
      <c r="G221" t="s">
        <v>337</v>
      </c>
      <c r="H221" t="s">
        <v>30</v>
      </c>
      <c r="I221" t="s">
        <v>35</v>
      </c>
      <c r="J221" t="s">
        <v>43</v>
      </c>
      <c r="K221" t="s">
        <v>44</v>
      </c>
      <c r="L221" t="s">
        <v>73</v>
      </c>
      <c r="M221" t="s">
        <v>1514</v>
      </c>
      <c r="N221" t="s">
        <v>46</v>
      </c>
      <c r="P221" t="s">
        <v>1530</v>
      </c>
      <c r="R221">
        <v>41389.526747685188</v>
      </c>
      <c r="S221">
        <v>42649.833807870367</v>
      </c>
      <c r="T221" t="s">
        <v>1529</v>
      </c>
      <c r="U221" t="s">
        <v>35</v>
      </c>
      <c r="V221" t="s">
        <v>35</v>
      </c>
      <c r="W221" t="s">
        <v>4113</v>
      </c>
    </row>
    <row r="222" spans="2:23" x14ac:dyDescent="0.25">
      <c r="B222" s="19">
        <v>3954</v>
      </c>
      <c r="C222" s="2">
        <f>HYPERLINK(URLs!B36 &amp; 29972,29972)</f>
        <v>29972</v>
      </c>
      <c r="D222" t="s">
        <v>1809</v>
      </c>
      <c r="E222" t="s">
        <v>387</v>
      </c>
      <c r="F222" t="s">
        <v>305</v>
      </c>
      <c r="G222" t="s">
        <v>337</v>
      </c>
      <c r="H222" t="s">
        <v>30</v>
      </c>
      <c r="I222" t="s">
        <v>35</v>
      </c>
      <c r="J222" t="s">
        <v>43</v>
      </c>
      <c r="K222" t="s">
        <v>44</v>
      </c>
      <c r="L222" t="s">
        <v>73</v>
      </c>
      <c r="M222" t="s">
        <v>1514</v>
      </c>
      <c r="N222" t="s">
        <v>46</v>
      </c>
      <c r="P222" t="s">
        <v>1530</v>
      </c>
      <c r="R222">
        <v>41389.526562500003</v>
      </c>
      <c r="S222">
        <v>42649.83421296296</v>
      </c>
      <c r="T222" t="s">
        <v>1529</v>
      </c>
      <c r="U222" t="s">
        <v>35</v>
      </c>
      <c r="V222" t="s">
        <v>35</v>
      </c>
      <c r="W222" t="s">
        <v>3039</v>
      </c>
    </row>
    <row r="223" spans="2:23" x14ac:dyDescent="0.25">
      <c r="B223" s="19">
        <v>3954</v>
      </c>
      <c r="C223" s="2">
        <f>HYPERLINK(URLs!B36 &amp; 29971,29971)</f>
        <v>29971</v>
      </c>
      <c r="D223" t="s">
        <v>1808</v>
      </c>
      <c r="E223" t="s">
        <v>387</v>
      </c>
      <c r="F223" t="s">
        <v>305</v>
      </c>
      <c r="G223" t="s">
        <v>337</v>
      </c>
      <c r="H223" t="s">
        <v>30</v>
      </c>
      <c r="I223" t="s">
        <v>35</v>
      </c>
      <c r="J223" t="s">
        <v>43</v>
      </c>
      <c r="K223" t="s">
        <v>44</v>
      </c>
      <c r="L223" t="s">
        <v>73</v>
      </c>
      <c r="M223" t="s">
        <v>1514</v>
      </c>
      <c r="N223" t="s">
        <v>46</v>
      </c>
      <c r="P223" t="s">
        <v>1530</v>
      </c>
      <c r="R223">
        <v>41389.526435185187</v>
      </c>
      <c r="S223">
        <v>42649.833749999998</v>
      </c>
      <c r="T223" t="s">
        <v>1529</v>
      </c>
      <c r="U223" t="s">
        <v>35</v>
      </c>
      <c r="V223" t="s">
        <v>35</v>
      </c>
      <c r="W223" t="s">
        <v>4120</v>
      </c>
    </row>
    <row r="224" spans="2:23" x14ac:dyDescent="0.25">
      <c r="B224" s="19">
        <v>3954</v>
      </c>
      <c r="C224" s="2">
        <f>HYPERLINK(URLs!B36 &amp; 29970,29970)</f>
        <v>29970</v>
      </c>
      <c r="D224" t="s">
        <v>1807</v>
      </c>
      <c r="E224" t="s">
        <v>1613</v>
      </c>
      <c r="F224" t="s">
        <v>305</v>
      </c>
      <c r="G224" t="s">
        <v>304</v>
      </c>
      <c r="H224" t="s">
        <v>30</v>
      </c>
      <c r="I224" t="s">
        <v>35</v>
      </c>
      <c r="J224" t="s">
        <v>43</v>
      </c>
      <c r="K224" t="s">
        <v>44</v>
      </c>
      <c r="L224" t="s">
        <v>73</v>
      </c>
      <c r="M224" t="s">
        <v>1514</v>
      </c>
      <c r="N224" t="s">
        <v>46</v>
      </c>
      <c r="O224" t="s">
        <v>1710</v>
      </c>
      <c r="P224" t="s">
        <v>1530</v>
      </c>
      <c r="R224">
        <v>41389.526307870372</v>
      </c>
      <c r="S224">
        <v>42648.815555555557</v>
      </c>
      <c r="T224" t="s">
        <v>1529</v>
      </c>
      <c r="U224" t="s">
        <v>35</v>
      </c>
      <c r="V224" t="s">
        <v>35</v>
      </c>
      <c r="W224" t="s">
        <v>1634</v>
      </c>
    </row>
    <row r="225" spans="2:23" x14ac:dyDescent="0.25">
      <c r="B225" s="19">
        <v>3954</v>
      </c>
      <c r="C225" s="2">
        <f>HYPERLINK(URLs!B36 &amp; 29959,29959)</f>
        <v>29959</v>
      </c>
      <c r="D225" t="s">
        <v>1806</v>
      </c>
      <c r="E225" t="s">
        <v>387</v>
      </c>
      <c r="F225" t="s">
        <v>305</v>
      </c>
      <c r="G225" t="s">
        <v>304</v>
      </c>
      <c r="H225" t="s">
        <v>30</v>
      </c>
      <c r="I225" t="s">
        <v>35</v>
      </c>
      <c r="J225" t="s">
        <v>43</v>
      </c>
      <c r="K225" t="s">
        <v>44</v>
      </c>
      <c r="L225" t="s">
        <v>73</v>
      </c>
      <c r="M225" t="s">
        <v>1514</v>
      </c>
      <c r="N225" t="s">
        <v>46</v>
      </c>
      <c r="P225" t="s">
        <v>1530</v>
      </c>
      <c r="R225">
        <v>41389.399571759262</v>
      </c>
      <c r="S225">
        <v>41815.747256944444</v>
      </c>
      <c r="T225" t="s">
        <v>1752</v>
      </c>
      <c r="U225" t="s">
        <v>35</v>
      </c>
      <c r="V225" t="s">
        <v>35</v>
      </c>
      <c r="W225" t="s">
        <v>4098</v>
      </c>
    </row>
    <row r="226" spans="2:23" x14ac:dyDescent="0.25">
      <c r="B226" s="19">
        <v>3960</v>
      </c>
      <c r="C226" s="2">
        <f>HYPERLINK(URLs!B36 &amp; 35278,35278)</f>
        <v>35278</v>
      </c>
      <c r="D226" t="s">
        <v>1961</v>
      </c>
      <c r="E226" t="s">
        <v>387</v>
      </c>
      <c r="F226" t="s">
        <v>305</v>
      </c>
      <c r="G226" t="s">
        <v>310</v>
      </c>
      <c r="H226" t="s">
        <v>54</v>
      </c>
      <c r="I226" t="s">
        <v>35</v>
      </c>
      <c r="J226" t="s">
        <v>43</v>
      </c>
      <c r="K226" t="s">
        <v>51</v>
      </c>
      <c r="L226" t="s">
        <v>73</v>
      </c>
      <c r="M226" t="s">
        <v>263</v>
      </c>
      <c r="N226" t="s">
        <v>46</v>
      </c>
      <c r="P226" t="s">
        <v>1749</v>
      </c>
      <c r="R226">
        <v>41547.569201388891</v>
      </c>
      <c r="S226">
        <v>42649.838993055557</v>
      </c>
      <c r="T226" t="s">
        <v>1529</v>
      </c>
      <c r="U226" t="s">
        <v>35</v>
      </c>
      <c r="V226" t="s">
        <v>35</v>
      </c>
      <c r="W226" t="s">
        <v>394</v>
      </c>
    </row>
    <row r="227" spans="2:23" x14ac:dyDescent="0.25">
      <c r="B227" s="19">
        <v>3970</v>
      </c>
      <c r="C227" s="2">
        <f>HYPERLINK(URLs!B36 &amp; 30933,30933)</f>
        <v>30933</v>
      </c>
      <c r="D227" t="s">
        <v>1840</v>
      </c>
      <c r="E227" t="s">
        <v>1620</v>
      </c>
      <c r="F227" t="s">
        <v>305</v>
      </c>
      <c r="G227" t="s">
        <v>304</v>
      </c>
      <c r="H227" t="s">
        <v>426</v>
      </c>
      <c r="I227" t="s">
        <v>35</v>
      </c>
      <c r="J227" t="s">
        <v>58</v>
      </c>
      <c r="K227" t="s">
        <v>44</v>
      </c>
      <c r="L227" t="s">
        <v>34</v>
      </c>
      <c r="M227" t="s">
        <v>336</v>
      </c>
      <c r="N227" t="s">
        <v>46</v>
      </c>
      <c r="P227" t="s">
        <v>56</v>
      </c>
      <c r="R227">
        <v>41415.758263888885</v>
      </c>
      <c r="S227">
        <v>41816.561678240738</v>
      </c>
      <c r="T227" t="s">
        <v>1841</v>
      </c>
      <c r="U227" t="s">
        <v>35</v>
      </c>
      <c r="V227" t="s">
        <v>35</v>
      </c>
      <c r="W227" t="s">
        <v>1749</v>
      </c>
    </row>
    <row r="228" spans="2:23" x14ac:dyDescent="0.25">
      <c r="B228" s="19">
        <v>3974</v>
      </c>
      <c r="C228" s="2">
        <f>HYPERLINK(URLs!B36 &amp; 30608,30608)</f>
        <v>30608</v>
      </c>
      <c r="D228" t="s">
        <v>1828</v>
      </c>
      <c r="E228" t="s">
        <v>387</v>
      </c>
      <c r="F228" t="s">
        <v>305</v>
      </c>
      <c r="G228" t="s">
        <v>304</v>
      </c>
      <c r="H228" t="s">
        <v>30</v>
      </c>
      <c r="I228" t="s">
        <v>35</v>
      </c>
      <c r="J228" t="s">
        <v>43</v>
      </c>
      <c r="K228" t="s">
        <v>51</v>
      </c>
      <c r="L228" t="s">
        <v>73</v>
      </c>
      <c r="M228" t="s">
        <v>263</v>
      </c>
      <c r="N228" t="s">
        <v>46</v>
      </c>
      <c r="P228" t="s">
        <v>1646</v>
      </c>
      <c r="R228">
        <v>41405.836967592593</v>
      </c>
      <c r="S228">
        <v>42649.900358796294</v>
      </c>
      <c r="T228" t="s">
        <v>1529</v>
      </c>
      <c r="U228" t="s">
        <v>35</v>
      </c>
      <c r="V228" t="s">
        <v>35</v>
      </c>
      <c r="W228" t="s">
        <v>4097</v>
      </c>
    </row>
    <row r="229" spans="2:23" x14ac:dyDescent="0.25">
      <c r="B229" s="19">
        <v>3974</v>
      </c>
      <c r="C229" s="2">
        <f>HYPERLINK(URLs!B36 &amp; 30317,30317)</f>
        <v>30317</v>
      </c>
      <c r="D229" t="s">
        <v>1821</v>
      </c>
      <c r="E229" t="s">
        <v>387</v>
      </c>
      <c r="F229" t="s">
        <v>305</v>
      </c>
      <c r="G229" t="s">
        <v>337</v>
      </c>
      <c r="H229" t="s">
        <v>30</v>
      </c>
      <c r="I229" t="s">
        <v>35</v>
      </c>
      <c r="J229" t="s">
        <v>43</v>
      </c>
      <c r="K229" t="s">
        <v>51</v>
      </c>
      <c r="L229" t="s">
        <v>73</v>
      </c>
      <c r="M229" t="s">
        <v>263</v>
      </c>
      <c r="N229" t="s">
        <v>46</v>
      </c>
      <c r="P229" t="s">
        <v>1646</v>
      </c>
      <c r="R229">
        <v>41398.597430555557</v>
      </c>
      <c r="S229">
        <v>42649.834293981483</v>
      </c>
      <c r="T229" t="s">
        <v>1529</v>
      </c>
      <c r="U229" t="s">
        <v>35</v>
      </c>
      <c r="V229" t="s">
        <v>35</v>
      </c>
      <c r="W229" t="s">
        <v>4113</v>
      </c>
    </row>
    <row r="230" spans="2:23" x14ac:dyDescent="0.25">
      <c r="B230" s="19">
        <v>3974</v>
      </c>
      <c r="C230" s="2">
        <f>HYPERLINK(URLs!B36 &amp; 30316,30316)</f>
        <v>30316</v>
      </c>
      <c r="D230" t="s">
        <v>1820</v>
      </c>
      <c r="E230" t="s">
        <v>387</v>
      </c>
      <c r="F230" t="s">
        <v>305</v>
      </c>
      <c r="G230" t="s">
        <v>304</v>
      </c>
      <c r="H230" t="s">
        <v>30</v>
      </c>
      <c r="I230" t="s">
        <v>35</v>
      </c>
      <c r="J230" t="s">
        <v>43</v>
      </c>
      <c r="K230" t="s">
        <v>51</v>
      </c>
      <c r="L230" t="s">
        <v>73</v>
      </c>
      <c r="M230" t="s">
        <v>263</v>
      </c>
      <c r="N230" t="s">
        <v>46</v>
      </c>
      <c r="P230" t="s">
        <v>1646</v>
      </c>
      <c r="R230">
        <v>41398.597210648149</v>
      </c>
      <c r="S230">
        <v>42648.816481481481</v>
      </c>
      <c r="T230" t="s">
        <v>1529</v>
      </c>
      <c r="U230" t="s">
        <v>35</v>
      </c>
      <c r="V230" t="s">
        <v>35</v>
      </c>
      <c r="W230" t="s">
        <v>4119</v>
      </c>
    </row>
    <row r="231" spans="2:23" x14ac:dyDescent="0.25">
      <c r="B231" s="19">
        <v>3974</v>
      </c>
      <c r="C231" s="2">
        <f>HYPERLINK(URLs!B36 &amp; 30315,30315)</f>
        <v>30315</v>
      </c>
      <c r="D231" t="s">
        <v>1819</v>
      </c>
      <c r="E231" t="s">
        <v>387</v>
      </c>
      <c r="F231" t="s">
        <v>305</v>
      </c>
      <c r="G231" t="s">
        <v>337</v>
      </c>
      <c r="H231" t="s">
        <v>30</v>
      </c>
      <c r="I231" t="s">
        <v>35</v>
      </c>
      <c r="J231" t="s">
        <v>43</v>
      </c>
      <c r="K231" t="s">
        <v>51</v>
      </c>
      <c r="L231" t="s">
        <v>73</v>
      </c>
      <c r="M231" t="s">
        <v>263</v>
      </c>
      <c r="N231" t="s">
        <v>46</v>
      </c>
      <c r="P231" t="s">
        <v>1646</v>
      </c>
      <c r="R231">
        <v>41398.597025462965</v>
      </c>
      <c r="S231">
        <v>42649.834583333337</v>
      </c>
      <c r="T231" t="s">
        <v>1529</v>
      </c>
      <c r="U231" t="s">
        <v>35</v>
      </c>
      <c r="V231" t="s">
        <v>35</v>
      </c>
      <c r="W231" t="s">
        <v>4120</v>
      </c>
    </row>
    <row r="232" spans="2:23" x14ac:dyDescent="0.25">
      <c r="B232" s="19">
        <v>3974</v>
      </c>
      <c r="C232" s="2">
        <f>HYPERLINK(URLs!B36 &amp; 30314,30314)</f>
        <v>30314</v>
      </c>
      <c r="D232" t="s">
        <v>1817</v>
      </c>
      <c r="E232" t="s">
        <v>1613</v>
      </c>
      <c r="F232" t="s">
        <v>305</v>
      </c>
      <c r="G232" t="s">
        <v>304</v>
      </c>
      <c r="H232" t="s">
        <v>30</v>
      </c>
      <c r="I232" t="s">
        <v>35</v>
      </c>
      <c r="J232" t="s">
        <v>43</v>
      </c>
      <c r="K232" t="s">
        <v>51</v>
      </c>
      <c r="L232" t="s">
        <v>73</v>
      </c>
      <c r="M232" t="s">
        <v>263</v>
      </c>
      <c r="N232" t="s">
        <v>46</v>
      </c>
      <c r="O232" t="s">
        <v>1818</v>
      </c>
      <c r="P232" t="s">
        <v>1646</v>
      </c>
      <c r="R232">
        <v>41398.59679398148</v>
      </c>
      <c r="S232">
        <v>42648.816423611112</v>
      </c>
      <c r="T232" t="s">
        <v>1529</v>
      </c>
      <c r="U232" t="s">
        <v>35</v>
      </c>
      <c r="V232" t="s">
        <v>35</v>
      </c>
      <c r="W232" t="s">
        <v>1634</v>
      </c>
    </row>
    <row r="233" spans="2:23" x14ac:dyDescent="0.25">
      <c r="B233" s="19">
        <v>3974</v>
      </c>
      <c r="C233" s="2">
        <f>HYPERLINK(URLs!B36 &amp; 30311,30311)</f>
        <v>30311</v>
      </c>
      <c r="D233" t="s">
        <v>1816</v>
      </c>
      <c r="E233" t="s">
        <v>387</v>
      </c>
      <c r="F233" t="s">
        <v>305</v>
      </c>
      <c r="G233" t="s">
        <v>304</v>
      </c>
      <c r="H233" t="s">
        <v>30</v>
      </c>
      <c r="I233" t="s">
        <v>35</v>
      </c>
      <c r="J233" t="s">
        <v>43</v>
      </c>
      <c r="K233" t="s">
        <v>51</v>
      </c>
      <c r="L233" t="s">
        <v>73</v>
      </c>
      <c r="M233" t="s">
        <v>263</v>
      </c>
      <c r="N233" t="s">
        <v>46</v>
      </c>
      <c r="P233" t="s">
        <v>1646</v>
      </c>
      <c r="R233">
        <v>41397.9844212963</v>
      </c>
      <c r="S233">
        <v>41815.750358796293</v>
      </c>
      <c r="T233" t="s">
        <v>48</v>
      </c>
      <c r="U233" t="s">
        <v>35</v>
      </c>
      <c r="V233" t="s">
        <v>35</v>
      </c>
      <c r="W233" t="s">
        <v>4098</v>
      </c>
    </row>
    <row r="234" spans="2:23" x14ac:dyDescent="0.25">
      <c r="B234" s="19">
        <v>3999</v>
      </c>
      <c r="C234" s="2">
        <f>HYPERLINK(URLs!B36 &amp; 30657,30657)</f>
        <v>30657</v>
      </c>
      <c r="D234" t="s">
        <v>1838</v>
      </c>
      <c r="E234" t="s">
        <v>387</v>
      </c>
      <c r="F234" t="s">
        <v>305</v>
      </c>
      <c r="G234" t="s">
        <v>337</v>
      </c>
      <c r="H234" t="s">
        <v>30</v>
      </c>
      <c r="I234" t="s">
        <v>35</v>
      </c>
      <c r="J234" t="s">
        <v>43</v>
      </c>
      <c r="K234" t="s">
        <v>44</v>
      </c>
      <c r="L234" t="s">
        <v>73</v>
      </c>
      <c r="M234" t="s">
        <v>1514</v>
      </c>
      <c r="N234" t="s">
        <v>46</v>
      </c>
      <c r="P234" t="s">
        <v>1530</v>
      </c>
      <c r="R234">
        <v>41407.709374999999</v>
      </c>
      <c r="S234">
        <v>42649.834594907406</v>
      </c>
      <c r="T234" t="s">
        <v>1529</v>
      </c>
      <c r="U234" t="s">
        <v>35</v>
      </c>
      <c r="V234" t="s">
        <v>35</v>
      </c>
      <c r="W234" t="s">
        <v>4104</v>
      </c>
    </row>
    <row r="235" spans="2:23" x14ac:dyDescent="0.25">
      <c r="B235" s="19">
        <v>3999</v>
      </c>
      <c r="C235" s="2">
        <f>HYPERLINK(URLs!B36 &amp; 30656,30656)</f>
        <v>30656</v>
      </c>
      <c r="D235" t="s">
        <v>1837</v>
      </c>
      <c r="E235" t="s">
        <v>387</v>
      </c>
      <c r="F235" t="s">
        <v>305</v>
      </c>
      <c r="G235" t="s">
        <v>337</v>
      </c>
      <c r="H235" t="s">
        <v>30</v>
      </c>
      <c r="I235" t="s">
        <v>35</v>
      </c>
      <c r="J235" t="s">
        <v>43</v>
      </c>
      <c r="K235" t="s">
        <v>44</v>
      </c>
      <c r="L235" t="s">
        <v>73</v>
      </c>
      <c r="M235" t="s">
        <v>1514</v>
      </c>
      <c r="N235" t="s">
        <v>46</v>
      </c>
      <c r="P235" t="s">
        <v>1530</v>
      </c>
      <c r="R235">
        <v>41407.709224537037</v>
      </c>
      <c r="S235">
        <v>41709.645856481482</v>
      </c>
      <c r="T235" t="s">
        <v>1529</v>
      </c>
      <c r="U235" t="s">
        <v>35</v>
      </c>
      <c r="V235" t="s">
        <v>35</v>
      </c>
      <c r="W235" t="s">
        <v>4113</v>
      </c>
    </row>
    <row r="236" spans="2:23" x14ac:dyDescent="0.25">
      <c r="B236" s="19">
        <v>3999</v>
      </c>
      <c r="C236" s="2">
        <f>HYPERLINK(URLs!B36 &amp; 30655,30655)</f>
        <v>30655</v>
      </c>
      <c r="D236" t="s">
        <v>1836</v>
      </c>
      <c r="E236" t="s">
        <v>1675</v>
      </c>
      <c r="F236" t="s">
        <v>305</v>
      </c>
      <c r="G236" t="s">
        <v>304</v>
      </c>
      <c r="H236" t="s">
        <v>30</v>
      </c>
      <c r="I236" t="s">
        <v>35</v>
      </c>
      <c r="J236" t="s">
        <v>43</v>
      </c>
      <c r="K236" t="s">
        <v>44</v>
      </c>
      <c r="L236" t="s">
        <v>73</v>
      </c>
      <c r="M236" t="s">
        <v>1514</v>
      </c>
      <c r="N236" t="s">
        <v>46</v>
      </c>
      <c r="P236" t="s">
        <v>1530</v>
      </c>
      <c r="R236">
        <v>41407.709143518521</v>
      </c>
      <c r="S236">
        <v>42648.81658564815</v>
      </c>
      <c r="T236" t="s">
        <v>1529</v>
      </c>
      <c r="U236" t="s">
        <v>35</v>
      </c>
      <c r="V236" t="s">
        <v>35</v>
      </c>
      <c r="W236" t="s">
        <v>4119</v>
      </c>
    </row>
    <row r="237" spans="2:23" x14ac:dyDescent="0.25">
      <c r="B237" s="19">
        <v>3999</v>
      </c>
      <c r="C237" s="2">
        <f>HYPERLINK(URLs!B36 &amp; 30654,30654)</f>
        <v>30654</v>
      </c>
      <c r="D237" t="s">
        <v>1835</v>
      </c>
      <c r="E237" t="s">
        <v>1675</v>
      </c>
      <c r="F237" t="s">
        <v>305</v>
      </c>
      <c r="G237" t="s">
        <v>304</v>
      </c>
      <c r="H237" t="s">
        <v>30</v>
      </c>
      <c r="I237" t="s">
        <v>35</v>
      </c>
      <c r="J237" t="s">
        <v>43</v>
      </c>
      <c r="K237" t="s">
        <v>44</v>
      </c>
      <c r="L237" t="s">
        <v>73</v>
      </c>
      <c r="M237" t="s">
        <v>1514</v>
      </c>
      <c r="N237" t="s">
        <v>46</v>
      </c>
      <c r="O237" t="s">
        <v>1710</v>
      </c>
      <c r="P237" t="s">
        <v>1530</v>
      </c>
      <c r="R237">
        <v>41407.709050925929</v>
      </c>
      <c r="S237">
        <v>42648.816770833335</v>
      </c>
      <c r="T237" t="s">
        <v>1529</v>
      </c>
      <c r="U237" t="s">
        <v>35</v>
      </c>
      <c r="V237" t="s">
        <v>35</v>
      </c>
      <c r="W237" t="s">
        <v>1634</v>
      </c>
    </row>
    <row r="238" spans="2:23" x14ac:dyDescent="0.25">
      <c r="B238" s="19">
        <v>3999</v>
      </c>
      <c r="C238" s="2">
        <f>HYPERLINK(URLs!B36 &amp; 30653,30653)</f>
        <v>30653</v>
      </c>
      <c r="D238" t="s">
        <v>1834</v>
      </c>
      <c r="E238" t="s">
        <v>387</v>
      </c>
      <c r="F238" t="s">
        <v>305</v>
      </c>
      <c r="G238" t="s">
        <v>310</v>
      </c>
      <c r="H238" t="s">
        <v>30</v>
      </c>
      <c r="I238" t="s">
        <v>35</v>
      </c>
      <c r="J238" t="s">
        <v>43</v>
      </c>
      <c r="K238" t="s">
        <v>44</v>
      </c>
      <c r="L238" t="s">
        <v>73</v>
      </c>
      <c r="M238" t="s">
        <v>1514</v>
      </c>
      <c r="N238" t="s">
        <v>46</v>
      </c>
      <c r="P238" t="s">
        <v>1530</v>
      </c>
      <c r="R238">
        <v>41407.708969907406</v>
      </c>
      <c r="S238">
        <v>42649.835219907407</v>
      </c>
      <c r="T238" t="s">
        <v>1529</v>
      </c>
      <c r="U238" t="s">
        <v>35</v>
      </c>
      <c r="V238" t="s">
        <v>35</v>
      </c>
      <c r="W238" t="s">
        <v>4097</v>
      </c>
    </row>
    <row r="239" spans="2:23" x14ac:dyDescent="0.25">
      <c r="B239" s="19">
        <v>3999</v>
      </c>
      <c r="C239" s="2">
        <f>HYPERLINK(URLs!B36 &amp; 30652,30652)</f>
        <v>30652</v>
      </c>
      <c r="D239" t="s">
        <v>1833</v>
      </c>
      <c r="E239" t="s">
        <v>387</v>
      </c>
      <c r="F239" t="s">
        <v>305</v>
      </c>
      <c r="G239" t="s">
        <v>304</v>
      </c>
      <c r="H239" t="s">
        <v>30</v>
      </c>
      <c r="I239" t="s">
        <v>35</v>
      </c>
      <c r="J239" t="s">
        <v>43</v>
      </c>
      <c r="K239" t="s">
        <v>44</v>
      </c>
      <c r="L239" t="s">
        <v>73</v>
      </c>
      <c r="M239" t="s">
        <v>1514</v>
      </c>
      <c r="N239" t="s">
        <v>46</v>
      </c>
      <c r="P239" t="s">
        <v>1530</v>
      </c>
      <c r="R239">
        <v>41407.705266203702</v>
      </c>
      <c r="S239">
        <v>41815.747291666667</v>
      </c>
      <c r="T239" t="s">
        <v>1686</v>
      </c>
      <c r="U239" t="s">
        <v>35</v>
      </c>
      <c r="V239" t="s">
        <v>35</v>
      </c>
      <c r="W239" t="s">
        <v>4098</v>
      </c>
    </row>
    <row r="240" spans="2:23" x14ac:dyDescent="0.25">
      <c r="B240" s="19">
        <v>4016</v>
      </c>
      <c r="C240" s="2">
        <f>HYPERLINK(URLs!B36 &amp; 30617,30617)</f>
        <v>30617</v>
      </c>
      <c r="D240" t="s">
        <v>1829</v>
      </c>
      <c r="E240" t="s">
        <v>387</v>
      </c>
      <c r="F240" t="s">
        <v>305</v>
      </c>
      <c r="G240" t="s">
        <v>310</v>
      </c>
      <c r="H240" t="s">
        <v>30</v>
      </c>
      <c r="I240" t="s">
        <v>35</v>
      </c>
      <c r="J240" t="s">
        <v>43</v>
      </c>
      <c r="K240" t="s">
        <v>44</v>
      </c>
      <c r="L240" t="s">
        <v>73</v>
      </c>
      <c r="M240" t="s">
        <v>1514</v>
      </c>
      <c r="N240" t="s">
        <v>46</v>
      </c>
      <c r="P240" t="s">
        <v>1530</v>
      </c>
      <c r="R240">
        <v>41405.863981481481</v>
      </c>
      <c r="S240">
        <v>42649.834930555553</v>
      </c>
      <c r="T240" t="s">
        <v>1529</v>
      </c>
      <c r="U240" t="s">
        <v>35</v>
      </c>
      <c r="V240" t="s">
        <v>35</v>
      </c>
      <c r="W240" t="s">
        <v>4097</v>
      </c>
    </row>
    <row r="241" spans="2:23" x14ac:dyDescent="0.25">
      <c r="B241" s="19">
        <v>4016</v>
      </c>
      <c r="C241" s="2">
        <f>HYPERLINK(URLs!B36 &amp; 29701,29701)</f>
        <v>29701</v>
      </c>
      <c r="D241" t="s">
        <v>1801</v>
      </c>
      <c r="E241" t="s">
        <v>387</v>
      </c>
      <c r="F241" t="s">
        <v>305</v>
      </c>
      <c r="G241" t="s">
        <v>337</v>
      </c>
      <c r="H241" t="s">
        <v>30</v>
      </c>
      <c r="I241" t="s">
        <v>35</v>
      </c>
      <c r="J241" t="s">
        <v>43</v>
      </c>
      <c r="K241" t="s">
        <v>35</v>
      </c>
      <c r="L241" t="s">
        <v>73</v>
      </c>
      <c r="M241" t="s">
        <v>1514</v>
      </c>
      <c r="N241" t="s">
        <v>46</v>
      </c>
      <c r="P241" t="s">
        <v>1530</v>
      </c>
      <c r="R241">
        <v>41381.921458333331</v>
      </c>
      <c r="S241">
        <v>42649.83388888889</v>
      </c>
      <c r="T241" t="s">
        <v>1529</v>
      </c>
      <c r="U241" t="s">
        <v>35</v>
      </c>
      <c r="V241" t="s">
        <v>35</v>
      </c>
      <c r="W241" t="s">
        <v>4113</v>
      </c>
    </row>
    <row r="242" spans="2:23" x14ac:dyDescent="0.25">
      <c r="B242" s="19">
        <v>4016</v>
      </c>
      <c r="C242" s="2">
        <f>HYPERLINK(URLs!B36 &amp; 29700,29700)</f>
        <v>29700</v>
      </c>
      <c r="D242" t="s">
        <v>1800</v>
      </c>
      <c r="E242" t="s">
        <v>387</v>
      </c>
      <c r="F242" t="s">
        <v>305</v>
      </c>
      <c r="G242" t="s">
        <v>337</v>
      </c>
      <c r="H242" t="s">
        <v>30</v>
      </c>
      <c r="I242" t="s">
        <v>35</v>
      </c>
      <c r="J242" t="s">
        <v>43</v>
      </c>
      <c r="K242" t="s">
        <v>35</v>
      </c>
      <c r="L242" t="s">
        <v>73</v>
      </c>
      <c r="M242" t="s">
        <v>1514</v>
      </c>
      <c r="N242" t="s">
        <v>46</v>
      </c>
      <c r="P242" t="s">
        <v>1530</v>
      </c>
      <c r="R242">
        <v>41381.921296296299</v>
      </c>
      <c r="S242">
        <v>42649.834097222221</v>
      </c>
      <c r="T242" t="s">
        <v>1529</v>
      </c>
      <c r="U242" t="s">
        <v>35</v>
      </c>
      <c r="V242" t="s">
        <v>35</v>
      </c>
      <c r="W242" t="s">
        <v>3039</v>
      </c>
    </row>
    <row r="243" spans="2:23" x14ac:dyDescent="0.25">
      <c r="B243" s="19">
        <v>4016</v>
      </c>
      <c r="C243" s="2">
        <f>HYPERLINK(URLs!B36 &amp; 29699,29699)</f>
        <v>29699</v>
      </c>
      <c r="D243" t="s">
        <v>1799</v>
      </c>
      <c r="E243" t="s">
        <v>387</v>
      </c>
      <c r="F243" t="s">
        <v>305</v>
      </c>
      <c r="G243" t="s">
        <v>337</v>
      </c>
      <c r="H243" t="s">
        <v>30</v>
      </c>
      <c r="I243" t="s">
        <v>35</v>
      </c>
      <c r="J243" t="s">
        <v>43</v>
      </c>
      <c r="K243" t="s">
        <v>35</v>
      </c>
      <c r="L243" t="s">
        <v>73</v>
      </c>
      <c r="M243" t="s">
        <v>1514</v>
      </c>
      <c r="N243" t="s">
        <v>46</v>
      </c>
      <c r="P243" t="s">
        <v>1530</v>
      </c>
      <c r="R243">
        <v>41381.921111111114</v>
      </c>
      <c r="S243">
        <v>42649.833680555559</v>
      </c>
      <c r="T243" t="s">
        <v>1529</v>
      </c>
      <c r="U243" t="s">
        <v>35</v>
      </c>
      <c r="V243" t="s">
        <v>35</v>
      </c>
      <c r="W243" t="s">
        <v>4120</v>
      </c>
    </row>
    <row r="244" spans="2:23" x14ac:dyDescent="0.25">
      <c r="B244" s="19">
        <v>4016</v>
      </c>
      <c r="C244" s="2">
        <f>HYPERLINK(URLs!B36 &amp; 29698,29698)</f>
        <v>29698</v>
      </c>
      <c r="D244" t="s">
        <v>1798</v>
      </c>
      <c r="E244" t="s">
        <v>387</v>
      </c>
      <c r="F244" t="s">
        <v>305</v>
      </c>
      <c r="G244" t="s">
        <v>304</v>
      </c>
      <c r="H244" t="s">
        <v>30</v>
      </c>
      <c r="I244" t="s">
        <v>35</v>
      </c>
      <c r="J244" t="s">
        <v>43</v>
      </c>
      <c r="K244" t="s">
        <v>44</v>
      </c>
      <c r="L244" t="s">
        <v>73</v>
      </c>
      <c r="M244" t="s">
        <v>1514</v>
      </c>
      <c r="N244" t="s">
        <v>46</v>
      </c>
      <c r="O244" t="s">
        <v>1792</v>
      </c>
      <c r="P244" t="s">
        <v>1530</v>
      </c>
      <c r="R244">
        <v>41381.920949074076</v>
      </c>
      <c r="S244">
        <v>42648.815520833334</v>
      </c>
      <c r="T244" t="s">
        <v>1529</v>
      </c>
      <c r="U244" t="s">
        <v>35</v>
      </c>
      <c r="V244" t="s">
        <v>35</v>
      </c>
      <c r="W244" t="s">
        <v>1634</v>
      </c>
    </row>
    <row r="245" spans="2:23" x14ac:dyDescent="0.25">
      <c r="B245" s="19">
        <v>4016</v>
      </c>
      <c r="C245" s="2">
        <f>HYPERLINK(URLs!B36 &amp; 29697,29697)</f>
        <v>29697</v>
      </c>
      <c r="D245" t="s">
        <v>1797</v>
      </c>
      <c r="E245" t="s">
        <v>387</v>
      </c>
      <c r="F245" t="s">
        <v>305</v>
      </c>
      <c r="G245" t="s">
        <v>304</v>
      </c>
      <c r="H245" t="s">
        <v>30</v>
      </c>
      <c r="I245" t="s">
        <v>35</v>
      </c>
      <c r="J245" t="s">
        <v>43</v>
      </c>
      <c r="K245" t="s">
        <v>44</v>
      </c>
      <c r="L245" t="s">
        <v>73</v>
      </c>
      <c r="M245" t="s">
        <v>1514</v>
      </c>
      <c r="N245" t="s">
        <v>46</v>
      </c>
      <c r="P245" t="s">
        <v>1530</v>
      </c>
      <c r="R245">
        <v>41381.899039351854</v>
      </c>
      <c r="S245">
        <v>41816.554085648146</v>
      </c>
      <c r="T245" t="s">
        <v>300</v>
      </c>
      <c r="U245" t="s">
        <v>35</v>
      </c>
      <c r="V245" t="s">
        <v>35</v>
      </c>
      <c r="W245" t="s">
        <v>4098</v>
      </c>
    </row>
    <row r="246" spans="2:23" x14ac:dyDescent="0.25">
      <c r="B246" s="19">
        <v>4033</v>
      </c>
      <c r="C246" s="2">
        <f>HYPERLINK(URLs!B36 &amp; 31003,31003)</f>
        <v>31003</v>
      </c>
      <c r="D246" t="s">
        <v>1849</v>
      </c>
      <c r="E246" t="s">
        <v>387</v>
      </c>
      <c r="F246" t="s">
        <v>305</v>
      </c>
      <c r="G246" t="s">
        <v>337</v>
      </c>
      <c r="H246" t="s">
        <v>30</v>
      </c>
      <c r="I246" t="s">
        <v>35</v>
      </c>
      <c r="J246" t="s">
        <v>43</v>
      </c>
      <c r="K246" t="s">
        <v>44</v>
      </c>
      <c r="L246" t="s">
        <v>73</v>
      </c>
      <c r="M246" t="s">
        <v>263</v>
      </c>
      <c r="N246" t="s">
        <v>46</v>
      </c>
      <c r="P246" t="s">
        <v>1646</v>
      </c>
      <c r="R246">
        <v>41417.681064814817</v>
      </c>
      <c r="S246">
        <v>42649.835428240738</v>
      </c>
      <c r="T246" t="s">
        <v>1529</v>
      </c>
      <c r="U246" t="s">
        <v>35</v>
      </c>
      <c r="V246" t="s">
        <v>35</v>
      </c>
      <c r="W246" t="s">
        <v>4104</v>
      </c>
    </row>
    <row r="247" spans="2:23" x14ac:dyDescent="0.25">
      <c r="B247" s="19">
        <v>4033</v>
      </c>
      <c r="C247" s="2">
        <f>HYPERLINK(URLs!B36 &amp; 31002,31002)</f>
        <v>31002</v>
      </c>
      <c r="D247" t="s">
        <v>1848</v>
      </c>
      <c r="E247" t="s">
        <v>387</v>
      </c>
      <c r="F247" t="s">
        <v>305</v>
      </c>
      <c r="G247" t="s">
        <v>337</v>
      </c>
      <c r="H247" t="s">
        <v>30</v>
      </c>
      <c r="I247" t="s">
        <v>35</v>
      </c>
      <c r="J247" t="s">
        <v>43</v>
      </c>
      <c r="K247" t="s">
        <v>44</v>
      </c>
      <c r="L247" t="s">
        <v>73</v>
      </c>
      <c r="M247" t="s">
        <v>263</v>
      </c>
      <c r="N247" t="s">
        <v>46</v>
      </c>
      <c r="P247" t="s">
        <v>1646</v>
      </c>
      <c r="R247">
        <v>41417.680925925924</v>
      </c>
      <c r="S247">
        <v>41709.647962962961</v>
      </c>
      <c r="T247" t="s">
        <v>1529</v>
      </c>
      <c r="U247" t="s">
        <v>35</v>
      </c>
      <c r="V247" t="s">
        <v>35</v>
      </c>
      <c r="W247" t="s">
        <v>4113</v>
      </c>
    </row>
    <row r="248" spans="2:23" x14ac:dyDescent="0.25">
      <c r="B248" s="19">
        <v>4033</v>
      </c>
      <c r="C248" s="2">
        <f>HYPERLINK(URLs!B36 &amp; 31001,31001)</f>
        <v>31001</v>
      </c>
      <c r="D248" t="s">
        <v>1847</v>
      </c>
      <c r="E248" t="s">
        <v>387</v>
      </c>
      <c r="F248" t="s">
        <v>305</v>
      </c>
      <c r="G248" t="s">
        <v>304</v>
      </c>
      <c r="H248" t="s">
        <v>30</v>
      </c>
      <c r="I248" t="s">
        <v>35</v>
      </c>
      <c r="J248" t="s">
        <v>43</v>
      </c>
      <c r="K248" t="s">
        <v>44</v>
      </c>
      <c r="L248" t="s">
        <v>73</v>
      </c>
      <c r="M248" t="s">
        <v>263</v>
      </c>
      <c r="N248" t="s">
        <v>46</v>
      </c>
      <c r="P248" t="s">
        <v>1646</v>
      </c>
      <c r="R248">
        <v>41417.680821759262</v>
      </c>
      <c r="S248">
        <v>42648.816620370373</v>
      </c>
      <c r="T248" t="s">
        <v>1529</v>
      </c>
      <c r="U248" t="s">
        <v>35</v>
      </c>
      <c r="V248" t="s">
        <v>35</v>
      </c>
      <c r="W248" t="s">
        <v>4119</v>
      </c>
    </row>
    <row r="249" spans="2:23" x14ac:dyDescent="0.25">
      <c r="B249" s="19">
        <v>4033</v>
      </c>
      <c r="C249" s="2">
        <f>HYPERLINK(URLs!B36 &amp; 31000,31000)</f>
        <v>31000</v>
      </c>
      <c r="D249" t="s">
        <v>1845</v>
      </c>
      <c r="E249" t="s">
        <v>1675</v>
      </c>
      <c r="F249" t="s">
        <v>305</v>
      </c>
      <c r="G249" t="s">
        <v>304</v>
      </c>
      <c r="H249" t="s">
        <v>30</v>
      </c>
      <c r="I249" t="s">
        <v>35</v>
      </c>
      <c r="J249" t="s">
        <v>43</v>
      </c>
      <c r="K249" t="s">
        <v>44</v>
      </c>
      <c r="L249" t="s">
        <v>73</v>
      </c>
      <c r="M249" t="s">
        <v>263</v>
      </c>
      <c r="N249" t="s">
        <v>46</v>
      </c>
      <c r="O249" t="s">
        <v>1846</v>
      </c>
      <c r="P249" t="s">
        <v>1646</v>
      </c>
      <c r="R249">
        <v>41417.680694444447</v>
      </c>
      <c r="S249">
        <v>42648.816747685189</v>
      </c>
      <c r="T249" t="s">
        <v>1529</v>
      </c>
      <c r="U249" t="s">
        <v>35</v>
      </c>
      <c r="V249" t="s">
        <v>35</v>
      </c>
      <c r="W249" t="s">
        <v>1634</v>
      </c>
    </row>
    <row r="250" spans="2:23" x14ac:dyDescent="0.25">
      <c r="B250" s="19">
        <v>4033</v>
      </c>
      <c r="C250" s="2">
        <f>HYPERLINK(URLs!B36 &amp; 30999,30999)</f>
        <v>30999</v>
      </c>
      <c r="D250" t="s">
        <v>1844</v>
      </c>
      <c r="E250" t="s">
        <v>387</v>
      </c>
      <c r="F250" t="s">
        <v>305</v>
      </c>
      <c r="G250" t="s">
        <v>304</v>
      </c>
      <c r="H250" t="s">
        <v>30</v>
      </c>
      <c r="I250" t="s">
        <v>35</v>
      </c>
      <c r="J250" t="s">
        <v>43</v>
      </c>
      <c r="K250" t="s">
        <v>44</v>
      </c>
      <c r="L250" t="s">
        <v>73</v>
      </c>
      <c r="M250" t="s">
        <v>263</v>
      </c>
      <c r="N250" t="s">
        <v>46</v>
      </c>
      <c r="P250" t="s">
        <v>1646</v>
      </c>
      <c r="R250">
        <v>41417.680567129632</v>
      </c>
      <c r="S250">
        <v>42649.835844907408</v>
      </c>
      <c r="T250" t="s">
        <v>1529</v>
      </c>
      <c r="U250" t="s">
        <v>35</v>
      </c>
      <c r="V250" t="s">
        <v>35</v>
      </c>
      <c r="W250" t="s">
        <v>4097</v>
      </c>
    </row>
    <row r="251" spans="2:23" x14ac:dyDescent="0.25">
      <c r="B251" s="19">
        <v>4033</v>
      </c>
      <c r="C251" s="2">
        <f>HYPERLINK(URLs!B36 &amp; 30996,30996)</f>
        <v>30996</v>
      </c>
      <c r="D251" t="s">
        <v>1843</v>
      </c>
      <c r="E251" t="s">
        <v>387</v>
      </c>
      <c r="F251" t="s">
        <v>305</v>
      </c>
      <c r="G251" t="s">
        <v>304</v>
      </c>
      <c r="H251" t="s">
        <v>30</v>
      </c>
      <c r="I251" t="s">
        <v>35</v>
      </c>
      <c r="J251" t="s">
        <v>43</v>
      </c>
      <c r="K251" t="s">
        <v>44</v>
      </c>
      <c r="L251" t="s">
        <v>73</v>
      </c>
      <c r="M251" t="s">
        <v>263</v>
      </c>
      <c r="N251" t="s">
        <v>46</v>
      </c>
      <c r="P251" t="s">
        <v>1646</v>
      </c>
      <c r="R251">
        <v>41417.670428240737</v>
      </c>
      <c r="S251">
        <v>42648.81653935185</v>
      </c>
      <c r="T251" t="s">
        <v>1686</v>
      </c>
      <c r="U251" t="s">
        <v>35</v>
      </c>
      <c r="V251" t="s">
        <v>35</v>
      </c>
      <c r="W251" t="s">
        <v>4098</v>
      </c>
    </row>
    <row r="252" spans="2:23" x14ac:dyDescent="0.25">
      <c r="B252" s="19">
        <v>4064</v>
      </c>
      <c r="C252" s="2">
        <f>HYPERLINK(URLs!B36 &amp; 31396,31396)</f>
        <v>31396</v>
      </c>
      <c r="D252" t="s">
        <v>1861</v>
      </c>
      <c r="E252" t="s">
        <v>387</v>
      </c>
      <c r="F252" t="s">
        <v>305</v>
      </c>
      <c r="G252" t="s">
        <v>304</v>
      </c>
      <c r="H252" t="s">
        <v>30</v>
      </c>
      <c r="I252" t="s">
        <v>35</v>
      </c>
      <c r="J252" t="s">
        <v>32</v>
      </c>
      <c r="K252" t="s">
        <v>44</v>
      </c>
      <c r="L252" t="s">
        <v>73</v>
      </c>
      <c r="M252" t="s">
        <v>263</v>
      </c>
      <c r="N252" t="s">
        <v>46</v>
      </c>
      <c r="P252" t="s">
        <v>1646</v>
      </c>
      <c r="R252">
        <v>41431.693379629629</v>
      </c>
      <c r="S252">
        <v>42648.817465277774</v>
      </c>
      <c r="T252" t="s">
        <v>1529</v>
      </c>
      <c r="U252" t="s">
        <v>35</v>
      </c>
      <c r="V252" t="s">
        <v>35</v>
      </c>
      <c r="W252" t="s">
        <v>4119</v>
      </c>
    </row>
    <row r="253" spans="2:23" x14ac:dyDescent="0.25">
      <c r="B253" s="19">
        <v>4064</v>
      </c>
      <c r="C253" s="2">
        <f>HYPERLINK(URLs!B36 &amp; 31395,31395)</f>
        <v>31395</v>
      </c>
      <c r="D253" t="s">
        <v>1859</v>
      </c>
      <c r="E253" t="s">
        <v>1613</v>
      </c>
      <c r="F253" t="s">
        <v>305</v>
      </c>
      <c r="G253" t="s">
        <v>304</v>
      </c>
      <c r="H253" t="s">
        <v>30</v>
      </c>
      <c r="I253" t="s">
        <v>35</v>
      </c>
      <c r="J253" t="s">
        <v>32</v>
      </c>
      <c r="K253" t="s">
        <v>44</v>
      </c>
      <c r="L253" t="s">
        <v>73</v>
      </c>
      <c r="M253" t="s">
        <v>263</v>
      </c>
      <c r="N253" t="s">
        <v>46</v>
      </c>
      <c r="O253" t="s">
        <v>1860</v>
      </c>
      <c r="P253" t="s">
        <v>1646</v>
      </c>
      <c r="R253">
        <v>41431.693252314813</v>
      </c>
      <c r="S253">
        <v>42648.81759259259</v>
      </c>
      <c r="T253" t="s">
        <v>1529</v>
      </c>
      <c r="U253" t="s">
        <v>35</v>
      </c>
      <c r="V253" t="s">
        <v>35</v>
      </c>
      <c r="W253" t="s">
        <v>1634</v>
      </c>
    </row>
    <row r="254" spans="2:23" x14ac:dyDescent="0.25">
      <c r="B254" s="19">
        <v>4064</v>
      </c>
      <c r="C254" s="2">
        <f>HYPERLINK(URLs!B36 &amp; 31394,31394)</f>
        <v>31394</v>
      </c>
      <c r="D254" t="s">
        <v>1858</v>
      </c>
      <c r="E254" t="s">
        <v>387</v>
      </c>
      <c r="F254" t="s">
        <v>305</v>
      </c>
      <c r="G254" t="s">
        <v>304</v>
      </c>
      <c r="H254" t="s">
        <v>30</v>
      </c>
      <c r="I254" t="s">
        <v>35</v>
      </c>
      <c r="J254" t="s">
        <v>32</v>
      </c>
      <c r="K254" t="s">
        <v>44</v>
      </c>
      <c r="L254" t="s">
        <v>73</v>
      </c>
      <c r="M254" t="s">
        <v>263</v>
      </c>
      <c r="N254" t="s">
        <v>46</v>
      </c>
      <c r="P254" t="s">
        <v>1646</v>
      </c>
      <c r="R254">
        <v>41431.693124999998</v>
      </c>
      <c r="S254">
        <v>42649.90053240741</v>
      </c>
      <c r="T254" t="s">
        <v>1529</v>
      </c>
      <c r="U254" t="s">
        <v>35</v>
      </c>
      <c r="V254" t="s">
        <v>35</v>
      </c>
      <c r="W254" t="s">
        <v>4097</v>
      </c>
    </row>
    <row r="255" spans="2:23" x14ac:dyDescent="0.25">
      <c r="B255" s="19">
        <v>4064</v>
      </c>
      <c r="C255" s="2">
        <f>HYPERLINK(URLs!B36 &amp; 31387,31387)</f>
        <v>31387</v>
      </c>
      <c r="D255" t="s">
        <v>1857</v>
      </c>
      <c r="E255" t="s">
        <v>387</v>
      </c>
      <c r="F255" t="s">
        <v>305</v>
      </c>
      <c r="G255" t="s">
        <v>304</v>
      </c>
      <c r="H255" t="s">
        <v>30</v>
      </c>
      <c r="I255" t="s">
        <v>35</v>
      </c>
      <c r="J255" t="s">
        <v>32</v>
      </c>
      <c r="K255" t="s">
        <v>44</v>
      </c>
      <c r="L255" t="s">
        <v>73</v>
      </c>
      <c r="M255" t="s">
        <v>263</v>
      </c>
      <c r="N255" t="s">
        <v>46</v>
      </c>
      <c r="P255" t="s">
        <v>1646</v>
      </c>
      <c r="R255">
        <v>41431.662951388891</v>
      </c>
      <c r="S255">
        <v>42648.817627314813</v>
      </c>
      <c r="T255" t="s">
        <v>3</v>
      </c>
      <c r="U255" t="s">
        <v>35</v>
      </c>
      <c r="V255" t="s">
        <v>35</v>
      </c>
      <c r="W255" t="s">
        <v>4098</v>
      </c>
    </row>
    <row r="256" spans="2:23" x14ac:dyDescent="0.25">
      <c r="B256" s="19">
        <v>4083</v>
      </c>
      <c r="C256" s="2">
        <f>HYPERLINK(URLs!B36 &amp; 31471,31471)</f>
        <v>31471</v>
      </c>
      <c r="D256" t="s">
        <v>1868</v>
      </c>
      <c r="E256" t="s">
        <v>1675</v>
      </c>
      <c r="F256" t="s">
        <v>305</v>
      </c>
      <c r="G256" t="s">
        <v>304</v>
      </c>
      <c r="H256" t="s">
        <v>30</v>
      </c>
      <c r="I256" t="s">
        <v>35</v>
      </c>
      <c r="J256" t="s">
        <v>32</v>
      </c>
      <c r="K256" t="s">
        <v>33</v>
      </c>
      <c r="L256" t="s">
        <v>73</v>
      </c>
      <c r="M256" t="s">
        <v>412</v>
      </c>
      <c r="N256" t="s">
        <v>46</v>
      </c>
      <c r="P256" t="s">
        <v>1646</v>
      </c>
      <c r="R256">
        <v>41434.628738425927</v>
      </c>
      <c r="S256">
        <v>42648.817314814813</v>
      </c>
      <c r="T256" t="s">
        <v>1529</v>
      </c>
      <c r="U256" t="s">
        <v>35</v>
      </c>
      <c r="V256" t="s">
        <v>35</v>
      </c>
      <c r="W256" t="s">
        <v>4119</v>
      </c>
    </row>
    <row r="257" spans="2:23" x14ac:dyDescent="0.25">
      <c r="B257" s="19">
        <v>4083</v>
      </c>
      <c r="C257" s="2">
        <f>HYPERLINK(URLs!B36 &amp; 31470,31470)</f>
        <v>31470</v>
      </c>
      <c r="D257" t="s">
        <v>1866</v>
      </c>
      <c r="E257" t="s">
        <v>1867</v>
      </c>
      <c r="F257" t="s">
        <v>305</v>
      </c>
      <c r="G257" t="s">
        <v>337</v>
      </c>
      <c r="H257" t="s">
        <v>30</v>
      </c>
      <c r="I257" t="s">
        <v>35</v>
      </c>
      <c r="J257" t="s">
        <v>32</v>
      </c>
      <c r="K257" t="s">
        <v>33</v>
      </c>
      <c r="L257" t="s">
        <v>73</v>
      </c>
      <c r="M257" t="s">
        <v>263</v>
      </c>
      <c r="N257" t="s">
        <v>46</v>
      </c>
      <c r="P257" t="s">
        <v>1646</v>
      </c>
      <c r="R257">
        <v>41434.628645833334</v>
      </c>
      <c r="S257">
        <v>42649.835763888892</v>
      </c>
      <c r="T257" t="s">
        <v>1529</v>
      </c>
      <c r="U257" t="s">
        <v>35</v>
      </c>
      <c r="V257" t="s">
        <v>35</v>
      </c>
      <c r="W257" t="s">
        <v>1634</v>
      </c>
    </row>
    <row r="258" spans="2:23" x14ac:dyDescent="0.25">
      <c r="B258" s="19">
        <v>4083</v>
      </c>
      <c r="C258" s="2">
        <f>HYPERLINK(URLs!B36 &amp; 31469,31469)</f>
        <v>31469</v>
      </c>
      <c r="D258" t="s">
        <v>1865</v>
      </c>
      <c r="E258" t="s">
        <v>1864</v>
      </c>
      <c r="F258" t="s">
        <v>305</v>
      </c>
      <c r="G258" t="s">
        <v>310</v>
      </c>
      <c r="H258" t="s">
        <v>30</v>
      </c>
      <c r="I258" t="s">
        <v>35</v>
      </c>
      <c r="J258" t="s">
        <v>32</v>
      </c>
      <c r="K258" t="s">
        <v>33</v>
      </c>
      <c r="L258" t="s">
        <v>73</v>
      </c>
      <c r="M258" t="s">
        <v>412</v>
      </c>
      <c r="N258" t="s">
        <v>46</v>
      </c>
      <c r="P258" t="s">
        <v>1646</v>
      </c>
      <c r="R258">
        <v>41434.628541666665</v>
      </c>
      <c r="S258">
        <v>42649.835868055554</v>
      </c>
      <c r="T258" t="s">
        <v>1529</v>
      </c>
      <c r="U258" t="s">
        <v>35</v>
      </c>
      <c r="V258" t="s">
        <v>35</v>
      </c>
      <c r="W258" t="s">
        <v>4097</v>
      </c>
    </row>
    <row r="259" spans="2:23" x14ac:dyDescent="0.25">
      <c r="B259" s="19">
        <v>4083</v>
      </c>
      <c r="C259" s="2">
        <f>HYPERLINK(URLs!B36 &amp; 31460,31460)</f>
        <v>31460</v>
      </c>
      <c r="D259" t="s">
        <v>1863</v>
      </c>
      <c r="E259" t="s">
        <v>1864</v>
      </c>
      <c r="F259" t="s">
        <v>305</v>
      </c>
      <c r="G259" t="s">
        <v>304</v>
      </c>
      <c r="H259" t="s">
        <v>30</v>
      </c>
      <c r="I259" t="s">
        <v>35</v>
      </c>
      <c r="J259" t="s">
        <v>32</v>
      </c>
      <c r="K259" t="s">
        <v>33</v>
      </c>
      <c r="L259" t="s">
        <v>73</v>
      </c>
      <c r="M259" t="s">
        <v>412</v>
      </c>
      <c r="N259" t="s">
        <v>46</v>
      </c>
      <c r="O259" t="s">
        <v>1717</v>
      </c>
      <c r="P259" t="s">
        <v>1646</v>
      </c>
      <c r="R259">
        <v>41432.924178240741</v>
      </c>
      <c r="S259">
        <v>41815.746817129628</v>
      </c>
      <c r="T259" t="s">
        <v>3</v>
      </c>
      <c r="U259" t="s">
        <v>35</v>
      </c>
      <c r="V259" t="s">
        <v>35</v>
      </c>
      <c r="W259" t="s">
        <v>4098</v>
      </c>
    </row>
    <row r="260" spans="2:23" x14ac:dyDescent="0.25">
      <c r="B260" s="19">
        <v>4100</v>
      </c>
      <c r="C260" s="2">
        <f>HYPERLINK(URLs!B36 &amp; 31848,31848)</f>
        <v>31848</v>
      </c>
      <c r="D260" t="s">
        <v>1873</v>
      </c>
      <c r="E260" t="s">
        <v>1675</v>
      </c>
      <c r="F260" t="s">
        <v>305</v>
      </c>
      <c r="G260" t="s">
        <v>304</v>
      </c>
      <c r="H260" t="s">
        <v>30</v>
      </c>
      <c r="I260" t="s">
        <v>35</v>
      </c>
      <c r="J260" t="s">
        <v>43</v>
      </c>
      <c r="K260" t="s">
        <v>51</v>
      </c>
      <c r="L260" t="s">
        <v>73</v>
      </c>
      <c r="M260" t="s">
        <v>412</v>
      </c>
      <c r="N260" t="s">
        <v>46</v>
      </c>
      <c r="P260" t="s">
        <v>1749</v>
      </c>
      <c r="R260">
        <v>41444.743101851855</v>
      </c>
      <c r="S260">
        <v>42648.818657407406</v>
      </c>
      <c r="T260" t="s">
        <v>1529</v>
      </c>
      <c r="U260" t="s">
        <v>35</v>
      </c>
      <c r="V260" t="s">
        <v>35</v>
      </c>
      <c r="W260" t="s">
        <v>4119</v>
      </c>
    </row>
    <row r="261" spans="2:23" x14ac:dyDescent="0.25">
      <c r="B261" s="19">
        <v>4100</v>
      </c>
      <c r="C261" s="2">
        <f>HYPERLINK(URLs!B36 &amp; 31847,31847)</f>
        <v>31847</v>
      </c>
      <c r="D261" t="s">
        <v>1872</v>
      </c>
      <c r="E261" t="s">
        <v>1864</v>
      </c>
      <c r="F261" t="s">
        <v>305</v>
      </c>
      <c r="G261" t="s">
        <v>304</v>
      </c>
      <c r="H261" t="s">
        <v>30</v>
      </c>
      <c r="I261" t="s">
        <v>35</v>
      </c>
      <c r="J261" t="s">
        <v>43</v>
      </c>
      <c r="K261" t="s">
        <v>33</v>
      </c>
      <c r="L261" t="s">
        <v>73</v>
      </c>
      <c r="M261" t="s">
        <v>412</v>
      </c>
      <c r="N261" t="s">
        <v>46</v>
      </c>
      <c r="O261" t="s">
        <v>1710</v>
      </c>
      <c r="P261" t="s">
        <v>1749</v>
      </c>
      <c r="R261">
        <v>41444.743032407408</v>
      </c>
      <c r="S261">
        <v>42648.818692129629</v>
      </c>
      <c r="T261" t="s">
        <v>1529</v>
      </c>
      <c r="U261" t="s">
        <v>35</v>
      </c>
      <c r="V261" t="s">
        <v>35</v>
      </c>
      <c r="W261" t="s">
        <v>1634</v>
      </c>
    </row>
    <row r="262" spans="2:23" x14ac:dyDescent="0.25">
      <c r="B262" s="19">
        <v>4100</v>
      </c>
      <c r="C262" s="2">
        <f>HYPERLINK(URLs!B36 &amp; 31846,31846)</f>
        <v>31846</v>
      </c>
      <c r="D262" t="s">
        <v>1871</v>
      </c>
      <c r="E262" t="s">
        <v>1867</v>
      </c>
      <c r="F262" t="s">
        <v>305</v>
      </c>
      <c r="G262" t="s">
        <v>310</v>
      </c>
      <c r="H262" t="s">
        <v>30</v>
      </c>
      <c r="I262" t="s">
        <v>35</v>
      </c>
      <c r="J262" t="s">
        <v>43</v>
      </c>
      <c r="K262" t="s">
        <v>51</v>
      </c>
      <c r="L262" t="s">
        <v>73</v>
      </c>
      <c r="M262" t="s">
        <v>412</v>
      </c>
      <c r="N262" t="s">
        <v>46</v>
      </c>
      <c r="P262" t="s">
        <v>1749</v>
      </c>
      <c r="R262">
        <v>41444.742951388886</v>
      </c>
      <c r="S262">
        <v>42649.900150462963</v>
      </c>
      <c r="T262" t="s">
        <v>1529</v>
      </c>
      <c r="U262" t="s">
        <v>35</v>
      </c>
      <c r="V262" t="s">
        <v>35</v>
      </c>
      <c r="W262" t="s">
        <v>4097</v>
      </c>
    </row>
    <row r="263" spans="2:23" x14ac:dyDescent="0.25">
      <c r="B263" s="19">
        <v>4100</v>
      </c>
      <c r="C263" s="2">
        <f>HYPERLINK(URLs!B36 &amp; 31845,31845)</f>
        <v>31845</v>
      </c>
      <c r="D263" t="s">
        <v>1870</v>
      </c>
      <c r="E263" t="s">
        <v>1864</v>
      </c>
      <c r="F263" t="s">
        <v>305</v>
      </c>
      <c r="G263" t="s">
        <v>304</v>
      </c>
      <c r="H263" t="s">
        <v>30</v>
      </c>
      <c r="I263" t="s">
        <v>35</v>
      </c>
      <c r="J263" t="s">
        <v>43</v>
      </c>
      <c r="K263" t="s">
        <v>33</v>
      </c>
      <c r="L263" t="s">
        <v>73</v>
      </c>
      <c r="M263" t="s">
        <v>412</v>
      </c>
      <c r="N263" t="s">
        <v>46</v>
      </c>
      <c r="P263" t="s">
        <v>1749</v>
      </c>
      <c r="R263">
        <v>41444.716782407406</v>
      </c>
      <c r="S263">
        <v>41815.747071759259</v>
      </c>
      <c r="T263" t="s">
        <v>66</v>
      </c>
      <c r="U263" t="s">
        <v>35</v>
      </c>
      <c r="V263" t="s">
        <v>35</v>
      </c>
      <c r="W263" t="s">
        <v>4098</v>
      </c>
    </row>
    <row r="264" spans="2:23" x14ac:dyDescent="0.25">
      <c r="B264" s="19">
        <v>4104</v>
      </c>
      <c r="C264" s="2">
        <f>HYPERLINK(URLs!B36 &amp; 31924,31924)</f>
        <v>31924</v>
      </c>
      <c r="D264" t="s">
        <v>1879</v>
      </c>
      <c r="E264" t="s">
        <v>1529</v>
      </c>
      <c r="F264" t="s">
        <v>305</v>
      </c>
      <c r="G264" t="s">
        <v>310</v>
      </c>
      <c r="H264" t="s">
        <v>30</v>
      </c>
      <c r="I264" t="s">
        <v>31</v>
      </c>
      <c r="J264" t="s">
        <v>43</v>
      </c>
      <c r="K264" t="s">
        <v>35</v>
      </c>
      <c r="L264" t="s">
        <v>96</v>
      </c>
      <c r="M264" t="s">
        <v>269</v>
      </c>
      <c r="N264" t="s">
        <v>46</v>
      </c>
      <c r="P264" t="s">
        <v>1646</v>
      </c>
      <c r="R264">
        <v>41446.615729166668</v>
      </c>
      <c r="S264">
        <v>42678.614351851851</v>
      </c>
      <c r="T264" t="s">
        <v>1529</v>
      </c>
      <c r="U264" t="s">
        <v>35</v>
      </c>
      <c r="V264" t="s">
        <v>35</v>
      </c>
      <c r="W264" t="s">
        <v>2552</v>
      </c>
    </row>
    <row r="265" spans="2:23" x14ac:dyDescent="0.25">
      <c r="B265" s="19">
        <v>4104</v>
      </c>
      <c r="C265" s="2">
        <f>HYPERLINK(URLs!B36 &amp; 31896,31896)</f>
        <v>31896</v>
      </c>
      <c r="D265" t="s">
        <v>1878</v>
      </c>
      <c r="E265" t="s">
        <v>387</v>
      </c>
      <c r="F265" t="s">
        <v>305</v>
      </c>
      <c r="G265" t="s">
        <v>310</v>
      </c>
      <c r="H265" t="s">
        <v>30</v>
      </c>
      <c r="I265" t="s">
        <v>35</v>
      </c>
      <c r="J265" t="s">
        <v>43</v>
      </c>
      <c r="K265" t="s">
        <v>35</v>
      </c>
      <c r="L265" t="s">
        <v>96</v>
      </c>
      <c r="M265" t="s">
        <v>269</v>
      </c>
      <c r="N265" t="s">
        <v>46</v>
      </c>
      <c r="P265" t="s">
        <v>1646</v>
      </c>
      <c r="R265">
        <v>41445.691423611112</v>
      </c>
      <c r="S265">
        <v>42649.835486111115</v>
      </c>
      <c r="T265" t="s">
        <v>1529</v>
      </c>
      <c r="U265" t="s">
        <v>35</v>
      </c>
      <c r="V265" t="s">
        <v>35</v>
      </c>
      <c r="W265" t="s">
        <v>3039</v>
      </c>
    </row>
    <row r="266" spans="2:23" x14ac:dyDescent="0.25">
      <c r="B266" s="19">
        <v>4104</v>
      </c>
      <c r="C266" s="2">
        <f>HYPERLINK(URLs!B36 &amp; 31895,31895)</f>
        <v>31895</v>
      </c>
      <c r="D266" t="s">
        <v>1877</v>
      </c>
      <c r="E266" t="s">
        <v>387</v>
      </c>
      <c r="F266" t="s">
        <v>305</v>
      </c>
      <c r="G266" t="s">
        <v>310</v>
      </c>
      <c r="H266" t="s">
        <v>30</v>
      </c>
      <c r="I266" t="s">
        <v>35</v>
      </c>
      <c r="J266" t="s">
        <v>43</v>
      </c>
      <c r="K266" t="s">
        <v>51</v>
      </c>
      <c r="L266" t="s">
        <v>96</v>
      </c>
      <c r="M266" t="s">
        <v>269</v>
      </c>
      <c r="N266" t="s">
        <v>46</v>
      </c>
      <c r="O266" t="s">
        <v>1818</v>
      </c>
      <c r="P266" t="s">
        <v>1646</v>
      </c>
      <c r="R266">
        <v>41445.691342592596</v>
      </c>
      <c r="S266">
        <v>42649.836122685185</v>
      </c>
      <c r="T266" t="s">
        <v>1529</v>
      </c>
      <c r="U266" t="s">
        <v>35</v>
      </c>
      <c r="V266" t="s">
        <v>35</v>
      </c>
      <c r="W266" t="s">
        <v>1634</v>
      </c>
    </row>
    <row r="267" spans="2:23" x14ac:dyDescent="0.25">
      <c r="B267" s="19">
        <v>4104</v>
      </c>
      <c r="C267" s="2">
        <f>HYPERLINK(URLs!B36 &amp; 31894,31894)</f>
        <v>31894</v>
      </c>
      <c r="D267" t="s">
        <v>1876</v>
      </c>
      <c r="E267" t="s">
        <v>387</v>
      </c>
      <c r="F267" t="s">
        <v>305</v>
      </c>
      <c r="G267" t="s">
        <v>310</v>
      </c>
      <c r="H267" t="s">
        <v>30</v>
      </c>
      <c r="I267" t="s">
        <v>35</v>
      </c>
      <c r="J267" t="s">
        <v>43</v>
      </c>
      <c r="K267" t="s">
        <v>51</v>
      </c>
      <c r="L267" t="s">
        <v>96</v>
      </c>
      <c r="M267" t="s">
        <v>269</v>
      </c>
      <c r="N267" t="s">
        <v>46</v>
      </c>
      <c r="P267" t="s">
        <v>1646</v>
      </c>
      <c r="R267">
        <v>41445.690879629627</v>
      </c>
      <c r="S267">
        <v>42649.835972222223</v>
      </c>
      <c r="T267" t="s">
        <v>1529</v>
      </c>
      <c r="U267" t="s">
        <v>35</v>
      </c>
      <c r="V267" t="s">
        <v>35</v>
      </c>
      <c r="W267" t="s">
        <v>394</v>
      </c>
    </row>
    <row r="268" spans="2:23" x14ac:dyDescent="0.25">
      <c r="B268" s="19">
        <v>4104</v>
      </c>
      <c r="C268" s="2">
        <f>HYPERLINK(URLs!B36 &amp; 31893,31893)</f>
        <v>31893</v>
      </c>
      <c r="D268" t="s">
        <v>1875</v>
      </c>
      <c r="E268" t="s">
        <v>2</v>
      </c>
      <c r="F268" t="s">
        <v>305</v>
      </c>
      <c r="G268" t="s">
        <v>328</v>
      </c>
      <c r="H268" t="s">
        <v>30</v>
      </c>
      <c r="I268" t="s">
        <v>35</v>
      </c>
      <c r="J268" t="s">
        <v>43</v>
      </c>
      <c r="K268" t="s">
        <v>51</v>
      </c>
      <c r="L268" t="s">
        <v>96</v>
      </c>
      <c r="M268" t="s">
        <v>269</v>
      </c>
      <c r="N268" t="s">
        <v>46</v>
      </c>
      <c r="P268" t="s">
        <v>1646</v>
      </c>
      <c r="R268">
        <v>41445.687685185185</v>
      </c>
      <c r="S268">
        <v>42649.8356712963</v>
      </c>
      <c r="T268" t="s">
        <v>48</v>
      </c>
      <c r="U268" t="s">
        <v>35</v>
      </c>
      <c r="V268" t="s">
        <v>35</v>
      </c>
      <c r="W268" t="s">
        <v>4098</v>
      </c>
    </row>
    <row r="269" spans="2:23" x14ac:dyDescent="0.25">
      <c r="B269" s="19">
        <v>4123</v>
      </c>
      <c r="C269" s="2">
        <f>HYPERLINK(URLs!B36 &amp; 32098,32098)</f>
        <v>32098</v>
      </c>
      <c r="D269" t="s">
        <v>1885</v>
      </c>
      <c r="E269" t="s">
        <v>387</v>
      </c>
      <c r="F269" t="s">
        <v>305</v>
      </c>
      <c r="G269" t="s">
        <v>310</v>
      </c>
      <c r="H269" t="s">
        <v>30</v>
      </c>
      <c r="I269" t="s">
        <v>35</v>
      </c>
      <c r="J269" t="s">
        <v>43</v>
      </c>
      <c r="K269" t="s">
        <v>51</v>
      </c>
      <c r="L269" t="s">
        <v>96</v>
      </c>
      <c r="M269" t="s">
        <v>269</v>
      </c>
      <c r="N269" t="s">
        <v>46</v>
      </c>
      <c r="P269" t="s">
        <v>1646</v>
      </c>
      <c r="R269">
        <v>41452.628321759257</v>
      </c>
      <c r="S269">
        <v>42649.837083333332</v>
      </c>
      <c r="T269" t="s">
        <v>1529</v>
      </c>
      <c r="U269" t="s">
        <v>35</v>
      </c>
      <c r="V269" t="s">
        <v>35</v>
      </c>
      <c r="W269" t="s">
        <v>3039</v>
      </c>
    </row>
    <row r="270" spans="2:23" x14ac:dyDescent="0.25">
      <c r="B270" s="19">
        <v>4123</v>
      </c>
      <c r="C270" s="2">
        <f>HYPERLINK(URLs!B36 &amp; 32097,32097)</f>
        <v>32097</v>
      </c>
      <c r="D270" t="s">
        <v>1883</v>
      </c>
      <c r="E270" t="s">
        <v>387</v>
      </c>
      <c r="F270" t="s">
        <v>305</v>
      </c>
      <c r="G270" t="s">
        <v>310</v>
      </c>
      <c r="H270" t="s">
        <v>30</v>
      </c>
      <c r="I270" t="s">
        <v>35</v>
      </c>
      <c r="J270" t="s">
        <v>43</v>
      </c>
      <c r="K270" t="s">
        <v>51</v>
      </c>
      <c r="L270" t="s">
        <v>96</v>
      </c>
      <c r="M270" t="s">
        <v>269</v>
      </c>
      <c r="N270" t="s">
        <v>46</v>
      </c>
      <c r="O270" t="s">
        <v>1884</v>
      </c>
      <c r="P270" t="s">
        <v>1646</v>
      </c>
      <c r="R270">
        <v>41452.628240740742</v>
      </c>
      <c r="S270">
        <v>42649.836481481485</v>
      </c>
      <c r="T270" t="s">
        <v>1529</v>
      </c>
      <c r="U270" t="s">
        <v>35</v>
      </c>
      <c r="V270" t="s">
        <v>35</v>
      </c>
      <c r="W270" t="s">
        <v>1634</v>
      </c>
    </row>
    <row r="271" spans="2:23" x14ac:dyDescent="0.25">
      <c r="B271" s="19">
        <v>4123</v>
      </c>
      <c r="C271" s="2">
        <f>HYPERLINK(URLs!B36 &amp; 32096,32096)</f>
        <v>32096</v>
      </c>
      <c r="D271" t="s">
        <v>1882</v>
      </c>
      <c r="E271" t="s">
        <v>387</v>
      </c>
      <c r="F271" t="s">
        <v>305</v>
      </c>
      <c r="G271" t="s">
        <v>310</v>
      </c>
      <c r="H271" t="s">
        <v>30</v>
      </c>
      <c r="I271" t="s">
        <v>35</v>
      </c>
      <c r="J271" t="s">
        <v>43</v>
      </c>
      <c r="K271" t="s">
        <v>51</v>
      </c>
      <c r="L271" t="s">
        <v>96</v>
      </c>
      <c r="M271" t="s">
        <v>269</v>
      </c>
      <c r="N271" t="s">
        <v>46</v>
      </c>
      <c r="P271" t="s">
        <v>1646</v>
      </c>
      <c r="R271">
        <v>41452.627060185187</v>
      </c>
      <c r="S271">
        <v>42649.836435185185</v>
      </c>
      <c r="T271" t="s">
        <v>1529</v>
      </c>
      <c r="U271" t="s">
        <v>35</v>
      </c>
      <c r="V271" t="s">
        <v>35</v>
      </c>
      <c r="W271" t="s">
        <v>394</v>
      </c>
    </row>
    <row r="272" spans="2:23" x14ac:dyDescent="0.25">
      <c r="B272" s="19">
        <v>4123</v>
      </c>
      <c r="C272" s="2">
        <f>HYPERLINK(URLs!B36 &amp; 32061,32061)</f>
        <v>32061</v>
      </c>
      <c r="D272" t="s">
        <v>1881</v>
      </c>
      <c r="E272" t="s">
        <v>387</v>
      </c>
      <c r="F272" t="s">
        <v>305</v>
      </c>
      <c r="G272" t="s">
        <v>328</v>
      </c>
      <c r="H272" t="s">
        <v>30</v>
      </c>
      <c r="I272" t="s">
        <v>35</v>
      </c>
      <c r="J272" t="s">
        <v>43</v>
      </c>
      <c r="K272" t="s">
        <v>51</v>
      </c>
      <c r="L272" t="s">
        <v>96</v>
      </c>
      <c r="M272" t="s">
        <v>269</v>
      </c>
      <c r="N272" t="s">
        <v>46</v>
      </c>
      <c r="P272" t="s">
        <v>1646</v>
      </c>
      <c r="R272">
        <v>41451.8359375</v>
      </c>
      <c r="S272">
        <v>42649.835844907408</v>
      </c>
      <c r="T272" t="s">
        <v>48</v>
      </c>
      <c r="U272" t="s">
        <v>35</v>
      </c>
      <c r="V272" t="s">
        <v>35</v>
      </c>
      <c r="W272" t="s">
        <v>4098</v>
      </c>
    </row>
    <row r="273" spans="2:23" x14ac:dyDescent="0.25">
      <c r="B273" s="19">
        <v>4143</v>
      </c>
      <c r="C273" s="2">
        <f>HYPERLINK(URLs!B36 &amp; 38408,38408)</f>
        <v>38408</v>
      </c>
      <c r="D273" t="s">
        <v>2049</v>
      </c>
      <c r="E273" t="s">
        <v>1864</v>
      </c>
      <c r="F273" t="s">
        <v>305</v>
      </c>
      <c r="G273" t="s">
        <v>304</v>
      </c>
      <c r="H273" t="s">
        <v>30</v>
      </c>
      <c r="I273" t="s">
        <v>31</v>
      </c>
      <c r="J273" t="s">
        <v>32</v>
      </c>
      <c r="K273" t="s">
        <v>1733</v>
      </c>
      <c r="L273" t="s">
        <v>34</v>
      </c>
      <c r="M273" t="s">
        <v>336</v>
      </c>
      <c r="N273" t="s">
        <v>46</v>
      </c>
      <c r="P273" t="s">
        <v>1959</v>
      </c>
      <c r="R273">
        <v>41656.625509259262</v>
      </c>
      <c r="S273">
        <v>42047.694305555553</v>
      </c>
      <c r="T273" t="s">
        <v>2047</v>
      </c>
      <c r="U273" t="s">
        <v>35</v>
      </c>
      <c r="V273" t="s">
        <v>35</v>
      </c>
      <c r="W273" t="s">
        <v>4122</v>
      </c>
    </row>
    <row r="274" spans="2:23" x14ac:dyDescent="0.25">
      <c r="B274" s="19">
        <v>4167</v>
      </c>
      <c r="C274" s="2">
        <f>HYPERLINK(URLs!B36 &amp; 32567,32567)</f>
        <v>32567</v>
      </c>
      <c r="D274" t="s">
        <v>1891</v>
      </c>
      <c r="E274" t="s">
        <v>1675</v>
      </c>
      <c r="F274" t="s">
        <v>305</v>
      </c>
      <c r="G274" t="s">
        <v>304</v>
      </c>
      <c r="H274" t="s">
        <v>30</v>
      </c>
      <c r="I274" t="s">
        <v>35</v>
      </c>
      <c r="J274" t="s">
        <v>43</v>
      </c>
      <c r="K274" t="s">
        <v>51</v>
      </c>
      <c r="L274" t="s">
        <v>73</v>
      </c>
      <c r="M274" t="s">
        <v>263</v>
      </c>
      <c r="N274" t="s">
        <v>46</v>
      </c>
      <c r="P274" t="s">
        <v>1749</v>
      </c>
      <c r="R274">
        <v>41467.934351851851</v>
      </c>
      <c r="S274">
        <v>42648.818807870368</v>
      </c>
      <c r="T274" t="s">
        <v>1529</v>
      </c>
      <c r="U274" t="s">
        <v>35</v>
      </c>
      <c r="V274" t="s">
        <v>35</v>
      </c>
      <c r="W274" t="s">
        <v>4124</v>
      </c>
    </row>
    <row r="275" spans="2:23" x14ac:dyDescent="0.25">
      <c r="B275" s="19">
        <v>4167</v>
      </c>
      <c r="C275" s="2">
        <f>HYPERLINK(URLs!B36 &amp; 32566,32566)</f>
        <v>32566</v>
      </c>
      <c r="D275" t="s">
        <v>1889</v>
      </c>
      <c r="E275" t="s">
        <v>1675</v>
      </c>
      <c r="F275" t="s">
        <v>305</v>
      </c>
      <c r="G275" t="s">
        <v>304</v>
      </c>
      <c r="H275" t="s">
        <v>30</v>
      </c>
      <c r="I275" t="s">
        <v>35</v>
      </c>
      <c r="J275" t="s">
        <v>43</v>
      </c>
      <c r="K275" t="s">
        <v>51</v>
      </c>
      <c r="L275" t="s">
        <v>73</v>
      </c>
      <c r="M275" t="s">
        <v>263</v>
      </c>
      <c r="N275" t="s">
        <v>46</v>
      </c>
      <c r="O275" t="s">
        <v>1890</v>
      </c>
      <c r="P275" t="s">
        <v>1749</v>
      </c>
      <c r="R275">
        <v>41467.934270833335</v>
      </c>
      <c r="S275">
        <v>42648.818668981483</v>
      </c>
      <c r="T275" t="s">
        <v>1529</v>
      </c>
      <c r="U275" t="s">
        <v>35</v>
      </c>
      <c r="V275" t="s">
        <v>35</v>
      </c>
      <c r="W275" t="s">
        <v>1634</v>
      </c>
    </row>
    <row r="276" spans="2:23" x14ac:dyDescent="0.25">
      <c r="B276" s="19">
        <v>4167</v>
      </c>
      <c r="C276" s="2">
        <f>HYPERLINK(URLs!B36 &amp; 32565,32565)</f>
        <v>32565</v>
      </c>
      <c r="D276" t="s">
        <v>1888</v>
      </c>
      <c r="E276" t="s">
        <v>387</v>
      </c>
      <c r="F276" t="s">
        <v>305</v>
      </c>
      <c r="G276" t="s">
        <v>304</v>
      </c>
      <c r="H276" t="s">
        <v>30</v>
      </c>
      <c r="I276" t="s">
        <v>35</v>
      </c>
      <c r="J276" t="s">
        <v>43</v>
      </c>
      <c r="K276" t="s">
        <v>51</v>
      </c>
      <c r="L276" t="s">
        <v>73</v>
      </c>
      <c r="M276" t="s">
        <v>263</v>
      </c>
      <c r="N276" t="s">
        <v>46</v>
      </c>
      <c r="P276" t="s">
        <v>1749</v>
      </c>
      <c r="R276">
        <v>41467.934189814812</v>
      </c>
      <c r="S276">
        <v>42648.818877314814</v>
      </c>
      <c r="T276" t="s">
        <v>1529</v>
      </c>
      <c r="U276" t="s">
        <v>35</v>
      </c>
      <c r="V276" t="s">
        <v>35</v>
      </c>
      <c r="W276" t="s">
        <v>4123</v>
      </c>
    </row>
    <row r="277" spans="2:23" x14ac:dyDescent="0.25">
      <c r="B277" s="19">
        <v>4167</v>
      </c>
      <c r="C277" s="2">
        <f>HYPERLINK(URLs!B36 &amp; 32564,32564)</f>
        <v>32564</v>
      </c>
      <c r="D277" t="s">
        <v>1887</v>
      </c>
      <c r="E277" t="s">
        <v>387</v>
      </c>
      <c r="F277" t="s">
        <v>305</v>
      </c>
      <c r="G277" t="s">
        <v>304</v>
      </c>
      <c r="H277" t="s">
        <v>30</v>
      </c>
      <c r="I277" t="s">
        <v>35</v>
      </c>
      <c r="J277" t="s">
        <v>43</v>
      </c>
      <c r="K277" t="s">
        <v>51</v>
      </c>
      <c r="L277" t="s">
        <v>73</v>
      </c>
      <c r="M277" t="s">
        <v>263</v>
      </c>
      <c r="N277" t="s">
        <v>46</v>
      </c>
      <c r="P277" t="s">
        <v>1749</v>
      </c>
      <c r="R277">
        <v>41467.902708333335</v>
      </c>
      <c r="S277">
        <v>41815.747777777775</v>
      </c>
      <c r="T277" t="s">
        <v>1</v>
      </c>
      <c r="U277" t="s">
        <v>35</v>
      </c>
      <c r="V277" t="s">
        <v>35</v>
      </c>
      <c r="W277" t="s">
        <v>4098</v>
      </c>
    </row>
    <row r="278" spans="2:23" x14ac:dyDescent="0.25">
      <c r="B278" s="19">
        <v>4181</v>
      </c>
      <c r="C278" s="2">
        <f>HYPERLINK(URLs!B36 &amp; 32880,32880)</f>
        <v>32880</v>
      </c>
      <c r="D278" t="s">
        <v>3789</v>
      </c>
      <c r="E278" t="s">
        <v>3</v>
      </c>
      <c r="F278" t="s">
        <v>305</v>
      </c>
      <c r="G278" t="s">
        <v>304</v>
      </c>
      <c r="H278" t="s">
        <v>30</v>
      </c>
      <c r="I278" t="s">
        <v>68</v>
      </c>
      <c r="J278" t="s">
        <v>58</v>
      </c>
      <c r="K278" t="s">
        <v>51</v>
      </c>
      <c r="L278" t="s">
        <v>34</v>
      </c>
      <c r="M278" t="s">
        <v>3780</v>
      </c>
      <c r="N278" t="s">
        <v>1998</v>
      </c>
      <c r="O278" t="s">
        <v>3790</v>
      </c>
      <c r="P278" t="s">
        <v>1749</v>
      </c>
      <c r="R278">
        <v>41478.523125</v>
      </c>
      <c r="S278">
        <v>42257.769166666665</v>
      </c>
      <c r="T278" t="s">
        <v>2063</v>
      </c>
      <c r="U278" t="s">
        <v>35</v>
      </c>
      <c r="V278" t="s">
        <v>35</v>
      </c>
      <c r="W278" t="s">
        <v>4112</v>
      </c>
    </row>
    <row r="279" spans="2:23" x14ac:dyDescent="0.25">
      <c r="B279" s="19">
        <v>4187</v>
      </c>
      <c r="C279" s="2">
        <f>HYPERLINK(URLs!B36 &amp; 31027,31027)</f>
        <v>31027</v>
      </c>
      <c r="D279" t="s">
        <v>1851</v>
      </c>
      <c r="E279" t="s">
        <v>1852</v>
      </c>
      <c r="F279" t="s">
        <v>305</v>
      </c>
      <c r="G279" t="s">
        <v>304</v>
      </c>
      <c r="H279" t="s">
        <v>54</v>
      </c>
      <c r="I279" t="s">
        <v>35</v>
      </c>
      <c r="J279" t="s">
        <v>43</v>
      </c>
      <c r="K279" t="s">
        <v>33</v>
      </c>
      <c r="L279" t="s">
        <v>34</v>
      </c>
      <c r="M279" t="s">
        <v>1853</v>
      </c>
      <c r="N279" t="s">
        <v>46</v>
      </c>
      <c r="P279" t="s">
        <v>1854</v>
      </c>
      <c r="R279">
        <v>41417.901620370372</v>
      </c>
      <c r="S279">
        <v>41667.684710648151</v>
      </c>
      <c r="T279" t="s">
        <v>1855</v>
      </c>
      <c r="U279" t="s">
        <v>35</v>
      </c>
      <c r="V279" t="s">
        <v>35</v>
      </c>
      <c r="W279" t="s">
        <v>4122</v>
      </c>
    </row>
    <row r="280" spans="2:23" x14ac:dyDescent="0.25">
      <c r="B280" s="19">
        <v>4195</v>
      </c>
      <c r="C280" s="2">
        <f>HYPERLINK(URLs!B36 &amp; 39368,39368)</f>
        <v>39368</v>
      </c>
      <c r="D280" t="s">
        <v>2068</v>
      </c>
      <c r="E280" t="s">
        <v>2002</v>
      </c>
      <c r="F280" t="s">
        <v>305</v>
      </c>
      <c r="G280" t="s">
        <v>304</v>
      </c>
      <c r="H280" t="s">
        <v>30</v>
      </c>
      <c r="I280" t="s">
        <v>35</v>
      </c>
      <c r="J280" t="s">
        <v>43</v>
      </c>
      <c r="K280" t="s">
        <v>33</v>
      </c>
      <c r="L280" t="s">
        <v>73</v>
      </c>
      <c r="M280" t="s">
        <v>1514</v>
      </c>
      <c r="N280" t="s">
        <v>46</v>
      </c>
      <c r="O280" t="s">
        <v>2045</v>
      </c>
      <c r="P280" t="s">
        <v>1646</v>
      </c>
      <c r="R280">
        <v>41690.776932870373</v>
      </c>
      <c r="S280">
        <v>42648.829629629632</v>
      </c>
      <c r="T280" t="s">
        <v>1529</v>
      </c>
      <c r="U280" t="s">
        <v>35</v>
      </c>
      <c r="V280" t="s">
        <v>35</v>
      </c>
      <c r="W280" t="s">
        <v>4131</v>
      </c>
    </row>
    <row r="281" spans="2:23" x14ac:dyDescent="0.25">
      <c r="B281" s="19">
        <v>4195</v>
      </c>
      <c r="C281" s="2">
        <f>HYPERLINK(URLs!B36 &amp; 37696,37696)</f>
        <v>37696</v>
      </c>
      <c r="D281" t="s">
        <v>2015</v>
      </c>
      <c r="E281" t="s">
        <v>387</v>
      </c>
      <c r="F281" t="s">
        <v>305</v>
      </c>
      <c r="G281" t="s">
        <v>310</v>
      </c>
      <c r="H281" t="s">
        <v>30</v>
      </c>
      <c r="I281" t="s">
        <v>68</v>
      </c>
      <c r="J281" t="s">
        <v>58</v>
      </c>
      <c r="K281" t="s">
        <v>44</v>
      </c>
      <c r="L281" t="s">
        <v>73</v>
      </c>
      <c r="M281" t="s">
        <v>1514</v>
      </c>
      <c r="N281" t="s">
        <v>46</v>
      </c>
      <c r="P281" t="s">
        <v>1530</v>
      </c>
      <c r="R281">
        <v>41620.831331018519</v>
      </c>
      <c r="S281">
        <v>42649.839305555557</v>
      </c>
      <c r="T281" t="s">
        <v>1529</v>
      </c>
      <c r="U281" t="s">
        <v>35</v>
      </c>
      <c r="V281" t="s">
        <v>35</v>
      </c>
      <c r="W281" t="s">
        <v>2552</v>
      </c>
    </row>
    <row r="282" spans="2:23" x14ac:dyDescent="0.25">
      <c r="B282" s="19">
        <v>4195</v>
      </c>
      <c r="C282" s="2">
        <f>HYPERLINK(URLs!B36 &amp; 37651,37651)</f>
        <v>37651</v>
      </c>
      <c r="D282" t="s">
        <v>2014</v>
      </c>
      <c r="E282" t="s">
        <v>387</v>
      </c>
      <c r="F282" t="s">
        <v>305</v>
      </c>
      <c r="G282" t="s">
        <v>337</v>
      </c>
      <c r="H282" t="s">
        <v>30</v>
      </c>
      <c r="I282" t="s">
        <v>35</v>
      </c>
      <c r="J282" t="s">
        <v>43</v>
      </c>
      <c r="K282" t="s">
        <v>33</v>
      </c>
      <c r="L282" t="s">
        <v>73</v>
      </c>
      <c r="M282" t="s">
        <v>1514</v>
      </c>
      <c r="N282" t="s">
        <v>46</v>
      </c>
      <c r="P282" t="s">
        <v>1646</v>
      </c>
      <c r="R282">
        <v>41619.75099537037</v>
      </c>
      <c r="S282">
        <v>42649.83965277778</v>
      </c>
      <c r="T282" t="s">
        <v>1529</v>
      </c>
      <c r="U282" t="s">
        <v>35</v>
      </c>
      <c r="V282" t="s">
        <v>35</v>
      </c>
      <c r="W282" t="s">
        <v>3039</v>
      </c>
    </row>
    <row r="283" spans="2:23" x14ac:dyDescent="0.25">
      <c r="B283" s="19">
        <v>4195</v>
      </c>
      <c r="C283" s="2">
        <f>HYPERLINK(URLs!B36 &amp; 37650,37650)</f>
        <v>37650</v>
      </c>
      <c r="D283" t="s">
        <v>2013</v>
      </c>
      <c r="E283" t="s">
        <v>387</v>
      </c>
      <c r="F283" t="s">
        <v>305</v>
      </c>
      <c r="G283" t="s">
        <v>304</v>
      </c>
      <c r="H283" t="s">
        <v>30</v>
      </c>
      <c r="I283" t="s">
        <v>68</v>
      </c>
      <c r="J283" t="s">
        <v>43</v>
      </c>
      <c r="K283" t="s">
        <v>33</v>
      </c>
      <c r="L283" t="s">
        <v>73</v>
      </c>
      <c r="M283" t="s">
        <v>1514</v>
      </c>
      <c r="N283" t="s">
        <v>2009</v>
      </c>
      <c r="P283" t="s">
        <v>1646</v>
      </c>
      <c r="R283">
        <v>41619.750879629632</v>
      </c>
      <c r="S283">
        <v>42648.828067129631</v>
      </c>
      <c r="T283" t="s">
        <v>1529</v>
      </c>
      <c r="U283" t="s">
        <v>35</v>
      </c>
      <c r="V283" t="s">
        <v>35</v>
      </c>
      <c r="W283" t="s">
        <v>2552</v>
      </c>
    </row>
    <row r="284" spans="2:23" x14ac:dyDescent="0.25">
      <c r="B284" s="19">
        <v>4195</v>
      </c>
      <c r="C284" s="2">
        <f>HYPERLINK(URLs!B36 &amp; 37649,37649)</f>
        <v>37649</v>
      </c>
      <c r="D284" t="s">
        <v>2012</v>
      </c>
      <c r="E284" t="s">
        <v>387</v>
      </c>
      <c r="F284" t="s">
        <v>305</v>
      </c>
      <c r="G284" t="s">
        <v>337</v>
      </c>
      <c r="H284" t="s">
        <v>30</v>
      </c>
      <c r="I284" t="s">
        <v>35</v>
      </c>
      <c r="J284" t="s">
        <v>43</v>
      </c>
      <c r="K284" t="s">
        <v>33</v>
      </c>
      <c r="L284" t="s">
        <v>73</v>
      </c>
      <c r="M284" t="s">
        <v>1514</v>
      </c>
      <c r="N284" t="s">
        <v>46</v>
      </c>
      <c r="P284" t="s">
        <v>1646</v>
      </c>
      <c r="R284">
        <v>41619.750578703701</v>
      </c>
      <c r="S284">
        <v>42649.839780092596</v>
      </c>
      <c r="T284" t="s">
        <v>1529</v>
      </c>
      <c r="U284" t="s">
        <v>35</v>
      </c>
      <c r="V284" t="s">
        <v>35</v>
      </c>
      <c r="W284" t="s">
        <v>1634</v>
      </c>
    </row>
    <row r="285" spans="2:23" x14ac:dyDescent="0.25">
      <c r="B285" s="19">
        <v>4195</v>
      </c>
      <c r="C285" s="2">
        <f>HYPERLINK(URLs!B36 &amp; 37648,37648)</f>
        <v>37648</v>
      </c>
      <c r="D285" t="s">
        <v>2011</v>
      </c>
      <c r="E285" t="s">
        <v>387</v>
      </c>
      <c r="F285" t="s">
        <v>305</v>
      </c>
      <c r="G285" t="s">
        <v>310</v>
      </c>
      <c r="H285" t="s">
        <v>30</v>
      </c>
      <c r="I285" t="s">
        <v>35</v>
      </c>
      <c r="J285" t="s">
        <v>43</v>
      </c>
      <c r="K285" t="s">
        <v>33</v>
      </c>
      <c r="L285" t="s">
        <v>73</v>
      </c>
      <c r="M285" t="s">
        <v>1514</v>
      </c>
      <c r="N285" t="s">
        <v>46</v>
      </c>
      <c r="P285" t="s">
        <v>1646</v>
      </c>
      <c r="R285">
        <v>41619.75037037037</v>
      </c>
      <c r="S285">
        <v>42649.839479166665</v>
      </c>
      <c r="T285" t="s">
        <v>1529</v>
      </c>
      <c r="U285" t="s">
        <v>35</v>
      </c>
      <c r="V285" t="s">
        <v>35</v>
      </c>
      <c r="W285" t="s">
        <v>394</v>
      </c>
    </row>
    <row r="286" spans="2:23" x14ac:dyDescent="0.25">
      <c r="B286" s="19">
        <v>4195</v>
      </c>
      <c r="C286" s="2">
        <f>HYPERLINK(URLs!B36 &amp; 37471,37471)</f>
        <v>37471</v>
      </c>
      <c r="D286" t="s">
        <v>2001</v>
      </c>
      <c r="E286" t="s">
        <v>2002</v>
      </c>
      <c r="F286" t="s">
        <v>305</v>
      </c>
      <c r="G286" t="s">
        <v>304</v>
      </c>
      <c r="H286" t="s">
        <v>30</v>
      </c>
      <c r="I286" t="s">
        <v>35</v>
      </c>
      <c r="J286" t="s">
        <v>43</v>
      </c>
      <c r="K286" t="s">
        <v>33</v>
      </c>
      <c r="L286" t="s">
        <v>73</v>
      </c>
      <c r="M286" t="s">
        <v>1514</v>
      </c>
      <c r="N286" t="s">
        <v>46</v>
      </c>
      <c r="P286" t="s">
        <v>1646</v>
      </c>
      <c r="R286">
        <v>41616.924976851849</v>
      </c>
      <c r="S286">
        <v>42649.900590277779</v>
      </c>
      <c r="T286" t="s">
        <v>2</v>
      </c>
      <c r="U286" t="s">
        <v>35</v>
      </c>
      <c r="V286" t="s">
        <v>35</v>
      </c>
      <c r="W286" t="s">
        <v>4098</v>
      </c>
    </row>
    <row r="287" spans="2:23" x14ac:dyDescent="0.25">
      <c r="B287" s="19">
        <v>4195</v>
      </c>
      <c r="C287" s="2">
        <f>HYPERLINK(URLs!B36 &amp; 33561,33561)</f>
        <v>33561</v>
      </c>
      <c r="D287" t="s">
        <v>1908</v>
      </c>
      <c r="E287" t="s">
        <v>387</v>
      </c>
      <c r="F287" t="s">
        <v>305</v>
      </c>
      <c r="G287" t="s">
        <v>337</v>
      </c>
      <c r="H287" t="s">
        <v>30</v>
      </c>
      <c r="I287" t="s">
        <v>35</v>
      </c>
      <c r="J287" t="s">
        <v>58</v>
      </c>
      <c r="K287" t="s">
        <v>44</v>
      </c>
      <c r="L287" t="s">
        <v>73</v>
      </c>
      <c r="M287" t="s">
        <v>1514</v>
      </c>
      <c r="N287" t="s">
        <v>46</v>
      </c>
      <c r="P287" t="s">
        <v>1530</v>
      </c>
      <c r="R287">
        <v>41499.923009259262</v>
      </c>
      <c r="S287">
        <v>42649.836215277777</v>
      </c>
      <c r="T287" t="s">
        <v>1529</v>
      </c>
      <c r="U287" t="s">
        <v>35</v>
      </c>
      <c r="V287" t="s">
        <v>35</v>
      </c>
      <c r="W287" t="s">
        <v>3039</v>
      </c>
    </row>
    <row r="288" spans="2:23" x14ac:dyDescent="0.25">
      <c r="B288" s="19">
        <v>4195</v>
      </c>
      <c r="C288" s="2">
        <f>HYPERLINK(URLs!B36 &amp; 33560,33560)</f>
        <v>33560</v>
      </c>
      <c r="D288" t="s">
        <v>1907</v>
      </c>
      <c r="E288" t="s">
        <v>387</v>
      </c>
      <c r="F288" t="s">
        <v>305</v>
      </c>
      <c r="G288" t="s">
        <v>337</v>
      </c>
      <c r="H288" t="s">
        <v>30</v>
      </c>
      <c r="I288" t="s">
        <v>35</v>
      </c>
      <c r="J288" t="s">
        <v>58</v>
      </c>
      <c r="K288" t="s">
        <v>44</v>
      </c>
      <c r="L288" t="s">
        <v>73</v>
      </c>
      <c r="M288" t="s">
        <v>1514</v>
      </c>
      <c r="N288" t="s">
        <v>46</v>
      </c>
      <c r="O288" t="s">
        <v>1710</v>
      </c>
      <c r="P288" t="s">
        <v>1530</v>
      </c>
      <c r="R288">
        <v>41499.922812500001</v>
      </c>
      <c r="S288">
        <v>42649.836550925924</v>
      </c>
      <c r="T288" t="s">
        <v>1529</v>
      </c>
      <c r="U288" t="s">
        <v>35</v>
      </c>
      <c r="V288" t="s">
        <v>35</v>
      </c>
      <c r="W288" t="s">
        <v>1634</v>
      </c>
    </row>
    <row r="289" spans="2:23" x14ac:dyDescent="0.25">
      <c r="B289" s="19">
        <v>4195</v>
      </c>
      <c r="C289" s="2">
        <f>HYPERLINK(URLs!B36 &amp; 33559,33559)</f>
        <v>33559</v>
      </c>
      <c r="D289" t="s">
        <v>1906</v>
      </c>
      <c r="E289" t="s">
        <v>387</v>
      </c>
      <c r="F289" t="s">
        <v>305</v>
      </c>
      <c r="G289" t="s">
        <v>310</v>
      </c>
      <c r="H289" t="s">
        <v>30</v>
      </c>
      <c r="I289" t="s">
        <v>35</v>
      </c>
      <c r="J289" t="s">
        <v>58</v>
      </c>
      <c r="K289" t="s">
        <v>44</v>
      </c>
      <c r="L289" t="s">
        <v>73</v>
      </c>
      <c r="M289" t="s">
        <v>1514</v>
      </c>
      <c r="N289" t="s">
        <v>46</v>
      </c>
      <c r="P289" t="s">
        <v>1530</v>
      </c>
      <c r="R289">
        <v>41499.922708333332</v>
      </c>
      <c r="S289">
        <v>42649.836145833331</v>
      </c>
      <c r="T289" t="s">
        <v>1529</v>
      </c>
      <c r="U289" t="s">
        <v>35</v>
      </c>
      <c r="V289" t="s">
        <v>35</v>
      </c>
      <c r="W289" t="s">
        <v>394</v>
      </c>
    </row>
    <row r="290" spans="2:23" x14ac:dyDescent="0.25">
      <c r="B290" s="19">
        <v>4195</v>
      </c>
      <c r="C290" s="2">
        <f>HYPERLINK(URLs!B36 &amp; 33558,33558)</f>
        <v>33558</v>
      </c>
      <c r="D290" t="s">
        <v>1904</v>
      </c>
      <c r="E290" t="s">
        <v>387</v>
      </c>
      <c r="F290" t="s">
        <v>305</v>
      </c>
      <c r="G290" t="s">
        <v>353</v>
      </c>
      <c r="H290" t="s">
        <v>30</v>
      </c>
      <c r="I290" t="s">
        <v>35</v>
      </c>
      <c r="J290" t="s">
        <v>58</v>
      </c>
      <c r="K290" t="s">
        <v>44</v>
      </c>
      <c r="L290" t="s">
        <v>73</v>
      </c>
      <c r="M290" t="s">
        <v>1514</v>
      </c>
      <c r="N290" t="s">
        <v>46</v>
      </c>
      <c r="O290" t="s">
        <v>1905</v>
      </c>
      <c r="P290" t="s">
        <v>1530</v>
      </c>
      <c r="R290">
        <v>41499.899224537039</v>
      </c>
      <c r="S290">
        <v>42649.836273148147</v>
      </c>
      <c r="T290" t="s">
        <v>1700</v>
      </c>
      <c r="U290" t="s">
        <v>35</v>
      </c>
      <c r="V290" t="s">
        <v>35</v>
      </c>
      <c r="W290" t="s">
        <v>4098</v>
      </c>
    </row>
    <row r="291" spans="2:23" x14ac:dyDescent="0.25">
      <c r="B291" s="19">
        <v>4198</v>
      </c>
      <c r="C291" s="2">
        <f>HYPERLINK(URLs!B36 &amp; 28735,28735)</f>
        <v>28735</v>
      </c>
      <c r="D291" t="s">
        <v>3786</v>
      </c>
      <c r="E291" t="s">
        <v>3787</v>
      </c>
      <c r="F291" t="s">
        <v>305</v>
      </c>
      <c r="G291" t="s">
        <v>304</v>
      </c>
      <c r="H291" t="s">
        <v>30</v>
      </c>
      <c r="I291" t="s">
        <v>35</v>
      </c>
      <c r="J291" t="s">
        <v>43</v>
      </c>
      <c r="K291" t="s">
        <v>51</v>
      </c>
      <c r="L291" t="s">
        <v>34</v>
      </c>
      <c r="M291" t="s">
        <v>3780</v>
      </c>
      <c r="N291" t="s">
        <v>46</v>
      </c>
      <c r="P291" t="s">
        <v>1902</v>
      </c>
      <c r="R291">
        <v>41345.910937499997</v>
      </c>
      <c r="S291">
        <v>41863.80232638889</v>
      </c>
      <c r="T291" t="s">
        <v>3144</v>
      </c>
      <c r="U291" t="s">
        <v>35</v>
      </c>
      <c r="V291" t="s">
        <v>35</v>
      </c>
      <c r="W291" t="s">
        <v>4118</v>
      </c>
    </row>
    <row r="292" spans="2:23" x14ac:dyDescent="0.25">
      <c r="B292" s="19">
        <v>4219</v>
      </c>
      <c r="C292" s="2">
        <f>HYPERLINK(URLs!B36 &amp; 33384,33384)</f>
        <v>33384</v>
      </c>
      <c r="D292" t="s">
        <v>1896</v>
      </c>
      <c r="E292" t="s">
        <v>387</v>
      </c>
      <c r="F292" t="s">
        <v>305</v>
      </c>
      <c r="G292" t="s">
        <v>310</v>
      </c>
      <c r="H292" t="s">
        <v>30</v>
      </c>
      <c r="I292" t="s">
        <v>35</v>
      </c>
      <c r="J292" t="s">
        <v>58</v>
      </c>
      <c r="K292" t="s">
        <v>33</v>
      </c>
      <c r="L292" t="s">
        <v>73</v>
      </c>
      <c r="M292" t="s">
        <v>1514</v>
      </c>
      <c r="N292" t="s">
        <v>46</v>
      </c>
      <c r="P292" t="s">
        <v>1646</v>
      </c>
      <c r="R292">
        <v>41493.526956018519</v>
      </c>
      <c r="S292">
        <v>42649.836747685185</v>
      </c>
      <c r="T292" t="s">
        <v>1529</v>
      </c>
      <c r="U292" t="s">
        <v>35</v>
      </c>
      <c r="V292" t="s">
        <v>35</v>
      </c>
      <c r="W292" t="s">
        <v>3039</v>
      </c>
    </row>
    <row r="293" spans="2:23" x14ac:dyDescent="0.25">
      <c r="B293" s="19">
        <v>4219</v>
      </c>
      <c r="C293" s="2">
        <f>HYPERLINK(URLs!B36 &amp; 33383,33383)</f>
        <v>33383</v>
      </c>
      <c r="D293" t="s">
        <v>1895</v>
      </c>
      <c r="E293" t="s">
        <v>387</v>
      </c>
      <c r="F293" t="s">
        <v>305</v>
      </c>
      <c r="G293" t="s">
        <v>310</v>
      </c>
      <c r="H293" t="s">
        <v>30</v>
      </c>
      <c r="I293" t="s">
        <v>35</v>
      </c>
      <c r="J293" t="s">
        <v>58</v>
      </c>
      <c r="K293" t="s">
        <v>33</v>
      </c>
      <c r="L293" t="s">
        <v>73</v>
      </c>
      <c r="M293" t="s">
        <v>1514</v>
      </c>
      <c r="N293" t="s">
        <v>46</v>
      </c>
      <c r="O293" t="s">
        <v>1710</v>
      </c>
      <c r="P293" t="s">
        <v>1646</v>
      </c>
      <c r="R293">
        <v>41493.526770833334</v>
      </c>
      <c r="S293">
        <v>42649.836157407408</v>
      </c>
      <c r="T293" t="s">
        <v>1529</v>
      </c>
      <c r="U293" t="s">
        <v>35</v>
      </c>
      <c r="V293" t="s">
        <v>35</v>
      </c>
      <c r="W293" t="s">
        <v>1634</v>
      </c>
    </row>
    <row r="294" spans="2:23" x14ac:dyDescent="0.25">
      <c r="B294" s="19">
        <v>4219</v>
      </c>
      <c r="C294" s="2">
        <f>HYPERLINK(URLs!B36 &amp; 33382,33382)</f>
        <v>33382</v>
      </c>
      <c r="D294" t="s">
        <v>1894</v>
      </c>
      <c r="E294" t="s">
        <v>387</v>
      </c>
      <c r="F294" t="s">
        <v>305</v>
      </c>
      <c r="G294" t="s">
        <v>310</v>
      </c>
      <c r="H294" t="s">
        <v>30</v>
      </c>
      <c r="I294" t="s">
        <v>35</v>
      </c>
      <c r="J294" t="s">
        <v>58</v>
      </c>
      <c r="K294" t="s">
        <v>33</v>
      </c>
      <c r="L294" t="s">
        <v>73</v>
      </c>
      <c r="M294" t="s">
        <v>1514</v>
      </c>
      <c r="N294" t="s">
        <v>46</v>
      </c>
      <c r="P294" t="s">
        <v>1646</v>
      </c>
      <c r="R294">
        <v>41493.526643518519</v>
      </c>
      <c r="S294">
        <v>42649.836296296293</v>
      </c>
      <c r="T294" t="s">
        <v>1529</v>
      </c>
      <c r="U294" t="s">
        <v>35</v>
      </c>
      <c r="V294" t="s">
        <v>35</v>
      </c>
      <c r="W294" t="s">
        <v>394</v>
      </c>
    </row>
    <row r="295" spans="2:23" x14ac:dyDescent="0.25">
      <c r="B295" s="19">
        <v>4219</v>
      </c>
      <c r="C295" s="2">
        <f>HYPERLINK(URLs!B36 &amp; 33368,33368)</f>
        <v>33368</v>
      </c>
      <c r="D295" t="s">
        <v>1893</v>
      </c>
      <c r="E295" t="s">
        <v>299</v>
      </c>
      <c r="F295" t="s">
        <v>305</v>
      </c>
      <c r="G295" t="s">
        <v>1701</v>
      </c>
      <c r="H295" t="s">
        <v>30</v>
      </c>
      <c r="I295" t="s">
        <v>35</v>
      </c>
      <c r="J295" t="s">
        <v>58</v>
      </c>
      <c r="K295" t="s">
        <v>33</v>
      </c>
      <c r="L295" t="s">
        <v>73</v>
      </c>
      <c r="M295" t="s">
        <v>1514</v>
      </c>
      <c r="N295" t="s">
        <v>46</v>
      </c>
      <c r="P295" t="s">
        <v>1646</v>
      </c>
      <c r="R295">
        <v>41493.253750000003</v>
      </c>
      <c r="S295">
        <v>42649.836377314816</v>
      </c>
      <c r="T295" t="s">
        <v>299</v>
      </c>
      <c r="U295" t="s">
        <v>35</v>
      </c>
      <c r="V295" t="s">
        <v>35</v>
      </c>
      <c r="W295" t="s">
        <v>4098</v>
      </c>
    </row>
    <row r="296" spans="2:23" x14ac:dyDescent="0.25">
      <c r="B296" s="19">
        <v>4223</v>
      </c>
      <c r="C296" s="2">
        <f>HYPERLINK(URLs!B36 &amp; 33409,33409)</f>
        <v>33409</v>
      </c>
      <c r="D296" t="s">
        <v>1898</v>
      </c>
      <c r="E296" t="s">
        <v>387</v>
      </c>
      <c r="F296" t="s">
        <v>305</v>
      </c>
      <c r="G296" t="s">
        <v>310</v>
      </c>
      <c r="H296" t="s">
        <v>30</v>
      </c>
      <c r="I296" t="s">
        <v>35</v>
      </c>
      <c r="J296" t="s">
        <v>58</v>
      </c>
      <c r="K296" t="s">
        <v>51</v>
      </c>
      <c r="L296" t="s">
        <v>73</v>
      </c>
      <c r="M296" t="s">
        <v>263</v>
      </c>
      <c r="N296" t="s">
        <v>46</v>
      </c>
      <c r="P296" t="s">
        <v>1749</v>
      </c>
      <c r="R296">
        <v>41493.903923611113</v>
      </c>
      <c r="S296">
        <v>42649.836724537039</v>
      </c>
      <c r="T296" t="s">
        <v>1529</v>
      </c>
      <c r="U296" t="s">
        <v>35</v>
      </c>
      <c r="V296" t="s">
        <v>35</v>
      </c>
      <c r="W296" t="s">
        <v>394</v>
      </c>
    </row>
    <row r="297" spans="2:23" x14ac:dyDescent="0.25">
      <c r="B297" s="19">
        <v>4227</v>
      </c>
      <c r="C297" s="2">
        <f>HYPERLINK(URLs!B36 &amp; 34586,34586)</f>
        <v>34586</v>
      </c>
      <c r="D297" t="s">
        <v>3802</v>
      </c>
      <c r="E297" t="s">
        <v>300</v>
      </c>
      <c r="F297" t="s">
        <v>305</v>
      </c>
      <c r="G297" t="s">
        <v>337</v>
      </c>
      <c r="H297" t="s">
        <v>30</v>
      </c>
      <c r="I297" t="s">
        <v>35</v>
      </c>
      <c r="J297" t="s">
        <v>43</v>
      </c>
      <c r="K297" t="s">
        <v>44</v>
      </c>
      <c r="L297" t="s">
        <v>34</v>
      </c>
      <c r="M297" t="s">
        <v>3780</v>
      </c>
      <c r="N297" t="s">
        <v>46</v>
      </c>
      <c r="P297" t="s">
        <v>1749</v>
      </c>
      <c r="R297">
        <v>41528.633703703701</v>
      </c>
      <c r="S297">
        <v>41534.625555555554</v>
      </c>
      <c r="T297" t="s">
        <v>1913</v>
      </c>
      <c r="U297" t="s">
        <v>35</v>
      </c>
      <c r="V297" t="s">
        <v>35</v>
      </c>
      <c r="W297" t="s">
        <v>3039</v>
      </c>
    </row>
    <row r="298" spans="2:23" x14ac:dyDescent="0.25">
      <c r="B298" s="19">
        <v>4227</v>
      </c>
      <c r="C298" s="2">
        <f>HYPERLINK(URLs!B36 &amp; 34585,34585)</f>
        <v>34585</v>
      </c>
      <c r="D298" t="s">
        <v>3800</v>
      </c>
      <c r="E298" t="s">
        <v>3801</v>
      </c>
      <c r="F298" t="s">
        <v>305</v>
      </c>
      <c r="G298" t="s">
        <v>304</v>
      </c>
      <c r="H298" t="s">
        <v>30</v>
      </c>
      <c r="I298" t="s">
        <v>31</v>
      </c>
      <c r="J298" t="s">
        <v>43</v>
      </c>
      <c r="K298" t="s">
        <v>44</v>
      </c>
      <c r="L298" t="s">
        <v>34</v>
      </c>
      <c r="M298" t="s">
        <v>3780</v>
      </c>
      <c r="N298" t="s">
        <v>46</v>
      </c>
      <c r="P298" t="s">
        <v>1749</v>
      </c>
      <c r="R298">
        <v>41528.632847222223</v>
      </c>
      <c r="S298">
        <v>42039.761689814812</v>
      </c>
      <c r="T298" t="s">
        <v>1913</v>
      </c>
      <c r="U298" t="s">
        <v>35</v>
      </c>
      <c r="V298" t="s">
        <v>35</v>
      </c>
      <c r="W298" t="s">
        <v>1634</v>
      </c>
    </row>
    <row r="299" spans="2:23" x14ac:dyDescent="0.25">
      <c r="B299" s="19">
        <v>4227</v>
      </c>
      <c r="C299" s="2">
        <f>HYPERLINK(URLs!B36 &amp; 33513,33513)</f>
        <v>33513</v>
      </c>
      <c r="D299" t="s">
        <v>3792</v>
      </c>
      <c r="E299" t="s">
        <v>300</v>
      </c>
      <c r="F299" t="s">
        <v>305</v>
      </c>
      <c r="G299" t="s">
        <v>304</v>
      </c>
      <c r="H299" t="s">
        <v>30</v>
      </c>
      <c r="I299" t="s">
        <v>35</v>
      </c>
      <c r="J299" t="s">
        <v>43</v>
      </c>
      <c r="K299" t="s">
        <v>44</v>
      </c>
      <c r="L299" t="s">
        <v>34</v>
      </c>
      <c r="M299" t="s">
        <v>3780</v>
      </c>
      <c r="N299" t="s">
        <v>46</v>
      </c>
      <c r="P299" t="s">
        <v>1749</v>
      </c>
      <c r="R299">
        <v>41498.511574074073</v>
      </c>
      <c r="S299">
        <v>41816.551747685182</v>
      </c>
      <c r="T299" t="s">
        <v>300</v>
      </c>
      <c r="U299" t="s">
        <v>35</v>
      </c>
      <c r="V299" t="s">
        <v>35</v>
      </c>
      <c r="W299" t="s">
        <v>4098</v>
      </c>
    </row>
    <row r="300" spans="2:23" x14ac:dyDescent="0.25">
      <c r="B300" s="19">
        <v>4228</v>
      </c>
      <c r="C300" s="2">
        <f>HYPERLINK(URLs!B36 &amp; 33767,33767)</f>
        <v>33767</v>
      </c>
      <c r="D300" t="s">
        <v>1914</v>
      </c>
      <c r="E300" t="s">
        <v>1901</v>
      </c>
      <c r="F300" t="s">
        <v>305</v>
      </c>
      <c r="G300" t="s">
        <v>310</v>
      </c>
      <c r="H300" t="s">
        <v>30</v>
      </c>
      <c r="I300" t="s">
        <v>35</v>
      </c>
      <c r="J300" t="s">
        <v>43</v>
      </c>
      <c r="K300" t="s">
        <v>35</v>
      </c>
      <c r="L300" t="s">
        <v>34</v>
      </c>
      <c r="M300" t="s">
        <v>1853</v>
      </c>
      <c r="N300" t="s">
        <v>46</v>
      </c>
      <c r="P300" t="s">
        <v>1902</v>
      </c>
      <c r="R300">
        <v>41505.657824074071</v>
      </c>
      <c r="S300">
        <v>42044.673530092594</v>
      </c>
      <c r="T300" t="s">
        <v>1913</v>
      </c>
      <c r="U300" t="s">
        <v>35</v>
      </c>
      <c r="V300" t="s">
        <v>35</v>
      </c>
      <c r="W300" t="s">
        <v>3039</v>
      </c>
    </row>
    <row r="301" spans="2:23" x14ac:dyDescent="0.25">
      <c r="B301" s="19">
        <v>4228</v>
      </c>
      <c r="C301" s="2">
        <f>HYPERLINK(URLs!B36 &amp; 33766,33766)</f>
        <v>33766</v>
      </c>
      <c r="D301" t="s">
        <v>1912</v>
      </c>
      <c r="E301" t="s">
        <v>1901</v>
      </c>
      <c r="F301" t="s">
        <v>305</v>
      </c>
      <c r="G301" t="s">
        <v>353</v>
      </c>
      <c r="H301" t="s">
        <v>30</v>
      </c>
      <c r="I301" t="s">
        <v>35</v>
      </c>
      <c r="J301" t="s">
        <v>43</v>
      </c>
      <c r="K301" t="s">
        <v>35</v>
      </c>
      <c r="L301" t="s">
        <v>34</v>
      </c>
      <c r="M301" t="s">
        <v>1853</v>
      </c>
      <c r="N301" t="s">
        <v>46</v>
      </c>
      <c r="P301" t="s">
        <v>1902</v>
      </c>
      <c r="R301">
        <v>41505.65729166667</v>
      </c>
      <c r="S301">
        <v>42044.667453703703</v>
      </c>
      <c r="T301" t="s">
        <v>1913</v>
      </c>
      <c r="U301" t="s">
        <v>35</v>
      </c>
      <c r="V301" t="s">
        <v>35</v>
      </c>
      <c r="W301" t="s">
        <v>1634</v>
      </c>
    </row>
    <row r="302" spans="2:23" x14ac:dyDescent="0.25">
      <c r="B302" s="19">
        <v>4228</v>
      </c>
      <c r="C302" s="2">
        <f>HYPERLINK(URLs!B36 &amp; 33764,33764)</f>
        <v>33764</v>
      </c>
      <c r="D302" t="s">
        <v>1914</v>
      </c>
      <c r="E302" t="s">
        <v>1901</v>
      </c>
      <c r="F302" t="s">
        <v>305</v>
      </c>
      <c r="G302" t="s">
        <v>310</v>
      </c>
      <c r="H302" t="s">
        <v>30</v>
      </c>
      <c r="I302" t="s">
        <v>35</v>
      </c>
      <c r="J302" t="s">
        <v>43</v>
      </c>
      <c r="K302" t="s">
        <v>35</v>
      </c>
      <c r="L302" t="s">
        <v>34</v>
      </c>
      <c r="M302" t="s">
        <v>1853</v>
      </c>
      <c r="N302" t="s">
        <v>46</v>
      </c>
      <c r="P302" t="s">
        <v>1902</v>
      </c>
      <c r="R302">
        <v>41505.652673611112</v>
      </c>
      <c r="S302">
        <v>42044.672106481485</v>
      </c>
      <c r="T302" t="s">
        <v>1913</v>
      </c>
      <c r="U302" t="s">
        <v>35</v>
      </c>
      <c r="V302" t="s">
        <v>35</v>
      </c>
      <c r="W302" t="s">
        <v>3039</v>
      </c>
    </row>
    <row r="303" spans="2:23" x14ac:dyDescent="0.25">
      <c r="B303" s="19">
        <v>4228</v>
      </c>
      <c r="C303" s="2">
        <f>HYPERLINK(URLs!B36 &amp; 33763,33763)</f>
        <v>33763</v>
      </c>
      <c r="D303" t="s">
        <v>1912</v>
      </c>
      <c r="E303" t="s">
        <v>1901</v>
      </c>
      <c r="F303" t="s">
        <v>305</v>
      </c>
      <c r="G303" t="s">
        <v>353</v>
      </c>
      <c r="H303" t="s">
        <v>30</v>
      </c>
      <c r="I303" t="s">
        <v>35</v>
      </c>
      <c r="J303" t="s">
        <v>43</v>
      </c>
      <c r="K303" t="s">
        <v>35</v>
      </c>
      <c r="L303" t="s">
        <v>34</v>
      </c>
      <c r="M303" t="s">
        <v>1853</v>
      </c>
      <c r="N303" t="s">
        <v>46</v>
      </c>
      <c r="P303" t="s">
        <v>1902</v>
      </c>
      <c r="R303">
        <v>41505.652465277781</v>
      </c>
      <c r="S303">
        <v>42044.673726851855</v>
      </c>
      <c r="T303" t="s">
        <v>1913</v>
      </c>
      <c r="U303" t="s">
        <v>35</v>
      </c>
      <c r="V303" t="s">
        <v>35</v>
      </c>
      <c r="W303" t="s">
        <v>1634</v>
      </c>
    </row>
    <row r="304" spans="2:23" x14ac:dyDescent="0.25">
      <c r="B304" s="19">
        <v>4228</v>
      </c>
      <c r="C304" s="2">
        <f>HYPERLINK(URLs!B36 &amp; 33752,33752)</f>
        <v>33752</v>
      </c>
      <c r="D304" t="s">
        <v>1914</v>
      </c>
      <c r="E304" t="s">
        <v>1901</v>
      </c>
      <c r="F304" t="s">
        <v>305</v>
      </c>
      <c r="G304" t="s">
        <v>310</v>
      </c>
      <c r="H304" t="s">
        <v>30</v>
      </c>
      <c r="I304" t="s">
        <v>35</v>
      </c>
      <c r="J304" t="s">
        <v>43</v>
      </c>
      <c r="K304" t="s">
        <v>35</v>
      </c>
      <c r="L304" t="s">
        <v>34</v>
      </c>
      <c r="M304" t="s">
        <v>1853</v>
      </c>
      <c r="N304" t="s">
        <v>46</v>
      </c>
      <c r="P304" t="s">
        <v>1902</v>
      </c>
      <c r="R304">
        <v>41505.617881944447</v>
      </c>
      <c r="S304">
        <v>42044.674189814818</v>
      </c>
      <c r="T304" t="s">
        <v>1913</v>
      </c>
      <c r="U304" t="s">
        <v>35</v>
      </c>
      <c r="V304" t="s">
        <v>35</v>
      </c>
      <c r="W304" t="s">
        <v>3039</v>
      </c>
    </row>
    <row r="305" spans="2:23" x14ac:dyDescent="0.25">
      <c r="B305" s="19">
        <v>4228</v>
      </c>
      <c r="C305" s="2">
        <f>HYPERLINK(URLs!B36 &amp; 33751,33751)</f>
        <v>33751</v>
      </c>
      <c r="D305" t="s">
        <v>1912</v>
      </c>
      <c r="E305" t="s">
        <v>1901</v>
      </c>
      <c r="F305" t="s">
        <v>305</v>
      </c>
      <c r="G305" t="s">
        <v>353</v>
      </c>
      <c r="H305" t="s">
        <v>30</v>
      </c>
      <c r="I305" t="s">
        <v>35</v>
      </c>
      <c r="J305" t="s">
        <v>43</v>
      </c>
      <c r="K305" t="s">
        <v>35</v>
      </c>
      <c r="L305" t="s">
        <v>34</v>
      </c>
      <c r="M305" t="s">
        <v>1853</v>
      </c>
      <c r="N305" t="s">
        <v>46</v>
      </c>
      <c r="P305" t="s">
        <v>1902</v>
      </c>
      <c r="R305">
        <v>41505.617708333331</v>
      </c>
      <c r="S305">
        <v>42044.670856481483</v>
      </c>
      <c r="T305" t="s">
        <v>1913</v>
      </c>
      <c r="U305" t="s">
        <v>35</v>
      </c>
      <c r="V305" t="s">
        <v>35</v>
      </c>
      <c r="W305" t="s">
        <v>1634</v>
      </c>
    </row>
    <row r="306" spans="2:23" x14ac:dyDescent="0.25">
      <c r="B306" s="19">
        <v>4228</v>
      </c>
      <c r="C306" s="2">
        <f>HYPERLINK(URLs!B36 &amp; 33750,33750)</f>
        <v>33750</v>
      </c>
      <c r="D306" t="s">
        <v>1914</v>
      </c>
      <c r="E306" t="s">
        <v>1913</v>
      </c>
      <c r="F306" t="s">
        <v>305</v>
      </c>
      <c r="G306" t="s">
        <v>304</v>
      </c>
      <c r="H306" t="s">
        <v>30</v>
      </c>
      <c r="I306" t="s">
        <v>31</v>
      </c>
      <c r="J306" t="s">
        <v>43</v>
      </c>
      <c r="K306" t="s">
        <v>44</v>
      </c>
      <c r="L306" t="s">
        <v>34</v>
      </c>
      <c r="M306" t="s">
        <v>1853</v>
      </c>
      <c r="N306" t="s">
        <v>46</v>
      </c>
      <c r="P306" t="s">
        <v>1902</v>
      </c>
      <c r="R306">
        <v>41505.615451388891</v>
      </c>
      <c r="S306">
        <v>42039.768506944441</v>
      </c>
      <c r="T306" t="s">
        <v>1913</v>
      </c>
      <c r="U306" t="s">
        <v>35</v>
      </c>
      <c r="V306" t="s">
        <v>35</v>
      </c>
      <c r="W306" t="s">
        <v>4124</v>
      </c>
    </row>
    <row r="307" spans="2:23" x14ac:dyDescent="0.25">
      <c r="B307" s="19">
        <v>4228</v>
      </c>
      <c r="C307" s="2">
        <f>HYPERLINK(URLs!B36 &amp; 33749,33749)</f>
        <v>33749</v>
      </c>
      <c r="D307" t="s">
        <v>1912</v>
      </c>
      <c r="E307" t="s">
        <v>1913</v>
      </c>
      <c r="F307" t="s">
        <v>305</v>
      </c>
      <c r="G307" t="s">
        <v>304</v>
      </c>
      <c r="H307" t="s">
        <v>30</v>
      </c>
      <c r="I307" t="s">
        <v>31</v>
      </c>
      <c r="J307" t="s">
        <v>43</v>
      </c>
      <c r="K307" t="s">
        <v>44</v>
      </c>
      <c r="L307" t="s">
        <v>34</v>
      </c>
      <c r="M307" t="s">
        <v>1853</v>
      </c>
      <c r="N307" t="s">
        <v>46</v>
      </c>
      <c r="P307" t="s">
        <v>1902</v>
      </c>
      <c r="R307">
        <v>41505.614062499997</v>
      </c>
      <c r="S307">
        <v>42039.760150462964</v>
      </c>
      <c r="T307" t="s">
        <v>1913</v>
      </c>
      <c r="U307" t="s">
        <v>35</v>
      </c>
      <c r="V307" t="s">
        <v>35</v>
      </c>
      <c r="W307" t="s">
        <v>1634</v>
      </c>
    </row>
    <row r="308" spans="2:23" x14ac:dyDescent="0.25">
      <c r="B308" s="19">
        <v>4228</v>
      </c>
      <c r="C308" s="2">
        <f>HYPERLINK(URLs!B36 &amp; 33519,33519)</f>
        <v>33519</v>
      </c>
      <c r="D308" t="s">
        <v>1900</v>
      </c>
      <c r="E308" t="s">
        <v>1901</v>
      </c>
      <c r="F308" t="s">
        <v>305</v>
      </c>
      <c r="G308" t="s">
        <v>304</v>
      </c>
      <c r="H308" t="s">
        <v>30</v>
      </c>
      <c r="I308" t="s">
        <v>35</v>
      </c>
      <c r="J308" t="s">
        <v>43</v>
      </c>
      <c r="K308" t="s">
        <v>44</v>
      </c>
      <c r="L308" t="s">
        <v>34</v>
      </c>
      <c r="M308" t="s">
        <v>1853</v>
      </c>
      <c r="N308" t="s">
        <v>46</v>
      </c>
      <c r="P308" t="s">
        <v>1902</v>
      </c>
      <c r="R308">
        <v>41498.641956018517</v>
      </c>
      <c r="S308">
        <v>41816.552488425928</v>
      </c>
      <c r="T308" t="s">
        <v>48</v>
      </c>
      <c r="U308" t="s">
        <v>35</v>
      </c>
      <c r="V308" t="s">
        <v>35</v>
      </c>
      <c r="W308" t="s">
        <v>4098</v>
      </c>
    </row>
    <row r="309" spans="2:23" x14ac:dyDescent="0.25">
      <c r="B309" s="19">
        <v>4259</v>
      </c>
      <c r="C309" s="2">
        <f>HYPERLINK(URLs!B36 &amp; 34155,34155)</f>
        <v>34155</v>
      </c>
      <c r="D309" t="s">
        <v>1924</v>
      </c>
      <c r="E309" t="s">
        <v>1613</v>
      </c>
      <c r="F309" t="s">
        <v>305</v>
      </c>
      <c r="G309" t="s">
        <v>304</v>
      </c>
      <c r="H309" t="s">
        <v>30</v>
      </c>
      <c r="I309" t="s">
        <v>35</v>
      </c>
      <c r="J309" t="s">
        <v>32</v>
      </c>
      <c r="K309" t="s">
        <v>33</v>
      </c>
      <c r="L309" t="s">
        <v>73</v>
      </c>
      <c r="M309" t="s">
        <v>263</v>
      </c>
      <c r="N309" t="s">
        <v>46</v>
      </c>
      <c r="P309" t="s">
        <v>1646</v>
      </c>
      <c r="R309">
        <v>41514.57304398148</v>
      </c>
      <c r="S309">
        <v>42648.825833333336</v>
      </c>
      <c r="T309" t="s">
        <v>1529</v>
      </c>
      <c r="U309" t="s">
        <v>35</v>
      </c>
      <c r="V309" t="s">
        <v>35</v>
      </c>
      <c r="W309" t="s">
        <v>4124</v>
      </c>
    </row>
    <row r="310" spans="2:23" x14ac:dyDescent="0.25">
      <c r="B310" s="19">
        <v>4259</v>
      </c>
      <c r="C310" s="2">
        <f>HYPERLINK(URLs!B36 &amp; 34154,34154)</f>
        <v>34154</v>
      </c>
      <c r="D310" t="s">
        <v>1922</v>
      </c>
      <c r="E310" t="s">
        <v>387</v>
      </c>
      <c r="F310" t="s">
        <v>305</v>
      </c>
      <c r="G310" t="s">
        <v>304</v>
      </c>
      <c r="H310" t="s">
        <v>30</v>
      </c>
      <c r="I310" t="s">
        <v>35</v>
      </c>
      <c r="J310" t="s">
        <v>32</v>
      </c>
      <c r="K310" t="s">
        <v>33</v>
      </c>
      <c r="L310" t="s">
        <v>73</v>
      </c>
      <c r="M310" t="s">
        <v>263</v>
      </c>
      <c r="N310" t="s">
        <v>1923</v>
      </c>
      <c r="O310" t="s">
        <v>1846</v>
      </c>
      <c r="P310" t="s">
        <v>1646</v>
      </c>
      <c r="R310">
        <v>41514.572905092595</v>
      </c>
      <c r="S310">
        <v>42648.825590277775</v>
      </c>
      <c r="T310" t="s">
        <v>1529</v>
      </c>
      <c r="U310" t="s">
        <v>35</v>
      </c>
      <c r="V310" t="s">
        <v>35</v>
      </c>
      <c r="W310" t="s">
        <v>1634</v>
      </c>
    </row>
    <row r="311" spans="2:23" x14ac:dyDescent="0.25">
      <c r="B311" s="19">
        <v>4259</v>
      </c>
      <c r="C311" s="2">
        <f>HYPERLINK(URLs!B36 &amp; 34153,34153)</f>
        <v>34153</v>
      </c>
      <c r="D311" t="s">
        <v>1921</v>
      </c>
      <c r="E311" t="s">
        <v>387</v>
      </c>
      <c r="F311" t="s">
        <v>305</v>
      </c>
      <c r="G311" t="s">
        <v>304</v>
      </c>
      <c r="H311" t="s">
        <v>30</v>
      </c>
      <c r="I311" t="s">
        <v>35</v>
      </c>
      <c r="J311" t="s">
        <v>32</v>
      </c>
      <c r="K311" t="s">
        <v>33</v>
      </c>
      <c r="L311" t="s">
        <v>73</v>
      </c>
      <c r="M311" t="s">
        <v>263</v>
      </c>
      <c r="N311" t="s">
        <v>46</v>
      </c>
      <c r="P311" t="s">
        <v>1646</v>
      </c>
      <c r="R311">
        <v>41514.572789351849</v>
      </c>
      <c r="S311">
        <v>42648.82571759259</v>
      </c>
      <c r="T311" t="s">
        <v>1529</v>
      </c>
      <c r="U311" t="s">
        <v>35</v>
      </c>
      <c r="V311" t="s">
        <v>35</v>
      </c>
      <c r="W311" t="s">
        <v>4123</v>
      </c>
    </row>
    <row r="312" spans="2:23" x14ac:dyDescent="0.25">
      <c r="B312" s="19">
        <v>4259</v>
      </c>
      <c r="C312" s="2">
        <f>HYPERLINK(URLs!B36 &amp; 34152,34152)</f>
        <v>34152</v>
      </c>
      <c r="D312" t="s">
        <v>1920</v>
      </c>
      <c r="E312" t="s">
        <v>387</v>
      </c>
      <c r="F312" t="s">
        <v>305</v>
      </c>
      <c r="G312" t="s">
        <v>304</v>
      </c>
      <c r="H312" t="s">
        <v>30</v>
      </c>
      <c r="I312" t="s">
        <v>35</v>
      </c>
      <c r="J312" t="s">
        <v>32</v>
      </c>
      <c r="K312" t="s">
        <v>33</v>
      </c>
      <c r="L312" t="s">
        <v>73</v>
      </c>
      <c r="M312" t="s">
        <v>263</v>
      </c>
      <c r="N312" t="s">
        <v>46</v>
      </c>
      <c r="P312" t="s">
        <v>1646</v>
      </c>
      <c r="R312">
        <v>41514.56826388889</v>
      </c>
      <c r="S312">
        <v>42037.895243055558</v>
      </c>
      <c r="T312" t="s">
        <v>1</v>
      </c>
      <c r="U312" t="s">
        <v>35</v>
      </c>
      <c r="V312" t="s">
        <v>35</v>
      </c>
      <c r="W312" t="s">
        <v>4098</v>
      </c>
    </row>
    <row r="313" spans="2:23" x14ac:dyDescent="0.25">
      <c r="B313" s="19">
        <v>4264</v>
      </c>
      <c r="C313" s="2">
        <f>HYPERLINK(URLs!B36 &amp; 34221,34221)</f>
        <v>34221</v>
      </c>
      <c r="D313" t="s">
        <v>3799</v>
      </c>
      <c r="E313" t="s">
        <v>3787</v>
      </c>
      <c r="F313" t="s">
        <v>305</v>
      </c>
      <c r="G313" t="s">
        <v>353</v>
      </c>
      <c r="H313" t="s">
        <v>30</v>
      </c>
      <c r="I313" t="s">
        <v>35</v>
      </c>
      <c r="J313" t="s">
        <v>43</v>
      </c>
      <c r="K313" t="s">
        <v>35</v>
      </c>
      <c r="L313" t="s">
        <v>34</v>
      </c>
      <c r="M313" t="s">
        <v>3780</v>
      </c>
      <c r="N313" t="s">
        <v>46</v>
      </c>
      <c r="P313" t="s">
        <v>1749</v>
      </c>
      <c r="R313">
        <v>41515.857604166667</v>
      </c>
      <c r="S313">
        <v>41535.034490740742</v>
      </c>
      <c r="T313" t="s">
        <v>1</v>
      </c>
      <c r="U313" t="s">
        <v>35</v>
      </c>
      <c r="V313" t="s">
        <v>35</v>
      </c>
      <c r="W313" t="s">
        <v>4126</v>
      </c>
    </row>
    <row r="314" spans="2:23" x14ac:dyDescent="0.25">
      <c r="B314" s="19">
        <v>4264</v>
      </c>
      <c r="C314" s="2">
        <f>HYPERLINK(URLs!B36 &amp; 23599,23599)</f>
        <v>23599</v>
      </c>
      <c r="D314" t="s">
        <v>3779</v>
      </c>
      <c r="E314" t="s">
        <v>39</v>
      </c>
      <c r="F314" t="s">
        <v>305</v>
      </c>
      <c r="G314" t="s">
        <v>337</v>
      </c>
      <c r="H314" t="s">
        <v>426</v>
      </c>
      <c r="I314" t="s">
        <v>68</v>
      </c>
      <c r="J314" t="s">
        <v>58</v>
      </c>
      <c r="K314" t="s">
        <v>51</v>
      </c>
      <c r="L314" t="s">
        <v>34</v>
      </c>
      <c r="M314" t="s">
        <v>3780</v>
      </c>
      <c r="N314" t="s">
        <v>2226</v>
      </c>
      <c r="P314" t="s">
        <v>1530</v>
      </c>
      <c r="R314">
        <v>41135.659479166665</v>
      </c>
      <c r="S314">
        <v>42649.915543981479</v>
      </c>
      <c r="T314" t="s">
        <v>39</v>
      </c>
      <c r="U314" t="s">
        <v>35</v>
      </c>
      <c r="V314" t="s">
        <v>35</v>
      </c>
      <c r="W314" t="s">
        <v>4111</v>
      </c>
    </row>
    <row r="315" spans="2:23" x14ac:dyDescent="0.25">
      <c r="B315" s="19">
        <v>4269</v>
      </c>
      <c r="C315" s="2">
        <f>HYPERLINK(URLs!B36 &amp; 38406,38406)</f>
        <v>38406</v>
      </c>
      <c r="D315" t="s">
        <v>2046</v>
      </c>
      <c r="E315" t="s">
        <v>1864</v>
      </c>
      <c r="F315" t="s">
        <v>305</v>
      </c>
      <c r="G315" t="s">
        <v>304</v>
      </c>
      <c r="H315" t="s">
        <v>30</v>
      </c>
      <c r="I315" t="s">
        <v>35</v>
      </c>
      <c r="J315" t="s">
        <v>43</v>
      </c>
      <c r="K315" t="s">
        <v>44</v>
      </c>
      <c r="L315" t="s">
        <v>34</v>
      </c>
      <c r="M315" t="s">
        <v>336</v>
      </c>
      <c r="N315" t="s">
        <v>46</v>
      </c>
      <c r="P315" t="s">
        <v>1749</v>
      </c>
      <c r="R315">
        <v>41656.614155092589</v>
      </c>
      <c r="S315">
        <v>41864.635740740741</v>
      </c>
      <c r="T315" t="s">
        <v>2047</v>
      </c>
      <c r="U315" t="s">
        <v>35</v>
      </c>
      <c r="V315" t="s">
        <v>35</v>
      </c>
      <c r="W315" t="s">
        <v>4122</v>
      </c>
    </row>
    <row r="316" spans="2:23" x14ac:dyDescent="0.25">
      <c r="B316" s="19">
        <v>4269</v>
      </c>
      <c r="C316" s="2">
        <f>HYPERLINK(URLs!B36 &amp; 34715,34715)</f>
        <v>34715</v>
      </c>
      <c r="D316" t="s">
        <v>1944</v>
      </c>
      <c r="E316" t="s">
        <v>1945</v>
      </c>
      <c r="F316" t="s">
        <v>305</v>
      </c>
      <c r="G316" t="s">
        <v>304</v>
      </c>
      <c r="H316" t="s">
        <v>30</v>
      </c>
      <c r="I316" t="s">
        <v>31</v>
      </c>
      <c r="J316" t="s">
        <v>43</v>
      </c>
      <c r="K316" t="s">
        <v>44</v>
      </c>
      <c r="L316" t="s">
        <v>34</v>
      </c>
      <c r="M316" t="s">
        <v>1853</v>
      </c>
      <c r="N316" t="s">
        <v>46</v>
      </c>
      <c r="O316" t="s">
        <v>1946</v>
      </c>
      <c r="P316" t="s">
        <v>1749</v>
      </c>
      <c r="R316">
        <v>41533.211018518516</v>
      </c>
      <c r="S316">
        <v>42039.773368055554</v>
      </c>
      <c r="T316" t="s">
        <v>53</v>
      </c>
      <c r="U316" t="s">
        <v>35</v>
      </c>
      <c r="V316" t="s">
        <v>35</v>
      </c>
      <c r="W316" t="s">
        <v>4127</v>
      </c>
    </row>
    <row r="317" spans="2:23" x14ac:dyDescent="0.25">
      <c r="B317" s="19">
        <v>4269</v>
      </c>
      <c r="C317" s="2">
        <f>HYPERLINK(URLs!B36 &amp; 34312,34312)</f>
        <v>34312</v>
      </c>
      <c r="D317" t="s">
        <v>1932</v>
      </c>
      <c r="E317" t="s">
        <v>1933</v>
      </c>
      <c r="F317" t="s">
        <v>305</v>
      </c>
      <c r="G317" t="s">
        <v>304</v>
      </c>
      <c r="H317" t="s">
        <v>30</v>
      </c>
      <c r="I317" t="s">
        <v>35</v>
      </c>
      <c r="J317" t="s">
        <v>43</v>
      </c>
      <c r="K317" t="s">
        <v>44</v>
      </c>
      <c r="L317" t="s">
        <v>34</v>
      </c>
      <c r="M317" t="s">
        <v>1853</v>
      </c>
      <c r="N317" t="s">
        <v>46</v>
      </c>
      <c r="P317" t="s">
        <v>1749</v>
      </c>
      <c r="R317">
        <v>41520.716886574075</v>
      </c>
      <c r="S317">
        <v>41864.626215277778</v>
      </c>
      <c r="T317" t="s">
        <v>48</v>
      </c>
      <c r="U317" t="s">
        <v>35</v>
      </c>
      <c r="V317" t="s">
        <v>35</v>
      </c>
      <c r="W317" t="s">
        <v>4122</v>
      </c>
    </row>
    <row r="318" spans="2:23" x14ac:dyDescent="0.25">
      <c r="B318" s="19">
        <v>4286</v>
      </c>
      <c r="C318" s="2">
        <f>HYPERLINK(URLs!B36 &amp; 34613,34613)</f>
        <v>34613</v>
      </c>
      <c r="D318" t="s">
        <v>1938</v>
      </c>
      <c r="E318" t="s">
        <v>387</v>
      </c>
      <c r="F318" t="s">
        <v>305</v>
      </c>
      <c r="G318" t="s">
        <v>353</v>
      </c>
      <c r="H318" t="s">
        <v>30</v>
      </c>
      <c r="I318" t="s">
        <v>35</v>
      </c>
      <c r="J318" t="s">
        <v>43</v>
      </c>
      <c r="K318" t="s">
        <v>44</v>
      </c>
      <c r="L318" t="s">
        <v>73</v>
      </c>
      <c r="M318" t="s">
        <v>263</v>
      </c>
      <c r="N318" t="s">
        <v>46</v>
      </c>
      <c r="P318" t="s">
        <v>1749</v>
      </c>
      <c r="R318">
        <v>41529.058055555557</v>
      </c>
      <c r="S318">
        <v>42649.837291666663</v>
      </c>
      <c r="T318" t="s">
        <v>1529</v>
      </c>
      <c r="U318" t="s">
        <v>35</v>
      </c>
      <c r="V318" t="s">
        <v>35</v>
      </c>
      <c r="W318" t="s">
        <v>3039</v>
      </c>
    </row>
    <row r="319" spans="2:23" x14ac:dyDescent="0.25">
      <c r="B319" s="19">
        <v>4286</v>
      </c>
      <c r="C319" s="2">
        <f>HYPERLINK(URLs!B36 &amp; 34612,34612)</f>
        <v>34612</v>
      </c>
      <c r="D319" t="s">
        <v>1937</v>
      </c>
      <c r="E319" t="s">
        <v>387</v>
      </c>
      <c r="F319" t="s">
        <v>305</v>
      </c>
      <c r="G319" t="s">
        <v>353</v>
      </c>
      <c r="H319" t="s">
        <v>30</v>
      </c>
      <c r="I319" t="s">
        <v>35</v>
      </c>
      <c r="J319" t="s">
        <v>43</v>
      </c>
      <c r="K319" t="s">
        <v>44</v>
      </c>
      <c r="L319" t="s">
        <v>73</v>
      </c>
      <c r="M319" t="s">
        <v>263</v>
      </c>
      <c r="N319" t="s">
        <v>46</v>
      </c>
      <c r="O319" t="s">
        <v>1929</v>
      </c>
      <c r="P319" t="s">
        <v>1749</v>
      </c>
      <c r="R319">
        <v>41529.057881944442</v>
      </c>
      <c r="S319">
        <v>42649.837673611109</v>
      </c>
      <c r="T319" t="s">
        <v>1529</v>
      </c>
      <c r="U319" t="s">
        <v>35</v>
      </c>
      <c r="V319" t="s">
        <v>35</v>
      </c>
      <c r="W319" t="s">
        <v>1634</v>
      </c>
    </row>
    <row r="320" spans="2:23" x14ac:dyDescent="0.25">
      <c r="B320" s="19">
        <v>4286</v>
      </c>
      <c r="C320" s="2">
        <f>HYPERLINK(URLs!B36 &amp; 34611,34611)</f>
        <v>34611</v>
      </c>
      <c r="D320" t="s">
        <v>1936</v>
      </c>
      <c r="E320" t="s">
        <v>387</v>
      </c>
      <c r="F320" t="s">
        <v>305</v>
      </c>
      <c r="G320" t="s">
        <v>353</v>
      </c>
      <c r="H320" t="s">
        <v>30</v>
      </c>
      <c r="I320" t="s">
        <v>35</v>
      </c>
      <c r="J320" t="s">
        <v>43</v>
      </c>
      <c r="K320" t="s">
        <v>44</v>
      </c>
      <c r="L320" t="s">
        <v>73</v>
      </c>
      <c r="M320" t="s">
        <v>263</v>
      </c>
      <c r="N320" t="s">
        <v>46</v>
      </c>
      <c r="P320" t="s">
        <v>1749</v>
      </c>
      <c r="R320">
        <v>41529.057430555556</v>
      </c>
      <c r="S320">
        <v>42649.837083333332</v>
      </c>
      <c r="T320" t="s">
        <v>1529</v>
      </c>
      <c r="U320" t="s">
        <v>35</v>
      </c>
      <c r="V320" t="s">
        <v>35</v>
      </c>
      <c r="W320" t="s">
        <v>394</v>
      </c>
    </row>
    <row r="321" spans="2:23" x14ac:dyDescent="0.25">
      <c r="B321" s="19">
        <v>4286</v>
      </c>
      <c r="C321" s="2">
        <f>HYPERLINK(URLs!B36 &amp; 34610,34610)</f>
        <v>34610</v>
      </c>
      <c r="D321" t="s">
        <v>1935</v>
      </c>
      <c r="E321" t="s">
        <v>387</v>
      </c>
      <c r="F321" t="s">
        <v>305</v>
      </c>
      <c r="G321" t="s">
        <v>353</v>
      </c>
      <c r="H321" t="s">
        <v>30</v>
      </c>
      <c r="I321" t="s">
        <v>35</v>
      </c>
      <c r="J321" t="s">
        <v>43</v>
      </c>
      <c r="K321" t="s">
        <v>44</v>
      </c>
      <c r="L321" t="s">
        <v>73</v>
      </c>
      <c r="M321" t="s">
        <v>263</v>
      </c>
      <c r="N321" t="s">
        <v>46</v>
      </c>
      <c r="P321" t="s">
        <v>1749</v>
      </c>
      <c r="R321">
        <v>41529.003240740742</v>
      </c>
      <c r="S321">
        <v>42649.837118055555</v>
      </c>
      <c r="T321" t="s">
        <v>2</v>
      </c>
      <c r="U321" t="s">
        <v>35</v>
      </c>
      <c r="V321" t="s">
        <v>35</v>
      </c>
      <c r="W321" t="s">
        <v>4098</v>
      </c>
    </row>
    <row r="322" spans="2:23" x14ac:dyDescent="0.25">
      <c r="B322" s="19">
        <v>4287</v>
      </c>
      <c r="C322" s="2">
        <f>HYPERLINK(URLs!B36 &amp; 34649,34649)</f>
        <v>34649</v>
      </c>
      <c r="D322" t="s">
        <v>1943</v>
      </c>
      <c r="E322" t="s">
        <v>387</v>
      </c>
      <c r="F322" t="s">
        <v>305</v>
      </c>
      <c r="G322" t="s">
        <v>353</v>
      </c>
      <c r="H322" t="s">
        <v>30</v>
      </c>
      <c r="I322" t="s">
        <v>35</v>
      </c>
      <c r="J322" t="s">
        <v>43</v>
      </c>
      <c r="K322" t="s">
        <v>44</v>
      </c>
      <c r="L322" t="s">
        <v>73</v>
      </c>
      <c r="M322" t="s">
        <v>263</v>
      </c>
      <c r="N322" t="s">
        <v>46</v>
      </c>
      <c r="P322" t="s">
        <v>1646</v>
      </c>
      <c r="R322">
        <v>41529.766712962963</v>
      </c>
      <c r="S322">
        <v>42649.837187500001</v>
      </c>
      <c r="T322" t="s">
        <v>1529</v>
      </c>
      <c r="U322" t="s">
        <v>35</v>
      </c>
      <c r="V322" t="s">
        <v>35</v>
      </c>
      <c r="W322" t="s">
        <v>3039</v>
      </c>
    </row>
    <row r="323" spans="2:23" x14ac:dyDescent="0.25">
      <c r="B323" s="19">
        <v>4287</v>
      </c>
      <c r="C323" s="2">
        <f>HYPERLINK(URLs!B36 &amp; 34648,34648)</f>
        <v>34648</v>
      </c>
      <c r="D323" t="s">
        <v>1942</v>
      </c>
      <c r="E323" t="s">
        <v>387</v>
      </c>
      <c r="F323" t="s">
        <v>305</v>
      </c>
      <c r="G323" t="s">
        <v>353</v>
      </c>
      <c r="H323" t="s">
        <v>30</v>
      </c>
      <c r="I323" t="s">
        <v>35</v>
      </c>
      <c r="J323" t="s">
        <v>43</v>
      </c>
      <c r="K323" t="s">
        <v>44</v>
      </c>
      <c r="L323" t="s">
        <v>73</v>
      </c>
      <c r="M323" t="s">
        <v>263</v>
      </c>
      <c r="N323" t="s">
        <v>46</v>
      </c>
      <c r="O323" t="s">
        <v>1929</v>
      </c>
      <c r="P323" t="s">
        <v>1646</v>
      </c>
      <c r="R323">
        <v>41529.766527777778</v>
      </c>
      <c r="S323">
        <v>42649.900277777779</v>
      </c>
      <c r="T323" t="s">
        <v>1529</v>
      </c>
      <c r="U323" t="s">
        <v>35</v>
      </c>
      <c r="V323" t="s">
        <v>35</v>
      </c>
      <c r="W323" t="s">
        <v>1634</v>
      </c>
    </row>
    <row r="324" spans="2:23" x14ac:dyDescent="0.25">
      <c r="B324" s="19">
        <v>4287</v>
      </c>
      <c r="C324" s="2">
        <f>HYPERLINK(URLs!B36 &amp; 34647,34647)</f>
        <v>34647</v>
      </c>
      <c r="D324" t="s">
        <v>1941</v>
      </c>
      <c r="E324" t="s">
        <v>387</v>
      </c>
      <c r="F324" t="s">
        <v>305</v>
      </c>
      <c r="G324" t="s">
        <v>310</v>
      </c>
      <c r="H324" t="s">
        <v>30</v>
      </c>
      <c r="I324" t="s">
        <v>35</v>
      </c>
      <c r="J324" t="s">
        <v>43</v>
      </c>
      <c r="K324" t="s">
        <v>44</v>
      </c>
      <c r="L324" t="s">
        <v>73</v>
      </c>
      <c r="M324" t="s">
        <v>263</v>
      </c>
      <c r="N324" t="s">
        <v>46</v>
      </c>
      <c r="P324" t="s">
        <v>1646</v>
      </c>
      <c r="R324">
        <v>41529.766319444447</v>
      </c>
      <c r="S324">
        <v>42649.837210648147</v>
      </c>
      <c r="T324" t="s">
        <v>1529</v>
      </c>
      <c r="U324" t="s">
        <v>35</v>
      </c>
      <c r="V324" t="s">
        <v>35</v>
      </c>
      <c r="W324" t="s">
        <v>394</v>
      </c>
    </row>
    <row r="325" spans="2:23" x14ac:dyDescent="0.25">
      <c r="B325" s="19">
        <v>4287</v>
      </c>
      <c r="C325" s="2">
        <f>HYPERLINK(URLs!B36 &amp; 34646,34646)</f>
        <v>34646</v>
      </c>
      <c r="D325" t="s">
        <v>1940</v>
      </c>
      <c r="E325" t="s">
        <v>387</v>
      </c>
      <c r="F325" t="s">
        <v>305</v>
      </c>
      <c r="G325" t="s">
        <v>353</v>
      </c>
      <c r="H325" t="s">
        <v>30</v>
      </c>
      <c r="I325" t="s">
        <v>35</v>
      </c>
      <c r="J325" t="s">
        <v>43</v>
      </c>
      <c r="K325" t="s">
        <v>44</v>
      </c>
      <c r="L325" t="s">
        <v>73</v>
      </c>
      <c r="M325" t="s">
        <v>263</v>
      </c>
      <c r="N325" t="s">
        <v>46</v>
      </c>
      <c r="P325" t="s">
        <v>1646</v>
      </c>
      <c r="R325">
        <v>41529.731516203705</v>
      </c>
      <c r="S325">
        <v>42649.837037037039</v>
      </c>
      <c r="T325" t="s">
        <v>2</v>
      </c>
      <c r="U325" t="s">
        <v>35</v>
      </c>
      <c r="V325" t="s">
        <v>35</v>
      </c>
      <c r="W325" t="s">
        <v>4098</v>
      </c>
    </row>
    <row r="326" spans="2:23" x14ac:dyDescent="0.25">
      <c r="B326" s="19">
        <v>4292</v>
      </c>
      <c r="C326" s="2">
        <f>HYPERLINK(URLs!B36 &amp; 34754,34754)</f>
        <v>34754</v>
      </c>
      <c r="D326" t="s">
        <v>1951</v>
      </c>
      <c r="E326" t="s">
        <v>1675</v>
      </c>
      <c r="F326" t="s">
        <v>305</v>
      </c>
      <c r="G326" t="s">
        <v>304</v>
      </c>
      <c r="H326" t="s">
        <v>30</v>
      </c>
      <c r="I326" t="s">
        <v>35</v>
      </c>
      <c r="J326" t="s">
        <v>43</v>
      </c>
      <c r="K326" t="s">
        <v>33</v>
      </c>
      <c r="L326" t="s">
        <v>96</v>
      </c>
      <c r="M326" t="s">
        <v>269</v>
      </c>
      <c r="N326" t="s">
        <v>46</v>
      </c>
      <c r="P326" t="s">
        <v>1749</v>
      </c>
      <c r="R326">
        <v>41533.720694444448</v>
      </c>
      <c r="S326">
        <v>42648.82571759259</v>
      </c>
      <c r="T326" t="s">
        <v>1529</v>
      </c>
      <c r="U326" t="s">
        <v>35</v>
      </c>
      <c r="V326" t="s">
        <v>35</v>
      </c>
      <c r="W326" t="s">
        <v>4124</v>
      </c>
    </row>
    <row r="327" spans="2:23" x14ac:dyDescent="0.25">
      <c r="B327" s="19">
        <v>4292</v>
      </c>
      <c r="C327" s="2">
        <f>HYPERLINK(URLs!B36 &amp; 34753,34753)</f>
        <v>34753</v>
      </c>
      <c r="D327" t="s">
        <v>1950</v>
      </c>
      <c r="E327" t="s">
        <v>1675</v>
      </c>
      <c r="F327" t="s">
        <v>305</v>
      </c>
      <c r="G327" t="s">
        <v>304</v>
      </c>
      <c r="H327" t="s">
        <v>30</v>
      </c>
      <c r="I327" t="s">
        <v>35</v>
      </c>
      <c r="J327" t="s">
        <v>43</v>
      </c>
      <c r="K327" t="s">
        <v>33</v>
      </c>
      <c r="L327" t="s">
        <v>96</v>
      </c>
      <c r="M327" t="s">
        <v>269</v>
      </c>
      <c r="N327" t="s">
        <v>1923</v>
      </c>
      <c r="O327" t="s">
        <v>1710</v>
      </c>
      <c r="P327" t="s">
        <v>1749</v>
      </c>
      <c r="R327">
        <v>41533.716932870368</v>
      </c>
      <c r="S327">
        <v>42648.825856481482</v>
      </c>
      <c r="T327" t="s">
        <v>1529</v>
      </c>
      <c r="U327" t="s">
        <v>35</v>
      </c>
      <c r="V327" t="s">
        <v>35</v>
      </c>
      <c r="W327" t="s">
        <v>1634</v>
      </c>
    </row>
    <row r="328" spans="2:23" x14ac:dyDescent="0.25">
      <c r="B328" s="19">
        <v>4292</v>
      </c>
      <c r="C328" s="2">
        <f>HYPERLINK(URLs!B36 &amp; 34752,34752)</f>
        <v>34752</v>
      </c>
      <c r="D328" t="s">
        <v>1949</v>
      </c>
      <c r="E328" t="s">
        <v>387</v>
      </c>
      <c r="F328" t="s">
        <v>305</v>
      </c>
      <c r="G328" t="s">
        <v>310</v>
      </c>
      <c r="H328" t="s">
        <v>30</v>
      </c>
      <c r="I328" t="s">
        <v>35</v>
      </c>
      <c r="J328" t="s">
        <v>43</v>
      </c>
      <c r="K328" t="s">
        <v>33</v>
      </c>
      <c r="L328" t="s">
        <v>96</v>
      </c>
      <c r="M328" t="s">
        <v>269</v>
      </c>
      <c r="N328" t="s">
        <v>46</v>
      </c>
      <c r="P328" t="s">
        <v>1749</v>
      </c>
      <c r="R328">
        <v>41533.716041666667</v>
      </c>
      <c r="S328">
        <v>42649.837627314817</v>
      </c>
      <c r="T328" t="s">
        <v>1529</v>
      </c>
      <c r="U328" t="s">
        <v>35</v>
      </c>
      <c r="V328" t="s">
        <v>35</v>
      </c>
      <c r="W328" t="s">
        <v>394</v>
      </c>
    </row>
    <row r="329" spans="2:23" x14ac:dyDescent="0.25">
      <c r="B329" s="19">
        <v>4292</v>
      </c>
      <c r="C329" s="2">
        <f>HYPERLINK(URLs!B36 &amp; 34751,34751)</f>
        <v>34751</v>
      </c>
      <c r="D329" t="s">
        <v>1948</v>
      </c>
      <c r="E329" t="s">
        <v>387</v>
      </c>
      <c r="F329" t="s">
        <v>305</v>
      </c>
      <c r="G329" t="s">
        <v>304</v>
      </c>
      <c r="H329" t="s">
        <v>30</v>
      </c>
      <c r="I329" t="s">
        <v>35</v>
      </c>
      <c r="J329" t="s">
        <v>43</v>
      </c>
      <c r="K329" t="s">
        <v>33</v>
      </c>
      <c r="L329" t="s">
        <v>96</v>
      </c>
      <c r="M329" t="s">
        <v>269</v>
      </c>
      <c r="N329" t="s">
        <v>46</v>
      </c>
      <c r="P329" t="s">
        <v>1749</v>
      </c>
      <c r="R329">
        <v>41533.699930555558</v>
      </c>
      <c r="S329">
        <v>41815.747407407405</v>
      </c>
      <c r="T329" t="s">
        <v>1</v>
      </c>
      <c r="U329" t="s">
        <v>35</v>
      </c>
      <c r="V329" t="s">
        <v>35</v>
      </c>
      <c r="W329" t="s">
        <v>4098</v>
      </c>
    </row>
    <row r="330" spans="2:23" x14ac:dyDescent="0.25">
      <c r="B330" s="19">
        <v>4309</v>
      </c>
      <c r="C330" s="2">
        <f>HYPERLINK(URLs!B36 &amp; 34172,34172)</f>
        <v>34172</v>
      </c>
      <c r="D330" t="s">
        <v>1930</v>
      </c>
      <c r="E330" t="s">
        <v>387</v>
      </c>
      <c r="F330" t="s">
        <v>305</v>
      </c>
      <c r="G330" t="s">
        <v>353</v>
      </c>
      <c r="H330" t="s">
        <v>30</v>
      </c>
      <c r="I330" t="s">
        <v>35</v>
      </c>
      <c r="J330" t="s">
        <v>43</v>
      </c>
      <c r="K330" t="s">
        <v>44</v>
      </c>
      <c r="L330" t="s">
        <v>73</v>
      </c>
      <c r="M330" t="s">
        <v>263</v>
      </c>
      <c r="N330" t="s">
        <v>46</v>
      </c>
      <c r="P330" t="s">
        <v>1646</v>
      </c>
      <c r="R330">
        <v>41514.787557870368</v>
      </c>
      <c r="S330">
        <v>42649.837766203702</v>
      </c>
      <c r="T330" t="s">
        <v>1529</v>
      </c>
      <c r="U330" t="s">
        <v>35</v>
      </c>
      <c r="V330" t="s">
        <v>35</v>
      </c>
      <c r="W330" t="s">
        <v>3039</v>
      </c>
    </row>
    <row r="331" spans="2:23" x14ac:dyDescent="0.25">
      <c r="B331" s="19">
        <v>4309</v>
      </c>
      <c r="C331" s="2">
        <f>HYPERLINK(URLs!B36 &amp; 34171,34171)</f>
        <v>34171</v>
      </c>
      <c r="D331" t="s">
        <v>1928</v>
      </c>
      <c r="E331" t="s">
        <v>387</v>
      </c>
      <c r="F331" t="s">
        <v>305</v>
      </c>
      <c r="G331" t="s">
        <v>353</v>
      </c>
      <c r="H331" t="s">
        <v>30</v>
      </c>
      <c r="I331" t="s">
        <v>35</v>
      </c>
      <c r="J331" t="s">
        <v>43</v>
      </c>
      <c r="K331" t="s">
        <v>44</v>
      </c>
      <c r="L331" t="s">
        <v>73</v>
      </c>
      <c r="M331" t="s">
        <v>263</v>
      </c>
      <c r="N331" t="s">
        <v>46</v>
      </c>
      <c r="O331" t="s">
        <v>1929</v>
      </c>
      <c r="P331" t="s">
        <v>1646</v>
      </c>
      <c r="R331">
        <v>41514.787256944444</v>
      </c>
      <c r="S331">
        <v>42649.837557870371</v>
      </c>
      <c r="T331" t="s">
        <v>1529</v>
      </c>
      <c r="U331" t="s">
        <v>35</v>
      </c>
      <c r="V331" t="s">
        <v>35</v>
      </c>
      <c r="W331" t="s">
        <v>1634</v>
      </c>
    </row>
    <row r="332" spans="2:23" x14ac:dyDescent="0.25">
      <c r="B332" s="19">
        <v>4309</v>
      </c>
      <c r="C332" s="2">
        <f>HYPERLINK(URLs!B36 &amp; 34170,34170)</f>
        <v>34170</v>
      </c>
      <c r="D332" t="s">
        <v>1927</v>
      </c>
      <c r="E332" t="s">
        <v>387</v>
      </c>
      <c r="F332" t="s">
        <v>305</v>
      </c>
      <c r="G332" t="s">
        <v>310</v>
      </c>
      <c r="H332" t="s">
        <v>30</v>
      </c>
      <c r="I332" t="s">
        <v>35</v>
      </c>
      <c r="J332" t="s">
        <v>43</v>
      </c>
      <c r="K332" t="s">
        <v>44</v>
      </c>
      <c r="L332" t="s">
        <v>73</v>
      </c>
      <c r="M332" t="s">
        <v>263</v>
      </c>
      <c r="N332" t="s">
        <v>46</v>
      </c>
      <c r="P332" t="s">
        <v>1646</v>
      </c>
      <c r="R332">
        <v>41514.78701388889</v>
      </c>
      <c r="S332">
        <v>42649.838067129633</v>
      </c>
      <c r="T332" t="s">
        <v>1529</v>
      </c>
      <c r="U332" t="s">
        <v>35</v>
      </c>
      <c r="V332" t="s">
        <v>35</v>
      </c>
      <c r="W332" t="s">
        <v>394</v>
      </c>
    </row>
    <row r="333" spans="2:23" x14ac:dyDescent="0.25">
      <c r="B333" s="19">
        <v>4309</v>
      </c>
      <c r="C333" s="2">
        <f>HYPERLINK(URLs!B36 &amp; 34168,34168)</f>
        <v>34168</v>
      </c>
      <c r="D333" t="s">
        <v>1926</v>
      </c>
      <c r="E333" t="s">
        <v>387</v>
      </c>
      <c r="F333" t="s">
        <v>305</v>
      </c>
      <c r="G333" t="s">
        <v>353</v>
      </c>
      <c r="H333" t="s">
        <v>30</v>
      </c>
      <c r="I333" t="s">
        <v>35</v>
      </c>
      <c r="J333" t="s">
        <v>43</v>
      </c>
      <c r="K333" t="s">
        <v>44</v>
      </c>
      <c r="L333" t="s">
        <v>73</v>
      </c>
      <c r="M333" t="s">
        <v>263</v>
      </c>
      <c r="N333" t="s">
        <v>46</v>
      </c>
      <c r="P333" t="s">
        <v>1646</v>
      </c>
      <c r="R333">
        <v>41514.764930555553</v>
      </c>
      <c r="S333">
        <v>42649.837627314817</v>
      </c>
      <c r="T333" t="s">
        <v>1598</v>
      </c>
      <c r="U333" t="s">
        <v>35</v>
      </c>
      <c r="V333" t="s">
        <v>35</v>
      </c>
      <c r="W333" t="s">
        <v>4098</v>
      </c>
    </row>
    <row r="334" spans="2:23" x14ac:dyDescent="0.25">
      <c r="B334" s="19">
        <v>4313</v>
      </c>
      <c r="C334" s="2">
        <f>HYPERLINK(URLs!B36 &amp; 35042,35042)</f>
        <v>35042</v>
      </c>
      <c r="D334" t="s">
        <v>1956</v>
      </c>
      <c r="E334" t="s">
        <v>387</v>
      </c>
      <c r="F334" t="s">
        <v>305</v>
      </c>
      <c r="G334" t="s">
        <v>337</v>
      </c>
      <c r="H334" t="s">
        <v>30</v>
      </c>
      <c r="I334" t="s">
        <v>35</v>
      </c>
      <c r="J334" t="s">
        <v>43</v>
      </c>
      <c r="K334" t="s">
        <v>44</v>
      </c>
      <c r="L334" t="s">
        <v>73</v>
      </c>
      <c r="M334" t="s">
        <v>263</v>
      </c>
      <c r="N334" t="s">
        <v>46</v>
      </c>
      <c r="P334" t="s">
        <v>1646</v>
      </c>
      <c r="R334">
        <v>41540.937465277777</v>
      </c>
      <c r="S334">
        <v>42649.837048611109</v>
      </c>
      <c r="T334" t="s">
        <v>1529</v>
      </c>
      <c r="U334" t="s">
        <v>35</v>
      </c>
      <c r="V334" t="s">
        <v>35</v>
      </c>
      <c r="W334" t="s">
        <v>3039</v>
      </c>
    </row>
    <row r="335" spans="2:23" x14ac:dyDescent="0.25">
      <c r="B335" s="19">
        <v>4313</v>
      </c>
      <c r="C335" s="2">
        <f>HYPERLINK(URLs!B36 &amp; 35040,35040)</f>
        <v>35040</v>
      </c>
      <c r="D335" t="s">
        <v>1955</v>
      </c>
      <c r="E335" t="s">
        <v>387</v>
      </c>
      <c r="F335" t="s">
        <v>305</v>
      </c>
      <c r="G335" t="s">
        <v>310</v>
      </c>
      <c r="H335" t="s">
        <v>30</v>
      </c>
      <c r="I335" t="s">
        <v>35</v>
      </c>
      <c r="J335" t="s">
        <v>43</v>
      </c>
      <c r="K335" t="s">
        <v>44</v>
      </c>
      <c r="L335" t="s">
        <v>73</v>
      </c>
      <c r="M335" t="s">
        <v>263</v>
      </c>
      <c r="N335" t="s">
        <v>46</v>
      </c>
      <c r="P335" t="s">
        <v>1646</v>
      </c>
      <c r="R335">
        <v>41540.937303240738</v>
      </c>
      <c r="S335">
        <v>42649.837627314817</v>
      </c>
      <c r="T335" t="s">
        <v>1529</v>
      </c>
      <c r="U335" t="s">
        <v>35</v>
      </c>
      <c r="V335" t="s">
        <v>35</v>
      </c>
      <c r="W335" t="s">
        <v>1634</v>
      </c>
    </row>
    <row r="336" spans="2:23" x14ac:dyDescent="0.25">
      <c r="B336" s="19">
        <v>4313</v>
      </c>
      <c r="C336" s="2">
        <f>HYPERLINK(URLs!B36 &amp; 35039,35039)</f>
        <v>35039</v>
      </c>
      <c r="D336" t="s">
        <v>1954</v>
      </c>
      <c r="E336" t="s">
        <v>387</v>
      </c>
      <c r="F336" t="s">
        <v>305</v>
      </c>
      <c r="G336" t="s">
        <v>310</v>
      </c>
      <c r="H336" t="s">
        <v>30</v>
      </c>
      <c r="I336" t="s">
        <v>35</v>
      </c>
      <c r="J336" t="s">
        <v>43</v>
      </c>
      <c r="K336" t="s">
        <v>44</v>
      </c>
      <c r="L336" t="s">
        <v>73</v>
      </c>
      <c r="M336" t="s">
        <v>263</v>
      </c>
      <c r="N336" t="s">
        <v>46</v>
      </c>
      <c r="P336" t="s">
        <v>1646</v>
      </c>
      <c r="R336">
        <v>41540.937152777777</v>
      </c>
      <c r="S336">
        <v>42648.825775462959</v>
      </c>
      <c r="T336" t="s">
        <v>1529</v>
      </c>
      <c r="U336" t="s">
        <v>35</v>
      </c>
      <c r="V336" t="s">
        <v>35</v>
      </c>
      <c r="W336" t="s">
        <v>394</v>
      </c>
    </row>
    <row r="337" spans="2:23" x14ac:dyDescent="0.25">
      <c r="B337" s="19">
        <v>4313</v>
      </c>
      <c r="C337" s="2">
        <f>HYPERLINK(URLs!B36 &amp; 35037,35037)</f>
        <v>35037</v>
      </c>
      <c r="D337" t="s">
        <v>1953</v>
      </c>
      <c r="E337" t="s">
        <v>387</v>
      </c>
      <c r="F337" t="s">
        <v>305</v>
      </c>
      <c r="G337" t="s">
        <v>304</v>
      </c>
      <c r="H337" t="s">
        <v>30</v>
      </c>
      <c r="I337" t="s">
        <v>35</v>
      </c>
      <c r="J337" t="s">
        <v>43</v>
      </c>
      <c r="K337" t="s">
        <v>44</v>
      </c>
      <c r="L337" t="s">
        <v>73</v>
      </c>
      <c r="M337" t="s">
        <v>263</v>
      </c>
      <c r="N337" t="s">
        <v>46</v>
      </c>
      <c r="P337" t="s">
        <v>1646</v>
      </c>
      <c r="R337">
        <v>41540.887083333335</v>
      </c>
      <c r="S337">
        <v>41816.554247685184</v>
      </c>
      <c r="T337" t="s">
        <v>2</v>
      </c>
      <c r="U337" t="s">
        <v>35</v>
      </c>
      <c r="V337" t="s">
        <v>35</v>
      </c>
      <c r="W337" t="s">
        <v>4098</v>
      </c>
    </row>
    <row r="338" spans="2:23" x14ac:dyDescent="0.25">
      <c r="B338" s="19">
        <v>4315</v>
      </c>
      <c r="C338" s="2">
        <f>HYPERLINK(URLs!B36 &amp; 33971,33971)</f>
        <v>33971</v>
      </c>
      <c r="D338" t="s">
        <v>1916</v>
      </c>
      <c r="E338" t="s">
        <v>1917</v>
      </c>
      <c r="F338" t="s">
        <v>305</v>
      </c>
      <c r="G338" t="s">
        <v>395</v>
      </c>
      <c r="H338" t="s">
        <v>426</v>
      </c>
      <c r="I338" t="s">
        <v>31</v>
      </c>
      <c r="J338" t="s">
        <v>32</v>
      </c>
      <c r="K338" t="s">
        <v>33</v>
      </c>
      <c r="L338" t="s">
        <v>34</v>
      </c>
      <c r="M338" t="s">
        <v>258</v>
      </c>
      <c r="N338" t="s">
        <v>46</v>
      </c>
      <c r="O338" t="s">
        <v>37</v>
      </c>
      <c r="P338" t="s">
        <v>1530</v>
      </c>
      <c r="Q338" t="s">
        <v>1918</v>
      </c>
      <c r="R338">
        <v>41509.710069444445</v>
      </c>
      <c r="S338">
        <v>42649.916284722225</v>
      </c>
      <c r="T338" t="s">
        <v>39</v>
      </c>
      <c r="U338" t="s">
        <v>35</v>
      </c>
      <c r="V338" t="s">
        <v>35</v>
      </c>
      <c r="W338" t="s">
        <v>4111</v>
      </c>
    </row>
    <row r="339" spans="2:23" x14ac:dyDescent="0.25">
      <c r="B339" s="19">
        <v>4317</v>
      </c>
      <c r="C339" s="2">
        <f>HYPERLINK(URLs!B36 &amp; 35305,35305)</f>
        <v>35305</v>
      </c>
      <c r="D339" t="s">
        <v>1962</v>
      </c>
      <c r="E339" t="s">
        <v>1963</v>
      </c>
      <c r="F339" t="s">
        <v>305</v>
      </c>
      <c r="G339" t="s">
        <v>304</v>
      </c>
      <c r="H339" t="s">
        <v>30</v>
      </c>
      <c r="I339" t="s">
        <v>31</v>
      </c>
      <c r="J339" t="s">
        <v>43</v>
      </c>
      <c r="K339" t="s">
        <v>51</v>
      </c>
      <c r="L339" t="s">
        <v>34</v>
      </c>
      <c r="M339" t="s">
        <v>1748</v>
      </c>
      <c r="N339" t="s">
        <v>46</v>
      </c>
      <c r="P339" t="s">
        <v>1749</v>
      </c>
      <c r="R339">
        <v>41548.11791666667</v>
      </c>
      <c r="S339">
        <v>42039.749305555553</v>
      </c>
      <c r="T339" t="s">
        <v>1958</v>
      </c>
      <c r="U339" t="s">
        <v>35</v>
      </c>
      <c r="V339" t="s">
        <v>35</v>
      </c>
      <c r="W339" t="s">
        <v>4124</v>
      </c>
    </row>
    <row r="340" spans="2:23" x14ac:dyDescent="0.25">
      <c r="B340" s="19">
        <v>4317</v>
      </c>
      <c r="C340" s="2">
        <f>HYPERLINK(URLs!B36 &amp; 35094,35094)</f>
        <v>35094</v>
      </c>
      <c r="D340" t="s">
        <v>1957</v>
      </c>
      <c r="E340" t="s">
        <v>1958</v>
      </c>
      <c r="F340" t="s">
        <v>305</v>
      </c>
      <c r="G340" t="s">
        <v>353</v>
      </c>
      <c r="H340" t="s">
        <v>30</v>
      </c>
      <c r="I340" t="s">
        <v>31</v>
      </c>
      <c r="J340" t="s">
        <v>43</v>
      </c>
      <c r="K340" t="s">
        <v>44</v>
      </c>
      <c r="L340" t="s">
        <v>34</v>
      </c>
      <c r="M340" t="s">
        <v>1748</v>
      </c>
      <c r="N340" t="s">
        <v>46</v>
      </c>
      <c r="P340" t="s">
        <v>1959</v>
      </c>
      <c r="R340">
        <v>41541.793356481481</v>
      </c>
      <c r="S340">
        <v>42044.671273148146</v>
      </c>
      <c r="T340" t="s">
        <v>1523</v>
      </c>
      <c r="U340" t="s">
        <v>35</v>
      </c>
      <c r="V340" t="s">
        <v>35</v>
      </c>
      <c r="W340" t="s">
        <v>4122</v>
      </c>
    </row>
    <row r="341" spans="2:23" x14ac:dyDescent="0.25">
      <c r="B341" s="19">
        <v>4317</v>
      </c>
      <c r="C341" s="2">
        <f>HYPERLINK(URLs!B36 &amp; 33748,33748)</f>
        <v>33748</v>
      </c>
      <c r="D341" t="s">
        <v>1909</v>
      </c>
      <c r="E341" t="s">
        <v>134</v>
      </c>
      <c r="F341" t="s">
        <v>305</v>
      </c>
      <c r="G341" t="s">
        <v>304</v>
      </c>
      <c r="H341" t="s">
        <v>30</v>
      </c>
      <c r="I341" t="s">
        <v>35</v>
      </c>
      <c r="J341" t="s">
        <v>43</v>
      </c>
      <c r="K341" t="s">
        <v>51</v>
      </c>
      <c r="L341" t="s">
        <v>34</v>
      </c>
      <c r="M341" t="s">
        <v>1748</v>
      </c>
      <c r="N341" t="s">
        <v>46</v>
      </c>
      <c r="P341" t="s">
        <v>1910</v>
      </c>
      <c r="R341">
        <v>41505.596967592595</v>
      </c>
      <c r="S341">
        <v>41843.499050925922</v>
      </c>
      <c r="T341" t="s">
        <v>1911</v>
      </c>
      <c r="U341" t="s">
        <v>35</v>
      </c>
      <c r="V341" t="s">
        <v>35</v>
      </c>
      <c r="W341" t="s">
        <v>4125</v>
      </c>
    </row>
    <row r="342" spans="2:23" x14ac:dyDescent="0.25">
      <c r="B342" s="19">
        <v>4317</v>
      </c>
      <c r="C342" s="2">
        <f>HYPERLINK(URLs!B36 &amp; 28464,28464)</f>
        <v>28464</v>
      </c>
      <c r="D342" t="s">
        <v>1746</v>
      </c>
      <c r="E342" t="s">
        <v>1747</v>
      </c>
      <c r="F342" t="s">
        <v>305</v>
      </c>
      <c r="G342" t="s">
        <v>304</v>
      </c>
      <c r="H342" t="s">
        <v>30</v>
      </c>
      <c r="I342" t="s">
        <v>31</v>
      </c>
      <c r="J342" t="s">
        <v>43</v>
      </c>
      <c r="K342" t="s">
        <v>51</v>
      </c>
      <c r="L342" t="s">
        <v>34</v>
      </c>
      <c r="M342" t="s">
        <v>1748</v>
      </c>
      <c r="N342" t="s">
        <v>46</v>
      </c>
      <c r="P342" t="s">
        <v>1749</v>
      </c>
      <c r="R342">
        <v>41332.864641203705</v>
      </c>
      <c r="S342">
        <v>42039.759513888886</v>
      </c>
      <c r="T342" t="s">
        <v>1747</v>
      </c>
      <c r="U342" t="s">
        <v>35</v>
      </c>
      <c r="V342" t="s">
        <v>35</v>
      </c>
      <c r="W342" t="s">
        <v>1634</v>
      </c>
    </row>
    <row r="343" spans="2:23" x14ac:dyDescent="0.25">
      <c r="B343" s="19">
        <v>4347</v>
      </c>
      <c r="C343" s="2">
        <f>HYPERLINK(URLs!B36 &amp; 35412,35412)</f>
        <v>35412</v>
      </c>
      <c r="D343" t="s">
        <v>1968</v>
      </c>
      <c r="E343" t="s">
        <v>387</v>
      </c>
      <c r="F343" t="s">
        <v>305</v>
      </c>
      <c r="G343" t="s">
        <v>304</v>
      </c>
      <c r="H343" t="s">
        <v>30</v>
      </c>
      <c r="I343" t="s">
        <v>35</v>
      </c>
      <c r="J343" t="s">
        <v>43</v>
      </c>
      <c r="K343" t="s">
        <v>51</v>
      </c>
      <c r="L343" t="s">
        <v>73</v>
      </c>
      <c r="M343" t="s">
        <v>264</v>
      </c>
      <c r="N343" t="s">
        <v>46</v>
      </c>
      <c r="O343" t="s">
        <v>1969</v>
      </c>
      <c r="P343" t="s">
        <v>1749</v>
      </c>
      <c r="R343">
        <v>41550.792951388888</v>
      </c>
      <c r="S343">
        <v>42648.825972222221</v>
      </c>
      <c r="T343" t="s">
        <v>1529</v>
      </c>
      <c r="U343" t="s">
        <v>35</v>
      </c>
      <c r="V343" t="s">
        <v>35</v>
      </c>
      <c r="W343" t="s">
        <v>4127</v>
      </c>
    </row>
    <row r="344" spans="2:23" x14ac:dyDescent="0.25">
      <c r="B344" s="19">
        <v>4347</v>
      </c>
      <c r="C344" s="2">
        <f>HYPERLINK(URLs!B36 &amp; 35411,35411)</f>
        <v>35411</v>
      </c>
      <c r="D344" t="s">
        <v>1967</v>
      </c>
      <c r="E344" t="s">
        <v>387</v>
      </c>
      <c r="F344" t="s">
        <v>305</v>
      </c>
      <c r="G344" t="s">
        <v>304</v>
      </c>
      <c r="H344" t="s">
        <v>30</v>
      </c>
      <c r="I344" t="s">
        <v>35</v>
      </c>
      <c r="J344" t="s">
        <v>43</v>
      </c>
      <c r="K344" t="s">
        <v>51</v>
      </c>
      <c r="L344" t="s">
        <v>73</v>
      </c>
      <c r="M344" t="s">
        <v>264</v>
      </c>
      <c r="N344" t="s">
        <v>46</v>
      </c>
      <c r="O344" t="s">
        <v>1710</v>
      </c>
      <c r="P344" t="s">
        <v>1749</v>
      </c>
      <c r="R344">
        <v>41550.792824074073</v>
      </c>
      <c r="S344">
        <v>42648.825902777775</v>
      </c>
      <c r="T344" t="s">
        <v>1529</v>
      </c>
      <c r="U344" t="s">
        <v>35</v>
      </c>
      <c r="V344" t="s">
        <v>35</v>
      </c>
      <c r="W344" t="s">
        <v>1634</v>
      </c>
    </row>
    <row r="345" spans="2:23" x14ac:dyDescent="0.25">
      <c r="B345" s="19">
        <v>4347</v>
      </c>
      <c r="C345" s="2">
        <f>HYPERLINK(URLs!B36 &amp; 35410,35410)</f>
        <v>35410</v>
      </c>
      <c r="D345" t="s">
        <v>1966</v>
      </c>
      <c r="E345" t="s">
        <v>387</v>
      </c>
      <c r="F345" t="s">
        <v>305</v>
      </c>
      <c r="G345" t="s">
        <v>310</v>
      </c>
      <c r="H345" t="s">
        <v>30</v>
      </c>
      <c r="I345" t="s">
        <v>35</v>
      </c>
      <c r="J345" t="s">
        <v>43</v>
      </c>
      <c r="K345" t="s">
        <v>51</v>
      </c>
      <c r="L345" t="s">
        <v>73</v>
      </c>
      <c r="M345" t="s">
        <v>264</v>
      </c>
      <c r="N345" t="s">
        <v>46</v>
      </c>
      <c r="P345" t="s">
        <v>1749</v>
      </c>
      <c r="R345">
        <v>41550.792696759258</v>
      </c>
      <c r="S345">
        <v>42648.826099537036</v>
      </c>
      <c r="T345" t="s">
        <v>1529</v>
      </c>
      <c r="U345" t="s">
        <v>35</v>
      </c>
      <c r="V345" t="s">
        <v>35</v>
      </c>
      <c r="W345" t="s">
        <v>4128</v>
      </c>
    </row>
    <row r="346" spans="2:23" x14ac:dyDescent="0.25">
      <c r="B346" s="19">
        <v>4347</v>
      </c>
      <c r="C346" s="2">
        <f>HYPERLINK(URLs!B36 &amp; 35408,35408)</f>
        <v>35408</v>
      </c>
      <c r="D346" t="s">
        <v>1965</v>
      </c>
      <c r="E346" t="s">
        <v>387</v>
      </c>
      <c r="F346" t="s">
        <v>305</v>
      </c>
      <c r="G346" t="s">
        <v>304</v>
      </c>
      <c r="H346" t="s">
        <v>30</v>
      </c>
      <c r="I346" t="s">
        <v>35</v>
      </c>
      <c r="J346" t="s">
        <v>43</v>
      </c>
      <c r="K346" t="s">
        <v>51</v>
      </c>
      <c r="L346" t="s">
        <v>73</v>
      </c>
      <c r="M346" t="s">
        <v>264</v>
      </c>
      <c r="N346" t="s">
        <v>46</v>
      </c>
      <c r="P346" t="s">
        <v>1749</v>
      </c>
      <c r="R346">
        <v>41550.742222222223</v>
      </c>
      <c r="S346">
        <v>41815.747534722221</v>
      </c>
      <c r="T346" t="s">
        <v>300</v>
      </c>
      <c r="U346" t="s">
        <v>35</v>
      </c>
      <c r="V346" t="s">
        <v>35</v>
      </c>
      <c r="W346" t="s">
        <v>4098</v>
      </c>
    </row>
    <row r="347" spans="2:23" x14ac:dyDescent="0.25">
      <c r="B347" s="19">
        <v>4436</v>
      </c>
      <c r="C347" s="2">
        <f>HYPERLINK(URLs!B36 &amp; 39545,39545)</f>
        <v>39545</v>
      </c>
      <c r="D347" t="s">
        <v>2069</v>
      </c>
      <c r="E347" t="s">
        <v>387</v>
      </c>
      <c r="F347" t="s">
        <v>305</v>
      </c>
      <c r="G347" t="s">
        <v>310</v>
      </c>
      <c r="H347" t="s">
        <v>30</v>
      </c>
      <c r="I347" t="s">
        <v>35</v>
      </c>
      <c r="J347" t="s">
        <v>32</v>
      </c>
      <c r="K347" t="s">
        <v>51</v>
      </c>
      <c r="L347" t="s">
        <v>73</v>
      </c>
      <c r="M347" t="s">
        <v>1514</v>
      </c>
      <c r="N347" t="s">
        <v>46</v>
      </c>
      <c r="P347" t="s">
        <v>1749</v>
      </c>
      <c r="R347">
        <v>41695.764016203706</v>
      </c>
      <c r="S347">
        <v>42649.840949074074</v>
      </c>
      <c r="T347" t="s">
        <v>1529</v>
      </c>
      <c r="U347" t="s">
        <v>35</v>
      </c>
      <c r="V347" t="s">
        <v>35</v>
      </c>
      <c r="W347" t="s">
        <v>4132</v>
      </c>
    </row>
    <row r="348" spans="2:23" x14ac:dyDescent="0.25">
      <c r="B348" s="19">
        <v>4436</v>
      </c>
      <c r="C348" s="2">
        <f>HYPERLINK(URLs!B36 &amp; 37164,37164)</f>
        <v>37164</v>
      </c>
      <c r="D348" t="s">
        <v>1991</v>
      </c>
      <c r="E348" t="s">
        <v>387</v>
      </c>
      <c r="F348" t="s">
        <v>305</v>
      </c>
      <c r="G348" t="s">
        <v>310</v>
      </c>
      <c r="H348" t="s">
        <v>30</v>
      </c>
      <c r="I348" t="s">
        <v>31</v>
      </c>
      <c r="J348" t="s">
        <v>32</v>
      </c>
      <c r="K348" t="s">
        <v>51</v>
      </c>
      <c r="L348" t="s">
        <v>73</v>
      </c>
      <c r="M348" t="s">
        <v>1514</v>
      </c>
      <c r="N348" t="s">
        <v>46</v>
      </c>
      <c r="P348" t="s">
        <v>1749</v>
      </c>
      <c r="R348">
        <v>41604.649039351854</v>
      </c>
      <c r="S348">
        <v>42649.839097222219</v>
      </c>
      <c r="T348" t="s">
        <v>1529</v>
      </c>
      <c r="U348" t="s">
        <v>35</v>
      </c>
      <c r="V348" t="s">
        <v>35</v>
      </c>
      <c r="W348" t="s">
        <v>2552</v>
      </c>
    </row>
    <row r="349" spans="2:23" x14ac:dyDescent="0.25">
      <c r="B349" s="19">
        <v>4436</v>
      </c>
      <c r="C349" s="2">
        <f>HYPERLINK(URLs!B36 &amp; 36412,36412)</f>
        <v>36412</v>
      </c>
      <c r="D349" t="s">
        <v>1979</v>
      </c>
      <c r="E349" t="s">
        <v>387</v>
      </c>
      <c r="F349" t="s">
        <v>305</v>
      </c>
      <c r="G349" t="s">
        <v>328</v>
      </c>
      <c r="H349" t="s">
        <v>30</v>
      </c>
      <c r="I349" t="s">
        <v>35</v>
      </c>
      <c r="J349" t="s">
        <v>32</v>
      </c>
      <c r="K349" t="s">
        <v>51</v>
      </c>
      <c r="L349" t="s">
        <v>73</v>
      </c>
      <c r="M349" t="s">
        <v>1514</v>
      </c>
      <c r="N349" t="s">
        <v>46</v>
      </c>
      <c r="P349" t="s">
        <v>1749</v>
      </c>
      <c r="R349">
        <v>41582.947337962964</v>
      </c>
      <c r="S349">
        <v>42649.838067129633</v>
      </c>
      <c r="T349" t="s">
        <v>1529</v>
      </c>
      <c r="U349" t="s">
        <v>35</v>
      </c>
      <c r="V349" t="s">
        <v>35</v>
      </c>
      <c r="W349" t="s">
        <v>3039</v>
      </c>
    </row>
    <row r="350" spans="2:23" x14ac:dyDescent="0.25">
      <c r="B350" s="19">
        <v>4436</v>
      </c>
      <c r="C350" s="2">
        <f>HYPERLINK(URLs!B36 &amp; 36411,36411)</f>
        <v>36411</v>
      </c>
      <c r="D350" t="s">
        <v>1978</v>
      </c>
      <c r="E350" t="s">
        <v>387</v>
      </c>
      <c r="F350" t="s">
        <v>305</v>
      </c>
      <c r="G350" t="s">
        <v>337</v>
      </c>
      <c r="H350" t="s">
        <v>30</v>
      </c>
      <c r="I350" t="s">
        <v>35</v>
      </c>
      <c r="J350" t="s">
        <v>32</v>
      </c>
      <c r="K350" t="s">
        <v>51</v>
      </c>
      <c r="L350" t="s">
        <v>73</v>
      </c>
      <c r="M350" t="s">
        <v>1514</v>
      </c>
      <c r="N350" t="s">
        <v>46</v>
      </c>
      <c r="O350" t="s">
        <v>1710</v>
      </c>
      <c r="P350" t="s">
        <v>1749</v>
      </c>
      <c r="R350">
        <v>41582.947118055556</v>
      </c>
      <c r="S350">
        <v>42649.838645833333</v>
      </c>
      <c r="T350" t="s">
        <v>1529</v>
      </c>
      <c r="U350" t="s">
        <v>35</v>
      </c>
      <c r="V350" t="s">
        <v>35</v>
      </c>
      <c r="W350" t="s">
        <v>1634</v>
      </c>
    </row>
    <row r="351" spans="2:23" x14ac:dyDescent="0.25">
      <c r="B351" s="19">
        <v>4436</v>
      </c>
      <c r="C351" s="2">
        <f>HYPERLINK(URLs!B36 &amp; 36410,36410)</f>
        <v>36410</v>
      </c>
      <c r="D351" t="s">
        <v>1977</v>
      </c>
      <c r="E351" t="s">
        <v>387</v>
      </c>
      <c r="F351" t="s">
        <v>305</v>
      </c>
      <c r="G351" t="s">
        <v>310</v>
      </c>
      <c r="H351" t="s">
        <v>30</v>
      </c>
      <c r="I351" t="s">
        <v>35</v>
      </c>
      <c r="J351" t="s">
        <v>32</v>
      </c>
      <c r="K351" t="s">
        <v>35</v>
      </c>
      <c r="L351" t="s">
        <v>73</v>
      </c>
      <c r="M351" t="s">
        <v>1514</v>
      </c>
      <c r="N351" t="s">
        <v>46</v>
      </c>
      <c r="P351" t="s">
        <v>1749</v>
      </c>
      <c r="R351">
        <v>41582.946967592594</v>
      </c>
      <c r="S351">
        <v>42649.838854166665</v>
      </c>
      <c r="T351" t="s">
        <v>1529</v>
      </c>
      <c r="U351" t="s">
        <v>35</v>
      </c>
      <c r="V351" t="s">
        <v>35</v>
      </c>
      <c r="W351" t="s">
        <v>394</v>
      </c>
    </row>
    <row r="352" spans="2:23" x14ac:dyDescent="0.25">
      <c r="B352" s="19">
        <v>4436</v>
      </c>
      <c r="C352" s="2">
        <f>HYPERLINK(URLs!B36 &amp; 36409,36409)</f>
        <v>36409</v>
      </c>
      <c r="D352" t="s">
        <v>1976</v>
      </c>
      <c r="E352" t="s">
        <v>387</v>
      </c>
      <c r="F352" t="s">
        <v>305</v>
      </c>
      <c r="G352" t="s">
        <v>328</v>
      </c>
      <c r="H352" t="s">
        <v>30</v>
      </c>
      <c r="I352" t="s">
        <v>35</v>
      </c>
      <c r="J352" t="s">
        <v>32</v>
      </c>
      <c r="K352" t="s">
        <v>51</v>
      </c>
      <c r="L352" t="s">
        <v>73</v>
      </c>
      <c r="M352" t="s">
        <v>1514</v>
      </c>
      <c r="N352" t="s">
        <v>46</v>
      </c>
      <c r="P352" t="s">
        <v>1749</v>
      </c>
      <c r="R352">
        <v>41582.937037037038</v>
      </c>
      <c r="S352">
        <v>42649.838275462964</v>
      </c>
      <c r="T352" t="s">
        <v>1</v>
      </c>
      <c r="U352" t="s">
        <v>35</v>
      </c>
      <c r="V352" t="s">
        <v>35</v>
      </c>
      <c r="W352" t="s">
        <v>4098</v>
      </c>
    </row>
    <row r="353" spans="2:23" x14ac:dyDescent="0.25">
      <c r="B353" s="19">
        <v>4447</v>
      </c>
      <c r="C353" s="2">
        <f>HYPERLINK(URLs!B36 &amp; 37161,37161)</f>
        <v>37161</v>
      </c>
      <c r="D353" t="s">
        <v>1990</v>
      </c>
      <c r="E353" t="s">
        <v>1700</v>
      </c>
      <c r="F353" t="s">
        <v>305</v>
      </c>
      <c r="G353" t="s">
        <v>310</v>
      </c>
      <c r="H353" t="s">
        <v>30</v>
      </c>
      <c r="I353" t="s">
        <v>31</v>
      </c>
      <c r="J353" t="s">
        <v>43</v>
      </c>
      <c r="K353" t="s">
        <v>44</v>
      </c>
      <c r="L353" t="s">
        <v>73</v>
      </c>
      <c r="M353" t="s">
        <v>263</v>
      </c>
      <c r="N353" t="s">
        <v>46</v>
      </c>
      <c r="P353" t="s">
        <v>1749</v>
      </c>
      <c r="R353">
        <v>41604.648136574076</v>
      </c>
      <c r="S353">
        <v>42649.839421296296</v>
      </c>
      <c r="T353" t="s">
        <v>1529</v>
      </c>
      <c r="U353" t="s">
        <v>35</v>
      </c>
      <c r="V353" t="s">
        <v>35</v>
      </c>
      <c r="W353" t="s">
        <v>2552</v>
      </c>
    </row>
    <row r="354" spans="2:23" x14ac:dyDescent="0.25">
      <c r="B354" s="19">
        <v>4447</v>
      </c>
      <c r="C354" s="2">
        <f>HYPERLINK(URLs!B36 &amp; 36589,36589)</f>
        <v>36589</v>
      </c>
      <c r="D354" t="s">
        <v>1984</v>
      </c>
      <c r="E354" t="s">
        <v>387</v>
      </c>
      <c r="F354" t="s">
        <v>305</v>
      </c>
      <c r="G354" t="s">
        <v>337</v>
      </c>
      <c r="H354" t="s">
        <v>30</v>
      </c>
      <c r="I354" t="s">
        <v>35</v>
      </c>
      <c r="J354" t="s">
        <v>43</v>
      </c>
      <c r="K354" t="s">
        <v>44</v>
      </c>
      <c r="L354" t="s">
        <v>73</v>
      </c>
      <c r="M354" t="s">
        <v>263</v>
      </c>
      <c r="N354" t="s">
        <v>46</v>
      </c>
      <c r="P354" t="s">
        <v>1749</v>
      </c>
      <c r="R354">
        <v>41589.79277777778</v>
      </c>
      <c r="S354">
        <v>42649.838645833333</v>
      </c>
      <c r="T354" t="s">
        <v>1529</v>
      </c>
      <c r="U354" t="s">
        <v>35</v>
      </c>
      <c r="V354" t="s">
        <v>35</v>
      </c>
      <c r="W354" t="s">
        <v>3039</v>
      </c>
    </row>
    <row r="355" spans="2:23" x14ac:dyDescent="0.25">
      <c r="B355" s="19">
        <v>4447</v>
      </c>
      <c r="C355" s="2">
        <f>HYPERLINK(URLs!B36 &amp; 36588,36588)</f>
        <v>36588</v>
      </c>
      <c r="D355" t="s">
        <v>1983</v>
      </c>
      <c r="E355" t="s">
        <v>1700</v>
      </c>
      <c r="F355" t="s">
        <v>305</v>
      </c>
      <c r="G355" t="s">
        <v>337</v>
      </c>
      <c r="H355" t="s">
        <v>30</v>
      </c>
      <c r="I355" t="s">
        <v>35</v>
      </c>
      <c r="J355" t="s">
        <v>43</v>
      </c>
      <c r="K355" t="s">
        <v>44</v>
      </c>
      <c r="L355" t="s">
        <v>73</v>
      </c>
      <c r="M355" t="s">
        <v>263</v>
      </c>
      <c r="N355" t="s">
        <v>46</v>
      </c>
      <c r="O355" t="s">
        <v>1884</v>
      </c>
      <c r="P355" t="s">
        <v>1749</v>
      </c>
      <c r="R355">
        <v>41589.792650462965</v>
      </c>
      <c r="S355">
        <v>42649.838553240741</v>
      </c>
      <c r="T355" t="s">
        <v>1529</v>
      </c>
      <c r="U355" t="s">
        <v>35</v>
      </c>
      <c r="V355" t="s">
        <v>35</v>
      </c>
      <c r="W355" t="s">
        <v>1634</v>
      </c>
    </row>
    <row r="356" spans="2:23" x14ac:dyDescent="0.25">
      <c r="B356" s="19">
        <v>4447</v>
      </c>
      <c r="C356" s="2">
        <f>HYPERLINK(URLs!B36 &amp; 36587,36587)</f>
        <v>36587</v>
      </c>
      <c r="D356" t="s">
        <v>1982</v>
      </c>
      <c r="E356" t="s">
        <v>387</v>
      </c>
      <c r="F356" t="s">
        <v>305</v>
      </c>
      <c r="G356" t="s">
        <v>310</v>
      </c>
      <c r="H356" t="s">
        <v>30</v>
      </c>
      <c r="I356" t="s">
        <v>35</v>
      </c>
      <c r="J356" t="s">
        <v>43</v>
      </c>
      <c r="K356" t="s">
        <v>44</v>
      </c>
      <c r="L356" t="s">
        <v>73</v>
      </c>
      <c r="M356" t="s">
        <v>263</v>
      </c>
      <c r="N356" t="s">
        <v>46</v>
      </c>
      <c r="P356" t="s">
        <v>1749</v>
      </c>
      <c r="R356">
        <v>41589.792546296296</v>
      </c>
      <c r="S356">
        <v>42649.838587962964</v>
      </c>
      <c r="T356" t="s">
        <v>1529</v>
      </c>
      <c r="U356" t="s">
        <v>35</v>
      </c>
      <c r="V356" t="s">
        <v>35</v>
      </c>
      <c r="W356" t="s">
        <v>394</v>
      </c>
    </row>
    <row r="357" spans="2:23" x14ac:dyDescent="0.25">
      <c r="B357" s="19">
        <v>4447</v>
      </c>
      <c r="C357" s="2">
        <f>HYPERLINK(URLs!B36 &amp; 36586,36586)</f>
        <v>36586</v>
      </c>
      <c r="D357" t="s">
        <v>1981</v>
      </c>
      <c r="E357" t="s">
        <v>1700</v>
      </c>
      <c r="F357" t="s">
        <v>305</v>
      </c>
      <c r="G357" t="s">
        <v>328</v>
      </c>
      <c r="H357" t="s">
        <v>30</v>
      </c>
      <c r="I357" t="s">
        <v>35</v>
      </c>
      <c r="J357" t="s">
        <v>43</v>
      </c>
      <c r="K357" t="s">
        <v>44</v>
      </c>
      <c r="L357" t="s">
        <v>73</v>
      </c>
      <c r="M357" t="s">
        <v>263</v>
      </c>
      <c r="N357" t="s">
        <v>46</v>
      </c>
      <c r="P357" t="s">
        <v>1749</v>
      </c>
      <c r="R357">
        <v>41589.716782407406</v>
      </c>
      <c r="S357">
        <v>42649.838518518518</v>
      </c>
      <c r="T357" t="s">
        <v>1700</v>
      </c>
      <c r="U357" t="s">
        <v>35</v>
      </c>
      <c r="V357" t="s">
        <v>35</v>
      </c>
      <c r="W357" t="s">
        <v>4098</v>
      </c>
    </row>
    <row r="358" spans="2:23" x14ac:dyDescent="0.25">
      <c r="B358" s="19">
        <v>4458</v>
      </c>
      <c r="C358" s="2">
        <f>HYPERLINK(URLs!B36 &amp; 43714,43714)</f>
        <v>43714</v>
      </c>
      <c r="D358" t="s">
        <v>3833</v>
      </c>
      <c r="E358" t="s">
        <v>3787</v>
      </c>
      <c r="F358" t="s">
        <v>305</v>
      </c>
      <c r="G358" t="s">
        <v>304</v>
      </c>
      <c r="H358" t="s">
        <v>30</v>
      </c>
      <c r="I358" t="s">
        <v>35</v>
      </c>
      <c r="J358" t="s">
        <v>58</v>
      </c>
      <c r="K358" t="s">
        <v>35</v>
      </c>
      <c r="L358" t="s">
        <v>34</v>
      </c>
      <c r="M358" t="s">
        <v>3780</v>
      </c>
      <c r="N358" t="s">
        <v>1998</v>
      </c>
      <c r="P358" t="s">
        <v>1749</v>
      </c>
      <c r="R358">
        <v>41796.92596064815</v>
      </c>
      <c r="S358">
        <v>42047.69458333333</v>
      </c>
      <c r="T358" t="s">
        <v>2221</v>
      </c>
      <c r="U358" t="s">
        <v>35</v>
      </c>
      <c r="V358" t="s">
        <v>35</v>
      </c>
      <c r="W358" t="s">
        <v>4134</v>
      </c>
    </row>
    <row r="359" spans="2:23" x14ac:dyDescent="0.25">
      <c r="B359" s="19">
        <v>4458</v>
      </c>
      <c r="C359" s="2">
        <f>HYPERLINK(URLs!B36 &amp; 41520,41520)</f>
        <v>41520</v>
      </c>
      <c r="D359" t="s">
        <v>3823</v>
      </c>
      <c r="E359" t="s">
        <v>1913</v>
      </c>
      <c r="F359" t="s">
        <v>305</v>
      </c>
      <c r="G359" t="s">
        <v>304</v>
      </c>
      <c r="H359" t="s">
        <v>30</v>
      </c>
      <c r="I359" t="s">
        <v>35</v>
      </c>
      <c r="J359" t="s">
        <v>58</v>
      </c>
      <c r="K359" t="s">
        <v>35</v>
      </c>
      <c r="L359" t="s">
        <v>34</v>
      </c>
      <c r="M359" t="s">
        <v>3780</v>
      </c>
      <c r="N359" t="s">
        <v>46</v>
      </c>
      <c r="O359" t="s">
        <v>2045</v>
      </c>
      <c r="P359" t="s">
        <v>1749</v>
      </c>
      <c r="R359">
        <v>41731.849409722221</v>
      </c>
      <c r="S359">
        <v>42039.768043981479</v>
      </c>
      <c r="T359" t="s">
        <v>1913</v>
      </c>
      <c r="U359" t="s">
        <v>35</v>
      </c>
      <c r="V359" t="s">
        <v>35</v>
      </c>
      <c r="W359" t="s">
        <v>4131</v>
      </c>
    </row>
    <row r="360" spans="2:23" x14ac:dyDescent="0.25">
      <c r="B360" s="19">
        <v>4458</v>
      </c>
      <c r="C360" s="2">
        <f>HYPERLINK(URLs!B36 &amp; 41519,41519)</f>
        <v>41519</v>
      </c>
      <c r="D360" t="s">
        <v>3822</v>
      </c>
      <c r="E360" t="s">
        <v>2</v>
      </c>
      <c r="F360" t="s">
        <v>305</v>
      </c>
      <c r="G360" t="s">
        <v>353</v>
      </c>
      <c r="H360" t="s">
        <v>30</v>
      </c>
      <c r="I360" t="s">
        <v>35</v>
      </c>
      <c r="J360" t="s">
        <v>58</v>
      </c>
      <c r="K360" t="s">
        <v>35</v>
      </c>
      <c r="L360" t="s">
        <v>34</v>
      </c>
      <c r="M360" t="s">
        <v>3780</v>
      </c>
      <c r="N360" t="s">
        <v>46</v>
      </c>
      <c r="P360" t="s">
        <v>1749</v>
      </c>
      <c r="R360">
        <v>41731.849305555559</v>
      </c>
      <c r="S360">
        <v>42045.697893518518</v>
      </c>
      <c r="T360" t="s">
        <v>1913</v>
      </c>
      <c r="U360" t="s">
        <v>35</v>
      </c>
      <c r="V360" t="s">
        <v>35</v>
      </c>
      <c r="W360" t="s">
        <v>4111</v>
      </c>
    </row>
    <row r="361" spans="2:23" x14ac:dyDescent="0.25">
      <c r="B361" s="19">
        <v>4458</v>
      </c>
      <c r="C361" s="2">
        <f>HYPERLINK(URLs!B36 &amp; 36713,36713)</f>
        <v>36713</v>
      </c>
      <c r="D361" t="s">
        <v>3806</v>
      </c>
      <c r="E361" t="s">
        <v>1913</v>
      </c>
      <c r="F361" t="s">
        <v>305</v>
      </c>
      <c r="G361" t="s">
        <v>310</v>
      </c>
      <c r="H361" t="s">
        <v>30</v>
      </c>
      <c r="I361" t="s">
        <v>35</v>
      </c>
      <c r="J361" t="s">
        <v>58</v>
      </c>
      <c r="K361" t="s">
        <v>35</v>
      </c>
      <c r="L361" t="s">
        <v>34</v>
      </c>
      <c r="M361" t="s">
        <v>3780</v>
      </c>
      <c r="N361" t="s">
        <v>46</v>
      </c>
      <c r="P361" t="s">
        <v>1749</v>
      </c>
      <c r="R361">
        <v>41591.873472222222</v>
      </c>
      <c r="S361">
        <v>42044.67150462963</v>
      </c>
      <c r="T361" t="s">
        <v>1913</v>
      </c>
      <c r="U361" t="s">
        <v>35</v>
      </c>
      <c r="V361" t="s">
        <v>35</v>
      </c>
      <c r="W361" t="s">
        <v>4122</v>
      </c>
    </row>
    <row r="362" spans="2:23" x14ac:dyDescent="0.25">
      <c r="B362" s="19">
        <v>4458</v>
      </c>
      <c r="C362" s="2">
        <f>HYPERLINK(URLs!B36 &amp; 36712,36712)</f>
        <v>36712</v>
      </c>
      <c r="D362" t="s">
        <v>3805</v>
      </c>
      <c r="E362" t="s">
        <v>1913</v>
      </c>
      <c r="F362" t="s">
        <v>305</v>
      </c>
      <c r="G362" t="s">
        <v>304</v>
      </c>
      <c r="H362" t="s">
        <v>30</v>
      </c>
      <c r="I362" t="s">
        <v>35</v>
      </c>
      <c r="J362" t="s">
        <v>58</v>
      </c>
      <c r="K362" t="s">
        <v>35</v>
      </c>
      <c r="L362" t="s">
        <v>34</v>
      </c>
      <c r="M362" t="s">
        <v>3780</v>
      </c>
      <c r="N362" t="s">
        <v>46</v>
      </c>
      <c r="O362" t="s">
        <v>2072</v>
      </c>
      <c r="P362" t="s">
        <v>1749</v>
      </c>
      <c r="R362">
        <v>41591.87159722222</v>
      </c>
      <c r="S362">
        <v>42039.742280092592</v>
      </c>
      <c r="T362" t="s">
        <v>1913</v>
      </c>
      <c r="U362" t="s">
        <v>35</v>
      </c>
      <c r="V362" t="s">
        <v>35</v>
      </c>
      <c r="W362" t="s">
        <v>4127</v>
      </c>
    </row>
    <row r="363" spans="2:23" x14ac:dyDescent="0.25">
      <c r="B363" s="19">
        <v>4458</v>
      </c>
      <c r="C363" s="2">
        <f>HYPERLINK(URLs!B36 &amp; 36661,36661)</f>
        <v>36661</v>
      </c>
      <c r="D363" t="s">
        <v>3804</v>
      </c>
      <c r="E363" t="s">
        <v>2</v>
      </c>
      <c r="F363" t="s">
        <v>305</v>
      </c>
      <c r="G363" t="s">
        <v>304</v>
      </c>
      <c r="H363" t="s">
        <v>30</v>
      </c>
      <c r="I363" t="s">
        <v>35</v>
      </c>
      <c r="J363" t="s">
        <v>58</v>
      </c>
      <c r="K363" t="s">
        <v>35</v>
      </c>
      <c r="L363" t="s">
        <v>34</v>
      </c>
      <c r="M363" t="s">
        <v>3780</v>
      </c>
      <c r="N363" t="s">
        <v>46</v>
      </c>
      <c r="P363" t="s">
        <v>1749</v>
      </c>
      <c r="R363">
        <v>41590.745069444441</v>
      </c>
      <c r="S363">
        <v>42044.682569444441</v>
      </c>
      <c r="T363" t="s">
        <v>2</v>
      </c>
      <c r="U363" t="s">
        <v>35</v>
      </c>
      <c r="V363" t="s">
        <v>35</v>
      </c>
      <c r="W363" t="s">
        <v>4098</v>
      </c>
    </row>
    <row r="364" spans="2:23" x14ac:dyDescent="0.25">
      <c r="B364" s="19">
        <v>4488</v>
      </c>
      <c r="C364" s="2">
        <f>HYPERLINK(URLs!B36 &amp; 36717,36717)</f>
        <v>36717</v>
      </c>
      <c r="D364" t="s">
        <v>1989</v>
      </c>
      <c r="E364" t="s">
        <v>387</v>
      </c>
      <c r="F364" t="s">
        <v>305</v>
      </c>
      <c r="G364" t="s">
        <v>337</v>
      </c>
      <c r="H364" t="s">
        <v>30</v>
      </c>
      <c r="I364" t="s">
        <v>35</v>
      </c>
      <c r="J364" t="s">
        <v>32</v>
      </c>
      <c r="K364" t="s">
        <v>44</v>
      </c>
      <c r="L364" t="s">
        <v>73</v>
      </c>
      <c r="M364" t="s">
        <v>1514</v>
      </c>
      <c r="N364" t="s">
        <v>46</v>
      </c>
      <c r="P364" t="s">
        <v>1749</v>
      </c>
      <c r="R364">
        <v>41591.889687499999</v>
      </c>
      <c r="S364">
        <v>42649.838055555556</v>
      </c>
      <c r="T364" t="s">
        <v>1529</v>
      </c>
      <c r="U364" t="s">
        <v>35</v>
      </c>
      <c r="V364" t="s">
        <v>35</v>
      </c>
      <c r="W364" t="s">
        <v>3039</v>
      </c>
    </row>
    <row r="365" spans="2:23" x14ac:dyDescent="0.25">
      <c r="B365" s="19">
        <v>4488</v>
      </c>
      <c r="C365" s="2">
        <f>HYPERLINK(URLs!B36 &amp; 36716,36716)</f>
        <v>36716</v>
      </c>
      <c r="D365" t="s">
        <v>1988</v>
      </c>
      <c r="E365" t="s">
        <v>387</v>
      </c>
      <c r="F365" t="s">
        <v>305</v>
      </c>
      <c r="G365" t="s">
        <v>1701</v>
      </c>
      <c r="H365" t="s">
        <v>30</v>
      </c>
      <c r="I365" t="s">
        <v>35</v>
      </c>
      <c r="J365" t="s">
        <v>32</v>
      </c>
      <c r="K365" t="s">
        <v>44</v>
      </c>
      <c r="L365" t="s">
        <v>73</v>
      </c>
      <c r="M365" t="s">
        <v>1514</v>
      </c>
      <c r="N365" t="s">
        <v>46</v>
      </c>
      <c r="P365" t="s">
        <v>1749</v>
      </c>
      <c r="R365">
        <v>41591.889224537037</v>
      </c>
      <c r="S365">
        <v>42649.83834490741</v>
      </c>
      <c r="T365" t="s">
        <v>1529</v>
      </c>
      <c r="U365" t="s">
        <v>35</v>
      </c>
      <c r="V365" t="s">
        <v>35</v>
      </c>
      <c r="W365" t="s">
        <v>1634</v>
      </c>
    </row>
    <row r="366" spans="2:23" x14ac:dyDescent="0.25">
      <c r="B366" s="19">
        <v>4488</v>
      </c>
      <c r="C366" s="2">
        <f>HYPERLINK(URLs!B36 &amp; 36715,36715)</f>
        <v>36715</v>
      </c>
      <c r="D366" t="s">
        <v>1987</v>
      </c>
      <c r="E366" t="s">
        <v>387</v>
      </c>
      <c r="F366" t="s">
        <v>305</v>
      </c>
      <c r="G366" t="s">
        <v>1701</v>
      </c>
      <c r="H366" t="s">
        <v>30</v>
      </c>
      <c r="I366" t="s">
        <v>35</v>
      </c>
      <c r="J366" t="s">
        <v>32</v>
      </c>
      <c r="K366" t="s">
        <v>35</v>
      </c>
      <c r="L366" t="s">
        <v>73</v>
      </c>
      <c r="M366" t="s">
        <v>1514</v>
      </c>
      <c r="N366" t="s">
        <v>46</v>
      </c>
      <c r="P366" t="s">
        <v>1749</v>
      </c>
      <c r="R366">
        <v>41591.889050925929</v>
      </c>
      <c r="S366">
        <v>42649.838680555556</v>
      </c>
      <c r="T366" t="s">
        <v>1529</v>
      </c>
      <c r="U366" t="s">
        <v>35</v>
      </c>
      <c r="V366" t="s">
        <v>35</v>
      </c>
      <c r="W366" t="s">
        <v>394</v>
      </c>
    </row>
    <row r="367" spans="2:23" x14ac:dyDescent="0.25">
      <c r="B367" s="19">
        <v>4488</v>
      </c>
      <c r="C367" s="2">
        <f>HYPERLINK(URLs!B36 &amp; 36714,36714)</f>
        <v>36714</v>
      </c>
      <c r="D367" t="s">
        <v>1986</v>
      </c>
      <c r="E367" t="s">
        <v>387</v>
      </c>
      <c r="F367" t="s">
        <v>305</v>
      </c>
      <c r="G367" t="s">
        <v>304</v>
      </c>
      <c r="H367" t="s">
        <v>30</v>
      </c>
      <c r="I367" t="s">
        <v>35</v>
      </c>
      <c r="J367" t="s">
        <v>32</v>
      </c>
      <c r="K367" t="s">
        <v>44</v>
      </c>
      <c r="L367" t="s">
        <v>73</v>
      </c>
      <c r="M367" t="s">
        <v>1514</v>
      </c>
      <c r="N367" t="s">
        <v>46</v>
      </c>
      <c r="P367" t="s">
        <v>1749</v>
      </c>
      <c r="R367">
        <v>41591.875150462962</v>
      </c>
      <c r="S367">
        <v>41816.554120370369</v>
      </c>
      <c r="T367" t="s">
        <v>1</v>
      </c>
      <c r="U367" t="s">
        <v>35</v>
      </c>
      <c r="V367" t="s">
        <v>35</v>
      </c>
      <c r="W367" t="s">
        <v>4098</v>
      </c>
    </row>
    <row r="368" spans="2:23" x14ac:dyDescent="0.25">
      <c r="B368" s="19">
        <v>4489</v>
      </c>
      <c r="C368" s="2">
        <f>HYPERLINK(URLs!B36 &amp; 68236,68236)</f>
        <v>68236</v>
      </c>
      <c r="D368" t="s">
        <v>3868</v>
      </c>
      <c r="E368" t="s">
        <v>3787</v>
      </c>
      <c r="F368" t="s">
        <v>305</v>
      </c>
      <c r="G368" t="s">
        <v>337</v>
      </c>
      <c r="H368" t="s">
        <v>54</v>
      </c>
      <c r="I368" t="s">
        <v>68</v>
      </c>
      <c r="J368" t="s">
        <v>43</v>
      </c>
      <c r="K368" t="s">
        <v>33</v>
      </c>
      <c r="L368" t="s">
        <v>34</v>
      </c>
      <c r="M368" t="s">
        <v>3780</v>
      </c>
      <c r="N368" t="s">
        <v>46</v>
      </c>
      <c r="O368" t="s">
        <v>3869</v>
      </c>
      <c r="P368" t="s">
        <v>2180</v>
      </c>
      <c r="Q368" t="s">
        <v>3809</v>
      </c>
      <c r="R368">
        <v>42248.792534722219</v>
      </c>
      <c r="S368">
        <v>43007.432997685188</v>
      </c>
      <c r="T368" t="s">
        <v>3787</v>
      </c>
      <c r="U368" t="s">
        <v>35</v>
      </c>
      <c r="V368" t="s">
        <v>35</v>
      </c>
      <c r="W368" t="s">
        <v>3039</v>
      </c>
    </row>
    <row r="369" spans="2:23" x14ac:dyDescent="0.25">
      <c r="B369" s="19">
        <v>4489</v>
      </c>
      <c r="C369" s="2">
        <f>HYPERLINK(URLs!B36 &amp; 47264,47264)</f>
        <v>47264</v>
      </c>
      <c r="D369" t="s">
        <v>3836</v>
      </c>
      <c r="E369" t="s">
        <v>371</v>
      </c>
      <c r="F369" t="s">
        <v>305</v>
      </c>
      <c r="G369" t="s">
        <v>337</v>
      </c>
      <c r="H369" t="s">
        <v>54</v>
      </c>
      <c r="I369" t="s">
        <v>31</v>
      </c>
      <c r="J369" t="s">
        <v>43</v>
      </c>
      <c r="K369" t="s">
        <v>44</v>
      </c>
      <c r="L369" t="s">
        <v>34</v>
      </c>
      <c r="M369" t="s">
        <v>368</v>
      </c>
      <c r="N369" t="s">
        <v>2226</v>
      </c>
      <c r="O369" t="s">
        <v>3837</v>
      </c>
      <c r="P369" t="s">
        <v>1749</v>
      </c>
      <c r="R369">
        <v>41841.756724537037</v>
      </c>
      <c r="S369">
        <v>42248.792534722219</v>
      </c>
      <c r="T369" t="s">
        <v>2047</v>
      </c>
      <c r="U369" t="s">
        <v>35</v>
      </c>
      <c r="V369" t="s">
        <v>35</v>
      </c>
      <c r="W369" t="s">
        <v>2475</v>
      </c>
    </row>
    <row r="370" spans="2:23" x14ac:dyDescent="0.25">
      <c r="B370" s="19">
        <v>4489</v>
      </c>
      <c r="C370" s="2">
        <f>HYPERLINK(URLs!B36 &amp; 47263,47263)</f>
        <v>47263</v>
      </c>
      <c r="D370" t="s">
        <v>3834</v>
      </c>
      <c r="E370" t="s">
        <v>2047</v>
      </c>
      <c r="F370" t="s">
        <v>305</v>
      </c>
      <c r="G370" t="s">
        <v>337</v>
      </c>
      <c r="H370" t="s">
        <v>54</v>
      </c>
      <c r="I370" t="s">
        <v>68</v>
      </c>
      <c r="J370" t="s">
        <v>43</v>
      </c>
      <c r="K370" t="s">
        <v>33</v>
      </c>
      <c r="L370" t="s">
        <v>34</v>
      </c>
      <c r="M370" t="s">
        <v>3780</v>
      </c>
      <c r="N370" t="s">
        <v>46</v>
      </c>
      <c r="O370" t="s">
        <v>3835</v>
      </c>
      <c r="P370" t="s">
        <v>1749</v>
      </c>
      <c r="R370">
        <v>41841.756574074076</v>
      </c>
      <c r="S370">
        <v>42306.945162037038</v>
      </c>
      <c r="T370" t="s">
        <v>2047</v>
      </c>
      <c r="U370" t="s">
        <v>35</v>
      </c>
      <c r="V370" t="s">
        <v>35</v>
      </c>
      <c r="W370" t="s">
        <v>4140</v>
      </c>
    </row>
    <row r="371" spans="2:23" x14ac:dyDescent="0.25">
      <c r="B371" s="19">
        <v>4489</v>
      </c>
      <c r="C371" s="2">
        <f>HYPERLINK(URLs!B36 &amp; 41845,41845)</f>
        <v>41845</v>
      </c>
      <c r="D371" t="s">
        <v>3824</v>
      </c>
      <c r="E371" t="s">
        <v>371</v>
      </c>
      <c r="F371" t="s">
        <v>305</v>
      </c>
      <c r="G371" t="s">
        <v>337</v>
      </c>
      <c r="H371" t="s">
        <v>54</v>
      </c>
      <c r="I371" t="s">
        <v>31</v>
      </c>
      <c r="J371" t="s">
        <v>43</v>
      </c>
      <c r="K371" t="s">
        <v>44</v>
      </c>
      <c r="L371" t="s">
        <v>34</v>
      </c>
      <c r="M371" t="s">
        <v>368</v>
      </c>
      <c r="N371" t="s">
        <v>46</v>
      </c>
      <c r="O371" t="s">
        <v>3825</v>
      </c>
      <c r="P371" t="s">
        <v>1749</v>
      </c>
      <c r="R371">
        <v>41740.748495370368</v>
      </c>
      <c r="S371">
        <v>42248.792534722219</v>
      </c>
      <c r="T371" t="s">
        <v>1913</v>
      </c>
      <c r="U371" t="s">
        <v>35</v>
      </c>
      <c r="V371" t="s">
        <v>35</v>
      </c>
      <c r="W371" t="s">
        <v>4132</v>
      </c>
    </row>
    <row r="372" spans="2:23" x14ac:dyDescent="0.25">
      <c r="B372" s="19">
        <v>4489</v>
      </c>
      <c r="C372" s="2">
        <f>HYPERLINK(URLs!B36 &amp; 37852,37852)</f>
        <v>37852</v>
      </c>
      <c r="D372" t="s">
        <v>2023</v>
      </c>
      <c r="E372" t="s">
        <v>376</v>
      </c>
      <c r="F372" t="s">
        <v>305</v>
      </c>
      <c r="G372" t="s">
        <v>304</v>
      </c>
      <c r="H372" t="s">
        <v>54</v>
      </c>
      <c r="I372" t="s">
        <v>35</v>
      </c>
      <c r="J372" t="s">
        <v>43</v>
      </c>
      <c r="K372" t="s">
        <v>44</v>
      </c>
      <c r="L372" t="s">
        <v>34</v>
      </c>
      <c r="M372" t="s">
        <v>2024</v>
      </c>
      <c r="N372" t="s">
        <v>2009</v>
      </c>
      <c r="P372" t="s">
        <v>1749</v>
      </c>
      <c r="R372">
        <v>41626.755914351852</v>
      </c>
      <c r="S372">
        <v>42248.792534722219</v>
      </c>
      <c r="T372" t="s">
        <v>1913</v>
      </c>
      <c r="U372" t="s">
        <v>35</v>
      </c>
      <c r="V372" t="s">
        <v>35</v>
      </c>
      <c r="W372" t="s">
        <v>4134</v>
      </c>
    </row>
    <row r="373" spans="2:23" x14ac:dyDescent="0.25">
      <c r="B373" s="19">
        <v>4489</v>
      </c>
      <c r="C373" s="2">
        <f>HYPERLINK(URLs!B36 &amp; 37848,37848)</f>
        <v>37848</v>
      </c>
      <c r="D373" t="s">
        <v>3810</v>
      </c>
      <c r="E373" t="s">
        <v>3811</v>
      </c>
      <c r="F373" t="s">
        <v>305</v>
      </c>
      <c r="G373" t="s">
        <v>304</v>
      </c>
      <c r="H373" t="s">
        <v>54</v>
      </c>
      <c r="I373" t="s">
        <v>31</v>
      </c>
      <c r="J373" t="s">
        <v>43</v>
      </c>
      <c r="K373" t="s">
        <v>44</v>
      </c>
      <c r="L373" t="s">
        <v>34</v>
      </c>
      <c r="M373" t="s">
        <v>3780</v>
      </c>
      <c r="N373" t="s">
        <v>46</v>
      </c>
      <c r="P373" t="s">
        <v>1749</v>
      </c>
      <c r="Q373" t="s">
        <v>3809</v>
      </c>
      <c r="R373">
        <v>41626.711481481485</v>
      </c>
      <c r="S373">
        <v>42661.446898148148</v>
      </c>
      <c r="T373" t="s">
        <v>1913</v>
      </c>
      <c r="U373" t="s">
        <v>35</v>
      </c>
      <c r="V373" t="s">
        <v>35</v>
      </c>
      <c r="W373" t="s">
        <v>4133</v>
      </c>
    </row>
    <row r="374" spans="2:23" x14ac:dyDescent="0.25">
      <c r="B374" s="19">
        <v>4489</v>
      </c>
      <c r="C374" s="2">
        <f>HYPERLINK(URLs!B36 &amp; 37039,37039)</f>
        <v>37039</v>
      </c>
      <c r="D374" t="s">
        <v>3807</v>
      </c>
      <c r="E374" t="s">
        <v>3787</v>
      </c>
      <c r="F374" t="s">
        <v>305</v>
      </c>
      <c r="G374" t="s">
        <v>304</v>
      </c>
      <c r="H374" t="s">
        <v>54</v>
      </c>
      <c r="I374" t="s">
        <v>31</v>
      </c>
      <c r="J374" t="s">
        <v>43</v>
      </c>
      <c r="K374" t="s">
        <v>44</v>
      </c>
      <c r="L374" t="s">
        <v>34</v>
      </c>
      <c r="M374" t="s">
        <v>3780</v>
      </c>
      <c r="N374" t="s">
        <v>46</v>
      </c>
      <c r="O374" t="s">
        <v>3808</v>
      </c>
      <c r="P374" t="s">
        <v>2180</v>
      </c>
      <c r="Q374" t="s">
        <v>3809</v>
      </c>
      <c r="R374">
        <v>41600.678842592592</v>
      </c>
      <c r="S374">
        <v>42649.917488425926</v>
      </c>
      <c r="T374" t="s">
        <v>300</v>
      </c>
      <c r="U374" t="s">
        <v>35</v>
      </c>
      <c r="V374" t="s">
        <v>35</v>
      </c>
      <c r="W374" t="s">
        <v>4098</v>
      </c>
    </row>
    <row r="375" spans="2:23" x14ac:dyDescent="0.25">
      <c r="B375" s="19">
        <v>4512</v>
      </c>
      <c r="C375" s="2">
        <f>HYPERLINK(URLs!B36 &amp; 38332,38332)</f>
        <v>38332</v>
      </c>
      <c r="D375" t="s">
        <v>2044</v>
      </c>
      <c r="E375" t="s">
        <v>387</v>
      </c>
      <c r="F375" t="s">
        <v>305</v>
      </c>
      <c r="G375" t="s">
        <v>304</v>
      </c>
      <c r="H375" t="s">
        <v>30</v>
      </c>
      <c r="I375" t="s">
        <v>35</v>
      </c>
      <c r="J375" t="s">
        <v>43</v>
      </c>
      <c r="K375" t="s">
        <v>44</v>
      </c>
      <c r="L375" t="s">
        <v>73</v>
      </c>
      <c r="M375" t="s">
        <v>1514</v>
      </c>
      <c r="N375" t="s">
        <v>46</v>
      </c>
      <c r="O375" t="s">
        <v>2045</v>
      </c>
      <c r="P375" t="s">
        <v>1749</v>
      </c>
      <c r="R375">
        <v>41655.011458333334</v>
      </c>
      <c r="S375">
        <v>42648.828425925924</v>
      </c>
      <c r="T375" t="s">
        <v>1529</v>
      </c>
      <c r="U375" t="s">
        <v>35</v>
      </c>
      <c r="V375" t="s">
        <v>35</v>
      </c>
      <c r="W375" t="s">
        <v>4131</v>
      </c>
    </row>
    <row r="376" spans="2:23" x14ac:dyDescent="0.25">
      <c r="B376" s="19">
        <v>4512</v>
      </c>
      <c r="C376" s="2">
        <f>HYPERLINK(URLs!B36 &amp; 37355,37355)</f>
        <v>37355</v>
      </c>
      <c r="D376" t="s">
        <v>1999</v>
      </c>
      <c r="E376" t="s">
        <v>387</v>
      </c>
      <c r="F376" t="s">
        <v>305</v>
      </c>
      <c r="G376" t="s">
        <v>304</v>
      </c>
      <c r="H376" t="s">
        <v>30</v>
      </c>
      <c r="I376" t="s">
        <v>35</v>
      </c>
      <c r="J376" t="s">
        <v>43</v>
      </c>
      <c r="K376" t="s">
        <v>44</v>
      </c>
      <c r="L376" t="s">
        <v>73</v>
      </c>
      <c r="M376" t="s">
        <v>1514</v>
      </c>
      <c r="N376" t="s">
        <v>46</v>
      </c>
      <c r="O376" t="s">
        <v>1969</v>
      </c>
      <c r="P376" t="s">
        <v>1749</v>
      </c>
      <c r="R376">
        <v>41611.976736111108</v>
      </c>
      <c r="S376">
        <v>42648.827256944445</v>
      </c>
      <c r="T376" t="s">
        <v>1529</v>
      </c>
      <c r="U376" t="s">
        <v>35</v>
      </c>
      <c r="V376" t="s">
        <v>35</v>
      </c>
      <c r="W376" t="s">
        <v>4127</v>
      </c>
    </row>
    <row r="377" spans="2:23" x14ac:dyDescent="0.25">
      <c r="B377" s="19">
        <v>4512</v>
      </c>
      <c r="C377" s="2">
        <f>HYPERLINK(URLs!B36 &amp; 37354,37354)</f>
        <v>37354</v>
      </c>
      <c r="D377" t="s">
        <v>1997</v>
      </c>
      <c r="E377" t="s">
        <v>387</v>
      </c>
      <c r="F377" t="s">
        <v>305</v>
      </c>
      <c r="G377" t="s">
        <v>304</v>
      </c>
      <c r="H377" t="s">
        <v>30</v>
      </c>
      <c r="I377" t="s">
        <v>31</v>
      </c>
      <c r="J377" t="s">
        <v>43</v>
      </c>
      <c r="K377" t="s">
        <v>44</v>
      </c>
      <c r="L377" t="s">
        <v>73</v>
      </c>
      <c r="M377" t="s">
        <v>1514</v>
      </c>
      <c r="N377" t="s">
        <v>1998</v>
      </c>
      <c r="P377" t="s">
        <v>1749</v>
      </c>
      <c r="R377">
        <v>41611.976620370369</v>
      </c>
      <c r="S377">
        <v>42648.826956018522</v>
      </c>
      <c r="T377" t="s">
        <v>1529</v>
      </c>
      <c r="U377" t="s">
        <v>35</v>
      </c>
      <c r="V377" t="s">
        <v>35</v>
      </c>
      <c r="W377" t="s">
        <v>2552</v>
      </c>
    </row>
    <row r="378" spans="2:23" x14ac:dyDescent="0.25">
      <c r="B378" s="19">
        <v>4512</v>
      </c>
      <c r="C378" s="2">
        <f>HYPERLINK(URLs!B36 &amp; 37353,37353)</f>
        <v>37353</v>
      </c>
      <c r="D378" t="s">
        <v>1996</v>
      </c>
      <c r="E378" t="s">
        <v>1864</v>
      </c>
      <c r="F378" t="s">
        <v>305</v>
      </c>
      <c r="G378" t="s">
        <v>304</v>
      </c>
      <c r="H378" t="s">
        <v>30</v>
      </c>
      <c r="I378" t="s">
        <v>35</v>
      </c>
      <c r="J378" t="s">
        <v>43</v>
      </c>
      <c r="K378" t="s">
        <v>44</v>
      </c>
      <c r="L378" t="s">
        <v>73</v>
      </c>
      <c r="M378" t="s">
        <v>1514</v>
      </c>
      <c r="N378" t="s">
        <v>46</v>
      </c>
      <c r="P378" t="s">
        <v>1749</v>
      </c>
      <c r="R378">
        <v>41611.9765162037</v>
      </c>
      <c r="S378">
        <v>42648.827233796299</v>
      </c>
      <c r="T378" t="s">
        <v>1529</v>
      </c>
      <c r="U378" t="s">
        <v>35</v>
      </c>
      <c r="V378" t="s">
        <v>35</v>
      </c>
      <c r="W378" t="s">
        <v>1634</v>
      </c>
    </row>
    <row r="379" spans="2:23" x14ac:dyDescent="0.25">
      <c r="B379" s="19">
        <v>4512</v>
      </c>
      <c r="C379" s="2">
        <f>HYPERLINK(URLs!B36 &amp; 37352,37352)</f>
        <v>37352</v>
      </c>
      <c r="D379" t="s">
        <v>1995</v>
      </c>
      <c r="E379" t="s">
        <v>387</v>
      </c>
      <c r="F379" t="s">
        <v>305</v>
      </c>
      <c r="G379" t="s">
        <v>304</v>
      </c>
      <c r="H379" t="s">
        <v>30</v>
      </c>
      <c r="I379" t="s">
        <v>35</v>
      </c>
      <c r="J379" t="s">
        <v>43</v>
      </c>
      <c r="K379" t="s">
        <v>44</v>
      </c>
      <c r="L379" t="s">
        <v>73</v>
      </c>
      <c r="M379" t="s">
        <v>1514</v>
      </c>
      <c r="N379" t="s">
        <v>46</v>
      </c>
      <c r="P379" t="s">
        <v>1749</v>
      </c>
      <c r="R379">
        <v>41611.976284722223</v>
      </c>
      <c r="S379">
        <v>42648.827152777776</v>
      </c>
      <c r="T379" t="s">
        <v>1529</v>
      </c>
      <c r="U379" t="s">
        <v>35</v>
      </c>
      <c r="V379" t="s">
        <v>35</v>
      </c>
      <c r="W379" t="s">
        <v>4123</v>
      </c>
    </row>
    <row r="380" spans="2:23" x14ac:dyDescent="0.25">
      <c r="B380" s="19">
        <v>4512</v>
      </c>
      <c r="C380" s="2">
        <f>HYPERLINK(URLs!B36 &amp; 37351,37351)</f>
        <v>37351</v>
      </c>
      <c r="D380" t="s">
        <v>1994</v>
      </c>
      <c r="E380" t="s">
        <v>387</v>
      </c>
      <c r="F380" t="s">
        <v>305</v>
      </c>
      <c r="G380" t="s">
        <v>304</v>
      </c>
      <c r="H380" t="s">
        <v>30</v>
      </c>
      <c r="I380" t="s">
        <v>35</v>
      </c>
      <c r="J380" t="s">
        <v>43</v>
      </c>
      <c r="K380" t="s">
        <v>44</v>
      </c>
      <c r="L380" t="s">
        <v>73</v>
      </c>
      <c r="M380" t="s">
        <v>1514</v>
      </c>
      <c r="N380" t="s">
        <v>46</v>
      </c>
      <c r="P380" t="s">
        <v>1749</v>
      </c>
      <c r="R380">
        <v>41611.971053240741</v>
      </c>
      <c r="S380">
        <v>41816.554340277777</v>
      </c>
      <c r="T380" t="s">
        <v>1700</v>
      </c>
      <c r="U380" t="s">
        <v>35</v>
      </c>
      <c r="V380" t="s">
        <v>35</v>
      </c>
      <c r="W380" t="s">
        <v>4098</v>
      </c>
    </row>
    <row r="381" spans="2:23" x14ac:dyDescent="0.25">
      <c r="B381" s="19">
        <v>4516</v>
      </c>
      <c r="C381" s="2">
        <f>HYPERLINK(URLs!B36 &amp; 37165,37165)</f>
        <v>37165</v>
      </c>
      <c r="D381" t="s">
        <v>1992</v>
      </c>
      <c r="E381" t="s">
        <v>84</v>
      </c>
      <c r="F381" t="s">
        <v>305</v>
      </c>
      <c r="G381" t="s">
        <v>310</v>
      </c>
      <c r="H381" t="s">
        <v>54</v>
      </c>
      <c r="I381" t="s">
        <v>31</v>
      </c>
      <c r="J381" t="s">
        <v>43</v>
      </c>
      <c r="K381" t="s">
        <v>44</v>
      </c>
      <c r="L381" t="s">
        <v>73</v>
      </c>
      <c r="M381" t="s">
        <v>263</v>
      </c>
      <c r="N381" t="s">
        <v>46</v>
      </c>
      <c r="P381" t="s">
        <v>1749</v>
      </c>
      <c r="R381">
        <v>41604.649282407408</v>
      </c>
      <c r="S381">
        <v>42649.83971064815</v>
      </c>
      <c r="T381" t="s">
        <v>1529</v>
      </c>
      <c r="U381" t="s">
        <v>35</v>
      </c>
      <c r="V381" t="s">
        <v>35</v>
      </c>
      <c r="W381" t="s">
        <v>2552</v>
      </c>
    </row>
    <row r="382" spans="2:23" x14ac:dyDescent="0.25">
      <c r="B382" s="19">
        <v>4516</v>
      </c>
      <c r="C382" s="2">
        <f>HYPERLINK(URLs!B36 &amp; 36183,36183)</f>
        <v>36183</v>
      </c>
      <c r="D382" t="s">
        <v>1974</v>
      </c>
      <c r="E382" t="s">
        <v>387</v>
      </c>
      <c r="F382" t="s">
        <v>305</v>
      </c>
      <c r="G382" t="s">
        <v>304</v>
      </c>
      <c r="H382" t="s">
        <v>54</v>
      </c>
      <c r="I382" t="s">
        <v>35</v>
      </c>
      <c r="J382" t="s">
        <v>43</v>
      </c>
      <c r="K382" t="s">
        <v>44</v>
      </c>
      <c r="L382" t="s">
        <v>73</v>
      </c>
      <c r="M382" t="s">
        <v>263</v>
      </c>
      <c r="N382" t="s">
        <v>46</v>
      </c>
      <c r="O382" t="s">
        <v>1969</v>
      </c>
      <c r="P382" t="s">
        <v>1749</v>
      </c>
      <c r="R382">
        <v>41575.580787037034</v>
      </c>
      <c r="S382">
        <v>42648.826458333337</v>
      </c>
      <c r="T382" t="s">
        <v>1529</v>
      </c>
      <c r="U382" t="s">
        <v>35</v>
      </c>
      <c r="V382" t="s">
        <v>35</v>
      </c>
      <c r="W382" t="s">
        <v>4127</v>
      </c>
    </row>
    <row r="383" spans="2:23" x14ac:dyDescent="0.25">
      <c r="B383" s="19">
        <v>4516</v>
      </c>
      <c r="C383" s="2">
        <f>HYPERLINK(URLs!B36 &amp; 36182,36182)</f>
        <v>36182</v>
      </c>
      <c r="D383" t="s">
        <v>1973</v>
      </c>
      <c r="E383" t="s">
        <v>387</v>
      </c>
      <c r="F383" t="s">
        <v>305</v>
      </c>
      <c r="G383" t="s">
        <v>304</v>
      </c>
      <c r="H383" t="s">
        <v>54</v>
      </c>
      <c r="I383" t="s">
        <v>35</v>
      </c>
      <c r="J383" t="s">
        <v>43</v>
      </c>
      <c r="K383" t="s">
        <v>44</v>
      </c>
      <c r="L383" t="s">
        <v>73</v>
      </c>
      <c r="M383" t="s">
        <v>263</v>
      </c>
      <c r="N383" t="s">
        <v>46</v>
      </c>
      <c r="O383" t="s">
        <v>1710</v>
      </c>
      <c r="P383" t="s">
        <v>1749</v>
      </c>
      <c r="R383">
        <v>41575.580601851849</v>
      </c>
      <c r="S383">
        <v>42648.826168981483</v>
      </c>
      <c r="T383" t="s">
        <v>1529</v>
      </c>
      <c r="U383" t="s">
        <v>35</v>
      </c>
      <c r="V383" t="s">
        <v>35</v>
      </c>
      <c r="W383" t="s">
        <v>1634</v>
      </c>
    </row>
    <row r="384" spans="2:23" x14ac:dyDescent="0.25">
      <c r="B384" s="19">
        <v>4516</v>
      </c>
      <c r="C384" s="2">
        <f>HYPERLINK(URLs!B36 &amp; 36181,36181)</f>
        <v>36181</v>
      </c>
      <c r="D384" t="s">
        <v>1972</v>
      </c>
      <c r="E384" t="s">
        <v>387</v>
      </c>
      <c r="F384" t="s">
        <v>305</v>
      </c>
      <c r="G384" t="s">
        <v>304</v>
      </c>
      <c r="H384" t="s">
        <v>54</v>
      </c>
      <c r="I384" t="s">
        <v>31</v>
      </c>
      <c r="J384" t="s">
        <v>43</v>
      </c>
      <c r="K384" t="s">
        <v>44</v>
      </c>
      <c r="L384" t="s">
        <v>73</v>
      </c>
      <c r="M384" t="s">
        <v>263</v>
      </c>
      <c r="N384" t="s">
        <v>46</v>
      </c>
      <c r="P384" t="s">
        <v>1749</v>
      </c>
      <c r="R384">
        <v>41575.580370370371</v>
      </c>
      <c r="S384">
        <v>42648.82603009259</v>
      </c>
      <c r="T384" t="s">
        <v>1529</v>
      </c>
      <c r="U384" t="s">
        <v>35</v>
      </c>
      <c r="V384" t="s">
        <v>35</v>
      </c>
      <c r="W384" t="s">
        <v>4129</v>
      </c>
    </row>
    <row r="385" spans="2:23" x14ac:dyDescent="0.25">
      <c r="B385" s="19">
        <v>4516</v>
      </c>
      <c r="C385" s="2">
        <f>HYPERLINK(URLs!B36 &amp; 36171,36171)</f>
        <v>36171</v>
      </c>
      <c r="D385" t="s">
        <v>1971</v>
      </c>
      <c r="E385" t="s">
        <v>387</v>
      </c>
      <c r="F385" t="s">
        <v>305</v>
      </c>
      <c r="G385" t="s">
        <v>304</v>
      </c>
      <c r="H385" t="s">
        <v>54</v>
      </c>
      <c r="I385" t="s">
        <v>35</v>
      </c>
      <c r="J385" t="s">
        <v>43</v>
      </c>
      <c r="K385" t="s">
        <v>44</v>
      </c>
      <c r="L385" t="s">
        <v>73</v>
      </c>
      <c r="M385" t="s">
        <v>263</v>
      </c>
      <c r="N385" t="s">
        <v>46</v>
      </c>
      <c r="P385" t="s">
        <v>1749</v>
      </c>
      <c r="R385">
        <v>41575.497349537036</v>
      </c>
      <c r="S385">
        <v>41815.747002314813</v>
      </c>
      <c r="T385" t="s">
        <v>1752</v>
      </c>
      <c r="U385" t="s">
        <v>35</v>
      </c>
      <c r="V385" t="s">
        <v>35</v>
      </c>
      <c r="W385" t="s">
        <v>4098</v>
      </c>
    </row>
    <row r="386" spans="2:23" x14ac:dyDescent="0.25">
      <c r="B386" s="19">
        <v>4522</v>
      </c>
      <c r="C386" s="2">
        <f>HYPERLINK(URLs!B36 &amp; 39368,39368)</f>
        <v>39368</v>
      </c>
      <c r="D386" t="s">
        <v>2068</v>
      </c>
      <c r="E386" t="s">
        <v>2002</v>
      </c>
      <c r="F386" t="s">
        <v>305</v>
      </c>
      <c r="G386" t="s">
        <v>304</v>
      </c>
      <c r="H386" t="s">
        <v>30</v>
      </c>
      <c r="I386" t="s">
        <v>35</v>
      </c>
      <c r="J386" t="s">
        <v>43</v>
      </c>
      <c r="K386" t="s">
        <v>33</v>
      </c>
      <c r="L386" t="s">
        <v>73</v>
      </c>
      <c r="M386" t="s">
        <v>1514</v>
      </c>
      <c r="N386" t="s">
        <v>46</v>
      </c>
      <c r="O386" t="s">
        <v>2045</v>
      </c>
      <c r="P386" t="s">
        <v>1646</v>
      </c>
      <c r="R386">
        <v>41690.776932870373</v>
      </c>
      <c r="S386">
        <v>42648.829629629632</v>
      </c>
      <c r="T386" t="s">
        <v>1529</v>
      </c>
      <c r="U386" t="s">
        <v>35</v>
      </c>
      <c r="V386" t="s">
        <v>35</v>
      </c>
      <c r="W386" t="s">
        <v>4131</v>
      </c>
    </row>
    <row r="387" spans="2:23" x14ac:dyDescent="0.25">
      <c r="B387" s="19">
        <v>4522</v>
      </c>
      <c r="C387" s="2">
        <f>HYPERLINK(URLs!B36 &amp; 37651,37651)</f>
        <v>37651</v>
      </c>
      <c r="D387" t="s">
        <v>2014</v>
      </c>
      <c r="E387" t="s">
        <v>387</v>
      </c>
      <c r="F387" t="s">
        <v>305</v>
      </c>
      <c r="G387" t="s">
        <v>337</v>
      </c>
      <c r="H387" t="s">
        <v>30</v>
      </c>
      <c r="I387" t="s">
        <v>35</v>
      </c>
      <c r="J387" t="s">
        <v>43</v>
      </c>
      <c r="K387" t="s">
        <v>33</v>
      </c>
      <c r="L387" t="s">
        <v>73</v>
      </c>
      <c r="M387" t="s">
        <v>1514</v>
      </c>
      <c r="N387" t="s">
        <v>46</v>
      </c>
      <c r="P387" t="s">
        <v>1646</v>
      </c>
      <c r="R387">
        <v>41619.75099537037</v>
      </c>
      <c r="S387">
        <v>42649.83965277778</v>
      </c>
      <c r="T387" t="s">
        <v>1529</v>
      </c>
      <c r="U387" t="s">
        <v>35</v>
      </c>
      <c r="V387" t="s">
        <v>35</v>
      </c>
      <c r="W387" t="s">
        <v>3039</v>
      </c>
    </row>
    <row r="388" spans="2:23" x14ac:dyDescent="0.25">
      <c r="B388" s="19">
        <v>4522</v>
      </c>
      <c r="C388" s="2">
        <f>HYPERLINK(URLs!B36 &amp; 37650,37650)</f>
        <v>37650</v>
      </c>
      <c r="D388" t="s">
        <v>2013</v>
      </c>
      <c r="E388" t="s">
        <v>387</v>
      </c>
      <c r="F388" t="s">
        <v>305</v>
      </c>
      <c r="G388" t="s">
        <v>304</v>
      </c>
      <c r="H388" t="s">
        <v>30</v>
      </c>
      <c r="I388" t="s">
        <v>68</v>
      </c>
      <c r="J388" t="s">
        <v>43</v>
      </c>
      <c r="K388" t="s">
        <v>33</v>
      </c>
      <c r="L388" t="s">
        <v>73</v>
      </c>
      <c r="M388" t="s">
        <v>1514</v>
      </c>
      <c r="N388" t="s">
        <v>2009</v>
      </c>
      <c r="P388" t="s">
        <v>1646</v>
      </c>
      <c r="R388">
        <v>41619.750879629632</v>
      </c>
      <c r="S388">
        <v>42648.828067129631</v>
      </c>
      <c r="T388" t="s">
        <v>1529</v>
      </c>
      <c r="U388" t="s">
        <v>35</v>
      </c>
      <c r="V388" t="s">
        <v>35</v>
      </c>
      <c r="W388" t="s">
        <v>2552</v>
      </c>
    </row>
    <row r="389" spans="2:23" x14ac:dyDescent="0.25">
      <c r="B389" s="19">
        <v>4522</v>
      </c>
      <c r="C389" s="2">
        <f>HYPERLINK(URLs!B36 &amp; 37649,37649)</f>
        <v>37649</v>
      </c>
      <c r="D389" t="s">
        <v>2012</v>
      </c>
      <c r="E389" t="s">
        <v>387</v>
      </c>
      <c r="F389" t="s">
        <v>305</v>
      </c>
      <c r="G389" t="s">
        <v>337</v>
      </c>
      <c r="H389" t="s">
        <v>30</v>
      </c>
      <c r="I389" t="s">
        <v>35</v>
      </c>
      <c r="J389" t="s">
        <v>43</v>
      </c>
      <c r="K389" t="s">
        <v>33</v>
      </c>
      <c r="L389" t="s">
        <v>73</v>
      </c>
      <c r="M389" t="s">
        <v>1514</v>
      </c>
      <c r="N389" t="s">
        <v>46</v>
      </c>
      <c r="P389" t="s">
        <v>1646</v>
      </c>
      <c r="R389">
        <v>41619.750578703701</v>
      </c>
      <c r="S389">
        <v>42649.839780092596</v>
      </c>
      <c r="T389" t="s">
        <v>1529</v>
      </c>
      <c r="U389" t="s">
        <v>35</v>
      </c>
      <c r="V389" t="s">
        <v>35</v>
      </c>
      <c r="W389" t="s">
        <v>1634</v>
      </c>
    </row>
    <row r="390" spans="2:23" x14ac:dyDescent="0.25">
      <c r="B390" s="19">
        <v>4522</v>
      </c>
      <c r="C390" s="2">
        <f>HYPERLINK(URLs!B36 &amp; 37648,37648)</f>
        <v>37648</v>
      </c>
      <c r="D390" t="s">
        <v>2011</v>
      </c>
      <c r="E390" t="s">
        <v>387</v>
      </c>
      <c r="F390" t="s">
        <v>305</v>
      </c>
      <c r="G390" t="s">
        <v>310</v>
      </c>
      <c r="H390" t="s">
        <v>30</v>
      </c>
      <c r="I390" t="s">
        <v>35</v>
      </c>
      <c r="J390" t="s">
        <v>43</v>
      </c>
      <c r="K390" t="s">
        <v>33</v>
      </c>
      <c r="L390" t="s">
        <v>73</v>
      </c>
      <c r="M390" t="s">
        <v>1514</v>
      </c>
      <c r="N390" t="s">
        <v>46</v>
      </c>
      <c r="P390" t="s">
        <v>1646</v>
      </c>
      <c r="R390">
        <v>41619.75037037037</v>
      </c>
      <c r="S390">
        <v>42649.839479166665</v>
      </c>
      <c r="T390" t="s">
        <v>1529</v>
      </c>
      <c r="U390" t="s">
        <v>35</v>
      </c>
      <c r="V390" t="s">
        <v>35</v>
      </c>
      <c r="W390" t="s">
        <v>394</v>
      </c>
    </row>
    <row r="391" spans="2:23" x14ac:dyDescent="0.25">
      <c r="B391" s="19">
        <v>4522</v>
      </c>
      <c r="C391" s="2">
        <f>HYPERLINK(URLs!B36 &amp; 37471,37471)</f>
        <v>37471</v>
      </c>
      <c r="D391" t="s">
        <v>2001</v>
      </c>
      <c r="E391" t="s">
        <v>2002</v>
      </c>
      <c r="F391" t="s">
        <v>305</v>
      </c>
      <c r="G391" t="s">
        <v>304</v>
      </c>
      <c r="H391" t="s">
        <v>30</v>
      </c>
      <c r="I391" t="s">
        <v>35</v>
      </c>
      <c r="J391" t="s">
        <v>43</v>
      </c>
      <c r="K391" t="s">
        <v>33</v>
      </c>
      <c r="L391" t="s">
        <v>73</v>
      </c>
      <c r="M391" t="s">
        <v>1514</v>
      </c>
      <c r="N391" t="s">
        <v>46</v>
      </c>
      <c r="P391" t="s">
        <v>1646</v>
      </c>
      <c r="R391">
        <v>41616.924976851849</v>
      </c>
      <c r="S391">
        <v>42649.900590277779</v>
      </c>
      <c r="T391" t="s">
        <v>2</v>
      </c>
      <c r="U391" t="s">
        <v>35</v>
      </c>
      <c r="V391" t="s">
        <v>35</v>
      </c>
      <c r="W391" t="s">
        <v>4098</v>
      </c>
    </row>
    <row r="392" spans="2:23" x14ac:dyDescent="0.25">
      <c r="B392" s="19">
        <v>4526</v>
      </c>
      <c r="C392" s="2">
        <f>HYPERLINK(URLs!B36 &amp; 37576,37576)</f>
        <v>37576</v>
      </c>
      <c r="D392" t="s">
        <v>2010</v>
      </c>
      <c r="E392" t="s">
        <v>387</v>
      </c>
      <c r="F392" t="s">
        <v>305</v>
      </c>
      <c r="G392" t="s">
        <v>337</v>
      </c>
      <c r="H392" t="s">
        <v>30</v>
      </c>
      <c r="I392" t="s">
        <v>35</v>
      </c>
      <c r="J392" t="s">
        <v>43</v>
      </c>
      <c r="K392" t="s">
        <v>33</v>
      </c>
      <c r="L392" t="s">
        <v>73</v>
      </c>
      <c r="M392" t="s">
        <v>263</v>
      </c>
      <c r="N392" t="s">
        <v>46</v>
      </c>
      <c r="P392" t="s">
        <v>1749</v>
      </c>
      <c r="R392">
        <v>41618.617997685185</v>
      </c>
      <c r="S392">
        <v>42649.839722222219</v>
      </c>
      <c r="T392" t="s">
        <v>1529</v>
      </c>
      <c r="U392" t="s">
        <v>35</v>
      </c>
      <c r="V392" t="s">
        <v>35</v>
      </c>
      <c r="W392" t="s">
        <v>3039</v>
      </c>
    </row>
    <row r="393" spans="2:23" x14ac:dyDescent="0.25">
      <c r="B393" s="19">
        <v>4526</v>
      </c>
      <c r="C393" s="2">
        <f>HYPERLINK(URLs!B36 &amp; 37575,37575)</f>
        <v>37575</v>
      </c>
      <c r="D393" t="s">
        <v>2008</v>
      </c>
      <c r="E393" t="s">
        <v>387</v>
      </c>
      <c r="F393" t="s">
        <v>305</v>
      </c>
      <c r="G393" t="s">
        <v>304</v>
      </c>
      <c r="H393" t="s">
        <v>30</v>
      </c>
      <c r="I393" t="s">
        <v>68</v>
      </c>
      <c r="J393" t="s">
        <v>43</v>
      </c>
      <c r="K393" t="s">
        <v>33</v>
      </c>
      <c r="L393" t="s">
        <v>73</v>
      </c>
      <c r="M393" t="s">
        <v>263</v>
      </c>
      <c r="N393" t="s">
        <v>2009</v>
      </c>
      <c r="P393" t="s">
        <v>1749</v>
      </c>
      <c r="R393">
        <v>41618.617812500001</v>
      </c>
      <c r="S393">
        <v>42648.827835648146</v>
      </c>
      <c r="T393" t="s">
        <v>1529</v>
      </c>
      <c r="U393" t="s">
        <v>35</v>
      </c>
      <c r="V393" t="s">
        <v>35</v>
      </c>
      <c r="W393" t="s">
        <v>2552</v>
      </c>
    </row>
    <row r="394" spans="2:23" x14ac:dyDescent="0.25">
      <c r="B394" s="19">
        <v>4526</v>
      </c>
      <c r="C394" s="2">
        <f>HYPERLINK(URLs!B36 &amp; 37574,37574)</f>
        <v>37574</v>
      </c>
      <c r="D394" t="s">
        <v>2006</v>
      </c>
      <c r="E394" t="s">
        <v>387</v>
      </c>
      <c r="F394" t="s">
        <v>305</v>
      </c>
      <c r="G394" t="s">
        <v>304</v>
      </c>
      <c r="H394" t="s">
        <v>30</v>
      </c>
      <c r="I394" t="s">
        <v>35</v>
      </c>
      <c r="J394" t="s">
        <v>43</v>
      </c>
      <c r="K394" t="s">
        <v>33</v>
      </c>
      <c r="L394" t="s">
        <v>73</v>
      </c>
      <c r="M394" t="s">
        <v>263</v>
      </c>
      <c r="N394" t="s">
        <v>46</v>
      </c>
      <c r="O394" t="s">
        <v>2007</v>
      </c>
      <c r="P394" t="s">
        <v>1749</v>
      </c>
      <c r="R394">
        <v>41618.617673611108</v>
      </c>
      <c r="S394">
        <v>42648.828298611108</v>
      </c>
      <c r="T394" t="s">
        <v>1529</v>
      </c>
      <c r="U394" t="s">
        <v>35</v>
      </c>
      <c r="V394" t="s">
        <v>35</v>
      </c>
      <c r="W394" t="s">
        <v>4131</v>
      </c>
    </row>
    <row r="395" spans="2:23" x14ac:dyDescent="0.25">
      <c r="B395" s="19">
        <v>4526</v>
      </c>
      <c r="C395" s="2">
        <f>HYPERLINK(URLs!B36 &amp; 37573,37573)</f>
        <v>37573</v>
      </c>
      <c r="D395" t="s">
        <v>2005</v>
      </c>
      <c r="E395" t="s">
        <v>387</v>
      </c>
      <c r="F395" t="s">
        <v>305</v>
      </c>
      <c r="G395" t="s">
        <v>304</v>
      </c>
      <c r="H395" t="s">
        <v>30</v>
      </c>
      <c r="I395" t="s">
        <v>35</v>
      </c>
      <c r="J395" t="s">
        <v>43</v>
      </c>
      <c r="K395" t="s">
        <v>33</v>
      </c>
      <c r="L395" t="s">
        <v>73</v>
      </c>
      <c r="M395" t="s">
        <v>263</v>
      </c>
      <c r="N395" t="s">
        <v>46</v>
      </c>
      <c r="P395" t="s">
        <v>1749</v>
      </c>
      <c r="R395">
        <v>41618.617569444446</v>
      </c>
      <c r="S395">
        <v>42648.827291666668</v>
      </c>
      <c r="T395" t="s">
        <v>1529</v>
      </c>
      <c r="U395" t="s">
        <v>35</v>
      </c>
      <c r="V395" t="s">
        <v>35</v>
      </c>
      <c r="W395" t="s">
        <v>4130</v>
      </c>
    </row>
    <row r="396" spans="2:23" x14ac:dyDescent="0.25">
      <c r="B396" s="19">
        <v>4526</v>
      </c>
      <c r="C396" s="2">
        <f>HYPERLINK(URLs!B36 &amp; 37545,37545)</f>
        <v>37545</v>
      </c>
      <c r="D396" t="s">
        <v>2004</v>
      </c>
      <c r="E396" t="s">
        <v>387</v>
      </c>
      <c r="F396" t="s">
        <v>305</v>
      </c>
      <c r="G396" t="s">
        <v>304</v>
      </c>
      <c r="H396" t="s">
        <v>30</v>
      </c>
      <c r="I396" t="s">
        <v>35</v>
      </c>
      <c r="J396" t="s">
        <v>43</v>
      </c>
      <c r="K396" t="s">
        <v>33</v>
      </c>
      <c r="L396" t="s">
        <v>73</v>
      </c>
      <c r="M396" t="s">
        <v>263</v>
      </c>
      <c r="N396" t="s">
        <v>46</v>
      </c>
      <c r="P396" t="s">
        <v>1749</v>
      </c>
      <c r="R396">
        <v>41617.963020833333</v>
      </c>
      <c r="S396">
        <v>41816.554178240738</v>
      </c>
      <c r="T396" t="s">
        <v>1700</v>
      </c>
      <c r="U396" t="s">
        <v>35</v>
      </c>
      <c r="V396" t="s">
        <v>35</v>
      </c>
      <c r="W396" t="s">
        <v>4098</v>
      </c>
    </row>
    <row r="397" spans="2:23" x14ac:dyDescent="0.25">
      <c r="B397" s="19">
        <v>4544</v>
      </c>
      <c r="C397" s="2">
        <f>HYPERLINK(URLs!B36 &amp; 37754,37754)</f>
        <v>37754</v>
      </c>
      <c r="D397" t="s">
        <v>2021</v>
      </c>
      <c r="E397" t="s">
        <v>387</v>
      </c>
      <c r="F397" t="s">
        <v>305</v>
      </c>
      <c r="G397" t="s">
        <v>310</v>
      </c>
      <c r="H397" t="s">
        <v>30</v>
      </c>
      <c r="I397" t="s">
        <v>35</v>
      </c>
      <c r="J397" t="s">
        <v>43</v>
      </c>
      <c r="K397" t="s">
        <v>33</v>
      </c>
      <c r="L397" t="s">
        <v>73</v>
      </c>
      <c r="M397" t="s">
        <v>263</v>
      </c>
      <c r="N397" t="s">
        <v>46</v>
      </c>
      <c r="P397" t="s">
        <v>1749</v>
      </c>
      <c r="R397">
        <v>41622.567962962959</v>
      </c>
      <c r="S397">
        <v>42649.839409722219</v>
      </c>
      <c r="T397" t="s">
        <v>1529</v>
      </c>
      <c r="U397" t="s">
        <v>35</v>
      </c>
      <c r="V397" t="s">
        <v>35</v>
      </c>
      <c r="W397" t="s">
        <v>3039</v>
      </c>
    </row>
    <row r="398" spans="2:23" x14ac:dyDescent="0.25">
      <c r="B398" s="19">
        <v>4544</v>
      </c>
      <c r="C398" s="2">
        <f>HYPERLINK(URLs!B36 &amp; 37753,37753)</f>
        <v>37753</v>
      </c>
      <c r="D398" t="s">
        <v>2020</v>
      </c>
      <c r="E398" t="s">
        <v>387</v>
      </c>
      <c r="F398" t="s">
        <v>305</v>
      </c>
      <c r="G398" t="s">
        <v>310</v>
      </c>
      <c r="H398" t="s">
        <v>30</v>
      </c>
      <c r="I398" t="s">
        <v>68</v>
      </c>
      <c r="J398" t="s">
        <v>43</v>
      </c>
      <c r="K398" t="s">
        <v>33</v>
      </c>
      <c r="L398" t="s">
        <v>73</v>
      </c>
      <c r="M398" t="s">
        <v>263</v>
      </c>
      <c r="N398" t="s">
        <v>46</v>
      </c>
      <c r="P398" t="s">
        <v>1749</v>
      </c>
      <c r="R398">
        <v>41622.567835648151</v>
      </c>
      <c r="S398">
        <v>42649.839444444442</v>
      </c>
      <c r="T398" t="s">
        <v>1529</v>
      </c>
      <c r="U398" t="s">
        <v>35</v>
      </c>
      <c r="V398" t="s">
        <v>35</v>
      </c>
      <c r="W398" t="s">
        <v>2552</v>
      </c>
    </row>
    <row r="399" spans="2:23" x14ac:dyDescent="0.25">
      <c r="B399" s="19">
        <v>4544</v>
      </c>
      <c r="C399" s="2">
        <f>HYPERLINK(URLs!B36 &amp; 37752,37752)</f>
        <v>37752</v>
      </c>
      <c r="D399" t="s">
        <v>2019</v>
      </c>
      <c r="E399" t="s">
        <v>387</v>
      </c>
      <c r="F399" t="s">
        <v>305</v>
      </c>
      <c r="G399" t="s">
        <v>310</v>
      </c>
      <c r="H399" t="s">
        <v>30</v>
      </c>
      <c r="I399" t="s">
        <v>35</v>
      </c>
      <c r="J399" t="s">
        <v>43</v>
      </c>
      <c r="K399" t="s">
        <v>33</v>
      </c>
      <c r="L399" t="s">
        <v>73</v>
      </c>
      <c r="M399" t="s">
        <v>263</v>
      </c>
      <c r="N399" t="s">
        <v>46</v>
      </c>
      <c r="P399" t="s">
        <v>1749</v>
      </c>
      <c r="R399">
        <v>41622.567743055559</v>
      </c>
      <c r="S399">
        <v>42649.839930555558</v>
      </c>
      <c r="T399" t="s">
        <v>1529</v>
      </c>
      <c r="U399" t="s">
        <v>35</v>
      </c>
      <c r="V399" t="s">
        <v>35</v>
      </c>
      <c r="W399" t="s">
        <v>4132</v>
      </c>
    </row>
    <row r="400" spans="2:23" x14ac:dyDescent="0.25">
      <c r="B400" s="19">
        <v>4544</v>
      </c>
      <c r="C400" s="2">
        <f>HYPERLINK(URLs!B36 &amp; 37751,37751)</f>
        <v>37751</v>
      </c>
      <c r="D400" t="s">
        <v>2018</v>
      </c>
      <c r="E400" t="s">
        <v>387</v>
      </c>
      <c r="F400" t="s">
        <v>305</v>
      </c>
      <c r="G400" t="s">
        <v>310</v>
      </c>
      <c r="H400" t="s">
        <v>30</v>
      </c>
      <c r="I400" t="s">
        <v>35</v>
      </c>
      <c r="J400" t="s">
        <v>43</v>
      </c>
      <c r="K400" t="s">
        <v>33</v>
      </c>
      <c r="L400" t="s">
        <v>73</v>
      </c>
      <c r="M400" t="s">
        <v>263</v>
      </c>
      <c r="N400" t="s">
        <v>46</v>
      </c>
      <c r="P400" t="s">
        <v>1749</v>
      </c>
      <c r="R400">
        <v>41622.567604166667</v>
      </c>
      <c r="S400">
        <v>42649.839409722219</v>
      </c>
      <c r="T400" t="s">
        <v>1529</v>
      </c>
      <c r="U400" t="s">
        <v>35</v>
      </c>
      <c r="V400" t="s">
        <v>35</v>
      </c>
      <c r="W400" t="s">
        <v>394</v>
      </c>
    </row>
    <row r="401" spans="2:23" x14ac:dyDescent="0.25">
      <c r="B401" s="19">
        <v>4544</v>
      </c>
      <c r="C401" s="2">
        <f>HYPERLINK(URLs!B36 &amp; 37742,37742)</f>
        <v>37742</v>
      </c>
      <c r="D401" t="s">
        <v>2017</v>
      </c>
      <c r="E401" t="s">
        <v>387</v>
      </c>
      <c r="F401" t="s">
        <v>305</v>
      </c>
      <c r="G401" t="s">
        <v>328</v>
      </c>
      <c r="H401" t="s">
        <v>30</v>
      </c>
      <c r="I401" t="s">
        <v>35</v>
      </c>
      <c r="J401" t="s">
        <v>43</v>
      </c>
      <c r="K401" t="s">
        <v>33</v>
      </c>
      <c r="L401" t="s">
        <v>73</v>
      </c>
      <c r="M401" t="s">
        <v>263</v>
      </c>
      <c r="N401" t="s">
        <v>46</v>
      </c>
      <c r="P401" t="s">
        <v>1749</v>
      </c>
      <c r="R401">
        <v>41621.965405092589</v>
      </c>
      <c r="S401">
        <v>42649.83934027778</v>
      </c>
      <c r="T401" t="s">
        <v>1700</v>
      </c>
      <c r="U401" t="s">
        <v>35</v>
      </c>
      <c r="V401" t="s">
        <v>35</v>
      </c>
      <c r="W401" t="s">
        <v>4098</v>
      </c>
    </row>
    <row r="402" spans="2:23" x14ac:dyDescent="0.25">
      <c r="B402" s="19">
        <v>4557</v>
      </c>
      <c r="C402" s="2">
        <f>HYPERLINK(URLs!B36 &amp; 37921,37921)</f>
        <v>37921</v>
      </c>
      <c r="D402" t="s">
        <v>2033</v>
      </c>
      <c r="E402" t="s">
        <v>387</v>
      </c>
      <c r="F402" t="s">
        <v>305</v>
      </c>
      <c r="G402" t="s">
        <v>337</v>
      </c>
      <c r="H402" t="s">
        <v>30</v>
      </c>
      <c r="I402" t="s">
        <v>35</v>
      </c>
      <c r="J402" t="s">
        <v>43</v>
      </c>
      <c r="K402" t="s">
        <v>33</v>
      </c>
      <c r="L402" t="s">
        <v>96</v>
      </c>
      <c r="M402" t="s">
        <v>269</v>
      </c>
      <c r="N402" t="s">
        <v>46</v>
      </c>
      <c r="P402" t="s">
        <v>1749</v>
      </c>
      <c r="R402">
        <v>41628.535891203705</v>
      </c>
      <c r="S402">
        <v>42649.83971064815</v>
      </c>
      <c r="T402" t="s">
        <v>1529</v>
      </c>
      <c r="U402" t="s">
        <v>35</v>
      </c>
      <c r="V402" t="s">
        <v>35</v>
      </c>
      <c r="W402" t="s">
        <v>3039</v>
      </c>
    </row>
    <row r="403" spans="2:23" x14ac:dyDescent="0.25">
      <c r="B403" s="19">
        <v>4557</v>
      </c>
      <c r="C403" s="2">
        <f>HYPERLINK(URLs!B36 &amp; 37920,37920)</f>
        <v>37920</v>
      </c>
      <c r="D403" t="s">
        <v>2031</v>
      </c>
      <c r="E403" t="s">
        <v>2027</v>
      </c>
      <c r="F403" t="s">
        <v>305</v>
      </c>
      <c r="G403" t="s">
        <v>304</v>
      </c>
      <c r="H403" t="s">
        <v>30</v>
      </c>
      <c r="I403" t="s">
        <v>68</v>
      </c>
      <c r="J403" t="s">
        <v>43</v>
      </c>
      <c r="K403" t="s">
        <v>33</v>
      </c>
      <c r="L403" t="s">
        <v>96</v>
      </c>
      <c r="M403" t="s">
        <v>269</v>
      </c>
      <c r="N403" t="s">
        <v>2032</v>
      </c>
      <c r="P403" t="s">
        <v>1749</v>
      </c>
      <c r="R403">
        <v>41628.535717592589</v>
      </c>
      <c r="S403">
        <v>42648.827939814815</v>
      </c>
      <c r="T403" t="s">
        <v>1529</v>
      </c>
      <c r="U403" t="s">
        <v>35</v>
      </c>
      <c r="V403" t="s">
        <v>35</v>
      </c>
      <c r="W403" t="s">
        <v>2552</v>
      </c>
    </row>
    <row r="404" spans="2:23" x14ac:dyDescent="0.25">
      <c r="B404" s="19">
        <v>4557</v>
      </c>
      <c r="C404" s="2">
        <f>HYPERLINK(URLs!B36 &amp; 37919,37919)</f>
        <v>37919</v>
      </c>
      <c r="D404" t="s">
        <v>2030</v>
      </c>
      <c r="E404" t="s">
        <v>291</v>
      </c>
      <c r="F404" t="s">
        <v>305</v>
      </c>
      <c r="G404" t="s">
        <v>337</v>
      </c>
      <c r="H404" t="s">
        <v>30</v>
      </c>
      <c r="I404" t="s">
        <v>35</v>
      </c>
      <c r="J404" t="s">
        <v>43</v>
      </c>
      <c r="K404" t="s">
        <v>33</v>
      </c>
      <c r="L404" t="s">
        <v>96</v>
      </c>
      <c r="M404" t="s">
        <v>269</v>
      </c>
      <c r="N404" t="s">
        <v>46</v>
      </c>
      <c r="P404" t="s">
        <v>1749</v>
      </c>
      <c r="R404">
        <v>41628.535567129627</v>
      </c>
      <c r="S404">
        <v>42649.839953703704</v>
      </c>
      <c r="T404" t="s">
        <v>1529</v>
      </c>
      <c r="U404" t="s">
        <v>35</v>
      </c>
      <c r="V404" t="s">
        <v>35</v>
      </c>
      <c r="W404" t="s">
        <v>4132</v>
      </c>
    </row>
    <row r="405" spans="2:23" x14ac:dyDescent="0.25">
      <c r="B405" s="19">
        <v>4557</v>
      </c>
      <c r="C405" s="2">
        <f>HYPERLINK(URLs!B36 &amp; 37918,37918)</f>
        <v>37918</v>
      </c>
      <c r="D405" t="s">
        <v>2029</v>
      </c>
      <c r="E405" t="s">
        <v>387</v>
      </c>
      <c r="F405" t="s">
        <v>305</v>
      </c>
      <c r="G405" t="s">
        <v>310</v>
      </c>
      <c r="H405" t="s">
        <v>30</v>
      </c>
      <c r="I405" t="s">
        <v>35</v>
      </c>
      <c r="J405" t="s">
        <v>43</v>
      </c>
      <c r="K405" t="s">
        <v>33</v>
      </c>
      <c r="L405" t="s">
        <v>96</v>
      </c>
      <c r="M405" t="s">
        <v>269</v>
      </c>
      <c r="N405" t="s">
        <v>46</v>
      </c>
      <c r="P405" t="s">
        <v>1749</v>
      </c>
      <c r="R405">
        <v>41628.535381944443</v>
      </c>
      <c r="S405">
        <v>42649.839814814812</v>
      </c>
      <c r="T405" t="s">
        <v>1529</v>
      </c>
      <c r="U405" t="s">
        <v>35</v>
      </c>
      <c r="V405" t="s">
        <v>35</v>
      </c>
      <c r="W405" t="s">
        <v>394</v>
      </c>
    </row>
    <row r="406" spans="2:23" x14ac:dyDescent="0.25">
      <c r="B406" s="19">
        <v>4557</v>
      </c>
      <c r="C406" s="2">
        <f>HYPERLINK(URLs!B36 &amp; 37900,37900)</f>
        <v>37900</v>
      </c>
      <c r="D406" t="s">
        <v>2026</v>
      </c>
      <c r="E406" t="s">
        <v>2027</v>
      </c>
      <c r="F406" t="s">
        <v>305</v>
      </c>
      <c r="G406" t="s">
        <v>304</v>
      </c>
      <c r="H406" t="s">
        <v>30</v>
      </c>
      <c r="I406" t="s">
        <v>35</v>
      </c>
      <c r="J406" t="s">
        <v>43</v>
      </c>
      <c r="K406" t="s">
        <v>2028</v>
      </c>
      <c r="L406" t="s">
        <v>96</v>
      </c>
      <c r="M406" t="s">
        <v>269</v>
      </c>
      <c r="N406" t="s">
        <v>46</v>
      </c>
      <c r="P406" t="s">
        <v>1749</v>
      </c>
      <c r="R406">
        <v>41628.290486111109</v>
      </c>
      <c r="S406">
        <v>42649.839594907404</v>
      </c>
      <c r="T406" t="s">
        <v>1640</v>
      </c>
      <c r="U406" t="s">
        <v>35</v>
      </c>
      <c r="V406" t="s">
        <v>35</v>
      </c>
      <c r="W406" t="s">
        <v>4098</v>
      </c>
    </row>
    <row r="407" spans="2:23" x14ac:dyDescent="0.25">
      <c r="B407" s="19">
        <v>4568</v>
      </c>
      <c r="C407" s="2">
        <f>HYPERLINK(URLs!B36 &amp; 48891,48891)</f>
        <v>48891</v>
      </c>
      <c r="D407" t="s">
        <v>2191</v>
      </c>
      <c r="E407" t="s">
        <v>1827</v>
      </c>
      <c r="F407" t="s">
        <v>305</v>
      </c>
      <c r="G407" t="s">
        <v>304</v>
      </c>
      <c r="H407" t="s">
        <v>30</v>
      </c>
      <c r="I407" t="s">
        <v>57</v>
      </c>
      <c r="J407" t="s">
        <v>58</v>
      </c>
      <c r="K407" t="s">
        <v>33</v>
      </c>
      <c r="L407" t="s">
        <v>34</v>
      </c>
      <c r="M407" t="s">
        <v>2192</v>
      </c>
      <c r="N407" t="s">
        <v>46</v>
      </c>
      <c r="P407" t="s">
        <v>1646</v>
      </c>
      <c r="R407">
        <v>41871.647974537038</v>
      </c>
      <c r="S407">
        <v>42116.902766203704</v>
      </c>
      <c r="T407" t="s">
        <v>2189</v>
      </c>
      <c r="U407" t="s">
        <v>35</v>
      </c>
      <c r="V407" t="s">
        <v>35</v>
      </c>
      <c r="W407" t="s">
        <v>4112</v>
      </c>
    </row>
    <row r="408" spans="2:23" x14ac:dyDescent="0.25">
      <c r="B408" s="19">
        <v>4568</v>
      </c>
      <c r="C408" s="2">
        <f>HYPERLINK(URLs!B36 &amp; 48748,48748)</f>
        <v>48748</v>
      </c>
      <c r="D408" t="s">
        <v>2190</v>
      </c>
      <c r="E408" t="s">
        <v>2189</v>
      </c>
      <c r="F408" t="s">
        <v>305</v>
      </c>
      <c r="G408" t="s">
        <v>337</v>
      </c>
      <c r="H408" t="s">
        <v>30</v>
      </c>
      <c r="I408" t="s">
        <v>57</v>
      </c>
      <c r="J408" t="s">
        <v>58</v>
      </c>
      <c r="K408" t="s">
        <v>33</v>
      </c>
      <c r="L408" t="s">
        <v>34</v>
      </c>
      <c r="M408" t="s">
        <v>2036</v>
      </c>
      <c r="N408" t="s">
        <v>46</v>
      </c>
      <c r="P408" t="s">
        <v>1646</v>
      </c>
      <c r="R408">
        <v>41869.599641203706</v>
      </c>
      <c r="S408">
        <v>42045.713726851849</v>
      </c>
      <c r="T408" t="s">
        <v>2189</v>
      </c>
      <c r="U408" t="s">
        <v>35</v>
      </c>
      <c r="V408" t="s">
        <v>35</v>
      </c>
      <c r="W408" t="s">
        <v>4132</v>
      </c>
    </row>
    <row r="409" spans="2:23" x14ac:dyDescent="0.25">
      <c r="B409" s="19">
        <v>4568</v>
      </c>
      <c r="C409" s="2">
        <f>HYPERLINK(URLs!B36 &amp; 48747,48747)</f>
        <v>48747</v>
      </c>
      <c r="D409" t="s">
        <v>2188</v>
      </c>
      <c r="E409" t="s">
        <v>2189</v>
      </c>
      <c r="F409" t="s">
        <v>305</v>
      </c>
      <c r="G409" t="s">
        <v>337</v>
      </c>
      <c r="H409" t="s">
        <v>30</v>
      </c>
      <c r="I409" t="s">
        <v>57</v>
      </c>
      <c r="J409" t="s">
        <v>58</v>
      </c>
      <c r="K409" t="s">
        <v>33</v>
      </c>
      <c r="L409" t="s">
        <v>34</v>
      </c>
      <c r="M409" t="s">
        <v>2036</v>
      </c>
      <c r="N409" t="s">
        <v>46</v>
      </c>
      <c r="P409" t="s">
        <v>1646</v>
      </c>
      <c r="R409">
        <v>41869.599444444444</v>
      </c>
      <c r="S409">
        <v>42045.713495370372</v>
      </c>
      <c r="T409" t="s">
        <v>2189</v>
      </c>
      <c r="U409" t="s">
        <v>35</v>
      </c>
      <c r="V409" t="s">
        <v>35</v>
      </c>
      <c r="W409" t="s">
        <v>3039</v>
      </c>
    </row>
    <row r="410" spans="2:23" x14ac:dyDescent="0.25">
      <c r="B410" s="19">
        <v>4568</v>
      </c>
      <c r="C410" s="2">
        <f>HYPERLINK(URLs!B36 &amp; 38073,38073)</f>
        <v>38073</v>
      </c>
      <c r="D410" t="s">
        <v>2035</v>
      </c>
      <c r="E410" t="s">
        <v>1913</v>
      </c>
      <c r="F410" t="s">
        <v>305</v>
      </c>
      <c r="G410" t="s">
        <v>304</v>
      </c>
      <c r="H410" t="s">
        <v>30</v>
      </c>
      <c r="I410" t="s">
        <v>57</v>
      </c>
      <c r="J410" t="s">
        <v>58</v>
      </c>
      <c r="K410" t="s">
        <v>33</v>
      </c>
      <c r="L410" t="s">
        <v>34</v>
      </c>
      <c r="M410" t="s">
        <v>2036</v>
      </c>
      <c r="N410" t="s">
        <v>46</v>
      </c>
      <c r="P410" t="s">
        <v>1646</v>
      </c>
      <c r="Q410" t="s">
        <v>2037</v>
      </c>
      <c r="R410">
        <v>41646.735995370371</v>
      </c>
      <c r="S410">
        <v>42058.624039351853</v>
      </c>
      <c r="T410" t="s">
        <v>2</v>
      </c>
      <c r="U410" t="s">
        <v>35</v>
      </c>
      <c r="V410" t="s">
        <v>35</v>
      </c>
      <c r="W410" t="s">
        <v>4098</v>
      </c>
    </row>
    <row r="411" spans="2:23" x14ac:dyDescent="0.25">
      <c r="B411" s="19">
        <v>4584</v>
      </c>
      <c r="C411" s="2">
        <f>HYPERLINK(URLs!B36 &amp; 38331,38331)</f>
        <v>38331</v>
      </c>
      <c r="D411" t="s">
        <v>2043</v>
      </c>
      <c r="E411" t="s">
        <v>387</v>
      </c>
      <c r="F411" t="s">
        <v>305</v>
      </c>
      <c r="G411" t="s">
        <v>310</v>
      </c>
      <c r="H411" t="s">
        <v>30</v>
      </c>
      <c r="I411" t="s">
        <v>35</v>
      </c>
      <c r="J411" t="s">
        <v>32</v>
      </c>
      <c r="K411" t="s">
        <v>51</v>
      </c>
      <c r="L411" t="s">
        <v>73</v>
      </c>
      <c r="M411" t="s">
        <v>263</v>
      </c>
      <c r="N411" t="s">
        <v>46</v>
      </c>
      <c r="P411" t="s">
        <v>1749</v>
      </c>
      <c r="R411">
        <v>41654.998923611114</v>
      </c>
      <c r="S411">
        <v>42649.839120370372</v>
      </c>
      <c r="T411" t="s">
        <v>1529</v>
      </c>
      <c r="U411" t="s">
        <v>35</v>
      </c>
      <c r="V411" t="s">
        <v>35</v>
      </c>
      <c r="W411" t="s">
        <v>3039</v>
      </c>
    </row>
    <row r="412" spans="2:23" x14ac:dyDescent="0.25">
      <c r="B412" s="19">
        <v>4584</v>
      </c>
      <c r="C412" s="2">
        <f>HYPERLINK(URLs!B36 &amp; 38330,38330)</f>
        <v>38330</v>
      </c>
      <c r="D412" t="s">
        <v>2042</v>
      </c>
      <c r="E412" t="s">
        <v>387</v>
      </c>
      <c r="F412" t="s">
        <v>305</v>
      </c>
      <c r="G412" t="s">
        <v>310</v>
      </c>
      <c r="H412" t="s">
        <v>30</v>
      </c>
      <c r="I412" t="s">
        <v>35</v>
      </c>
      <c r="J412" t="s">
        <v>32</v>
      </c>
      <c r="K412" t="s">
        <v>51</v>
      </c>
      <c r="L412" t="s">
        <v>73</v>
      </c>
      <c r="M412" t="s">
        <v>263</v>
      </c>
      <c r="N412" t="s">
        <v>46</v>
      </c>
      <c r="P412" t="s">
        <v>1749</v>
      </c>
      <c r="R412">
        <v>41654.998796296299</v>
      </c>
      <c r="S412">
        <v>42649.839305555557</v>
      </c>
      <c r="T412" t="s">
        <v>1529</v>
      </c>
      <c r="U412" t="s">
        <v>35</v>
      </c>
      <c r="V412" t="s">
        <v>35</v>
      </c>
      <c r="W412" t="s">
        <v>4132</v>
      </c>
    </row>
    <row r="413" spans="2:23" x14ac:dyDescent="0.25">
      <c r="B413" s="19">
        <v>4584</v>
      </c>
      <c r="C413" s="2">
        <f>HYPERLINK(URLs!B36 &amp; 38329,38329)</f>
        <v>38329</v>
      </c>
      <c r="D413" t="s">
        <v>2041</v>
      </c>
      <c r="E413" t="s">
        <v>387</v>
      </c>
      <c r="F413" t="s">
        <v>305</v>
      </c>
      <c r="G413" t="s">
        <v>310</v>
      </c>
      <c r="H413" t="s">
        <v>30</v>
      </c>
      <c r="I413" t="s">
        <v>31</v>
      </c>
      <c r="J413" t="s">
        <v>32</v>
      </c>
      <c r="K413" t="s">
        <v>51</v>
      </c>
      <c r="L413" t="s">
        <v>73</v>
      </c>
      <c r="M413" t="s">
        <v>263</v>
      </c>
      <c r="N413" t="s">
        <v>46</v>
      </c>
      <c r="P413" t="s">
        <v>1749</v>
      </c>
      <c r="R413">
        <v>41654.99858796296</v>
      </c>
      <c r="S413">
        <v>42649.839456018519</v>
      </c>
      <c r="T413" t="s">
        <v>1529</v>
      </c>
      <c r="U413" t="s">
        <v>35</v>
      </c>
      <c r="V413" t="s">
        <v>35</v>
      </c>
      <c r="W413" t="s">
        <v>2552</v>
      </c>
    </row>
    <row r="414" spans="2:23" x14ac:dyDescent="0.25">
      <c r="B414" s="19">
        <v>4584</v>
      </c>
      <c r="C414" s="2">
        <f>HYPERLINK(URLs!B36 &amp; 38328,38328)</f>
        <v>38328</v>
      </c>
      <c r="D414" t="s">
        <v>2040</v>
      </c>
      <c r="E414" t="s">
        <v>387</v>
      </c>
      <c r="F414" t="s">
        <v>305</v>
      </c>
      <c r="G414" t="s">
        <v>310</v>
      </c>
      <c r="H414" t="s">
        <v>30</v>
      </c>
      <c r="I414" t="s">
        <v>35</v>
      </c>
      <c r="J414" t="s">
        <v>32</v>
      </c>
      <c r="K414" t="s">
        <v>51</v>
      </c>
      <c r="L414" t="s">
        <v>73</v>
      </c>
      <c r="M414" t="s">
        <v>263</v>
      </c>
      <c r="N414" t="s">
        <v>46</v>
      </c>
      <c r="P414" t="s">
        <v>1749</v>
      </c>
      <c r="R414">
        <v>41654.99827546296</v>
      </c>
      <c r="S414">
        <v>42649.83929398148</v>
      </c>
      <c r="T414" t="s">
        <v>1529</v>
      </c>
      <c r="U414" t="s">
        <v>35</v>
      </c>
      <c r="V414" t="s">
        <v>35</v>
      </c>
      <c r="W414" t="s">
        <v>394</v>
      </c>
    </row>
    <row r="415" spans="2:23" x14ac:dyDescent="0.25">
      <c r="B415" s="19">
        <v>4584</v>
      </c>
      <c r="C415" s="2">
        <f>HYPERLINK(URLs!B36 &amp; 38327,38327)</f>
        <v>38327</v>
      </c>
      <c r="D415" t="s">
        <v>2039</v>
      </c>
      <c r="E415" t="s">
        <v>387</v>
      </c>
      <c r="F415" t="s">
        <v>305</v>
      </c>
      <c r="G415" t="s">
        <v>353</v>
      </c>
      <c r="H415" t="s">
        <v>30</v>
      </c>
      <c r="I415" t="s">
        <v>35</v>
      </c>
      <c r="J415" t="s">
        <v>32</v>
      </c>
      <c r="K415" t="s">
        <v>51</v>
      </c>
      <c r="L415" t="s">
        <v>73</v>
      </c>
      <c r="M415" t="s">
        <v>263</v>
      </c>
      <c r="N415" t="s">
        <v>46</v>
      </c>
      <c r="P415" t="s">
        <v>1749</v>
      </c>
      <c r="R415">
        <v>41654.93167824074</v>
      </c>
      <c r="S415">
        <v>42649.83902777778</v>
      </c>
      <c r="T415" t="s">
        <v>1</v>
      </c>
      <c r="U415" t="s">
        <v>35</v>
      </c>
      <c r="V415" t="s">
        <v>35</v>
      </c>
      <c r="W415" t="s">
        <v>4098</v>
      </c>
    </row>
    <row r="416" spans="2:23" x14ac:dyDescent="0.25">
      <c r="B416" s="19">
        <v>4628</v>
      </c>
      <c r="C416" s="2">
        <f>HYPERLINK(URLs!B36 &amp; 41690,41690)</f>
        <v>41690</v>
      </c>
      <c r="D416" t="s">
        <v>2101</v>
      </c>
      <c r="E416" t="s">
        <v>1945</v>
      </c>
      <c r="F416" t="s">
        <v>305</v>
      </c>
      <c r="G416" t="s">
        <v>304</v>
      </c>
      <c r="H416" t="s">
        <v>30</v>
      </c>
      <c r="I416" t="s">
        <v>68</v>
      </c>
      <c r="J416" t="s">
        <v>43</v>
      </c>
      <c r="K416" t="s">
        <v>33</v>
      </c>
      <c r="L416" t="s">
        <v>34</v>
      </c>
      <c r="M416" t="s">
        <v>2056</v>
      </c>
      <c r="N416" t="s">
        <v>1998</v>
      </c>
      <c r="P416" t="s">
        <v>1749</v>
      </c>
      <c r="R416">
        <v>41737.425567129627</v>
      </c>
      <c r="S416">
        <v>42116.901782407411</v>
      </c>
      <c r="T416" t="s">
        <v>119</v>
      </c>
      <c r="U416" t="s">
        <v>35</v>
      </c>
      <c r="V416" t="s">
        <v>35</v>
      </c>
      <c r="W416" t="s">
        <v>4112</v>
      </c>
    </row>
    <row r="417" spans="2:23" x14ac:dyDescent="0.25">
      <c r="B417" s="19">
        <v>4628</v>
      </c>
      <c r="C417" s="2">
        <f>HYPERLINK(URLs!B36 &amp; 41689,41689)</f>
        <v>41689</v>
      </c>
      <c r="D417" t="s">
        <v>2100</v>
      </c>
      <c r="E417" t="s">
        <v>119</v>
      </c>
      <c r="F417" t="s">
        <v>305</v>
      </c>
      <c r="G417" t="s">
        <v>304</v>
      </c>
      <c r="H417" t="s">
        <v>30</v>
      </c>
      <c r="I417" t="s">
        <v>68</v>
      </c>
      <c r="J417" t="s">
        <v>43</v>
      </c>
      <c r="K417" t="s">
        <v>33</v>
      </c>
      <c r="L417" t="s">
        <v>34</v>
      </c>
      <c r="M417" t="s">
        <v>2056</v>
      </c>
      <c r="N417" t="s">
        <v>46</v>
      </c>
      <c r="P417" t="s">
        <v>1749</v>
      </c>
      <c r="Q417" t="s">
        <v>1826</v>
      </c>
      <c r="R417">
        <v>41737.414259259262</v>
      </c>
      <c r="S417">
        <v>42642.757824074077</v>
      </c>
      <c r="T417" t="s">
        <v>119</v>
      </c>
      <c r="U417" t="s">
        <v>35</v>
      </c>
      <c r="V417" t="s">
        <v>35</v>
      </c>
      <c r="W417" t="s">
        <v>4098</v>
      </c>
    </row>
    <row r="418" spans="2:23" x14ac:dyDescent="0.25">
      <c r="B418" s="19">
        <v>4628</v>
      </c>
      <c r="C418" s="2">
        <f>HYPERLINK(URLs!B36 &amp; 38663,38663)</f>
        <v>38663</v>
      </c>
      <c r="D418" t="s">
        <v>2055</v>
      </c>
      <c r="E418" t="s">
        <v>1945</v>
      </c>
      <c r="F418" t="s">
        <v>305</v>
      </c>
      <c r="G418" t="s">
        <v>304</v>
      </c>
      <c r="H418" t="s">
        <v>30</v>
      </c>
      <c r="I418" t="s">
        <v>68</v>
      </c>
      <c r="J418" t="s">
        <v>43</v>
      </c>
      <c r="K418" t="s">
        <v>33</v>
      </c>
      <c r="L418" t="s">
        <v>34</v>
      </c>
      <c r="M418" t="s">
        <v>2056</v>
      </c>
      <c r="N418" t="s">
        <v>46</v>
      </c>
      <c r="O418" t="s">
        <v>2057</v>
      </c>
      <c r="P418" t="s">
        <v>1749</v>
      </c>
      <c r="R418">
        <v>41668.867812500001</v>
      </c>
      <c r="S418">
        <v>42039.768229166664</v>
      </c>
      <c r="T418" t="s">
        <v>39</v>
      </c>
      <c r="U418" t="s">
        <v>35</v>
      </c>
      <c r="V418" t="s">
        <v>35</v>
      </c>
      <c r="W418" t="s">
        <v>4131</v>
      </c>
    </row>
    <row r="419" spans="2:23" x14ac:dyDescent="0.25">
      <c r="B419" s="19">
        <v>4640</v>
      </c>
      <c r="C419" s="2">
        <f>HYPERLINK(URLs!B36 &amp; 38973,38973)</f>
        <v>38973</v>
      </c>
      <c r="D419" t="s">
        <v>3813</v>
      </c>
      <c r="E419" t="s">
        <v>39</v>
      </c>
      <c r="F419" t="s">
        <v>305</v>
      </c>
      <c r="G419" t="s">
        <v>304</v>
      </c>
      <c r="H419" t="s">
        <v>30</v>
      </c>
      <c r="I419" t="s">
        <v>68</v>
      </c>
      <c r="J419" t="s">
        <v>43</v>
      </c>
      <c r="K419" t="s">
        <v>33</v>
      </c>
      <c r="L419" t="s">
        <v>34</v>
      </c>
      <c r="M419" t="s">
        <v>368</v>
      </c>
      <c r="N419" t="s">
        <v>46</v>
      </c>
      <c r="O419" t="s">
        <v>2129</v>
      </c>
      <c r="P419" t="s">
        <v>1530</v>
      </c>
      <c r="R419">
        <v>41680.951157407406</v>
      </c>
      <c r="S419">
        <v>42113.12327546296</v>
      </c>
      <c r="T419" t="s">
        <v>39</v>
      </c>
      <c r="U419" t="s">
        <v>35</v>
      </c>
      <c r="V419" t="s">
        <v>35</v>
      </c>
      <c r="W419" t="s">
        <v>4112</v>
      </c>
    </row>
    <row r="420" spans="2:23" x14ac:dyDescent="0.25">
      <c r="B420" s="19">
        <v>4650</v>
      </c>
      <c r="C420" s="2">
        <f>HYPERLINK(URLs!B36 &amp; 39802,39802)</f>
        <v>39802</v>
      </c>
      <c r="D420" t="s">
        <v>3821</v>
      </c>
      <c r="E420" t="s">
        <v>1933</v>
      </c>
      <c r="F420" t="s">
        <v>305</v>
      </c>
      <c r="G420" t="s">
        <v>304</v>
      </c>
      <c r="H420" t="s">
        <v>30</v>
      </c>
      <c r="I420" t="s">
        <v>31</v>
      </c>
      <c r="J420" t="s">
        <v>32</v>
      </c>
      <c r="K420" t="s">
        <v>44</v>
      </c>
      <c r="L420" t="s">
        <v>34</v>
      </c>
      <c r="M420" t="s">
        <v>3780</v>
      </c>
      <c r="N420" t="s">
        <v>46</v>
      </c>
      <c r="P420" t="s">
        <v>1854</v>
      </c>
      <c r="R420">
        <v>41702.891296296293</v>
      </c>
      <c r="S420">
        <v>42039.771284722221</v>
      </c>
      <c r="T420" t="s">
        <v>1933</v>
      </c>
      <c r="U420" t="s">
        <v>35</v>
      </c>
      <c r="V420" t="s">
        <v>35</v>
      </c>
      <c r="W420" t="s">
        <v>4135</v>
      </c>
    </row>
    <row r="421" spans="2:23" x14ac:dyDescent="0.25">
      <c r="B421" s="19">
        <v>4650</v>
      </c>
      <c r="C421" s="2">
        <f>HYPERLINK(URLs!B36 &amp; 39801,39801)</f>
        <v>39801</v>
      </c>
      <c r="D421" t="s">
        <v>3820</v>
      </c>
      <c r="E421" t="s">
        <v>1913</v>
      </c>
      <c r="F421" t="s">
        <v>305</v>
      </c>
      <c r="G421" t="s">
        <v>310</v>
      </c>
      <c r="H421" t="s">
        <v>30</v>
      </c>
      <c r="I421" t="s">
        <v>31</v>
      </c>
      <c r="J421" t="s">
        <v>32</v>
      </c>
      <c r="K421" t="s">
        <v>44</v>
      </c>
      <c r="L421" t="s">
        <v>34</v>
      </c>
      <c r="M421" t="s">
        <v>3780</v>
      </c>
      <c r="N421" t="s">
        <v>46</v>
      </c>
      <c r="P421" t="s">
        <v>1854</v>
      </c>
      <c r="R421">
        <v>41702.891099537039</v>
      </c>
      <c r="S421">
        <v>42045.7028587963</v>
      </c>
      <c r="T421" t="s">
        <v>1933</v>
      </c>
      <c r="U421" t="s">
        <v>35</v>
      </c>
      <c r="V421" t="s">
        <v>35</v>
      </c>
      <c r="W421" t="s">
        <v>3039</v>
      </c>
    </row>
    <row r="422" spans="2:23" x14ac:dyDescent="0.25">
      <c r="B422" s="19">
        <v>4650</v>
      </c>
      <c r="C422" s="2">
        <f>HYPERLINK(URLs!B36 &amp; 39800,39800)</f>
        <v>39800</v>
      </c>
      <c r="D422" t="s">
        <v>3819</v>
      </c>
      <c r="E422" t="s">
        <v>1913</v>
      </c>
      <c r="F422" t="s">
        <v>305</v>
      </c>
      <c r="G422" t="s">
        <v>304</v>
      </c>
      <c r="H422" t="s">
        <v>30</v>
      </c>
      <c r="I422" t="s">
        <v>31</v>
      </c>
      <c r="J422" t="s">
        <v>32</v>
      </c>
      <c r="K422" t="s">
        <v>44</v>
      </c>
      <c r="L422" t="s">
        <v>34</v>
      </c>
      <c r="M422" t="s">
        <v>3780</v>
      </c>
      <c r="N422" t="s">
        <v>1998</v>
      </c>
      <c r="P422" t="s">
        <v>1854</v>
      </c>
      <c r="R422">
        <v>41702.890960648147</v>
      </c>
      <c r="S422">
        <v>42058.72483796296</v>
      </c>
      <c r="T422" t="s">
        <v>1933</v>
      </c>
      <c r="U422" t="s">
        <v>35</v>
      </c>
      <c r="V422" t="s">
        <v>35</v>
      </c>
      <c r="W422" t="s">
        <v>4134</v>
      </c>
    </row>
    <row r="423" spans="2:23" x14ac:dyDescent="0.25">
      <c r="B423" s="19">
        <v>4650</v>
      </c>
      <c r="C423" s="2">
        <f>HYPERLINK(URLs!B36 &amp; 39027,39027)</f>
        <v>39027</v>
      </c>
      <c r="D423" t="s">
        <v>3815</v>
      </c>
      <c r="E423" t="s">
        <v>1913</v>
      </c>
      <c r="F423" t="s">
        <v>305</v>
      </c>
      <c r="G423" t="s">
        <v>304</v>
      </c>
      <c r="H423" t="s">
        <v>30</v>
      </c>
      <c r="I423" t="s">
        <v>35</v>
      </c>
      <c r="J423" t="s">
        <v>32</v>
      </c>
      <c r="K423" t="s">
        <v>44</v>
      </c>
      <c r="L423" t="s">
        <v>34</v>
      </c>
      <c r="M423" t="s">
        <v>3780</v>
      </c>
      <c r="N423" t="s">
        <v>46</v>
      </c>
      <c r="P423" t="s">
        <v>1854</v>
      </c>
      <c r="R423">
        <v>41682.477199074077</v>
      </c>
      <c r="S423">
        <v>41816.552372685182</v>
      </c>
      <c r="T423" t="s">
        <v>300</v>
      </c>
      <c r="U423" t="s">
        <v>35</v>
      </c>
      <c r="V423" t="s">
        <v>35</v>
      </c>
      <c r="W423" t="s">
        <v>4098</v>
      </c>
    </row>
    <row r="424" spans="2:23" x14ac:dyDescent="0.25">
      <c r="B424" s="19">
        <v>4653</v>
      </c>
      <c r="C424" s="2">
        <f>HYPERLINK(URLs!B36 &amp; 39095,39095)</f>
        <v>39095</v>
      </c>
      <c r="D424" t="s">
        <v>2067</v>
      </c>
      <c r="E424" t="s">
        <v>387</v>
      </c>
      <c r="F424" t="s">
        <v>305</v>
      </c>
      <c r="G424" t="s">
        <v>337</v>
      </c>
      <c r="H424" t="s">
        <v>30</v>
      </c>
      <c r="I424" t="s">
        <v>35</v>
      </c>
      <c r="J424" t="s">
        <v>32</v>
      </c>
      <c r="K424" t="s">
        <v>33</v>
      </c>
      <c r="L424" t="s">
        <v>73</v>
      </c>
      <c r="M424" t="s">
        <v>263</v>
      </c>
      <c r="N424" t="s">
        <v>46</v>
      </c>
      <c r="P424" t="s">
        <v>1749</v>
      </c>
      <c r="R424">
        <v>41683.697071759256</v>
      </c>
      <c r="S424">
        <v>42649.900173611109</v>
      </c>
      <c r="T424" t="s">
        <v>1529</v>
      </c>
      <c r="U424" t="s">
        <v>35</v>
      </c>
      <c r="V424" t="s">
        <v>35</v>
      </c>
      <c r="W424" t="s">
        <v>3039</v>
      </c>
    </row>
    <row r="425" spans="2:23" x14ac:dyDescent="0.25">
      <c r="B425" s="19">
        <v>4653</v>
      </c>
      <c r="C425" s="2">
        <f>HYPERLINK(URLs!B36 &amp; 39094,39094)</f>
        <v>39094</v>
      </c>
      <c r="D425" t="s">
        <v>2066</v>
      </c>
      <c r="E425" t="s">
        <v>387</v>
      </c>
      <c r="F425" t="s">
        <v>305</v>
      </c>
      <c r="G425" t="s">
        <v>304</v>
      </c>
      <c r="H425" t="s">
        <v>30</v>
      </c>
      <c r="I425" t="s">
        <v>35</v>
      </c>
      <c r="J425" t="s">
        <v>32</v>
      </c>
      <c r="K425" t="s">
        <v>33</v>
      </c>
      <c r="L425" t="s">
        <v>73</v>
      </c>
      <c r="M425" t="s">
        <v>263</v>
      </c>
      <c r="N425" t="s">
        <v>46</v>
      </c>
      <c r="O425" t="s">
        <v>2007</v>
      </c>
      <c r="P425" t="s">
        <v>1749</v>
      </c>
      <c r="R425">
        <v>41683.696932870371</v>
      </c>
      <c r="S425">
        <v>42648.829143518517</v>
      </c>
      <c r="T425" t="s">
        <v>1529</v>
      </c>
      <c r="U425" t="s">
        <v>35</v>
      </c>
      <c r="V425" t="s">
        <v>35</v>
      </c>
      <c r="W425" t="s">
        <v>4131</v>
      </c>
    </row>
    <row r="426" spans="2:23" x14ac:dyDescent="0.25">
      <c r="B426" s="19">
        <v>4653</v>
      </c>
      <c r="C426" s="2">
        <f>HYPERLINK(URLs!B36 &amp; 39093,39093)</f>
        <v>39093</v>
      </c>
      <c r="D426" t="s">
        <v>2065</v>
      </c>
      <c r="E426" t="s">
        <v>387</v>
      </c>
      <c r="F426" t="s">
        <v>305</v>
      </c>
      <c r="G426" t="s">
        <v>304</v>
      </c>
      <c r="H426" t="s">
        <v>30</v>
      </c>
      <c r="I426" t="s">
        <v>31</v>
      </c>
      <c r="J426" t="s">
        <v>32</v>
      </c>
      <c r="K426" t="s">
        <v>33</v>
      </c>
      <c r="L426" t="s">
        <v>73</v>
      </c>
      <c r="M426" t="s">
        <v>263</v>
      </c>
      <c r="N426" t="s">
        <v>1998</v>
      </c>
      <c r="P426" t="s">
        <v>1749</v>
      </c>
      <c r="R426">
        <v>41683.696805555555</v>
      </c>
      <c r="S426">
        <v>42648.829328703701</v>
      </c>
      <c r="T426" t="s">
        <v>1529</v>
      </c>
      <c r="U426" t="s">
        <v>35</v>
      </c>
      <c r="V426" t="s">
        <v>35</v>
      </c>
      <c r="W426" t="s">
        <v>2552</v>
      </c>
    </row>
    <row r="427" spans="2:23" x14ac:dyDescent="0.25">
      <c r="B427" s="19">
        <v>4653</v>
      </c>
      <c r="C427" s="2">
        <f>HYPERLINK(URLs!B36 &amp; 39092,39092)</f>
        <v>39092</v>
      </c>
      <c r="D427" t="s">
        <v>2064</v>
      </c>
      <c r="E427" t="s">
        <v>387</v>
      </c>
      <c r="F427" t="s">
        <v>305</v>
      </c>
      <c r="G427" t="s">
        <v>310</v>
      </c>
      <c r="H427" t="s">
        <v>30</v>
      </c>
      <c r="I427" t="s">
        <v>35</v>
      </c>
      <c r="J427" t="s">
        <v>32</v>
      </c>
      <c r="K427" t="s">
        <v>33</v>
      </c>
      <c r="L427" t="s">
        <v>73</v>
      </c>
      <c r="M427" t="s">
        <v>263</v>
      </c>
      <c r="N427" t="s">
        <v>46</v>
      </c>
      <c r="P427" t="s">
        <v>1749</v>
      </c>
      <c r="R427">
        <v>41683.696666666663</v>
      </c>
      <c r="S427">
        <v>42649.840486111112</v>
      </c>
      <c r="T427" t="s">
        <v>1529</v>
      </c>
      <c r="U427" t="s">
        <v>35</v>
      </c>
      <c r="V427" t="s">
        <v>35</v>
      </c>
      <c r="W427" t="s">
        <v>4130</v>
      </c>
    </row>
    <row r="428" spans="2:23" x14ac:dyDescent="0.25">
      <c r="B428" s="19">
        <v>4653</v>
      </c>
      <c r="C428" s="2">
        <f>HYPERLINK(URLs!B36 &amp; 39091,39091)</f>
        <v>39091</v>
      </c>
      <c r="D428" t="s">
        <v>2062</v>
      </c>
      <c r="E428" t="s">
        <v>387</v>
      </c>
      <c r="F428" t="s">
        <v>305</v>
      </c>
      <c r="G428" t="s">
        <v>304</v>
      </c>
      <c r="H428" t="s">
        <v>30</v>
      </c>
      <c r="I428" t="s">
        <v>35</v>
      </c>
      <c r="J428" t="s">
        <v>32</v>
      </c>
      <c r="K428" t="s">
        <v>33</v>
      </c>
      <c r="L428" t="s">
        <v>73</v>
      </c>
      <c r="M428" t="s">
        <v>263</v>
      </c>
      <c r="N428" t="s">
        <v>46</v>
      </c>
      <c r="P428" t="s">
        <v>1749</v>
      </c>
      <c r="R428">
        <v>41683.69085648148</v>
      </c>
      <c r="S428">
        <v>41816.554074074076</v>
      </c>
      <c r="T428" t="s">
        <v>2063</v>
      </c>
      <c r="U428" t="s">
        <v>35</v>
      </c>
      <c r="V428" t="s">
        <v>35</v>
      </c>
      <c r="W428" t="s">
        <v>4098</v>
      </c>
    </row>
    <row r="429" spans="2:23" x14ac:dyDescent="0.25">
      <c r="B429" s="19">
        <v>4655</v>
      </c>
      <c r="C429" s="2">
        <f>HYPERLINK(URLs!B36 &amp; 33618,33618)</f>
        <v>33618</v>
      </c>
      <c r="D429" t="s">
        <v>3794</v>
      </c>
      <c r="E429" t="s">
        <v>3795</v>
      </c>
      <c r="F429" t="s">
        <v>305</v>
      </c>
      <c r="G429" t="s">
        <v>304</v>
      </c>
      <c r="H429" t="s">
        <v>30</v>
      </c>
      <c r="I429" t="s">
        <v>57</v>
      </c>
      <c r="J429" t="s">
        <v>1516</v>
      </c>
      <c r="K429" t="s">
        <v>51</v>
      </c>
      <c r="L429" t="s">
        <v>34</v>
      </c>
      <c r="M429" t="s">
        <v>3780</v>
      </c>
      <c r="N429" t="s">
        <v>46</v>
      </c>
      <c r="O429" t="s">
        <v>3796</v>
      </c>
      <c r="P429" t="s">
        <v>1854</v>
      </c>
      <c r="R429">
        <v>41501.677893518521</v>
      </c>
      <c r="S429">
        <v>42118.590104166666</v>
      </c>
      <c r="T429" t="s">
        <v>3795</v>
      </c>
      <c r="U429" t="s">
        <v>35</v>
      </c>
      <c r="V429" t="s">
        <v>35</v>
      </c>
      <c r="W429" t="s">
        <v>4112</v>
      </c>
    </row>
    <row r="430" spans="2:23" x14ac:dyDescent="0.25">
      <c r="B430" s="19">
        <v>4657</v>
      </c>
      <c r="C430" s="2">
        <f>HYPERLINK(URLs!B36 &amp; 39624,39624)</f>
        <v>39624</v>
      </c>
      <c r="D430" t="s">
        <v>2073</v>
      </c>
      <c r="E430" t="s">
        <v>1933</v>
      </c>
      <c r="F430" t="s">
        <v>305</v>
      </c>
      <c r="G430" t="s">
        <v>310</v>
      </c>
      <c r="H430" t="s">
        <v>30</v>
      </c>
      <c r="I430" t="s">
        <v>31</v>
      </c>
      <c r="J430" t="s">
        <v>32</v>
      </c>
      <c r="K430" t="s">
        <v>51</v>
      </c>
      <c r="L430" t="s">
        <v>34</v>
      </c>
      <c r="M430" t="s">
        <v>2052</v>
      </c>
      <c r="N430" t="s">
        <v>46</v>
      </c>
      <c r="P430" t="s">
        <v>1854</v>
      </c>
      <c r="R430">
        <v>41696.985844907409</v>
      </c>
      <c r="S430">
        <v>42045.702870370369</v>
      </c>
      <c r="T430" t="s">
        <v>1933</v>
      </c>
      <c r="U430" t="s">
        <v>35</v>
      </c>
      <c r="V430" t="s">
        <v>35</v>
      </c>
      <c r="W430" t="s">
        <v>4132</v>
      </c>
    </row>
    <row r="431" spans="2:23" x14ac:dyDescent="0.25">
      <c r="B431" s="19">
        <v>4657</v>
      </c>
      <c r="C431" s="2">
        <f>HYPERLINK(URLs!B36 &amp; 39623,39623)</f>
        <v>39623</v>
      </c>
      <c r="D431" t="s">
        <v>2071</v>
      </c>
      <c r="E431" t="s">
        <v>1933</v>
      </c>
      <c r="F431" t="s">
        <v>305</v>
      </c>
      <c r="G431" t="s">
        <v>304</v>
      </c>
      <c r="H431" t="s">
        <v>30</v>
      </c>
      <c r="I431" t="s">
        <v>31</v>
      </c>
      <c r="J431" t="s">
        <v>32</v>
      </c>
      <c r="K431" t="s">
        <v>51</v>
      </c>
      <c r="L431" t="s">
        <v>34</v>
      </c>
      <c r="M431" t="s">
        <v>2052</v>
      </c>
      <c r="N431" t="s">
        <v>46</v>
      </c>
      <c r="O431" t="s">
        <v>2072</v>
      </c>
      <c r="P431" t="s">
        <v>1854</v>
      </c>
      <c r="R431">
        <v>41696.985729166663</v>
      </c>
      <c r="S431">
        <v>42039.726087962961</v>
      </c>
      <c r="T431" t="s">
        <v>1933</v>
      </c>
      <c r="U431" t="s">
        <v>35</v>
      </c>
      <c r="V431" t="s">
        <v>35</v>
      </c>
      <c r="W431" t="s">
        <v>4127</v>
      </c>
    </row>
    <row r="432" spans="2:23" x14ac:dyDescent="0.25">
      <c r="B432" s="19">
        <v>4657</v>
      </c>
      <c r="C432" s="2">
        <f>HYPERLINK(URLs!B36 &amp; 39622,39622)</f>
        <v>39622</v>
      </c>
      <c r="D432" t="s">
        <v>2070</v>
      </c>
      <c r="E432" t="s">
        <v>1933</v>
      </c>
      <c r="F432" t="s">
        <v>305</v>
      </c>
      <c r="G432" t="s">
        <v>310</v>
      </c>
      <c r="H432" t="s">
        <v>30</v>
      </c>
      <c r="I432" t="s">
        <v>31</v>
      </c>
      <c r="J432" t="s">
        <v>32</v>
      </c>
      <c r="K432" t="s">
        <v>51</v>
      </c>
      <c r="L432" t="s">
        <v>34</v>
      </c>
      <c r="M432" t="s">
        <v>2052</v>
      </c>
      <c r="N432" t="s">
        <v>46</v>
      </c>
      <c r="P432" t="s">
        <v>1854</v>
      </c>
      <c r="R432">
        <v>41696.985625000001</v>
      </c>
      <c r="S432">
        <v>42034.641921296294</v>
      </c>
      <c r="T432" t="s">
        <v>1933</v>
      </c>
      <c r="U432" t="s">
        <v>35</v>
      </c>
      <c r="V432" t="s">
        <v>35</v>
      </c>
      <c r="W432" t="s">
        <v>4112</v>
      </c>
    </row>
    <row r="433" spans="2:23" x14ac:dyDescent="0.25">
      <c r="B433" s="19">
        <v>4657</v>
      </c>
      <c r="C433" s="2">
        <f>HYPERLINK(URLs!B36 &amp; 38470,38470)</f>
        <v>38470</v>
      </c>
      <c r="D433" t="s">
        <v>2051</v>
      </c>
      <c r="E433" t="s">
        <v>2002</v>
      </c>
      <c r="F433" t="s">
        <v>305</v>
      </c>
      <c r="G433" t="s">
        <v>304</v>
      </c>
      <c r="H433" t="s">
        <v>30</v>
      </c>
      <c r="I433" t="s">
        <v>31</v>
      </c>
      <c r="J433" t="s">
        <v>32</v>
      </c>
      <c r="K433" t="s">
        <v>51</v>
      </c>
      <c r="L433" t="s">
        <v>34</v>
      </c>
      <c r="M433" t="s">
        <v>2052</v>
      </c>
      <c r="N433" t="s">
        <v>46</v>
      </c>
      <c r="P433" t="s">
        <v>1854</v>
      </c>
      <c r="R433">
        <v>41660.709710648145</v>
      </c>
      <c r="S433">
        <v>42306.914039351854</v>
      </c>
      <c r="T433" t="s">
        <v>2053</v>
      </c>
      <c r="U433" t="s">
        <v>35</v>
      </c>
      <c r="V433" t="s">
        <v>35</v>
      </c>
      <c r="W433" t="s">
        <v>4098</v>
      </c>
    </row>
    <row r="434" spans="2:23" x14ac:dyDescent="0.25">
      <c r="B434" s="19">
        <v>4730</v>
      </c>
      <c r="C434" s="2">
        <f>HYPERLINK(URLs!B36 &amp; 30374,30374)</f>
        <v>30374</v>
      </c>
      <c r="D434" t="s">
        <v>1823</v>
      </c>
      <c r="E434" t="s">
        <v>1824</v>
      </c>
      <c r="F434" t="s">
        <v>305</v>
      </c>
      <c r="G434" t="s">
        <v>304</v>
      </c>
      <c r="H434" t="s">
        <v>426</v>
      </c>
      <c r="I434" t="s">
        <v>68</v>
      </c>
      <c r="J434" t="s">
        <v>58</v>
      </c>
      <c r="K434" t="s">
        <v>44</v>
      </c>
      <c r="L434" t="s">
        <v>34</v>
      </c>
      <c r="M434" t="s">
        <v>1825</v>
      </c>
      <c r="N434" t="s">
        <v>46</v>
      </c>
      <c r="P434" t="s">
        <v>38</v>
      </c>
      <c r="Q434" t="s">
        <v>1826</v>
      </c>
      <c r="R434">
        <v>41401.54179398148</v>
      </c>
      <c r="S434">
        <v>42642.734259259261</v>
      </c>
      <c r="T434" t="s">
        <v>1827</v>
      </c>
      <c r="U434" t="s">
        <v>35</v>
      </c>
      <c r="V434" t="s">
        <v>35</v>
      </c>
      <c r="W434" t="s">
        <v>4098</v>
      </c>
    </row>
    <row r="435" spans="2:23" x14ac:dyDescent="0.25">
      <c r="B435" s="19">
        <v>4954</v>
      </c>
      <c r="C435" s="2">
        <f>HYPERLINK(URLs!B36 &amp; 41155,41155)</f>
        <v>41155</v>
      </c>
      <c r="D435" t="s">
        <v>2088</v>
      </c>
      <c r="E435" t="s">
        <v>387</v>
      </c>
      <c r="F435" t="s">
        <v>305</v>
      </c>
      <c r="G435" t="s">
        <v>310</v>
      </c>
      <c r="H435" t="s">
        <v>30</v>
      </c>
      <c r="I435" t="s">
        <v>35</v>
      </c>
      <c r="J435" t="s">
        <v>43</v>
      </c>
      <c r="K435" t="s">
        <v>35</v>
      </c>
      <c r="L435" t="s">
        <v>73</v>
      </c>
      <c r="M435" t="s">
        <v>263</v>
      </c>
      <c r="N435" t="s">
        <v>46</v>
      </c>
      <c r="P435" t="s">
        <v>1749</v>
      </c>
      <c r="R435">
        <v>41721.884293981479</v>
      </c>
      <c r="S435">
        <v>42649.841261574074</v>
      </c>
      <c r="T435" t="s">
        <v>1529</v>
      </c>
      <c r="U435" t="s">
        <v>35</v>
      </c>
      <c r="V435" t="s">
        <v>35</v>
      </c>
      <c r="W435" t="s">
        <v>394</v>
      </c>
    </row>
    <row r="436" spans="2:23" x14ac:dyDescent="0.25">
      <c r="B436" s="19">
        <v>4954</v>
      </c>
      <c r="C436" s="2">
        <f>HYPERLINK(URLs!B36 &amp; 41154,41154)</f>
        <v>41154</v>
      </c>
      <c r="D436" t="s">
        <v>2087</v>
      </c>
      <c r="E436" t="s">
        <v>387</v>
      </c>
      <c r="F436" t="s">
        <v>305</v>
      </c>
      <c r="G436" t="s">
        <v>310</v>
      </c>
      <c r="H436" t="s">
        <v>30</v>
      </c>
      <c r="I436" t="s">
        <v>68</v>
      </c>
      <c r="J436" t="s">
        <v>43</v>
      </c>
      <c r="K436" t="s">
        <v>33</v>
      </c>
      <c r="L436" t="s">
        <v>73</v>
      </c>
      <c r="M436" t="s">
        <v>263</v>
      </c>
      <c r="N436" t="s">
        <v>46</v>
      </c>
      <c r="P436" t="s">
        <v>1749</v>
      </c>
      <c r="R436">
        <v>41721.884236111109</v>
      </c>
      <c r="S436">
        <v>42649.841226851851</v>
      </c>
      <c r="T436" t="s">
        <v>1529</v>
      </c>
      <c r="U436" t="s">
        <v>35</v>
      </c>
      <c r="V436" t="s">
        <v>35</v>
      </c>
      <c r="W436" t="s">
        <v>2552</v>
      </c>
    </row>
    <row r="437" spans="2:23" x14ac:dyDescent="0.25">
      <c r="B437" s="19">
        <v>4954</v>
      </c>
      <c r="C437" s="2">
        <f>HYPERLINK(URLs!B36 &amp; 41153,41153)</f>
        <v>41153</v>
      </c>
      <c r="D437" t="s">
        <v>2086</v>
      </c>
      <c r="E437" t="s">
        <v>387</v>
      </c>
      <c r="F437" t="s">
        <v>305</v>
      </c>
      <c r="G437" t="s">
        <v>310</v>
      </c>
      <c r="H437" t="s">
        <v>30</v>
      </c>
      <c r="I437" t="s">
        <v>35</v>
      </c>
      <c r="J437" t="s">
        <v>43</v>
      </c>
      <c r="K437" t="s">
        <v>33</v>
      </c>
      <c r="L437" t="s">
        <v>73</v>
      </c>
      <c r="M437" t="s">
        <v>263</v>
      </c>
      <c r="N437" t="s">
        <v>46</v>
      </c>
      <c r="P437" t="s">
        <v>1749</v>
      </c>
      <c r="R437">
        <v>41721.884155092594</v>
      </c>
      <c r="S437">
        <v>42649.840532407405</v>
      </c>
      <c r="T437" t="s">
        <v>1529</v>
      </c>
      <c r="U437" t="s">
        <v>35</v>
      </c>
      <c r="V437" t="s">
        <v>35</v>
      </c>
      <c r="W437" t="s">
        <v>4132</v>
      </c>
    </row>
    <row r="438" spans="2:23" x14ac:dyDescent="0.25">
      <c r="B438" s="19">
        <v>4954</v>
      </c>
      <c r="C438" s="2">
        <f>HYPERLINK(URLs!B36 &amp; 41152,41152)</f>
        <v>41152</v>
      </c>
      <c r="D438" t="s">
        <v>2085</v>
      </c>
      <c r="E438" t="s">
        <v>387</v>
      </c>
      <c r="F438" t="s">
        <v>305</v>
      </c>
      <c r="G438" t="s">
        <v>337</v>
      </c>
      <c r="H438" t="s">
        <v>30</v>
      </c>
      <c r="I438" t="s">
        <v>35</v>
      </c>
      <c r="J438" t="s">
        <v>43</v>
      </c>
      <c r="K438" t="s">
        <v>33</v>
      </c>
      <c r="L438" t="s">
        <v>73</v>
      </c>
      <c r="M438" t="s">
        <v>263</v>
      </c>
      <c r="N438" t="s">
        <v>46</v>
      </c>
      <c r="P438" t="s">
        <v>1749</v>
      </c>
      <c r="R438">
        <v>41721.884074074071</v>
      </c>
      <c r="S438">
        <v>42649.841122685182</v>
      </c>
      <c r="T438" t="s">
        <v>1529</v>
      </c>
      <c r="U438" t="s">
        <v>35</v>
      </c>
      <c r="V438" t="s">
        <v>35</v>
      </c>
      <c r="W438" t="s">
        <v>3039</v>
      </c>
    </row>
    <row r="439" spans="2:23" x14ac:dyDescent="0.25">
      <c r="B439" s="19">
        <v>4954</v>
      </c>
      <c r="C439" s="2">
        <f>HYPERLINK(URLs!B36 &amp; 41150,41150)</f>
        <v>41150</v>
      </c>
      <c r="D439" t="s">
        <v>2082</v>
      </c>
      <c r="E439" t="s">
        <v>387</v>
      </c>
      <c r="F439" t="s">
        <v>305</v>
      </c>
      <c r="G439" t="s">
        <v>353</v>
      </c>
      <c r="H439" t="s">
        <v>30</v>
      </c>
      <c r="I439" t="s">
        <v>35</v>
      </c>
      <c r="J439" t="s">
        <v>43</v>
      </c>
      <c r="K439" t="s">
        <v>33</v>
      </c>
      <c r="L439" t="s">
        <v>73</v>
      </c>
      <c r="M439" t="s">
        <v>263</v>
      </c>
      <c r="N439" t="s">
        <v>46</v>
      </c>
      <c r="P439" t="s">
        <v>1749</v>
      </c>
      <c r="R439">
        <v>41720.696840277778</v>
      </c>
      <c r="S439">
        <v>42649.840810185182</v>
      </c>
      <c r="T439" t="s">
        <v>2</v>
      </c>
      <c r="U439" t="s">
        <v>35</v>
      </c>
      <c r="V439" t="s">
        <v>35</v>
      </c>
      <c r="W439" t="s">
        <v>4098</v>
      </c>
    </row>
    <row r="440" spans="2:23" x14ac:dyDescent="0.25">
      <c r="B440" s="19">
        <v>4955</v>
      </c>
      <c r="C440" s="2">
        <f>HYPERLINK(URLs!B36 &amp; 41159,41159)</f>
        <v>41159</v>
      </c>
      <c r="D440" t="s">
        <v>2092</v>
      </c>
      <c r="E440" t="s">
        <v>387</v>
      </c>
      <c r="F440" t="s">
        <v>305</v>
      </c>
      <c r="G440" t="s">
        <v>310</v>
      </c>
      <c r="H440" t="s">
        <v>30</v>
      </c>
      <c r="I440" t="s">
        <v>35</v>
      </c>
      <c r="J440" t="s">
        <v>43</v>
      </c>
      <c r="K440" t="s">
        <v>35</v>
      </c>
      <c r="L440" t="s">
        <v>73</v>
      </c>
      <c r="M440" t="s">
        <v>263</v>
      </c>
      <c r="N440" t="s">
        <v>46</v>
      </c>
      <c r="P440" t="s">
        <v>1749</v>
      </c>
      <c r="R440">
        <v>41721.887199074074</v>
      </c>
      <c r="S440">
        <v>42649.841331018521</v>
      </c>
      <c r="T440" t="s">
        <v>1529</v>
      </c>
      <c r="U440" t="s">
        <v>35</v>
      </c>
      <c r="V440" t="s">
        <v>35</v>
      </c>
      <c r="W440" t="s">
        <v>394</v>
      </c>
    </row>
    <row r="441" spans="2:23" x14ac:dyDescent="0.25">
      <c r="B441" s="19">
        <v>4955</v>
      </c>
      <c r="C441" s="2">
        <f>HYPERLINK(URLs!B36 &amp; 41158,41158)</f>
        <v>41158</v>
      </c>
      <c r="D441" t="s">
        <v>2091</v>
      </c>
      <c r="E441" t="s">
        <v>387</v>
      </c>
      <c r="F441" t="s">
        <v>305</v>
      </c>
      <c r="G441" t="s">
        <v>310</v>
      </c>
      <c r="H441" t="s">
        <v>30</v>
      </c>
      <c r="I441" t="s">
        <v>31</v>
      </c>
      <c r="J441" t="s">
        <v>43</v>
      </c>
      <c r="K441" t="s">
        <v>35</v>
      </c>
      <c r="L441" t="s">
        <v>73</v>
      </c>
      <c r="M441" t="s">
        <v>263</v>
      </c>
      <c r="N441" t="s">
        <v>46</v>
      </c>
      <c r="P441" t="s">
        <v>1749</v>
      </c>
      <c r="R441">
        <v>41721.887118055558</v>
      </c>
      <c r="S441">
        <v>42649.840891203705</v>
      </c>
      <c r="T441" t="s">
        <v>1529</v>
      </c>
      <c r="U441" t="s">
        <v>35</v>
      </c>
      <c r="V441" t="s">
        <v>35</v>
      </c>
      <c r="W441" t="s">
        <v>2552</v>
      </c>
    </row>
    <row r="442" spans="2:23" x14ac:dyDescent="0.25">
      <c r="B442" s="19">
        <v>4955</v>
      </c>
      <c r="C442" s="2">
        <f>HYPERLINK(URLs!B36 &amp; 41157,41157)</f>
        <v>41157</v>
      </c>
      <c r="D442" t="s">
        <v>2090</v>
      </c>
      <c r="E442" t="s">
        <v>387</v>
      </c>
      <c r="F442" t="s">
        <v>305</v>
      </c>
      <c r="G442" t="s">
        <v>310</v>
      </c>
      <c r="H442" t="s">
        <v>30</v>
      </c>
      <c r="I442" t="s">
        <v>35</v>
      </c>
      <c r="J442" t="s">
        <v>43</v>
      </c>
      <c r="K442" t="s">
        <v>35</v>
      </c>
      <c r="L442" t="s">
        <v>73</v>
      </c>
      <c r="M442" t="s">
        <v>263</v>
      </c>
      <c r="N442" t="s">
        <v>46</v>
      </c>
      <c r="P442" t="s">
        <v>1749</v>
      </c>
      <c r="R442">
        <v>41721.887048611112</v>
      </c>
      <c r="S442">
        <v>42649.841145833336</v>
      </c>
      <c r="T442" t="s">
        <v>1529</v>
      </c>
      <c r="U442" t="s">
        <v>35</v>
      </c>
      <c r="V442" t="s">
        <v>35</v>
      </c>
      <c r="W442" t="s">
        <v>4132</v>
      </c>
    </row>
    <row r="443" spans="2:23" x14ac:dyDescent="0.25">
      <c r="B443" s="19">
        <v>4955</v>
      </c>
      <c r="C443" s="2">
        <f>HYPERLINK(URLs!B36 &amp; 41156,41156)</f>
        <v>41156</v>
      </c>
      <c r="D443" t="s">
        <v>2089</v>
      </c>
      <c r="E443" t="s">
        <v>387</v>
      </c>
      <c r="F443" t="s">
        <v>305</v>
      </c>
      <c r="G443" t="s">
        <v>310</v>
      </c>
      <c r="H443" t="s">
        <v>30</v>
      </c>
      <c r="I443" t="s">
        <v>35</v>
      </c>
      <c r="J443" t="s">
        <v>43</v>
      </c>
      <c r="K443" t="s">
        <v>35</v>
      </c>
      <c r="L443" t="s">
        <v>73</v>
      </c>
      <c r="M443" t="s">
        <v>263</v>
      </c>
      <c r="N443" t="s">
        <v>46</v>
      </c>
      <c r="P443" t="s">
        <v>1749</v>
      </c>
      <c r="R443">
        <v>41721.886956018519</v>
      </c>
      <c r="S443">
        <v>42649.840636574074</v>
      </c>
      <c r="T443" t="s">
        <v>1529</v>
      </c>
      <c r="U443" t="s">
        <v>35</v>
      </c>
      <c r="V443" t="s">
        <v>35</v>
      </c>
      <c r="W443" t="s">
        <v>3039</v>
      </c>
    </row>
    <row r="444" spans="2:23" x14ac:dyDescent="0.25">
      <c r="B444" s="19">
        <v>4955</v>
      </c>
      <c r="C444" s="2">
        <f>HYPERLINK(URLs!B36 &amp; 41151,41151)</f>
        <v>41151</v>
      </c>
      <c r="D444" t="s">
        <v>2084</v>
      </c>
      <c r="E444" t="s">
        <v>387</v>
      </c>
      <c r="F444" t="s">
        <v>305</v>
      </c>
      <c r="G444" t="s">
        <v>328</v>
      </c>
      <c r="H444" t="s">
        <v>30</v>
      </c>
      <c r="I444" t="s">
        <v>35</v>
      </c>
      <c r="J444" t="s">
        <v>43</v>
      </c>
      <c r="K444" t="s">
        <v>35</v>
      </c>
      <c r="L444" t="s">
        <v>73</v>
      </c>
      <c r="M444" t="s">
        <v>263</v>
      </c>
      <c r="N444" t="s">
        <v>46</v>
      </c>
      <c r="P444" t="s">
        <v>1749</v>
      </c>
      <c r="R444">
        <v>41720.742337962962</v>
      </c>
      <c r="S444">
        <v>42649.840775462966</v>
      </c>
      <c r="T444" t="s">
        <v>2</v>
      </c>
      <c r="U444" t="s">
        <v>35</v>
      </c>
      <c r="V444" t="s">
        <v>35</v>
      </c>
      <c r="W444" t="s">
        <v>4098</v>
      </c>
    </row>
    <row r="445" spans="2:23" x14ac:dyDescent="0.25">
      <c r="B445" s="19">
        <v>4956</v>
      </c>
      <c r="C445" s="2">
        <f>HYPERLINK(URLs!B36 &amp; 41183,41183)</f>
        <v>41183</v>
      </c>
      <c r="D445" t="s">
        <v>2097</v>
      </c>
      <c r="E445" t="s">
        <v>387</v>
      </c>
      <c r="F445" t="s">
        <v>305</v>
      </c>
      <c r="G445" t="s">
        <v>304</v>
      </c>
      <c r="H445" t="s">
        <v>30</v>
      </c>
      <c r="I445" t="s">
        <v>35</v>
      </c>
      <c r="J445" t="s">
        <v>43</v>
      </c>
      <c r="K445" t="s">
        <v>33</v>
      </c>
      <c r="L445" t="s">
        <v>96</v>
      </c>
      <c r="M445" t="s">
        <v>269</v>
      </c>
      <c r="N445" t="s">
        <v>46</v>
      </c>
      <c r="P445" t="s">
        <v>1634</v>
      </c>
      <c r="R445">
        <v>41722.595254629632</v>
      </c>
      <c r="S445">
        <v>42648.830138888887</v>
      </c>
      <c r="T445" t="s">
        <v>1529</v>
      </c>
      <c r="U445" t="s">
        <v>35</v>
      </c>
      <c r="V445" t="s">
        <v>35</v>
      </c>
      <c r="W445" t="s">
        <v>4136</v>
      </c>
    </row>
    <row r="446" spans="2:23" x14ac:dyDescent="0.25">
      <c r="B446" s="19">
        <v>4956</v>
      </c>
      <c r="C446" s="2">
        <f>HYPERLINK(URLs!B36 &amp; 41182,41182)</f>
        <v>41182</v>
      </c>
      <c r="D446" t="s">
        <v>2096</v>
      </c>
      <c r="E446" t="s">
        <v>387</v>
      </c>
      <c r="F446" t="s">
        <v>305</v>
      </c>
      <c r="G446" t="s">
        <v>304</v>
      </c>
      <c r="H446" t="s">
        <v>30</v>
      </c>
      <c r="I446" t="s">
        <v>68</v>
      </c>
      <c r="J446" t="s">
        <v>43</v>
      </c>
      <c r="K446" t="s">
        <v>33</v>
      </c>
      <c r="L446" t="s">
        <v>96</v>
      </c>
      <c r="M446" t="s">
        <v>269</v>
      </c>
      <c r="N446" t="s">
        <v>1998</v>
      </c>
      <c r="P446" t="s">
        <v>1634</v>
      </c>
      <c r="R446">
        <v>41722.595173611109</v>
      </c>
      <c r="S446">
        <v>42648.829826388886</v>
      </c>
      <c r="T446" t="s">
        <v>1529</v>
      </c>
      <c r="U446" t="s">
        <v>35</v>
      </c>
      <c r="V446" t="s">
        <v>35</v>
      </c>
      <c r="W446" t="s">
        <v>2552</v>
      </c>
    </row>
    <row r="447" spans="2:23" x14ac:dyDescent="0.25">
      <c r="B447" s="19">
        <v>4956</v>
      </c>
      <c r="C447" s="2">
        <f>HYPERLINK(URLs!B36 &amp; 41181,41181)</f>
        <v>41181</v>
      </c>
      <c r="D447" t="s">
        <v>2095</v>
      </c>
      <c r="E447" t="s">
        <v>387</v>
      </c>
      <c r="F447" t="s">
        <v>305</v>
      </c>
      <c r="G447" t="s">
        <v>304</v>
      </c>
      <c r="H447" t="s">
        <v>30</v>
      </c>
      <c r="I447" t="s">
        <v>35</v>
      </c>
      <c r="J447" t="s">
        <v>43</v>
      </c>
      <c r="K447" t="s">
        <v>33</v>
      </c>
      <c r="L447" t="s">
        <v>96</v>
      </c>
      <c r="M447" t="s">
        <v>269</v>
      </c>
      <c r="N447" t="s">
        <v>46</v>
      </c>
      <c r="O447" t="s">
        <v>2045</v>
      </c>
      <c r="P447" t="s">
        <v>1634</v>
      </c>
      <c r="R447">
        <v>41722.595092592594</v>
      </c>
      <c r="S447">
        <v>42648.829988425925</v>
      </c>
      <c r="T447" t="s">
        <v>1529</v>
      </c>
      <c r="U447" t="s">
        <v>35</v>
      </c>
      <c r="V447" t="s">
        <v>35</v>
      </c>
      <c r="W447" t="s">
        <v>4131</v>
      </c>
    </row>
    <row r="448" spans="2:23" x14ac:dyDescent="0.25">
      <c r="B448" s="19">
        <v>4956</v>
      </c>
      <c r="C448" s="2">
        <f>HYPERLINK(URLs!B36 &amp; 41180,41180)</f>
        <v>41180</v>
      </c>
      <c r="D448" t="s">
        <v>2094</v>
      </c>
      <c r="E448" t="s">
        <v>387</v>
      </c>
      <c r="F448" t="s">
        <v>305</v>
      </c>
      <c r="G448" t="s">
        <v>304</v>
      </c>
      <c r="H448" t="s">
        <v>30</v>
      </c>
      <c r="I448" t="s">
        <v>35</v>
      </c>
      <c r="J448" t="s">
        <v>43</v>
      </c>
      <c r="K448" t="s">
        <v>33</v>
      </c>
      <c r="L448" t="s">
        <v>96</v>
      </c>
      <c r="M448" t="s">
        <v>269</v>
      </c>
      <c r="N448" t="s">
        <v>46</v>
      </c>
      <c r="P448" t="s">
        <v>1634</v>
      </c>
      <c r="R448">
        <v>41722.58625</v>
      </c>
      <c r="S448">
        <v>41830.436550925922</v>
      </c>
      <c r="T448" t="s">
        <v>300</v>
      </c>
      <c r="U448" t="s">
        <v>35</v>
      </c>
      <c r="V448" t="s">
        <v>35</v>
      </c>
      <c r="W448" t="s">
        <v>4098</v>
      </c>
    </row>
    <row r="449" spans="1:23" x14ac:dyDescent="0.25">
      <c r="A449" t="s">
        <v>665</v>
      </c>
      <c r="B449" s="19">
        <v>5002</v>
      </c>
      <c r="C449" s="2">
        <f>HYPERLINK(URLs!B36 &amp; 69696,69696)</f>
        <v>69696</v>
      </c>
      <c r="D449" t="s">
        <v>3877</v>
      </c>
      <c r="E449" t="s">
        <v>371</v>
      </c>
      <c r="F449" t="s">
        <v>305</v>
      </c>
      <c r="G449" t="s">
        <v>353</v>
      </c>
      <c r="H449" t="s">
        <v>30</v>
      </c>
      <c r="I449" t="s">
        <v>31</v>
      </c>
      <c r="J449" t="s">
        <v>32</v>
      </c>
      <c r="K449" t="s">
        <v>44</v>
      </c>
      <c r="L449" t="s">
        <v>34</v>
      </c>
      <c r="M449" t="s">
        <v>368</v>
      </c>
      <c r="N449" t="s">
        <v>2508</v>
      </c>
      <c r="O449" t="s">
        <v>3878</v>
      </c>
      <c r="P449" t="s">
        <v>2708</v>
      </c>
      <c r="R449">
        <v>42271.393136574072</v>
      </c>
      <c r="S449">
        <v>42345.977824074071</v>
      </c>
      <c r="T449" t="s">
        <v>2509</v>
      </c>
      <c r="U449" t="s">
        <v>35</v>
      </c>
      <c r="V449" t="s">
        <v>321</v>
      </c>
      <c r="W449" t="s">
        <v>4126</v>
      </c>
    </row>
    <row r="450" spans="1:23" x14ac:dyDescent="0.25">
      <c r="A450" t="s">
        <v>665</v>
      </c>
      <c r="B450" s="19">
        <v>5002</v>
      </c>
      <c r="C450" s="2">
        <f>HYPERLINK(URLs!B36 &amp; 30910,30910)</f>
        <v>30910</v>
      </c>
      <c r="D450" t="s">
        <v>27</v>
      </c>
      <c r="E450" t="s">
        <v>28</v>
      </c>
      <c r="F450" t="s">
        <v>305</v>
      </c>
      <c r="G450" t="s">
        <v>337</v>
      </c>
      <c r="H450" t="s">
        <v>30</v>
      </c>
      <c r="I450" t="s">
        <v>68</v>
      </c>
      <c r="J450" t="s">
        <v>43</v>
      </c>
      <c r="K450" t="s">
        <v>33</v>
      </c>
      <c r="L450" t="s">
        <v>34</v>
      </c>
      <c r="M450" t="s">
        <v>258</v>
      </c>
      <c r="N450" t="s">
        <v>36</v>
      </c>
      <c r="O450" t="s">
        <v>37</v>
      </c>
      <c r="P450" t="s">
        <v>38</v>
      </c>
      <c r="Q450" t="s">
        <v>4181</v>
      </c>
      <c r="R450">
        <v>41414.898692129631</v>
      </c>
      <c r="S450">
        <v>43131.72929398148</v>
      </c>
      <c r="T450" t="s">
        <v>39</v>
      </c>
      <c r="U450" t="s">
        <v>35</v>
      </c>
      <c r="V450" t="s">
        <v>35</v>
      </c>
      <c r="W450" t="s">
        <v>4111</v>
      </c>
    </row>
    <row r="451" spans="1:23" x14ac:dyDescent="0.25">
      <c r="B451" s="19">
        <v>5021</v>
      </c>
      <c r="C451" s="2">
        <f>HYPERLINK(URLs!B36 &amp; 41578,41578)</f>
        <v>41578</v>
      </c>
      <c r="D451" t="s">
        <v>2099</v>
      </c>
      <c r="E451" t="s">
        <v>1841</v>
      </c>
      <c r="F451" t="s">
        <v>305</v>
      </c>
      <c r="G451" t="s">
        <v>310</v>
      </c>
      <c r="H451" t="s">
        <v>30</v>
      </c>
      <c r="I451" t="s">
        <v>35</v>
      </c>
      <c r="J451" t="s">
        <v>58</v>
      </c>
      <c r="K451" t="s">
        <v>35</v>
      </c>
      <c r="L451" t="s">
        <v>34</v>
      </c>
      <c r="M451" t="s">
        <v>1853</v>
      </c>
      <c r="N451" t="s">
        <v>46</v>
      </c>
      <c r="P451" t="s">
        <v>1749</v>
      </c>
      <c r="R451">
        <v>41732.94222222222</v>
      </c>
      <c r="S451">
        <v>42045.703402777777</v>
      </c>
      <c r="T451" t="s">
        <v>1841</v>
      </c>
      <c r="U451" t="s">
        <v>35</v>
      </c>
      <c r="V451" t="s">
        <v>35</v>
      </c>
      <c r="W451" t="s">
        <v>4132</v>
      </c>
    </row>
    <row r="452" spans="1:23" x14ac:dyDescent="0.25">
      <c r="B452" s="19">
        <v>5091</v>
      </c>
      <c r="C452" s="2">
        <f>HYPERLINK(URLs!B36 &amp; 41796,41796)</f>
        <v>41796</v>
      </c>
      <c r="D452" t="s">
        <v>2108</v>
      </c>
      <c r="E452" t="s">
        <v>387</v>
      </c>
      <c r="F452" t="s">
        <v>305</v>
      </c>
      <c r="G452" t="s">
        <v>310</v>
      </c>
      <c r="H452" t="s">
        <v>30</v>
      </c>
      <c r="I452" t="s">
        <v>35</v>
      </c>
      <c r="J452" t="s">
        <v>32</v>
      </c>
      <c r="K452" t="s">
        <v>44</v>
      </c>
      <c r="L452" t="s">
        <v>96</v>
      </c>
      <c r="M452" t="s">
        <v>269</v>
      </c>
      <c r="N452" t="s">
        <v>46</v>
      </c>
      <c r="P452" t="s">
        <v>1749</v>
      </c>
      <c r="R452">
        <v>41739.524050925924</v>
      </c>
      <c r="S452">
        <v>42649.842083333337</v>
      </c>
      <c r="T452" t="s">
        <v>1529</v>
      </c>
      <c r="U452" t="s">
        <v>35</v>
      </c>
      <c r="V452" t="s">
        <v>35</v>
      </c>
      <c r="W452" t="s">
        <v>4136</v>
      </c>
    </row>
    <row r="453" spans="1:23" x14ac:dyDescent="0.25">
      <c r="B453" s="19">
        <v>5091</v>
      </c>
      <c r="C453" s="2">
        <f>HYPERLINK(URLs!B36 &amp; 41795,41795)</f>
        <v>41795</v>
      </c>
      <c r="D453" t="s">
        <v>2107</v>
      </c>
      <c r="E453" t="s">
        <v>387</v>
      </c>
      <c r="F453" t="s">
        <v>305</v>
      </c>
      <c r="G453" t="s">
        <v>310</v>
      </c>
      <c r="H453" t="s">
        <v>30</v>
      </c>
      <c r="I453" t="s">
        <v>31</v>
      </c>
      <c r="J453" t="s">
        <v>32</v>
      </c>
      <c r="K453" t="s">
        <v>44</v>
      </c>
      <c r="L453" t="s">
        <v>96</v>
      </c>
      <c r="M453" t="s">
        <v>269</v>
      </c>
      <c r="N453" t="s">
        <v>46</v>
      </c>
      <c r="P453" t="s">
        <v>1749</v>
      </c>
      <c r="R453">
        <v>41739.523969907408</v>
      </c>
      <c r="S453">
        <v>42678.613113425927</v>
      </c>
      <c r="T453" t="s">
        <v>1529</v>
      </c>
      <c r="U453" t="s">
        <v>35</v>
      </c>
      <c r="V453" t="s">
        <v>35</v>
      </c>
      <c r="W453" t="s">
        <v>2552</v>
      </c>
    </row>
    <row r="454" spans="1:23" x14ac:dyDescent="0.25">
      <c r="B454" s="19">
        <v>5091</v>
      </c>
      <c r="C454" s="2">
        <f>HYPERLINK(URLs!B36 &amp; 41794,41794)</f>
        <v>41794</v>
      </c>
      <c r="D454" t="s">
        <v>2106</v>
      </c>
      <c r="E454" t="s">
        <v>387</v>
      </c>
      <c r="F454" t="s">
        <v>305</v>
      </c>
      <c r="G454" t="s">
        <v>328</v>
      </c>
      <c r="H454" t="s">
        <v>30</v>
      </c>
      <c r="I454" t="s">
        <v>35</v>
      </c>
      <c r="J454" t="s">
        <v>32</v>
      </c>
      <c r="K454" t="s">
        <v>44</v>
      </c>
      <c r="L454" t="s">
        <v>96</v>
      </c>
      <c r="M454" t="s">
        <v>269</v>
      </c>
      <c r="N454" t="s">
        <v>46</v>
      </c>
      <c r="P454" t="s">
        <v>1749</v>
      </c>
      <c r="R454">
        <v>41739.523877314816</v>
      </c>
      <c r="S454">
        <v>42649.841851851852</v>
      </c>
      <c r="T454" t="s">
        <v>1529</v>
      </c>
      <c r="U454" t="s">
        <v>35</v>
      </c>
      <c r="V454" t="s">
        <v>35</v>
      </c>
      <c r="W454" t="s">
        <v>4132</v>
      </c>
    </row>
    <row r="455" spans="1:23" x14ac:dyDescent="0.25">
      <c r="B455" s="19">
        <v>5091</v>
      </c>
      <c r="C455" s="2">
        <f>HYPERLINK(URLs!B36 &amp; 41793,41793)</f>
        <v>41793</v>
      </c>
      <c r="D455" t="s">
        <v>2105</v>
      </c>
      <c r="E455" t="s">
        <v>387</v>
      </c>
      <c r="F455" t="s">
        <v>305</v>
      </c>
      <c r="G455" t="s">
        <v>337</v>
      </c>
      <c r="H455" t="s">
        <v>30</v>
      </c>
      <c r="I455" t="s">
        <v>35</v>
      </c>
      <c r="J455" t="s">
        <v>32</v>
      </c>
      <c r="K455" t="s">
        <v>44</v>
      </c>
      <c r="L455" t="s">
        <v>96</v>
      </c>
      <c r="M455" t="s">
        <v>269</v>
      </c>
      <c r="N455" t="s">
        <v>46</v>
      </c>
      <c r="P455" t="s">
        <v>1749</v>
      </c>
      <c r="R455">
        <v>41739.523796296293</v>
      </c>
      <c r="S455">
        <v>42649.841689814813</v>
      </c>
      <c r="T455" t="s">
        <v>1529</v>
      </c>
      <c r="U455" t="s">
        <v>35</v>
      </c>
      <c r="V455" t="s">
        <v>35</v>
      </c>
      <c r="W455" t="s">
        <v>3039</v>
      </c>
    </row>
    <row r="456" spans="1:23" x14ac:dyDescent="0.25">
      <c r="B456" s="19">
        <v>5091</v>
      </c>
      <c r="C456" s="2">
        <f>HYPERLINK(URLs!B36 &amp; 41764,41764)</f>
        <v>41764</v>
      </c>
      <c r="D456" t="s">
        <v>2103</v>
      </c>
      <c r="E456" t="s">
        <v>2104</v>
      </c>
      <c r="F456" t="s">
        <v>305</v>
      </c>
      <c r="G456" t="s">
        <v>337</v>
      </c>
      <c r="H456" t="s">
        <v>30</v>
      </c>
      <c r="I456" t="s">
        <v>35</v>
      </c>
      <c r="J456" t="s">
        <v>32</v>
      </c>
      <c r="K456" t="s">
        <v>44</v>
      </c>
      <c r="L456" t="s">
        <v>96</v>
      </c>
      <c r="M456" t="s">
        <v>269</v>
      </c>
      <c r="N456" t="s">
        <v>46</v>
      </c>
      <c r="P456" t="s">
        <v>1749</v>
      </c>
      <c r="R456">
        <v>41738.70988425926</v>
      </c>
      <c r="S456">
        <v>42649.841874999998</v>
      </c>
      <c r="T456" t="s">
        <v>2104</v>
      </c>
      <c r="U456" t="s">
        <v>35</v>
      </c>
      <c r="V456" t="s">
        <v>35</v>
      </c>
      <c r="W456" t="s">
        <v>4098</v>
      </c>
    </row>
    <row r="457" spans="1:23" x14ac:dyDescent="0.25">
      <c r="B457" s="19">
        <v>5102</v>
      </c>
      <c r="C457" s="2">
        <f>HYPERLINK(URLs!B36 &amp; 41138,41138)</f>
        <v>41138</v>
      </c>
      <c r="D457" t="s">
        <v>2080</v>
      </c>
      <c r="E457" t="s">
        <v>387</v>
      </c>
      <c r="F457" t="s">
        <v>305</v>
      </c>
      <c r="G457" t="s">
        <v>304</v>
      </c>
      <c r="H457" t="s">
        <v>30</v>
      </c>
      <c r="I457" t="s">
        <v>31</v>
      </c>
      <c r="J457" t="s">
        <v>43</v>
      </c>
      <c r="K457" t="s">
        <v>51</v>
      </c>
      <c r="L457" t="s">
        <v>73</v>
      </c>
      <c r="M457" t="s">
        <v>263</v>
      </c>
      <c r="N457" t="s">
        <v>2009</v>
      </c>
      <c r="P457" t="s">
        <v>1634</v>
      </c>
      <c r="R457">
        <v>41719.548321759263</v>
      </c>
      <c r="S457">
        <v>42648.82984953704</v>
      </c>
      <c r="T457" t="s">
        <v>1529</v>
      </c>
      <c r="U457" t="s">
        <v>35</v>
      </c>
      <c r="V457" t="s">
        <v>35</v>
      </c>
      <c r="W457" t="s">
        <v>2552</v>
      </c>
    </row>
    <row r="458" spans="1:23" x14ac:dyDescent="0.25">
      <c r="B458" s="19">
        <v>5102</v>
      </c>
      <c r="C458" s="2">
        <f>HYPERLINK(URLs!B36 &amp; 41137,41137)</f>
        <v>41137</v>
      </c>
      <c r="D458" t="s">
        <v>2079</v>
      </c>
      <c r="E458" t="s">
        <v>2002</v>
      </c>
      <c r="F458" t="s">
        <v>305</v>
      </c>
      <c r="G458" t="s">
        <v>304</v>
      </c>
      <c r="H458" t="s">
        <v>30</v>
      </c>
      <c r="I458" t="s">
        <v>35</v>
      </c>
      <c r="J458" t="s">
        <v>43</v>
      </c>
      <c r="K458" t="s">
        <v>35</v>
      </c>
      <c r="L458" t="s">
        <v>73</v>
      </c>
      <c r="M458" t="s">
        <v>263</v>
      </c>
      <c r="N458" t="s">
        <v>46</v>
      </c>
      <c r="O458" t="s">
        <v>2045</v>
      </c>
      <c r="P458" t="s">
        <v>1634</v>
      </c>
      <c r="R458">
        <v>41719.54824074074</v>
      </c>
      <c r="S458">
        <v>42648.830185185187</v>
      </c>
      <c r="T458" t="s">
        <v>1529</v>
      </c>
      <c r="U458" t="s">
        <v>35</v>
      </c>
      <c r="V458" t="s">
        <v>35</v>
      </c>
      <c r="W458" t="s">
        <v>4131</v>
      </c>
    </row>
    <row r="459" spans="1:23" x14ac:dyDescent="0.25">
      <c r="B459" s="19">
        <v>5102</v>
      </c>
      <c r="C459" s="2">
        <f>HYPERLINK(URLs!B36 &amp; 41136,41136)</f>
        <v>41136</v>
      </c>
      <c r="D459" t="s">
        <v>2078</v>
      </c>
      <c r="E459" t="s">
        <v>2002</v>
      </c>
      <c r="F459" t="s">
        <v>305</v>
      </c>
      <c r="G459" t="s">
        <v>304</v>
      </c>
      <c r="H459" t="s">
        <v>30</v>
      </c>
      <c r="I459" t="s">
        <v>35</v>
      </c>
      <c r="J459" t="s">
        <v>43</v>
      </c>
      <c r="K459" t="s">
        <v>51</v>
      </c>
      <c r="L459" t="s">
        <v>73</v>
      </c>
      <c r="M459" t="s">
        <v>263</v>
      </c>
      <c r="N459" t="s">
        <v>46</v>
      </c>
      <c r="P459" t="s">
        <v>1634</v>
      </c>
      <c r="R459">
        <v>41719.544293981482</v>
      </c>
      <c r="S459">
        <v>42649.840729166666</v>
      </c>
      <c r="T459" t="s">
        <v>1529</v>
      </c>
      <c r="U459" t="s">
        <v>35</v>
      </c>
      <c r="V459" t="s">
        <v>35</v>
      </c>
      <c r="W459" t="s">
        <v>4098</v>
      </c>
    </row>
    <row r="460" spans="1:23" x14ac:dyDescent="0.25">
      <c r="B460" s="19">
        <v>5124</v>
      </c>
      <c r="C460" s="2">
        <f>HYPERLINK(URLs!B36 &amp; 43226,43226)</f>
        <v>43226</v>
      </c>
      <c r="D460" t="s">
        <v>2136</v>
      </c>
      <c r="E460" t="s">
        <v>139</v>
      </c>
      <c r="F460" t="s">
        <v>305</v>
      </c>
      <c r="G460" t="s">
        <v>304</v>
      </c>
      <c r="H460" t="s">
        <v>30</v>
      </c>
      <c r="I460" t="s">
        <v>35</v>
      </c>
      <c r="J460" t="s">
        <v>43</v>
      </c>
      <c r="K460" t="s">
        <v>33</v>
      </c>
      <c r="L460" t="s">
        <v>73</v>
      </c>
      <c r="M460" t="s">
        <v>263</v>
      </c>
      <c r="N460" t="s">
        <v>46</v>
      </c>
      <c r="P460" t="s">
        <v>1634</v>
      </c>
      <c r="R460">
        <v>41782.800856481481</v>
      </c>
      <c r="S460">
        <v>42648.834074074075</v>
      </c>
      <c r="T460" t="s">
        <v>1529</v>
      </c>
      <c r="U460" t="s">
        <v>35</v>
      </c>
      <c r="V460" t="s">
        <v>35</v>
      </c>
      <c r="W460" t="s">
        <v>4138</v>
      </c>
    </row>
    <row r="461" spans="1:23" x14ac:dyDescent="0.25">
      <c r="B461" s="19">
        <v>5124</v>
      </c>
      <c r="C461" s="2">
        <f>HYPERLINK(URLs!B36 &amp; 43225,43225)</f>
        <v>43225</v>
      </c>
      <c r="D461" t="s">
        <v>2135</v>
      </c>
      <c r="E461" t="s">
        <v>139</v>
      </c>
      <c r="F461" t="s">
        <v>305</v>
      </c>
      <c r="G461" t="s">
        <v>304</v>
      </c>
      <c r="H461" t="s">
        <v>30</v>
      </c>
      <c r="I461" t="s">
        <v>31</v>
      </c>
      <c r="J461" t="s">
        <v>43</v>
      </c>
      <c r="K461" t="s">
        <v>35</v>
      </c>
      <c r="L461" t="s">
        <v>73</v>
      </c>
      <c r="M461" t="s">
        <v>263</v>
      </c>
      <c r="N461" t="s">
        <v>2009</v>
      </c>
      <c r="P461" t="s">
        <v>1634</v>
      </c>
      <c r="R461">
        <v>41782.800775462965</v>
      </c>
      <c r="S461">
        <v>42648.834178240744</v>
      </c>
      <c r="T461" t="s">
        <v>1529</v>
      </c>
      <c r="U461" t="s">
        <v>35</v>
      </c>
      <c r="V461" t="s">
        <v>35</v>
      </c>
      <c r="W461" t="s">
        <v>2552</v>
      </c>
    </row>
    <row r="462" spans="1:23" x14ac:dyDescent="0.25">
      <c r="B462" s="19">
        <v>5124</v>
      </c>
      <c r="C462" s="2">
        <f>HYPERLINK(URLs!B36 &amp; 43224,43224)</f>
        <v>43224</v>
      </c>
      <c r="D462" t="s">
        <v>2134</v>
      </c>
      <c r="E462" t="s">
        <v>139</v>
      </c>
      <c r="F462" t="s">
        <v>305</v>
      </c>
      <c r="G462" t="s">
        <v>304</v>
      </c>
      <c r="H462" t="s">
        <v>30</v>
      </c>
      <c r="I462" t="s">
        <v>35</v>
      </c>
      <c r="J462" t="s">
        <v>43</v>
      </c>
      <c r="K462" t="s">
        <v>35</v>
      </c>
      <c r="L462" t="s">
        <v>73</v>
      </c>
      <c r="M462" t="s">
        <v>263</v>
      </c>
      <c r="N462" t="s">
        <v>46</v>
      </c>
      <c r="O462" t="s">
        <v>2007</v>
      </c>
      <c r="P462" t="s">
        <v>1634</v>
      </c>
      <c r="R462">
        <v>41782.800682870373</v>
      </c>
      <c r="S462">
        <v>42648.833703703705</v>
      </c>
      <c r="T462" t="s">
        <v>1529</v>
      </c>
      <c r="U462" t="s">
        <v>35</v>
      </c>
      <c r="V462" t="s">
        <v>35</v>
      </c>
      <c r="W462" t="s">
        <v>4131</v>
      </c>
    </row>
    <row r="463" spans="1:23" x14ac:dyDescent="0.25">
      <c r="B463" s="19">
        <v>5124</v>
      </c>
      <c r="C463" s="2">
        <f>HYPERLINK(URLs!B36 &amp; 43223,43223)</f>
        <v>43223</v>
      </c>
      <c r="D463" t="s">
        <v>2133</v>
      </c>
      <c r="E463" t="s">
        <v>139</v>
      </c>
      <c r="F463" t="s">
        <v>305</v>
      </c>
      <c r="G463" t="s">
        <v>337</v>
      </c>
      <c r="H463" t="s">
        <v>30</v>
      </c>
      <c r="I463" t="s">
        <v>35</v>
      </c>
      <c r="J463" t="s">
        <v>43</v>
      </c>
      <c r="K463" t="s">
        <v>35</v>
      </c>
      <c r="L463" t="s">
        <v>73</v>
      </c>
      <c r="M463" t="s">
        <v>263</v>
      </c>
      <c r="N463" t="s">
        <v>46</v>
      </c>
      <c r="P463" t="s">
        <v>1634</v>
      </c>
      <c r="R463">
        <v>41782.800567129627</v>
      </c>
      <c r="S463">
        <v>42649.842280092591</v>
      </c>
      <c r="T463" t="s">
        <v>1529</v>
      </c>
      <c r="U463" t="s">
        <v>35</v>
      </c>
      <c r="V463" t="s">
        <v>35</v>
      </c>
      <c r="W463" t="s">
        <v>3039</v>
      </c>
    </row>
    <row r="464" spans="1:23" x14ac:dyDescent="0.25">
      <c r="B464" s="19">
        <v>5124</v>
      </c>
      <c r="C464" s="2">
        <f>HYPERLINK(URLs!B36 &amp; 43159,43159)</f>
        <v>43159</v>
      </c>
      <c r="D464" t="s">
        <v>2132</v>
      </c>
      <c r="E464" t="s">
        <v>139</v>
      </c>
      <c r="F464" t="s">
        <v>305</v>
      </c>
      <c r="G464" t="s">
        <v>304</v>
      </c>
      <c r="H464" t="s">
        <v>30</v>
      </c>
      <c r="I464" t="s">
        <v>35</v>
      </c>
      <c r="J464" t="s">
        <v>43</v>
      </c>
      <c r="K464" t="s">
        <v>35</v>
      </c>
      <c r="L464" t="s">
        <v>73</v>
      </c>
      <c r="M464" t="s">
        <v>263</v>
      </c>
      <c r="N464" t="s">
        <v>46</v>
      </c>
      <c r="P464" t="s">
        <v>1634</v>
      </c>
      <c r="R464">
        <v>41781.249965277777</v>
      </c>
      <c r="S464">
        <v>42649.842604166668</v>
      </c>
      <c r="T464" t="s">
        <v>1640</v>
      </c>
      <c r="U464" t="s">
        <v>35</v>
      </c>
      <c r="V464" t="s">
        <v>35</v>
      </c>
      <c r="W464" t="s">
        <v>4098</v>
      </c>
    </row>
    <row r="465" spans="2:23" x14ac:dyDescent="0.25">
      <c r="B465" s="19">
        <v>5139</v>
      </c>
      <c r="C465" s="2">
        <f>HYPERLINK(URLs!B36 &amp; 72142,72142)</f>
        <v>72142</v>
      </c>
      <c r="D465" t="s">
        <v>2759</v>
      </c>
      <c r="E465" t="s">
        <v>387</v>
      </c>
      <c r="F465" t="s">
        <v>305</v>
      </c>
      <c r="G465" t="s">
        <v>328</v>
      </c>
      <c r="H465" t="s">
        <v>30</v>
      </c>
      <c r="I465" t="s">
        <v>31</v>
      </c>
      <c r="J465" t="s">
        <v>43</v>
      </c>
      <c r="K465" t="s">
        <v>44</v>
      </c>
      <c r="L465" t="s">
        <v>73</v>
      </c>
      <c r="M465" t="s">
        <v>263</v>
      </c>
      <c r="N465" t="s">
        <v>46</v>
      </c>
      <c r="P465" t="s">
        <v>1634</v>
      </c>
      <c r="Q465" t="s">
        <v>2112</v>
      </c>
      <c r="R465">
        <v>42312.949212962965</v>
      </c>
      <c r="S465">
        <v>42678.641585648147</v>
      </c>
      <c r="T465" t="s">
        <v>2</v>
      </c>
      <c r="U465" t="s">
        <v>35</v>
      </c>
      <c r="V465" t="s">
        <v>35</v>
      </c>
      <c r="W465" t="s">
        <v>3028</v>
      </c>
    </row>
    <row r="466" spans="2:23" x14ac:dyDescent="0.25">
      <c r="B466" s="19">
        <v>5139</v>
      </c>
      <c r="C466" s="2">
        <f>HYPERLINK(URLs!B36 &amp; 68362,68362)</f>
        <v>68362</v>
      </c>
      <c r="D466" t="s">
        <v>2681</v>
      </c>
      <c r="E466" t="s">
        <v>139</v>
      </c>
      <c r="F466" t="s">
        <v>305</v>
      </c>
      <c r="G466" t="s">
        <v>337</v>
      </c>
      <c r="H466" t="s">
        <v>54</v>
      </c>
      <c r="I466" t="s">
        <v>31</v>
      </c>
      <c r="J466" t="s">
        <v>43</v>
      </c>
      <c r="K466" t="s">
        <v>44</v>
      </c>
      <c r="L466" t="s">
        <v>73</v>
      </c>
      <c r="M466" t="s">
        <v>263</v>
      </c>
      <c r="N466" t="s">
        <v>46</v>
      </c>
      <c r="P466" t="s">
        <v>1749</v>
      </c>
      <c r="Q466" t="s">
        <v>2112</v>
      </c>
      <c r="R466">
        <v>42249.800520833334</v>
      </c>
      <c r="S466">
        <v>42759.723391203705</v>
      </c>
      <c r="T466" t="s">
        <v>317</v>
      </c>
      <c r="U466" t="s">
        <v>35</v>
      </c>
      <c r="V466" t="s">
        <v>35</v>
      </c>
      <c r="W466" t="s">
        <v>4153</v>
      </c>
    </row>
    <row r="467" spans="2:23" x14ac:dyDescent="0.25">
      <c r="B467" s="19">
        <v>5139</v>
      </c>
      <c r="C467" s="2">
        <f>HYPERLINK(URLs!B36 &amp; 65141,65141)</f>
        <v>65141</v>
      </c>
      <c r="D467" t="s">
        <v>2548</v>
      </c>
      <c r="E467" t="s">
        <v>139</v>
      </c>
      <c r="F467" t="s">
        <v>305</v>
      </c>
      <c r="G467" t="s">
        <v>328</v>
      </c>
      <c r="H467" t="s">
        <v>54</v>
      </c>
      <c r="I467" t="s">
        <v>31</v>
      </c>
      <c r="J467" t="s">
        <v>43</v>
      </c>
      <c r="K467" t="s">
        <v>44</v>
      </c>
      <c r="L467" t="s">
        <v>73</v>
      </c>
      <c r="M467" t="s">
        <v>263</v>
      </c>
      <c r="N467" t="s">
        <v>518</v>
      </c>
      <c r="P467" t="s">
        <v>1749</v>
      </c>
      <c r="Q467" t="s">
        <v>2112</v>
      </c>
      <c r="R467">
        <v>42192.674791666665</v>
      </c>
      <c r="S467">
        <v>43007.419953703706</v>
      </c>
      <c r="T467" t="s">
        <v>317</v>
      </c>
      <c r="U467" t="s">
        <v>35</v>
      </c>
      <c r="V467" t="s">
        <v>35</v>
      </c>
      <c r="W467" t="s">
        <v>65</v>
      </c>
    </row>
    <row r="468" spans="2:23" x14ac:dyDescent="0.25">
      <c r="B468" s="19">
        <v>5139</v>
      </c>
      <c r="C468" s="2">
        <f>HYPERLINK(URLs!B36 &amp; 63340,63340)</f>
        <v>63340</v>
      </c>
      <c r="D468" t="s">
        <v>2498</v>
      </c>
      <c r="E468" t="s">
        <v>139</v>
      </c>
      <c r="F468" t="s">
        <v>305</v>
      </c>
      <c r="G468" t="s">
        <v>337</v>
      </c>
      <c r="H468" t="s">
        <v>54</v>
      </c>
      <c r="I468" t="s">
        <v>68</v>
      </c>
      <c r="J468" t="s">
        <v>43</v>
      </c>
      <c r="K468" t="s">
        <v>33</v>
      </c>
      <c r="L468" t="s">
        <v>73</v>
      </c>
      <c r="M468" t="s">
        <v>263</v>
      </c>
      <c r="N468" t="s">
        <v>46</v>
      </c>
      <c r="O468" t="s">
        <v>2499</v>
      </c>
      <c r="P468" t="s">
        <v>1749</v>
      </c>
      <c r="Q468" t="s">
        <v>2112</v>
      </c>
      <c r="R468">
        <v>42157.938460648147</v>
      </c>
      <c r="S468">
        <v>42200.633148148147</v>
      </c>
      <c r="T468" t="s">
        <v>317</v>
      </c>
      <c r="U468" t="s">
        <v>35</v>
      </c>
      <c r="V468" t="s">
        <v>35</v>
      </c>
      <c r="W468" t="s">
        <v>4144</v>
      </c>
    </row>
    <row r="469" spans="2:23" x14ac:dyDescent="0.25">
      <c r="B469" s="19">
        <v>5139</v>
      </c>
      <c r="C469" s="2">
        <f>HYPERLINK(URLs!B36 &amp; 60557,60557)</f>
        <v>60557</v>
      </c>
      <c r="D469" t="s">
        <v>2424</v>
      </c>
      <c r="E469" t="s">
        <v>139</v>
      </c>
      <c r="F469" t="s">
        <v>305</v>
      </c>
      <c r="G469" t="s">
        <v>337</v>
      </c>
      <c r="H469" t="s">
        <v>54</v>
      </c>
      <c r="I469" t="s">
        <v>31</v>
      </c>
      <c r="J469" t="s">
        <v>43</v>
      </c>
      <c r="K469" t="s">
        <v>44</v>
      </c>
      <c r="L469" t="s">
        <v>73</v>
      </c>
      <c r="M469" t="s">
        <v>263</v>
      </c>
      <c r="N469" t="s">
        <v>46</v>
      </c>
      <c r="P469" t="s">
        <v>1749</v>
      </c>
      <c r="Q469" t="s">
        <v>2112</v>
      </c>
      <c r="R469">
        <v>42109.990752314814</v>
      </c>
      <c r="S469">
        <v>43007.38685185185</v>
      </c>
      <c r="T469" t="s">
        <v>317</v>
      </c>
      <c r="U469" t="s">
        <v>35</v>
      </c>
      <c r="V469" t="s">
        <v>35</v>
      </c>
      <c r="W469" t="s">
        <v>61</v>
      </c>
    </row>
    <row r="470" spans="2:23" x14ac:dyDescent="0.25">
      <c r="B470" s="19">
        <v>5139</v>
      </c>
      <c r="C470" s="2">
        <f>HYPERLINK(URLs!B36 &amp; 56687,56687)</f>
        <v>56687</v>
      </c>
      <c r="D470" t="s">
        <v>2326</v>
      </c>
      <c r="E470" t="s">
        <v>2027</v>
      </c>
      <c r="F470" t="s">
        <v>305</v>
      </c>
      <c r="G470" t="s">
        <v>337</v>
      </c>
      <c r="H470" t="s">
        <v>54</v>
      </c>
      <c r="I470" t="s">
        <v>31</v>
      </c>
      <c r="J470" t="s">
        <v>43</v>
      </c>
      <c r="K470" t="s">
        <v>44</v>
      </c>
      <c r="L470" t="s">
        <v>73</v>
      </c>
      <c r="M470" t="s">
        <v>263</v>
      </c>
      <c r="N470" t="s">
        <v>46</v>
      </c>
      <c r="P470" t="s">
        <v>1749</v>
      </c>
      <c r="Q470" t="s">
        <v>2112</v>
      </c>
      <c r="R470">
        <v>42041.992129629631</v>
      </c>
      <c r="S470">
        <v>42678.635000000002</v>
      </c>
      <c r="T470" t="s">
        <v>53</v>
      </c>
      <c r="U470" t="s">
        <v>35</v>
      </c>
      <c r="V470" t="s">
        <v>35</v>
      </c>
      <c r="W470" t="s">
        <v>4147</v>
      </c>
    </row>
    <row r="471" spans="2:23" x14ac:dyDescent="0.25">
      <c r="B471" s="19">
        <v>5139</v>
      </c>
      <c r="C471" s="2">
        <f>HYPERLINK(URLs!B36 &amp; 50550,50550)</f>
        <v>50550</v>
      </c>
      <c r="D471" t="s">
        <v>2219</v>
      </c>
      <c r="E471" t="s">
        <v>139</v>
      </c>
      <c r="F471" t="s">
        <v>305</v>
      </c>
      <c r="G471" t="s">
        <v>337</v>
      </c>
      <c r="H471" t="s">
        <v>2220</v>
      </c>
      <c r="I471" t="s">
        <v>68</v>
      </c>
      <c r="J471" t="s">
        <v>43</v>
      </c>
      <c r="K471" t="s">
        <v>33</v>
      </c>
      <c r="L471" t="s">
        <v>73</v>
      </c>
      <c r="M471" t="s">
        <v>263</v>
      </c>
      <c r="N471" t="s">
        <v>46</v>
      </c>
      <c r="P471" t="s">
        <v>1749</v>
      </c>
      <c r="R471">
        <v>41906.825613425928</v>
      </c>
      <c r="S471">
        <v>42272.502013888887</v>
      </c>
      <c r="T471" t="s">
        <v>2221</v>
      </c>
      <c r="U471" t="s">
        <v>35</v>
      </c>
      <c r="V471" t="s">
        <v>35</v>
      </c>
      <c r="W471" t="s">
        <v>4145</v>
      </c>
    </row>
    <row r="472" spans="2:23" x14ac:dyDescent="0.25">
      <c r="B472" s="19">
        <v>5139</v>
      </c>
      <c r="C472" s="2">
        <f>HYPERLINK(URLs!B36 &amp; 42458,42458)</f>
        <v>42458</v>
      </c>
      <c r="D472" t="s">
        <v>2118</v>
      </c>
      <c r="E472" t="s">
        <v>139</v>
      </c>
      <c r="F472" t="s">
        <v>305</v>
      </c>
      <c r="G472" t="s">
        <v>337</v>
      </c>
      <c r="H472" t="s">
        <v>30</v>
      </c>
      <c r="I472" t="s">
        <v>31</v>
      </c>
      <c r="J472" t="s">
        <v>43</v>
      </c>
      <c r="K472" t="s">
        <v>44</v>
      </c>
      <c r="L472" t="s">
        <v>73</v>
      </c>
      <c r="M472" t="s">
        <v>263</v>
      </c>
      <c r="N472" t="s">
        <v>46</v>
      </c>
      <c r="O472" t="s">
        <v>1548</v>
      </c>
      <c r="P472" t="s">
        <v>1749</v>
      </c>
      <c r="R472">
        <v>41761.846458333333</v>
      </c>
      <c r="S472">
        <v>42678.619953703703</v>
      </c>
      <c r="T472" t="s">
        <v>1529</v>
      </c>
      <c r="U472" t="s">
        <v>35</v>
      </c>
      <c r="V472" t="s">
        <v>35</v>
      </c>
      <c r="W472" t="s">
        <v>4137</v>
      </c>
    </row>
    <row r="473" spans="2:23" x14ac:dyDescent="0.25">
      <c r="B473" s="19">
        <v>5139</v>
      </c>
      <c r="C473" s="2">
        <f>HYPERLINK(URLs!B36 &amp; 42457,42457)</f>
        <v>42457</v>
      </c>
      <c r="D473" t="s">
        <v>2115</v>
      </c>
      <c r="E473" t="s">
        <v>139</v>
      </c>
      <c r="F473" t="s">
        <v>305</v>
      </c>
      <c r="G473" t="s">
        <v>337</v>
      </c>
      <c r="H473" t="s">
        <v>30</v>
      </c>
      <c r="I473" t="s">
        <v>31</v>
      </c>
      <c r="J473" t="s">
        <v>43</v>
      </c>
      <c r="K473" t="s">
        <v>44</v>
      </c>
      <c r="L473" t="s">
        <v>73</v>
      </c>
      <c r="M473" t="s">
        <v>263</v>
      </c>
      <c r="N473" t="s">
        <v>2116</v>
      </c>
      <c r="O473" t="s">
        <v>2117</v>
      </c>
      <c r="P473" t="s">
        <v>1749</v>
      </c>
      <c r="R473">
        <v>41761.846388888887</v>
      </c>
      <c r="S473">
        <v>42678.62605324074</v>
      </c>
      <c r="T473" t="s">
        <v>1529</v>
      </c>
      <c r="U473" t="s">
        <v>35</v>
      </c>
      <c r="V473" t="s">
        <v>35</v>
      </c>
      <c r="W473" t="s">
        <v>2552</v>
      </c>
    </row>
    <row r="474" spans="2:23" x14ac:dyDescent="0.25">
      <c r="B474" s="19">
        <v>5139</v>
      </c>
      <c r="C474" s="2">
        <f>HYPERLINK(URLs!B36 &amp; 42456,42456)</f>
        <v>42456</v>
      </c>
      <c r="D474" t="s">
        <v>2114</v>
      </c>
      <c r="E474" t="s">
        <v>387</v>
      </c>
      <c r="F474" t="s">
        <v>305</v>
      </c>
      <c r="G474" t="s">
        <v>328</v>
      </c>
      <c r="H474" t="s">
        <v>30</v>
      </c>
      <c r="I474" t="s">
        <v>31</v>
      </c>
      <c r="J474" t="s">
        <v>43</v>
      </c>
      <c r="K474" t="s">
        <v>44</v>
      </c>
      <c r="L474" t="s">
        <v>73</v>
      </c>
      <c r="M474" t="s">
        <v>263</v>
      </c>
      <c r="N474" t="s">
        <v>46</v>
      </c>
      <c r="P474" t="s">
        <v>1749</v>
      </c>
      <c r="R474">
        <v>41761.846319444441</v>
      </c>
      <c r="S474">
        <v>42649.842060185183</v>
      </c>
      <c r="T474" t="s">
        <v>1529</v>
      </c>
      <c r="U474" t="s">
        <v>35</v>
      </c>
      <c r="V474" t="s">
        <v>35</v>
      </c>
      <c r="W474" t="s">
        <v>4132</v>
      </c>
    </row>
    <row r="475" spans="2:23" x14ac:dyDescent="0.25">
      <c r="B475" s="19">
        <v>5139</v>
      </c>
      <c r="C475" s="2">
        <f>HYPERLINK(URLs!B36 &amp; 42455,42455)</f>
        <v>42455</v>
      </c>
      <c r="D475" t="s">
        <v>2113</v>
      </c>
      <c r="E475" t="s">
        <v>387</v>
      </c>
      <c r="F475" t="s">
        <v>305</v>
      </c>
      <c r="G475" t="s">
        <v>328</v>
      </c>
      <c r="H475" t="s">
        <v>30</v>
      </c>
      <c r="I475" t="s">
        <v>31</v>
      </c>
      <c r="J475" t="s">
        <v>43</v>
      </c>
      <c r="K475" t="s">
        <v>44</v>
      </c>
      <c r="L475" t="s">
        <v>73</v>
      </c>
      <c r="M475" t="s">
        <v>263</v>
      </c>
      <c r="N475" t="s">
        <v>46</v>
      </c>
      <c r="P475" t="s">
        <v>1749</v>
      </c>
      <c r="R475">
        <v>41761.846250000002</v>
      </c>
      <c r="S475">
        <v>42649.841689814813</v>
      </c>
      <c r="T475" t="s">
        <v>1529</v>
      </c>
      <c r="U475" t="s">
        <v>35</v>
      </c>
      <c r="V475" t="s">
        <v>35</v>
      </c>
      <c r="W475" t="s">
        <v>3039</v>
      </c>
    </row>
    <row r="476" spans="2:23" x14ac:dyDescent="0.25">
      <c r="B476" s="19">
        <v>5139</v>
      </c>
      <c r="C476" s="2">
        <f>HYPERLINK(URLs!B36 &amp; 42454,42454)</f>
        <v>42454</v>
      </c>
      <c r="D476" t="s">
        <v>2110</v>
      </c>
      <c r="E476" t="s">
        <v>139</v>
      </c>
      <c r="F476" t="s">
        <v>305</v>
      </c>
      <c r="G476" t="s">
        <v>328</v>
      </c>
      <c r="H476" t="s">
        <v>54</v>
      </c>
      <c r="I476" t="s">
        <v>31</v>
      </c>
      <c r="J476" t="s">
        <v>43</v>
      </c>
      <c r="K476" t="s">
        <v>44</v>
      </c>
      <c r="L476" t="s">
        <v>73</v>
      </c>
      <c r="M476" t="s">
        <v>263</v>
      </c>
      <c r="N476" t="s">
        <v>46</v>
      </c>
      <c r="O476" t="s">
        <v>2111</v>
      </c>
      <c r="P476" t="s">
        <v>1749</v>
      </c>
      <c r="Q476" t="s">
        <v>2112</v>
      </c>
      <c r="R476">
        <v>41761.842361111114</v>
      </c>
      <c r="S476">
        <v>42649.841956018521</v>
      </c>
      <c r="T476" t="s">
        <v>1640</v>
      </c>
      <c r="U476" t="s">
        <v>35</v>
      </c>
      <c r="V476" t="s">
        <v>35</v>
      </c>
      <c r="W476" t="s">
        <v>4098</v>
      </c>
    </row>
    <row r="477" spans="2:23" x14ac:dyDescent="0.25">
      <c r="B477" s="19">
        <v>5188</v>
      </c>
      <c r="C477" s="2">
        <f>HYPERLINK(URLs!B36 &amp; 42574,42574)</f>
        <v>42574</v>
      </c>
      <c r="D477" t="s">
        <v>2125</v>
      </c>
      <c r="E477" t="s">
        <v>387</v>
      </c>
      <c r="F477" t="s">
        <v>305</v>
      </c>
      <c r="G477" t="s">
        <v>310</v>
      </c>
      <c r="H477" t="s">
        <v>30</v>
      </c>
      <c r="I477" t="s">
        <v>35</v>
      </c>
      <c r="J477" t="s">
        <v>43</v>
      </c>
      <c r="K477" t="s">
        <v>51</v>
      </c>
      <c r="L477" t="s">
        <v>73</v>
      </c>
      <c r="M477" t="s">
        <v>1514</v>
      </c>
      <c r="N477" t="s">
        <v>46</v>
      </c>
      <c r="P477" t="s">
        <v>2121</v>
      </c>
      <c r="R477">
        <v>41765.78496527778</v>
      </c>
      <c r="S477">
        <v>42648.833078703705</v>
      </c>
      <c r="T477" t="s">
        <v>1529</v>
      </c>
      <c r="U477" t="s">
        <v>35</v>
      </c>
      <c r="V477" t="s">
        <v>35</v>
      </c>
      <c r="W477" t="s">
        <v>394</v>
      </c>
    </row>
    <row r="478" spans="2:23" x14ac:dyDescent="0.25">
      <c r="B478" s="19">
        <v>5188</v>
      </c>
      <c r="C478" s="2">
        <f>HYPERLINK(URLs!B36 &amp; 42573,42573)</f>
        <v>42573</v>
      </c>
      <c r="D478" t="s">
        <v>2124</v>
      </c>
      <c r="E478" t="s">
        <v>387</v>
      </c>
      <c r="F478" t="s">
        <v>305</v>
      </c>
      <c r="G478" t="s">
        <v>304</v>
      </c>
      <c r="H478" t="s">
        <v>30</v>
      </c>
      <c r="I478" t="s">
        <v>31</v>
      </c>
      <c r="J478" t="s">
        <v>43</v>
      </c>
      <c r="K478" t="s">
        <v>51</v>
      </c>
      <c r="L478" t="s">
        <v>73</v>
      </c>
      <c r="M478" t="s">
        <v>1514</v>
      </c>
      <c r="N478" t="s">
        <v>1998</v>
      </c>
      <c r="P478" t="s">
        <v>2121</v>
      </c>
      <c r="R478">
        <v>41765.784884259258</v>
      </c>
      <c r="S478">
        <v>42648.832638888889</v>
      </c>
      <c r="T478" t="s">
        <v>1529</v>
      </c>
      <c r="U478" t="s">
        <v>35</v>
      </c>
      <c r="V478" t="s">
        <v>35</v>
      </c>
      <c r="W478" t="s">
        <v>2552</v>
      </c>
    </row>
    <row r="479" spans="2:23" x14ac:dyDescent="0.25">
      <c r="B479" s="19">
        <v>5188</v>
      </c>
      <c r="C479" s="2">
        <f>HYPERLINK(URLs!B36 &amp; 42572,42572)</f>
        <v>42572</v>
      </c>
      <c r="D479" t="s">
        <v>2123</v>
      </c>
      <c r="E479" t="s">
        <v>387</v>
      </c>
      <c r="F479" t="s">
        <v>305</v>
      </c>
      <c r="G479" t="s">
        <v>304</v>
      </c>
      <c r="H479" t="s">
        <v>30</v>
      </c>
      <c r="I479" t="s">
        <v>35</v>
      </c>
      <c r="J479" t="s">
        <v>43</v>
      </c>
      <c r="K479" t="s">
        <v>51</v>
      </c>
      <c r="L479" t="s">
        <v>73</v>
      </c>
      <c r="M479" t="s">
        <v>1514</v>
      </c>
      <c r="N479" t="s">
        <v>46</v>
      </c>
      <c r="O479" t="s">
        <v>2045</v>
      </c>
      <c r="P479" t="s">
        <v>2121</v>
      </c>
      <c r="R479">
        <v>41765.784780092596</v>
      </c>
      <c r="S479">
        <v>42648.833171296297</v>
      </c>
      <c r="T479" t="s">
        <v>1529</v>
      </c>
      <c r="U479" t="s">
        <v>35</v>
      </c>
      <c r="V479" t="s">
        <v>35</v>
      </c>
      <c r="W479" t="s">
        <v>4131</v>
      </c>
    </row>
    <row r="480" spans="2:23" x14ac:dyDescent="0.25">
      <c r="B480" s="19">
        <v>5188</v>
      </c>
      <c r="C480" s="2">
        <f>HYPERLINK(URLs!B36 &amp; 42571,42571)</f>
        <v>42571</v>
      </c>
      <c r="D480" t="s">
        <v>2122</v>
      </c>
      <c r="E480" t="s">
        <v>387</v>
      </c>
      <c r="F480" t="s">
        <v>305</v>
      </c>
      <c r="G480" t="s">
        <v>310</v>
      </c>
      <c r="H480" t="s">
        <v>30</v>
      </c>
      <c r="I480" t="s">
        <v>35</v>
      </c>
      <c r="J480" t="s">
        <v>43</v>
      </c>
      <c r="K480" t="s">
        <v>51</v>
      </c>
      <c r="L480" t="s">
        <v>73</v>
      </c>
      <c r="M480" t="s">
        <v>1514</v>
      </c>
      <c r="N480" t="s">
        <v>46</v>
      </c>
      <c r="P480" t="s">
        <v>2121</v>
      </c>
      <c r="R480">
        <v>41765.784675925926</v>
      </c>
      <c r="S480">
        <v>42649.841620370367</v>
      </c>
      <c r="T480" t="s">
        <v>1529</v>
      </c>
      <c r="U480" t="s">
        <v>35</v>
      </c>
      <c r="V480" t="s">
        <v>35</v>
      </c>
      <c r="W480" t="s">
        <v>3039</v>
      </c>
    </row>
    <row r="481" spans="2:23" x14ac:dyDescent="0.25">
      <c r="B481" s="19">
        <v>5188</v>
      </c>
      <c r="C481" s="2">
        <f>HYPERLINK(URLs!B36 &amp; 42569,42569)</f>
        <v>42569</v>
      </c>
      <c r="D481" t="s">
        <v>2120</v>
      </c>
      <c r="E481" t="s">
        <v>387</v>
      </c>
      <c r="F481" t="s">
        <v>305</v>
      </c>
      <c r="G481" t="s">
        <v>304</v>
      </c>
      <c r="H481" t="s">
        <v>30</v>
      </c>
      <c r="I481" t="s">
        <v>35</v>
      </c>
      <c r="J481" t="s">
        <v>43</v>
      </c>
      <c r="K481" t="s">
        <v>51</v>
      </c>
      <c r="L481" t="s">
        <v>73</v>
      </c>
      <c r="M481" t="s">
        <v>1514</v>
      </c>
      <c r="N481" t="s">
        <v>46</v>
      </c>
      <c r="P481" t="s">
        <v>2121</v>
      </c>
      <c r="R481">
        <v>41765.735995370371</v>
      </c>
      <c r="S481">
        <v>41828.624120370368</v>
      </c>
      <c r="T481" t="s">
        <v>1598</v>
      </c>
      <c r="U481" t="s">
        <v>35</v>
      </c>
      <c r="V481" t="s">
        <v>35</v>
      </c>
      <c r="W481" t="s">
        <v>4098</v>
      </c>
    </row>
    <row r="482" spans="2:23" x14ac:dyDescent="0.25">
      <c r="B482" s="19">
        <v>5301</v>
      </c>
      <c r="C482" s="2">
        <f>HYPERLINK(URLs!B36 &amp; 62669,62669)</f>
        <v>62669</v>
      </c>
      <c r="D482" t="s">
        <v>2474</v>
      </c>
      <c r="E482" t="s">
        <v>2354</v>
      </c>
      <c r="F482" t="s">
        <v>305</v>
      </c>
      <c r="G482" t="s">
        <v>304</v>
      </c>
      <c r="H482" t="s">
        <v>30</v>
      </c>
      <c r="I482" t="s">
        <v>68</v>
      </c>
      <c r="J482" t="s">
        <v>43</v>
      </c>
      <c r="K482" t="s">
        <v>33</v>
      </c>
      <c r="L482" t="s">
        <v>34</v>
      </c>
      <c r="M482" t="s">
        <v>1853</v>
      </c>
      <c r="N482" t="s">
        <v>46</v>
      </c>
      <c r="P482" t="s">
        <v>2475</v>
      </c>
      <c r="R482">
        <v>42144.411458333336</v>
      </c>
      <c r="S482">
        <v>42306.703611111108</v>
      </c>
      <c r="T482" t="s">
        <v>2350</v>
      </c>
      <c r="U482" t="s">
        <v>35</v>
      </c>
      <c r="V482" t="s">
        <v>35</v>
      </c>
      <c r="W482" t="s">
        <v>2475</v>
      </c>
    </row>
    <row r="483" spans="2:23" x14ac:dyDescent="0.25">
      <c r="B483" s="19">
        <v>5335</v>
      </c>
      <c r="C483" s="2">
        <f>HYPERLINK(URLs!B36 &amp; 43249,43249)</f>
        <v>43249</v>
      </c>
      <c r="D483" t="s">
        <v>2142</v>
      </c>
      <c r="E483" t="s">
        <v>2002</v>
      </c>
      <c r="F483" t="s">
        <v>305</v>
      </c>
      <c r="G483" t="s">
        <v>310</v>
      </c>
      <c r="H483" t="s">
        <v>30</v>
      </c>
      <c r="I483" t="s">
        <v>35</v>
      </c>
      <c r="J483" t="s">
        <v>43</v>
      </c>
      <c r="K483" t="s">
        <v>44</v>
      </c>
      <c r="L483" t="s">
        <v>73</v>
      </c>
      <c r="M483" t="s">
        <v>1514</v>
      </c>
      <c r="N483" t="s">
        <v>46</v>
      </c>
      <c r="P483" t="s">
        <v>1634</v>
      </c>
      <c r="R483">
        <v>41785.805995370371</v>
      </c>
      <c r="S483">
        <v>42649.842719907407</v>
      </c>
      <c r="T483" t="s">
        <v>1529</v>
      </c>
      <c r="U483" t="s">
        <v>35</v>
      </c>
      <c r="V483" t="s">
        <v>35</v>
      </c>
      <c r="W483" t="s">
        <v>394</v>
      </c>
    </row>
    <row r="484" spans="2:23" x14ac:dyDescent="0.25">
      <c r="B484" s="19">
        <v>5335</v>
      </c>
      <c r="C484" s="2">
        <f>HYPERLINK(URLs!B36 &amp; 43248,43248)</f>
        <v>43248</v>
      </c>
      <c r="D484" t="s">
        <v>2141</v>
      </c>
      <c r="E484" t="s">
        <v>2002</v>
      </c>
      <c r="F484" t="s">
        <v>305</v>
      </c>
      <c r="G484" t="s">
        <v>328</v>
      </c>
      <c r="H484" t="s">
        <v>30</v>
      </c>
      <c r="I484" t="s">
        <v>31</v>
      </c>
      <c r="J484" t="s">
        <v>43</v>
      </c>
      <c r="K484" t="s">
        <v>44</v>
      </c>
      <c r="L484" t="s">
        <v>73</v>
      </c>
      <c r="M484" t="s">
        <v>1514</v>
      </c>
      <c r="N484" t="s">
        <v>46</v>
      </c>
      <c r="P484" t="s">
        <v>1634</v>
      </c>
      <c r="R484">
        <v>41785.805879629632</v>
      </c>
      <c r="S484">
        <v>42649.842349537037</v>
      </c>
      <c r="T484" t="s">
        <v>1529</v>
      </c>
      <c r="U484" t="s">
        <v>35</v>
      </c>
      <c r="V484" t="s">
        <v>35</v>
      </c>
      <c r="W484" t="s">
        <v>2552</v>
      </c>
    </row>
    <row r="485" spans="2:23" x14ac:dyDescent="0.25">
      <c r="B485" s="19">
        <v>5335</v>
      </c>
      <c r="C485" s="2">
        <f>HYPERLINK(URLs!B36 &amp; 43247,43247)</f>
        <v>43247</v>
      </c>
      <c r="D485" t="s">
        <v>2140</v>
      </c>
      <c r="E485" t="s">
        <v>2002</v>
      </c>
      <c r="F485" t="s">
        <v>305</v>
      </c>
      <c r="G485" t="s">
        <v>328</v>
      </c>
      <c r="H485" t="s">
        <v>30</v>
      </c>
      <c r="I485" t="s">
        <v>35</v>
      </c>
      <c r="J485" t="s">
        <v>43</v>
      </c>
      <c r="K485" t="s">
        <v>44</v>
      </c>
      <c r="L485" t="s">
        <v>73</v>
      </c>
      <c r="M485" t="s">
        <v>1514</v>
      </c>
      <c r="N485" t="s">
        <v>46</v>
      </c>
      <c r="P485" t="s">
        <v>1634</v>
      </c>
      <c r="R485">
        <v>41785.805752314816</v>
      </c>
      <c r="S485">
        <v>42649.842581018522</v>
      </c>
      <c r="T485" t="s">
        <v>1529</v>
      </c>
      <c r="U485" t="s">
        <v>35</v>
      </c>
      <c r="V485" t="s">
        <v>35</v>
      </c>
      <c r="W485" t="s">
        <v>4132</v>
      </c>
    </row>
    <row r="486" spans="2:23" x14ac:dyDescent="0.25">
      <c r="B486" s="19">
        <v>5335</v>
      </c>
      <c r="C486" s="2">
        <f>HYPERLINK(URLs!B36 &amp; 43246,43246)</f>
        <v>43246</v>
      </c>
      <c r="D486" t="s">
        <v>2139</v>
      </c>
      <c r="E486" t="s">
        <v>387</v>
      </c>
      <c r="F486" t="s">
        <v>305</v>
      </c>
      <c r="G486" t="s">
        <v>310</v>
      </c>
      <c r="H486" t="s">
        <v>30</v>
      </c>
      <c r="I486" t="s">
        <v>35</v>
      </c>
      <c r="J486" t="s">
        <v>43</v>
      </c>
      <c r="K486" t="s">
        <v>35</v>
      </c>
      <c r="L486" t="s">
        <v>73</v>
      </c>
      <c r="M486" t="s">
        <v>1514</v>
      </c>
      <c r="N486" t="s">
        <v>46</v>
      </c>
      <c r="P486" t="s">
        <v>1634</v>
      </c>
      <c r="R486">
        <v>41785.805625000001</v>
      </c>
      <c r="S486">
        <v>42649.84269675926</v>
      </c>
      <c r="T486" t="s">
        <v>1529</v>
      </c>
      <c r="U486" t="s">
        <v>35</v>
      </c>
      <c r="V486" t="s">
        <v>35</v>
      </c>
      <c r="W486" t="s">
        <v>3039</v>
      </c>
    </row>
    <row r="487" spans="2:23" x14ac:dyDescent="0.25">
      <c r="B487" s="19">
        <v>5335</v>
      </c>
      <c r="C487" s="2">
        <f>HYPERLINK(URLs!B36 &amp; 43245,43245)</f>
        <v>43245</v>
      </c>
      <c r="D487" t="s">
        <v>2138</v>
      </c>
      <c r="E487" t="s">
        <v>2002</v>
      </c>
      <c r="F487" t="s">
        <v>305</v>
      </c>
      <c r="G487" t="s">
        <v>328</v>
      </c>
      <c r="H487" t="s">
        <v>30</v>
      </c>
      <c r="I487" t="s">
        <v>35</v>
      </c>
      <c r="J487" t="s">
        <v>43</v>
      </c>
      <c r="K487" t="s">
        <v>44</v>
      </c>
      <c r="L487" t="s">
        <v>73</v>
      </c>
      <c r="M487" t="s">
        <v>1514</v>
      </c>
      <c r="N487" t="s">
        <v>46</v>
      </c>
      <c r="P487" t="s">
        <v>1634</v>
      </c>
      <c r="R487">
        <v>41785.799432870372</v>
      </c>
      <c r="S487">
        <v>42649.842430555553</v>
      </c>
      <c r="T487" t="s">
        <v>300</v>
      </c>
      <c r="U487" t="s">
        <v>35</v>
      </c>
      <c r="V487" t="s">
        <v>35</v>
      </c>
      <c r="W487" t="s">
        <v>4098</v>
      </c>
    </row>
    <row r="488" spans="2:23" x14ac:dyDescent="0.25">
      <c r="B488" s="19">
        <v>5364</v>
      </c>
      <c r="C488" s="2">
        <f>HYPERLINK(URLs!B36 &amp; 43684,43684)</f>
        <v>43684</v>
      </c>
      <c r="D488" t="s">
        <v>2148</v>
      </c>
      <c r="E488" t="s">
        <v>139</v>
      </c>
      <c r="F488" t="s">
        <v>305</v>
      </c>
      <c r="G488" t="s">
        <v>304</v>
      </c>
      <c r="H488" t="s">
        <v>30</v>
      </c>
      <c r="I488" t="s">
        <v>35</v>
      </c>
      <c r="J488" t="s">
        <v>43</v>
      </c>
      <c r="K488" t="s">
        <v>33</v>
      </c>
      <c r="L488" t="s">
        <v>73</v>
      </c>
      <c r="M488" t="s">
        <v>263</v>
      </c>
      <c r="N488" t="s">
        <v>46</v>
      </c>
      <c r="P488" t="s">
        <v>2121</v>
      </c>
      <c r="R488">
        <v>41796.622187499997</v>
      </c>
      <c r="S488">
        <v>42648.835069444445</v>
      </c>
      <c r="T488" t="s">
        <v>1529</v>
      </c>
      <c r="U488" t="s">
        <v>35</v>
      </c>
      <c r="V488" t="s">
        <v>35</v>
      </c>
      <c r="W488" t="s">
        <v>4139</v>
      </c>
    </row>
    <row r="489" spans="2:23" x14ac:dyDescent="0.25">
      <c r="B489" s="19">
        <v>5364</v>
      </c>
      <c r="C489" s="2">
        <f>HYPERLINK(URLs!B36 &amp; 43683,43683)</f>
        <v>43683</v>
      </c>
      <c r="D489" t="s">
        <v>2147</v>
      </c>
      <c r="E489" t="s">
        <v>139</v>
      </c>
      <c r="F489" t="s">
        <v>305</v>
      </c>
      <c r="G489" t="s">
        <v>304</v>
      </c>
      <c r="H489" t="s">
        <v>30</v>
      </c>
      <c r="I489" t="s">
        <v>31</v>
      </c>
      <c r="J489" t="s">
        <v>43</v>
      </c>
      <c r="K489" t="s">
        <v>35</v>
      </c>
      <c r="L489" t="s">
        <v>73</v>
      </c>
      <c r="M489" t="s">
        <v>263</v>
      </c>
      <c r="N489" t="s">
        <v>46</v>
      </c>
      <c r="P489" t="s">
        <v>2121</v>
      </c>
      <c r="R489">
        <v>41796.622106481482</v>
      </c>
      <c r="S489">
        <v>42648.835046296299</v>
      </c>
      <c r="T489" t="s">
        <v>1529</v>
      </c>
      <c r="U489" t="s">
        <v>35</v>
      </c>
      <c r="V489" t="s">
        <v>35</v>
      </c>
      <c r="W489" t="s">
        <v>2552</v>
      </c>
    </row>
    <row r="490" spans="2:23" x14ac:dyDescent="0.25">
      <c r="B490" s="19">
        <v>5364</v>
      </c>
      <c r="C490" s="2">
        <f>HYPERLINK(URLs!B36 &amp; 43682,43682)</f>
        <v>43682</v>
      </c>
      <c r="D490" t="s">
        <v>2146</v>
      </c>
      <c r="E490" t="s">
        <v>139</v>
      </c>
      <c r="F490" t="s">
        <v>305</v>
      </c>
      <c r="G490" t="s">
        <v>304</v>
      </c>
      <c r="H490" t="s">
        <v>30</v>
      </c>
      <c r="I490" t="s">
        <v>35</v>
      </c>
      <c r="J490" t="s">
        <v>43</v>
      </c>
      <c r="K490" t="s">
        <v>35</v>
      </c>
      <c r="L490" t="s">
        <v>73</v>
      </c>
      <c r="M490" t="s">
        <v>263</v>
      </c>
      <c r="N490" t="s">
        <v>46</v>
      </c>
      <c r="O490" t="s">
        <v>2007</v>
      </c>
      <c r="P490" t="s">
        <v>2121</v>
      </c>
      <c r="R490">
        <v>41796.622013888889</v>
      </c>
      <c r="S490">
        <v>42648.834398148145</v>
      </c>
      <c r="T490" t="s">
        <v>1529</v>
      </c>
      <c r="U490" t="s">
        <v>35</v>
      </c>
      <c r="V490" t="s">
        <v>35</v>
      </c>
      <c r="W490" t="s">
        <v>4131</v>
      </c>
    </row>
    <row r="491" spans="2:23" x14ac:dyDescent="0.25">
      <c r="B491" s="19">
        <v>5364</v>
      </c>
      <c r="C491" s="2">
        <f>HYPERLINK(URLs!B36 &amp; 43681,43681)</f>
        <v>43681</v>
      </c>
      <c r="D491" t="s">
        <v>2145</v>
      </c>
      <c r="E491" t="s">
        <v>139</v>
      </c>
      <c r="F491" t="s">
        <v>305</v>
      </c>
      <c r="G491" t="s">
        <v>337</v>
      </c>
      <c r="H491" t="s">
        <v>30</v>
      </c>
      <c r="I491" t="s">
        <v>35</v>
      </c>
      <c r="J491" t="s">
        <v>43</v>
      </c>
      <c r="K491" t="s">
        <v>35</v>
      </c>
      <c r="L491" t="s">
        <v>73</v>
      </c>
      <c r="M491" t="s">
        <v>263</v>
      </c>
      <c r="N491" t="s">
        <v>46</v>
      </c>
      <c r="P491" t="s">
        <v>2121</v>
      </c>
      <c r="R491">
        <v>41796.621921296297</v>
      </c>
      <c r="S491">
        <v>42649.842893518522</v>
      </c>
      <c r="T491" t="s">
        <v>1529</v>
      </c>
      <c r="U491" t="s">
        <v>35</v>
      </c>
      <c r="V491" t="s">
        <v>35</v>
      </c>
      <c r="W491" t="s">
        <v>3039</v>
      </c>
    </row>
    <row r="492" spans="2:23" x14ac:dyDescent="0.25">
      <c r="B492" s="19">
        <v>5364</v>
      </c>
      <c r="C492" s="2">
        <f>HYPERLINK(URLs!B36 &amp; 43676,43676)</f>
        <v>43676</v>
      </c>
      <c r="D492" t="s">
        <v>2144</v>
      </c>
      <c r="E492" t="s">
        <v>139</v>
      </c>
      <c r="F492" t="s">
        <v>305</v>
      </c>
      <c r="G492" t="s">
        <v>304</v>
      </c>
      <c r="H492" t="s">
        <v>30</v>
      </c>
      <c r="I492" t="s">
        <v>35</v>
      </c>
      <c r="J492" t="s">
        <v>43</v>
      </c>
      <c r="K492" t="s">
        <v>35</v>
      </c>
      <c r="L492" t="s">
        <v>73</v>
      </c>
      <c r="M492" t="s">
        <v>263</v>
      </c>
      <c r="N492" t="s">
        <v>46</v>
      </c>
      <c r="P492" t="s">
        <v>2121</v>
      </c>
      <c r="R492">
        <v>41796.611435185187</v>
      </c>
      <c r="S492">
        <v>42034.29519675926</v>
      </c>
      <c r="T492" t="s">
        <v>1700</v>
      </c>
      <c r="U492" t="s">
        <v>35</v>
      </c>
      <c r="V492" t="s">
        <v>35</v>
      </c>
      <c r="W492" t="s">
        <v>4098</v>
      </c>
    </row>
    <row r="493" spans="2:23" x14ac:dyDescent="0.25">
      <c r="B493" s="19">
        <v>5393</v>
      </c>
      <c r="C493" s="2">
        <f>HYPERLINK(URLs!B36 &amp; 48293,48293)</f>
        <v>48293</v>
      </c>
      <c r="D493" t="s">
        <v>3840</v>
      </c>
      <c r="E493" t="s">
        <v>311</v>
      </c>
      <c r="F493" t="s">
        <v>305</v>
      </c>
      <c r="G493" t="s">
        <v>304</v>
      </c>
      <c r="H493" t="s">
        <v>30</v>
      </c>
      <c r="I493" t="s">
        <v>31</v>
      </c>
      <c r="J493" t="s">
        <v>43</v>
      </c>
      <c r="K493" t="s">
        <v>51</v>
      </c>
      <c r="L493" t="s">
        <v>34</v>
      </c>
      <c r="M493" t="s">
        <v>3780</v>
      </c>
      <c r="N493" t="s">
        <v>46</v>
      </c>
      <c r="P493" t="s">
        <v>2121</v>
      </c>
      <c r="R493">
        <v>41859.746481481481</v>
      </c>
      <c r="S493">
        <v>42215.672743055555</v>
      </c>
      <c r="T493" t="s">
        <v>311</v>
      </c>
      <c r="U493" t="s">
        <v>35</v>
      </c>
      <c r="V493" t="s">
        <v>35</v>
      </c>
      <c r="W493" t="s">
        <v>2475</v>
      </c>
    </row>
    <row r="494" spans="2:23" x14ac:dyDescent="0.25">
      <c r="B494" s="19">
        <v>5393</v>
      </c>
      <c r="C494" s="2">
        <f>HYPERLINK(URLs!B36 &amp; 48292,48292)</f>
        <v>48292</v>
      </c>
      <c r="D494" t="s">
        <v>3839</v>
      </c>
      <c r="E494" t="s">
        <v>311</v>
      </c>
      <c r="F494" t="s">
        <v>305</v>
      </c>
      <c r="G494" t="s">
        <v>304</v>
      </c>
      <c r="H494" t="s">
        <v>30</v>
      </c>
      <c r="I494" t="s">
        <v>68</v>
      </c>
      <c r="J494" t="s">
        <v>43</v>
      </c>
      <c r="K494" t="s">
        <v>33</v>
      </c>
      <c r="L494" t="s">
        <v>34</v>
      </c>
      <c r="M494" t="s">
        <v>3780</v>
      </c>
      <c r="N494" t="s">
        <v>46</v>
      </c>
      <c r="P494" t="s">
        <v>2121</v>
      </c>
      <c r="R494">
        <v>41859.746342592596</v>
      </c>
      <c r="S494">
        <v>42313.646365740744</v>
      </c>
      <c r="T494" t="s">
        <v>311</v>
      </c>
      <c r="U494" t="s">
        <v>35</v>
      </c>
      <c r="V494" t="s">
        <v>35</v>
      </c>
      <c r="W494" t="s">
        <v>4112</v>
      </c>
    </row>
    <row r="495" spans="2:23" x14ac:dyDescent="0.25">
      <c r="B495" s="19">
        <v>5393</v>
      </c>
      <c r="C495" s="2">
        <f>HYPERLINK(URLs!B36 &amp; 48291,48291)</f>
        <v>48291</v>
      </c>
      <c r="D495" t="s">
        <v>3838</v>
      </c>
      <c r="E495" t="s">
        <v>3787</v>
      </c>
      <c r="F495" t="s">
        <v>305</v>
      </c>
      <c r="G495" t="s">
        <v>304</v>
      </c>
      <c r="H495" t="s">
        <v>30</v>
      </c>
      <c r="I495" t="s">
        <v>35</v>
      </c>
      <c r="J495" t="s">
        <v>43</v>
      </c>
      <c r="K495" t="s">
        <v>35</v>
      </c>
      <c r="L495" t="s">
        <v>34</v>
      </c>
      <c r="M495" t="s">
        <v>3780</v>
      </c>
      <c r="N495" t="s">
        <v>46</v>
      </c>
      <c r="O495" t="s">
        <v>2208</v>
      </c>
      <c r="P495" t="s">
        <v>2121</v>
      </c>
      <c r="R495">
        <v>41859.74622685185</v>
      </c>
      <c r="S495">
        <v>42039.73914351852</v>
      </c>
      <c r="T495" t="s">
        <v>311</v>
      </c>
      <c r="U495" t="s">
        <v>35</v>
      </c>
      <c r="V495" t="s">
        <v>35</v>
      </c>
      <c r="W495" t="s">
        <v>2722</v>
      </c>
    </row>
    <row r="496" spans="2:23" x14ac:dyDescent="0.25">
      <c r="B496" s="19">
        <v>5393</v>
      </c>
      <c r="C496" s="2">
        <f>HYPERLINK(URLs!B36 &amp; 43568,43568)</f>
        <v>43568</v>
      </c>
      <c r="D496" t="s">
        <v>3832</v>
      </c>
      <c r="E496" t="s">
        <v>1</v>
      </c>
      <c r="F496" t="s">
        <v>305</v>
      </c>
      <c r="G496" t="s">
        <v>304</v>
      </c>
      <c r="H496" t="s">
        <v>30</v>
      </c>
      <c r="I496" t="s">
        <v>68</v>
      </c>
      <c r="J496" t="s">
        <v>58</v>
      </c>
      <c r="K496" t="s">
        <v>51</v>
      </c>
      <c r="L496" t="s">
        <v>34</v>
      </c>
      <c r="M496" t="s">
        <v>3780</v>
      </c>
      <c r="N496" t="s">
        <v>46</v>
      </c>
      <c r="P496" t="s">
        <v>2121</v>
      </c>
      <c r="Q496" t="s">
        <v>1729</v>
      </c>
      <c r="R496">
        <v>41794.818437499998</v>
      </c>
      <c r="S496">
        <v>42649.918564814812</v>
      </c>
      <c r="T496" t="s">
        <v>1</v>
      </c>
      <c r="U496" t="s">
        <v>35</v>
      </c>
      <c r="V496" t="s">
        <v>35</v>
      </c>
      <c r="W496" t="s">
        <v>4098</v>
      </c>
    </row>
    <row r="497" spans="2:23" x14ac:dyDescent="0.25">
      <c r="B497" s="19">
        <v>5424</v>
      </c>
      <c r="C497" s="2">
        <f>HYPERLINK(URLs!B36 &amp; 48215,48215)</f>
        <v>48215</v>
      </c>
      <c r="D497" t="s">
        <v>2177</v>
      </c>
      <c r="E497" t="s">
        <v>2178</v>
      </c>
      <c r="F497" t="s">
        <v>305</v>
      </c>
      <c r="G497" t="s">
        <v>304</v>
      </c>
      <c r="H497" t="s">
        <v>56</v>
      </c>
      <c r="I497" t="s">
        <v>31</v>
      </c>
      <c r="J497" t="s">
        <v>43</v>
      </c>
      <c r="K497" t="s">
        <v>44</v>
      </c>
      <c r="L497" t="s">
        <v>34</v>
      </c>
      <c r="M497" t="s">
        <v>2179</v>
      </c>
      <c r="N497" t="s">
        <v>46</v>
      </c>
      <c r="P497" t="s">
        <v>2180</v>
      </c>
      <c r="R497">
        <v>41858.685011574074</v>
      </c>
      <c r="S497">
        <v>42478.68608796296</v>
      </c>
      <c r="T497" t="s">
        <v>1</v>
      </c>
      <c r="U497" t="s">
        <v>35</v>
      </c>
      <c r="V497" t="s">
        <v>35</v>
      </c>
      <c r="W497" t="s">
        <v>4141</v>
      </c>
    </row>
    <row r="498" spans="2:23" x14ac:dyDescent="0.25">
      <c r="B498" s="19">
        <v>5424</v>
      </c>
      <c r="C498" s="2">
        <f>HYPERLINK(URLs!B36 &amp; 46981,46981)</f>
        <v>46981</v>
      </c>
      <c r="D498" t="s">
        <v>2176</v>
      </c>
      <c r="E498" t="s">
        <v>376</v>
      </c>
      <c r="F498" t="s">
        <v>305</v>
      </c>
      <c r="G498" t="s">
        <v>310</v>
      </c>
      <c r="H498" t="s">
        <v>30</v>
      </c>
      <c r="I498" t="s">
        <v>31</v>
      </c>
      <c r="J498" t="s">
        <v>43</v>
      </c>
      <c r="K498" t="s">
        <v>51</v>
      </c>
      <c r="L498" t="s">
        <v>34</v>
      </c>
      <c r="M498" t="s">
        <v>1728</v>
      </c>
      <c r="N498" t="s">
        <v>46</v>
      </c>
      <c r="P498" t="s">
        <v>2121</v>
      </c>
      <c r="R498">
        <v>41835.663576388892</v>
      </c>
      <c r="S498">
        <v>42045.703344907408</v>
      </c>
      <c r="T498" t="s">
        <v>2047</v>
      </c>
      <c r="U498" t="s">
        <v>35</v>
      </c>
      <c r="V498" t="s">
        <v>35</v>
      </c>
      <c r="W498" t="s">
        <v>4126</v>
      </c>
    </row>
    <row r="499" spans="2:23" x14ac:dyDescent="0.25">
      <c r="B499" s="19">
        <v>5424</v>
      </c>
      <c r="C499" s="2">
        <f>HYPERLINK(URLs!B36 &amp; 46980,46980)</f>
        <v>46980</v>
      </c>
      <c r="D499" t="s">
        <v>2175</v>
      </c>
      <c r="E499" t="s">
        <v>376</v>
      </c>
      <c r="F499" t="s">
        <v>305</v>
      </c>
      <c r="G499" t="s">
        <v>310</v>
      </c>
      <c r="H499" t="s">
        <v>30</v>
      </c>
      <c r="I499" t="s">
        <v>31</v>
      </c>
      <c r="J499" t="s">
        <v>43</v>
      </c>
      <c r="K499" t="s">
        <v>51</v>
      </c>
      <c r="L499" t="s">
        <v>34</v>
      </c>
      <c r="M499" t="s">
        <v>1728</v>
      </c>
      <c r="N499" t="s">
        <v>46</v>
      </c>
      <c r="P499" t="s">
        <v>2121</v>
      </c>
      <c r="R499">
        <v>41835.660104166665</v>
      </c>
      <c r="S499">
        <v>42045.703379629631</v>
      </c>
      <c r="T499" t="s">
        <v>2047</v>
      </c>
      <c r="U499" t="s">
        <v>35</v>
      </c>
      <c r="V499" t="s">
        <v>35</v>
      </c>
      <c r="W499" t="s">
        <v>4126</v>
      </c>
    </row>
    <row r="500" spans="2:23" x14ac:dyDescent="0.25">
      <c r="B500" s="19">
        <v>5424</v>
      </c>
      <c r="C500" s="2">
        <f>HYPERLINK(URLs!B36 &amp; 46979,46979)</f>
        <v>46979</v>
      </c>
      <c r="D500" t="s">
        <v>2175</v>
      </c>
      <c r="E500" t="s">
        <v>376</v>
      </c>
      <c r="F500" t="s">
        <v>305</v>
      </c>
      <c r="G500" t="s">
        <v>304</v>
      </c>
      <c r="H500" t="s">
        <v>30</v>
      </c>
      <c r="I500" t="s">
        <v>31</v>
      </c>
      <c r="J500" t="s">
        <v>43</v>
      </c>
      <c r="K500" t="s">
        <v>51</v>
      </c>
      <c r="L500" t="s">
        <v>34</v>
      </c>
      <c r="M500" t="s">
        <v>1728</v>
      </c>
      <c r="N500" t="s">
        <v>46</v>
      </c>
      <c r="P500" t="s">
        <v>2121</v>
      </c>
      <c r="R500">
        <v>41835.659236111111</v>
      </c>
      <c r="S500">
        <v>42201.791944444441</v>
      </c>
      <c r="T500" t="s">
        <v>2047</v>
      </c>
      <c r="U500" t="s">
        <v>35</v>
      </c>
      <c r="V500" t="s">
        <v>35</v>
      </c>
      <c r="W500" t="s">
        <v>2475</v>
      </c>
    </row>
    <row r="501" spans="2:23" x14ac:dyDescent="0.25">
      <c r="B501" s="19">
        <v>5424</v>
      </c>
      <c r="C501" s="2">
        <f>HYPERLINK(URLs!B36 &amp; 46962,46962)</f>
        <v>46962</v>
      </c>
      <c r="D501" t="s">
        <v>2173</v>
      </c>
      <c r="E501" t="s">
        <v>376</v>
      </c>
      <c r="F501" t="s">
        <v>305</v>
      </c>
      <c r="G501" t="s">
        <v>304</v>
      </c>
      <c r="H501" t="s">
        <v>30</v>
      </c>
      <c r="I501" t="s">
        <v>31</v>
      </c>
      <c r="J501" t="s">
        <v>43</v>
      </c>
      <c r="K501" t="s">
        <v>51</v>
      </c>
      <c r="L501" t="s">
        <v>34</v>
      </c>
      <c r="M501" t="s">
        <v>1728</v>
      </c>
      <c r="N501" t="s">
        <v>46</v>
      </c>
      <c r="O501" t="s">
        <v>2174</v>
      </c>
      <c r="P501" t="s">
        <v>2121</v>
      </c>
      <c r="R501">
        <v>41835.626840277779</v>
      </c>
      <c r="S501">
        <v>42114.616238425922</v>
      </c>
      <c r="T501" t="s">
        <v>311</v>
      </c>
      <c r="U501" t="s">
        <v>35</v>
      </c>
      <c r="V501" t="s">
        <v>35</v>
      </c>
      <c r="W501" t="s">
        <v>4112</v>
      </c>
    </row>
    <row r="502" spans="2:23" x14ac:dyDescent="0.25">
      <c r="B502" s="19">
        <v>5424</v>
      </c>
      <c r="C502" s="2">
        <f>HYPERLINK(URLs!B36 &amp; 46961,46961)</f>
        <v>46961</v>
      </c>
      <c r="D502" t="s">
        <v>2172</v>
      </c>
      <c r="E502" t="s">
        <v>376</v>
      </c>
      <c r="F502" t="s">
        <v>305</v>
      </c>
      <c r="G502" t="s">
        <v>337</v>
      </c>
      <c r="H502" t="s">
        <v>30</v>
      </c>
      <c r="I502" t="s">
        <v>31</v>
      </c>
      <c r="J502" t="s">
        <v>43</v>
      </c>
      <c r="K502" t="s">
        <v>51</v>
      </c>
      <c r="L502" t="s">
        <v>34</v>
      </c>
      <c r="M502" t="s">
        <v>1728</v>
      </c>
      <c r="N502" t="s">
        <v>46</v>
      </c>
      <c r="P502" t="s">
        <v>2121</v>
      </c>
      <c r="R502">
        <v>41835.626574074071</v>
      </c>
      <c r="S502">
        <v>42045.70989583333</v>
      </c>
      <c r="T502" t="s">
        <v>311</v>
      </c>
      <c r="U502" t="s">
        <v>35</v>
      </c>
      <c r="V502" t="s">
        <v>35</v>
      </c>
      <c r="W502" t="s">
        <v>4132</v>
      </c>
    </row>
    <row r="503" spans="2:23" x14ac:dyDescent="0.25">
      <c r="B503" s="19">
        <v>5424</v>
      </c>
      <c r="C503" s="2">
        <f>HYPERLINK(URLs!B36 &amp; 27361,27361)</f>
        <v>27361</v>
      </c>
      <c r="D503" t="s">
        <v>1726</v>
      </c>
      <c r="E503" t="s">
        <v>1727</v>
      </c>
      <c r="F503" t="s">
        <v>305</v>
      </c>
      <c r="G503" t="s">
        <v>304</v>
      </c>
      <c r="H503" t="s">
        <v>30</v>
      </c>
      <c r="I503" t="s">
        <v>31</v>
      </c>
      <c r="J503" t="s">
        <v>43</v>
      </c>
      <c r="K503" t="s">
        <v>51</v>
      </c>
      <c r="L503" t="s">
        <v>34</v>
      </c>
      <c r="M503" t="s">
        <v>1728</v>
      </c>
      <c r="N503" t="s">
        <v>46</v>
      </c>
      <c r="P503" t="s">
        <v>1646</v>
      </c>
      <c r="Q503" t="s">
        <v>1729</v>
      </c>
      <c r="R503">
        <v>41280.131076388891</v>
      </c>
      <c r="S503">
        <v>42642.732349537036</v>
      </c>
      <c r="T503" t="s">
        <v>1730</v>
      </c>
      <c r="U503" t="s">
        <v>35</v>
      </c>
      <c r="V503" t="s">
        <v>35</v>
      </c>
      <c r="W503" t="s">
        <v>4098</v>
      </c>
    </row>
    <row r="504" spans="2:23" x14ac:dyDescent="0.25">
      <c r="B504" s="19">
        <v>5439</v>
      </c>
      <c r="C504" s="2">
        <f>HYPERLINK(URLs!B36 &amp; 51580,51580)</f>
        <v>51580</v>
      </c>
      <c r="D504" t="s">
        <v>2235</v>
      </c>
      <c r="E504" t="s">
        <v>72</v>
      </c>
      <c r="F504" t="s">
        <v>305</v>
      </c>
      <c r="G504" t="s">
        <v>337</v>
      </c>
      <c r="H504" t="s">
        <v>30</v>
      </c>
      <c r="I504" t="s">
        <v>68</v>
      </c>
      <c r="J504" t="s">
        <v>43</v>
      </c>
      <c r="K504" t="s">
        <v>33</v>
      </c>
      <c r="L504" t="s">
        <v>73</v>
      </c>
      <c r="M504" t="s">
        <v>263</v>
      </c>
      <c r="N504" t="s">
        <v>46</v>
      </c>
      <c r="P504" t="s">
        <v>1749</v>
      </c>
      <c r="R504">
        <v>41926.727500000001</v>
      </c>
      <c r="S504">
        <v>42034.503796296296</v>
      </c>
      <c r="T504" t="s">
        <v>2194</v>
      </c>
      <c r="U504" t="s">
        <v>35</v>
      </c>
      <c r="V504" t="s">
        <v>35</v>
      </c>
      <c r="W504" t="s">
        <v>491</v>
      </c>
    </row>
    <row r="505" spans="2:23" x14ac:dyDescent="0.25">
      <c r="B505" s="19">
        <v>5439</v>
      </c>
      <c r="C505" s="2">
        <f>HYPERLINK(URLs!B36 &amp; 51579,51579)</f>
        <v>51579</v>
      </c>
      <c r="D505" t="s">
        <v>2234</v>
      </c>
      <c r="E505" t="s">
        <v>72</v>
      </c>
      <c r="F505" t="s">
        <v>305</v>
      </c>
      <c r="G505" t="s">
        <v>310</v>
      </c>
      <c r="H505" t="s">
        <v>30</v>
      </c>
      <c r="I505" t="s">
        <v>31</v>
      </c>
      <c r="J505" t="s">
        <v>43</v>
      </c>
      <c r="K505" t="s">
        <v>44</v>
      </c>
      <c r="L505" t="s">
        <v>73</v>
      </c>
      <c r="M505" t="s">
        <v>263</v>
      </c>
      <c r="N505" t="s">
        <v>46</v>
      </c>
      <c r="P505" t="s">
        <v>1749</v>
      </c>
      <c r="R505">
        <v>41926.727442129632</v>
      </c>
      <c r="S505">
        <v>42128.243576388886</v>
      </c>
      <c r="T505" t="s">
        <v>2194</v>
      </c>
      <c r="U505" t="s">
        <v>35</v>
      </c>
      <c r="V505" t="s">
        <v>35</v>
      </c>
      <c r="W505" t="s">
        <v>2166</v>
      </c>
    </row>
    <row r="506" spans="2:23" x14ac:dyDescent="0.25">
      <c r="B506" s="19">
        <v>5439</v>
      </c>
      <c r="C506" s="2">
        <f>HYPERLINK(URLs!B36 &amp; 51578,51578)</f>
        <v>51578</v>
      </c>
      <c r="D506" t="s">
        <v>2233</v>
      </c>
      <c r="E506" t="s">
        <v>72</v>
      </c>
      <c r="F506" t="s">
        <v>305</v>
      </c>
      <c r="G506" t="s">
        <v>304</v>
      </c>
      <c r="H506" t="s">
        <v>30</v>
      </c>
      <c r="I506" t="s">
        <v>31</v>
      </c>
      <c r="J506" t="s">
        <v>43</v>
      </c>
      <c r="K506" t="s">
        <v>44</v>
      </c>
      <c r="L506" t="s">
        <v>73</v>
      </c>
      <c r="M506" t="s">
        <v>263</v>
      </c>
      <c r="N506" t="s">
        <v>46</v>
      </c>
      <c r="P506" t="s">
        <v>1749</v>
      </c>
      <c r="R506">
        <v>41926.727384259262</v>
      </c>
      <c r="S506">
        <v>42648.839375000003</v>
      </c>
      <c r="T506" t="s">
        <v>2194</v>
      </c>
      <c r="U506" t="s">
        <v>35</v>
      </c>
      <c r="V506" t="s">
        <v>35</v>
      </c>
      <c r="W506" t="s">
        <v>4146</v>
      </c>
    </row>
    <row r="507" spans="2:23" x14ac:dyDescent="0.25">
      <c r="B507" s="19">
        <v>5439</v>
      </c>
      <c r="C507" s="2">
        <f>HYPERLINK(URLs!B36 &amp; 51577,51577)</f>
        <v>51577</v>
      </c>
      <c r="D507" t="s">
        <v>2231</v>
      </c>
      <c r="E507" t="s">
        <v>1788</v>
      </c>
      <c r="F507" t="s">
        <v>305</v>
      </c>
      <c r="G507" t="s">
        <v>304</v>
      </c>
      <c r="H507" t="s">
        <v>30</v>
      </c>
      <c r="I507" t="s">
        <v>31</v>
      </c>
      <c r="J507" t="s">
        <v>43</v>
      </c>
      <c r="K507" t="s">
        <v>44</v>
      </c>
      <c r="L507" t="s">
        <v>73</v>
      </c>
      <c r="M507" t="s">
        <v>263</v>
      </c>
      <c r="N507" t="s">
        <v>46</v>
      </c>
      <c r="O507" t="s">
        <v>2232</v>
      </c>
      <c r="P507" t="s">
        <v>1749</v>
      </c>
      <c r="R507">
        <v>41926.727314814816</v>
      </c>
      <c r="S507">
        <v>42648.839224537034</v>
      </c>
      <c r="T507" t="s">
        <v>2194</v>
      </c>
      <c r="U507" t="s">
        <v>35</v>
      </c>
      <c r="V507" t="s">
        <v>35</v>
      </c>
      <c r="W507" t="s">
        <v>2552</v>
      </c>
    </row>
    <row r="508" spans="2:23" x14ac:dyDescent="0.25">
      <c r="B508" s="19">
        <v>5439</v>
      </c>
      <c r="C508" s="2">
        <f>HYPERLINK(URLs!B36 &amp; 51576,51576)</f>
        <v>51576</v>
      </c>
      <c r="D508" t="s">
        <v>2230</v>
      </c>
      <c r="E508" t="s">
        <v>2027</v>
      </c>
      <c r="F508" t="s">
        <v>305</v>
      </c>
      <c r="G508" t="s">
        <v>304</v>
      </c>
      <c r="H508" t="s">
        <v>30</v>
      </c>
      <c r="I508" t="s">
        <v>31</v>
      </c>
      <c r="J508" t="s">
        <v>43</v>
      </c>
      <c r="K508" t="s">
        <v>44</v>
      </c>
      <c r="L508" t="s">
        <v>73</v>
      </c>
      <c r="M508" t="s">
        <v>263</v>
      </c>
      <c r="N508" t="s">
        <v>46</v>
      </c>
      <c r="O508" t="s">
        <v>2208</v>
      </c>
      <c r="P508" t="s">
        <v>1749</v>
      </c>
      <c r="R508">
        <v>41926.727268518516</v>
      </c>
      <c r="S508">
        <v>42648.839363425926</v>
      </c>
      <c r="T508" t="s">
        <v>2194</v>
      </c>
      <c r="U508" t="s">
        <v>35</v>
      </c>
      <c r="V508" t="s">
        <v>35</v>
      </c>
      <c r="W508" t="s">
        <v>2722</v>
      </c>
    </row>
    <row r="509" spans="2:23" x14ac:dyDescent="0.25">
      <c r="B509" s="19">
        <v>5439</v>
      </c>
      <c r="C509" s="2">
        <f>HYPERLINK(URLs!B36 &amp; 51575,51575)</f>
        <v>51575</v>
      </c>
      <c r="D509" t="s">
        <v>2229</v>
      </c>
      <c r="E509" t="s">
        <v>72</v>
      </c>
      <c r="F509" t="s">
        <v>305</v>
      </c>
      <c r="G509" t="s">
        <v>304</v>
      </c>
      <c r="H509" t="s">
        <v>30</v>
      </c>
      <c r="I509" t="s">
        <v>31</v>
      </c>
      <c r="J509" t="s">
        <v>43</v>
      </c>
      <c r="K509" t="s">
        <v>44</v>
      </c>
      <c r="L509" t="s">
        <v>73</v>
      </c>
      <c r="M509" t="s">
        <v>263</v>
      </c>
      <c r="N509" t="s">
        <v>46</v>
      </c>
      <c r="P509" t="s">
        <v>1749</v>
      </c>
      <c r="R509">
        <v>41926.727199074077</v>
      </c>
      <c r="S509">
        <v>42648.838969907411</v>
      </c>
      <c r="T509" t="s">
        <v>2194</v>
      </c>
      <c r="U509" t="s">
        <v>35</v>
      </c>
      <c r="V509" t="s">
        <v>35</v>
      </c>
      <c r="W509" t="s">
        <v>3867</v>
      </c>
    </row>
    <row r="510" spans="2:23" x14ac:dyDescent="0.25">
      <c r="B510" s="19">
        <v>5439</v>
      </c>
      <c r="C510" s="2">
        <f>HYPERLINK(URLs!B36 &amp; 51574,51574)</f>
        <v>51574</v>
      </c>
      <c r="D510" t="s">
        <v>2227</v>
      </c>
      <c r="E510" t="s">
        <v>72</v>
      </c>
      <c r="F510" t="s">
        <v>305</v>
      </c>
      <c r="G510" t="s">
        <v>304</v>
      </c>
      <c r="H510" t="s">
        <v>30</v>
      </c>
      <c r="I510" t="s">
        <v>31</v>
      </c>
      <c r="J510" t="s">
        <v>43</v>
      </c>
      <c r="K510" t="s">
        <v>2028</v>
      </c>
      <c r="L510" t="s">
        <v>73</v>
      </c>
      <c r="M510" t="s">
        <v>263</v>
      </c>
      <c r="N510" t="s">
        <v>384</v>
      </c>
      <c r="O510" t="s">
        <v>2228</v>
      </c>
      <c r="P510" t="s">
        <v>1749</v>
      </c>
      <c r="R510">
        <v>41926.725902777776</v>
      </c>
      <c r="S510">
        <v>42871.689236111109</v>
      </c>
      <c r="T510" t="s">
        <v>2194</v>
      </c>
      <c r="U510" t="s">
        <v>35</v>
      </c>
      <c r="V510" t="s">
        <v>35</v>
      </c>
      <c r="W510" t="s">
        <v>4098</v>
      </c>
    </row>
    <row r="511" spans="2:23" x14ac:dyDescent="0.25">
      <c r="B511" s="19">
        <v>5439</v>
      </c>
      <c r="C511" s="2">
        <f>HYPERLINK(URLs!B36 &amp; 50553,50553)</f>
        <v>50553</v>
      </c>
      <c r="D511" t="s">
        <v>2222</v>
      </c>
      <c r="E511" t="s">
        <v>2160</v>
      </c>
      <c r="F511" t="s">
        <v>305</v>
      </c>
      <c r="G511" t="s">
        <v>328</v>
      </c>
      <c r="H511" t="s">
        <v>30</v>
      </c>
      <c r="I511" t="s">
        <v>35</v>
      </c>
      <c r="J511" t="s">
        <v>43</v>
      </c>
      <c r="K511" t="s">
        <v>44</v>
      </c>
      <c r="L511" t="s">
        <v>73</v>
      </c>
      <c r="M511" t="s">
        <v>263</v>
      </c>
      <c r="N511" t="s">
        <v>46</v>
      </c>
      <c r="P511" t="s">
        <v>1749</v>
      </c>
      <c r="R511">
        <v>41906.832187499997</v>
      </c>
      <c r="S511">
        <v>42034.510740740741</v>
      </c>
      <c r="T511" t="s">
        <v>2221</v>
      </c>
      <c r="U511" t="s">
        <v>35</v>
      </c>
      <c r="V511" t="s">
        <v>35</v>
      </c>
      <c r="W511" t="s">
        <v>491</v>
      </c>
    </row>
    <row r="512" spans="2:23" x14ac:dyDescent="0.25">
      <c r="B512" s="19">
        <v>5439</v>
      </c>
      <c r="C512" s="2">
        <f>HYPERLINK(URLs!B36 &amp; 46608,46608)</f>
        <v>46608</v>
      </c>
      <c r="D512" t="s">
        <v>2171</v>
      </c>
      <c r="E512" t="s">
        <v>387</v>
      </c>
      <c r="F512" t="s">
        <v>305</v>
      </c>
      <c r="G512" t="s">
        <v>353</v>
      </c>
      <c r="H512" t="s">
        <v>54</v>
      </c>
      <c r="I512" t="s">
        <v>35</v>
      </c>
      <c r="J512" t="s">
        <v>43</v>
      </c>
      <c r="K512" t="s">
        <v>35</v>
      </c>
      <c r="L512" t="s">
        <v>73</v>
      </c>
      <c r="M512" t="s">
        <v>263</v>
      </c>
      <c r="N512" t="s">
        <v>46</v>
      </c>
      <c r="P512" t="s">
        <v>1749</v>
      </c>
      <c r="R512">
        <v>41829.266817129632</v>
      </c>
      <c r="S512">
        <v>42649.8440162037</v>
      </c>
      <c r="T512" t="s">
        <v>1640</v>
      </c>
      <c r="U512" t="s">
        <v>35</v>
      </c>
      <c r="V512" t="s">
        <v>35</v>
      </c>
      <c r="W512" t="s">
        <v>4098</v>
      </c>
    </row>
    <row r="513" spans="1:23" x14ac:dyDescent="0.25">
      <c r="B513" s="19">
        <v>5439</v>
      </c>
      <c r="C513" s="2">
        <f>HYPERLINK(URLs!B36 &amp; 46384,46384)</f>
        <v>46384</v>
      </c>
      <c r="D513" t="s">
        <v>2162</v>
      </c>
      <c r="E513" t="s">
        <v>2160</v>
      </c>
      <c r="F513" t="s">
        <v>305</v>
      </c>
      <c r="G513" t="s">
        <v>328</v>
      </c>
      <c r="H513" t="s">
        <v>30</v>
      </c>
      <c r="I513" t="s">
        <v>35</v>
      </c>
      <c r="J513" t="s">
        <v>43</v>
      </c>
      <c r="K513" t="s">
        <v>33</v>
      </c>
      <c r="L513" t="s">
        <v>73</v>
      </c>
      <c r="M513" t="s">
        <v>263</v>
      </c>
      <c r="N513" t="s">
        <v>46</v>
      </c>
      <c r="O513" t="s">
        <v>2163</v>
      </c>
      <c r="P513" t="s">
        <v>1749</v>
      </c>
      <c r="R513">
        <v>41823.714375000003</v>
      </c>
      <c r="S513">
        <v>42649.842604166668</v>
      </c>
      <c r="T513" t="s">
        <v>1529</v>
      </c>
      <c r="U513" t="s">
        <v>35</v>
      </c>
      <c r="V513" t="s">
        <v>35</v>
      </c>
      <c r="W513" t="s">
        <v>394</v>
      </c>
    </row>
    <row r="514" spans="1:23" x14ac:dyDescent="0.25">
      <c r="B514" s="19">
        <v>5439</v>
      </c>
      <c r="C514" s="2">
        <f>HYPERLINK(URLs!B36 &amp; 46383,46383)</f>
        <v>46383</v>
      </c>
      <c r="D514" t="s">
        <v>2159</v>
      </c>
      <c r="E514" t="s">
        <v>2160</v>
      </c>
      <c r="F514" t="s">
        <v>305</v>
      </c>
      <c r="G514" t="s">
        <v>328</v>
      </c>
      <c r="H514" t="s">
        <v>30</v>
      </c>
      <c r="I514" t="s">
        <v>31</v>
      </c>
      <c r="J514" t="s">
        <v>43</v>
      </c>
      <c r="K514" t="s">
        <v>44</v>
      </c>
      <c r="L514" t="s">
        <v>73</v>
      </c>
      <c r="M514" t="s">
        <v>263</v>
      </c>
      <c r="N514" t="s">
        <v>2161</v>
      </c>
      <c r="O514" t="s">
        <v>1717</v>
      </c>
      <c r="P514" t="s">
        <v>1749</v>
      </c>
      <c r="R514">
        <v>41823.714247685188</v>
      </c>
      <c r="S514">
        <v>42649.842777777776</v>
      </c>
      <c r="T514" t="s">
        <v>1529</v>
      </c>
      <c r="U514" t="s">
        <v>35</v>
      </c>
      <c r="V514" t="s">
        <v>35</v>
      </c>
      <c r="W514" t="s">
        <v>2552</v>
      </c>
    </row>
    <row r="515" spans="1:23" x14ac:dyDescent="0.25">
      <c r="B515" s="19">
        <v>5439</v>
      </c>
      <c r="C515" s="2">
        <f>HYPERLINK(URLs!B36 &amp; 46382,46382)</f>
        <v>46382</v>
      </c>
      <c r="D515" t="s">
        <v>2158</v>
      </c>
      <c r="E515" t="s">
        <v>387</v>
      </c>
      <c r="F515" t="s">
        <v>305</v>
      </c>
      <c r="G515" t="s">
        <v>328</v>
      </c>
      <c r="H515" t="s">
        <v>30</v>
      </c>
      <c r="I515" t="s">
        <v>35</v>
      </c>
      <c r="J515" t="s">
        <v>43</v>
      </c>
      <c r="K515" t="s">
        <v>44</v>
      </c>
      <c r="L515" t="s">
        <v>73</v>
      </c>
      <c r="M515" t="s">
        <v>263</v>
      </c>
      <c r="N515" t="s">
        <v>46</v>
      </c>
      <c r="P515" t="s">
        <v>1749</v>
      </c>
      <c r="R515">
        <v>41823.714166666665</v>
      </c>
      <c r="S515">
        <v>42649.842731481483</v>
      </c>
      <c r="T515" t="s">
        <v>1529</v>
      </c>
      <c r="U515" t="s">
        <v>35</v>
      </c>
      <c r="V515" t="s">
        <v>35</v>
      </c>
      <c r="W515" t="s">
        <v>4132</v>
      </c>
    </row>
    <row r="516" spans="1:23" x14ac:dyDescent="0.25">
      <c r="B516" s="19">
        <v>5439</v>
      </c>
      <c r="C516" s="2">
        <f>HYPERLINK(URLs!B36 &amp; 46381,46381)</f>
        <v>46381</v>
      </c>
      <c r="D516" t="s">
        <v>2157</v>
      </c>
      <c r="E516" t="s">
        <v>387</v>
      </c>
      <c r="F516" t="s">
        <v>305</v>
      </c>
      <c r="G516" t="s">
        <v>328</v>
      </c>
      <c r="H516" t="s">
        <v>30</v>
      </c>
      <c r="I516" t="s">
        <v>35</v>
      </c>
      <c r="J516" t="s">
        <v>43</v>
      </c>
      <c r="K516" t="s">
        <v>44</v>
      </c>
      <c r="L516" t="s">
        <v>73</v>
      </c>
      <c r="M516" t="s">
        <v>263</v>
      </c>
      <c r="N516" t="s">
        <v>46</v>
      </c>
      <c r="P516" t="s">
        <v>1749</v>
      </c>
      <c r="R516">
        <v>41823.714085648149</v>
      </c>
      <c r="S516">
        <v>42649.842546296299</v>
      </c>
      <c r="T516" t="s">
        <v>1529</v>
      </c>
      <c r="U516" t="s">
        <v>35</v>
      </c>
      <c r="V516" t="s">
        <v>35</v>
      </c>
      <c r="W516" t="s">
        <v>3039</v>
      </c>
    </row>
    <row r="517" spans="1:23" x14ac:dyDescent="0.25">
      <c r="B517" s="19">
        <v>5439</v>
      </c>
      <c r="C517" s="2">
        <f>HYPERLINK(URLs!B36 &amp; 46376,46376)</f>
        <v>46376</v>
      </c>
      <c r="D517" t="s">
        <v>2155</v>
      </c>
      <c r="E517" t="s">
        <v>72</v>
      </c>
      <c r="F517" t="s">
        <v>305</v>
      </c>
      <c r="G517" t="s">
        <v>328</v>
      </c>
      <c r="H517" t="s">
        <v>30</v>
      </c>
      <c r="I517" t="s">
        <v>2156</v>
      </c>
      <c r="J517" t="s">
        <v>32</v>
      </c>
      <c r="K517" t="s">
        <v>2028</v>
      </c>
      <c r="L517" t="s">
        <v>73</v>
      </c>
      <c r="M517" t="s">
        <v>263</v>
      </c>
      <c r="N517" t="s">
        <v>46</v>
      </c>
      <c r="P517" t="s">
        <v>1749</v>
      </c>
      <c r="R517">
        <v>41823.669756944444</v>
      </c>
      <c r="S517">
        <v>42678.632407407407</v>
      </c>
      <c r="T517" t="s">
        <v>1</v>
      </c>
      <c r="U517" t="s">
        <v>35</v>
      </c>
      <c r="V517" t="s">
        <v>35</v>
      </c>
      <c r="W517" t="s">
        <v>4098</v>
      </c>
    </row>
    <row r="518" spans="1:23" x14ac:dyDescent="0.25">
      <c r="A518" t="s">
        <v>665</v>
      </c>
      <c r="B518" s="19">
        <v>5478</v>
      </c>
      <c r="C518" s="2">
        <f>HYPERLINK(URLs!B36 &amp; 46561,46561)</f>
        <v>46561</v>
      </c>
      <c r="D518" t="s">
        <v>2168</v>
      </c>
      <c r="E518" t="s">
        <v>72</v>
      </c>
      <c r="F518" t="s">
        <v>305</v>
      </c>
      <c r="G518" t="s">
        <v>304</v>
      </c>
      <c r="H518" t="s">
        <v>2169</v>
      </c>
      <c r="I518" t="s">
        <v>35</v>
      </c>
      <c r="J518" t="s">
        <v>32</v>
      </c>
      <c r="K518" t="s">
        <v>51</v>
      </c>
      <c r="L518" t="s">
        <v>73</v>
      </c>
      <c r="M518" t="s">
        <v>263</v>
      </c>
      <c r="N518" t="s">
        <v>46</v>
      </c>
      <c r="O518" t="s">
        <v>2170</v>
      </c>
      <c r="P518" t="s">
        <v>2166</v>
      </c>
      <c r="R518">
        <v>41828.520624999997</v>
      </c>
      <c r="S518">
        <v>42649.843263888892</v>
      </c>
      <c r="T518" t="s">
        <v>86</v>
      </c>
      <c r="U518" t="s">
        <v>35</v>
      </c>
      <c r="V518" t="s">
        <v>35</v>
      </c>
      <c r="W518" t="s">
        <v>4098</v>
      </c>
    </row>
    <row r="519" spans="1:23" x14ac:dyDescent="0.25">
      <c r="A519" t="s">
        <v>633</v>
      </c>
      <c r="B519" s="19">
        <v>5510</v>
      </c>
      <c r="C519" s="2">
        <f>HYPERLINK(URLs!B36 &amp; 46559,46559)</f>
        <v>46559</v>
      </c>
      <c r="D519" t="s">
        <v>2165</v>
      </c>
      <c r="E519" t="s">
        <v>387</v>
      </c>
      <c r="F519" t="s">
        <v>305</v>
      </c>
      <c r="G519" t="s">
        <v>304</v>
      </c>
      <c r="H519" t="s">
        <v>30</v>
      </c>
      <c r="I519" t="s">
        <v>35</v>
      </c>
      <c r="J519" t="s">
        <v>58</v>
      </c>
      <c r="K519" t="s">
        <v>44</v>
      </c>
      <c r="L519" t="s">
        <v>73</v>
      </c>
      <c r="M519" t="s">
        <v>263</v>
      </c>
      <c r="N519" t="s">
        <v>46</v>
      </c>
      <c r="P519" t="s">
        <v>2166</v>
      </c>
      <c r="R519">
        <v>41828.512858796297</v>
      </c>
      <c r="S519">
        <v>42649.84306712963</v>
      </c>
      <c r="T519" t="s">
        <v>86</v>
      </c>
      <c r="U519" t="s">
        <v>35</v>
      </c>
      <c r="V519" t="s">
        <v>35</v>
      </c>
      <c r="W519" t="s">
        <v>4098</v>
      </c>
    </row>
    <row r="520" spans="1:23" x14ac:dyDescent="0.25">
      <c r="B520" s="19">
        <v>5525</v>
      </c>
      <c r="C520" s="2">
        <f>HYPERLINK(URLs!B36 &amp; 48349,48349)</f>
        <v>48349</v>
      </c>
      <c r="D520" t="s">
        <v>2182</v>
      </c>
      <c r="E520" t="s">
        <v>376</v>
      </c>
      <c r="F520" t="s">
        <v>305</v>
      </c>
      <c r="G520" t="s">
        <v>337</v>
      </c>
      <c r="H520" t="s">
        <v>30</v>
      </c>
      <c r="I520" t="s">
        <v>57</v>
      </c>
      <c r="J520" t="s">
        <v>2183</v>
      </c>
      <c r="K520" t="s">
        <v>33</v>
      </c>
      <c r="L520" t="s">
        <v>34</v>
      </c>
      <c r="M520" t="s">
        <v>2179</v>
      </c>
      <c r="N520" t="s">
        <v>46</v>
      </c>
      <c r="P520" t="s">
        <v>2121</v>
      </c>
      <c r="R520">
        <v>41862.389641203707</v>
      </c>
      <c r="S520">
        <v>42649.91946759259</v>
      </c>
      <c r="T520" t="s">
        <v>300</v>
      </c>
      <c r="U520" t="s">
        <v>35</v>
      </c>
      <c r="V520" t="s">
        <v>35</v>
      </c>
      <c r="W520" t="s">
        <v>3028</v>
      </c>
    </row>
    <row r="521" spans="1:23" x14ac:dyDescent="0.25">
      <c r="B521" s="19">
        <v>5542</v>
      </c>
      <c r="C521" s="2">
        <f>HYPERLINK(URLs!B36 &amp; 48690,48690)</f>
        <v>48690</v>
      </c>
      <c r="D521" t="s">
        <v>2185</v>
      </c>
      <c r="E521" t="s">
        <v>361</v>
      </c>
      <c r="F521" t="s">
        <v>305</v>
      </c>
      <c r="G521" t="s">
        <v>310</v>
      </c>
      <c r="H521" t="s">
        <v>56</v>
      </c>
      <c r="I521" t="s">
        <v>35</v>
      </c>
      <c r="J521" t="s">
        <v>32</v>
      </c>
      <c r="K521" t="s">
        <v>35</v>
      </c>
      <c r="L521" t="s">
        <v>73</v>
      </c>
      <c r="M521" t="s">
        <v>263</v>
      </c>
      <c r="N521" t="s">
        <v>46</v>
      </c>
      <c r="P521" t="s">
        <v>1634</v>
      </c>
      <c r="R521">
        <v>41866.658483796295</v>
      </c>
      <c r="S521">
        <v>42649.843530092592</v>
      </c>
      <c r="T521" t="s">
        <v>1</v>
      </c>
      <c r="U521" t="s">
        <v>35</v>
      </c>
      <c r="V521" t="s">
        <v>35</v>
      </c>
      <c r="W521" t="s">
        <v>4132</v>
      </c>
    </row>
    <row r="522" spans="1:23" x14ac:dyDescent="0.25">
      <c r="B522" s="19">
        <v>5543</v>
      </c>
      <c r="C522" s="2">
        <f>HYPERLINK(URLs!B36 &amp; 48911,48911)</f>
        <v>48911</v>
      </c>
      <c r="D522" t="s">
        <v>2199</v>
      </c>
      <c r="E522" t="s">
        <v>387</v>
      </c>
      <c r="F522" t="s">
        <v>305</v>
      </c>
      <c r="G522" t="s">
        <v>328</v>
      </c>
      <c r="H522" t="s">
        <v>56</v>
      </c>
      <c r="I522" t="s">
        <v>35</v>
      </c>
      <c r="J522" t="s">
        <v>32</v>
      </c>
      <c r="K522" t="s">
        <v>35</v>
      </c>
      <c r="L522" t="s">
        <v>73</v>
      </c>
      <c r="M522" t="s">
        <v>263</v>
      </c>
      <c r="N522" t="s">
        <v>46</v>
      </c>
      <c r="O522" t="s">
        <v>1717</v>
      </c>
      <c r="P522" t="s">
        <v>1634</v>
      </c>
      <c r="R522">
        <v>41871.827650462961</v>
      </c>
      <c r="S522">
        <v>42034.510868055557</v>
      </c>
      <c r="T522" t="s">
        <v>2194</v>
      </c>
      <c r="U522" t="s">
        <v>35</v>
      </c>
      <c r="V522" t="s">
        <v>35</v>
      </c>
      <c r="W522" t="s">
        <v>491</v>
      </c>
    </row>
    <row r="523" spans="1:23" x14ac:dyDescent="0.25">
      <c r="B523" s="19">
        <v>5543</v>
      </c>
      <c r="C523" s="2">
        <f>HYPERLINK(URLs!B36 &amp; 48910,48910)</f>
        <v>48910</v>
      </c>
      <c r="D523" t="s">
        <v>2197</v>
      </c>
      <c r="E523" t="s">
        <v>361</v>
      </c>
      <c r="F523" t="s">
        <v>305</v>
      </c>
      <c r="G523" t="s">
        <v>310</v>
      </c>
      <c r="H523" t="s">
        <v>56</v>
      </c>
      <c r="I523" t="s">
        <v>35</v>
      </c>
      <c r="J523" t="s">
        <v>32</v>
      </c>
      <c r="K523" t="s">
        <v>44</v>
      </c>
      <c r="L523" t="s">
        <v>73</v>
      </c>
      <c r="M523" t="s">
        <v>263</v>
      </c>
      <c r="N523" t="s">
        <v>46</v>
      </c>
      <c r="O523" t="s">
        <v>2198</v>
      </c>
      <c r="P523" t="s">
        <v>1634</v>
      </c>
      <c r="R523">
        <v>41871.827557870369</v>
      </c>
      <c r="S523">
        <v>42649.807858796295</v>
      </c>
      <c r="T523" t="s">
        <v>2194</v>
      </c>
      <c r="U523" t="s">
        <v>35</v>
      </c>
      <c r="V523" t="s">
        <v>35</v>
      </c>
      <c r="W523" t="s">
        <v>4142</v>
      </c>
    </row>
    <row r="524" spans="1:23" x14ac:dyDescent="0.25">
      <c r="B524" s="19">
        <v>5543</v>
      </c>
      <c r="C524" s="2">
        <f>HYPERLINK(URLs!B36 &amp; 48909,48909)</f>
        <v>48909</v>
      </c>
      <c r="D524" t="s">
        <v>2196</v>
      </c>
      <c r="E524" t="s">
        <v>131</v>
      </c>
      <c r="F524" t="s">
        <v>305</v>
      </c>
      <c r="G524" t="s">
        <v>328</v>
      </c>
      <c r="H524" t="s">
        <v>56</v>
      </c>
      <c r="I524" t="s">
        <v>31</v>
      </c>
      <c r="J524" t="s">
        <v>32</v>
      </c>
      <c r="K524" t="s">
        <v>35</v>
      </c>
      <c r="L524" t="s">
        <v>73</v>
      </c>
      <c r="M524" t="s">
        <v>263</v>
      </c>
      <c r="N524" t="s">
        <v>2161</v>
      </c>
      <c r="O524" t="s">
        <v>1717</v>
      </c>
      <c r="P524" t="s">
        <v>1634</v>
      </c>
      <c r="R524">
        <v>41871.827488425923</v>
      </c>
      <c r="S524">
        <v>42649.807800925926</v>
      </c>
      <c r="T524" t="s">
        <v>2194</v>
      </c>
      <c r="U524" t="s">
        <v>35</v>
      </c>
      <c r="V524" t="s">
        <v>35</v>
      </c>
      <c r="W524" t="s">
        <v>2552</v>
      </c>
    </row>
    <row r="525" spans="1:23" x14ac:dyDescent="0.25">
      <c r="B525" s="19">
        <v>5543</v>
      </c>
      <c r="C525" s="2">
        <f>HYPERLINK(URLs!B36 &amp; 48908,48908)</f>
        <v>48908</v>
      </c>
      <c r="D525" t="s">
        <v>2195</v>
      </c>
      <c r="E525" t="s">
        <v>387</v>
      </c>
      <c r="F525" t="s">
        <v>305</v>
      </c>
      <c r="G525" t="s">
        <v>328</v>
      </c>
      <c r="H525" t="s">
        <v>56</v>
      </c>
      <c r="I525" t="s">
        <v>35</v>
      </c>
      <c r="J525" t="s">
        <v>32</v>
      </c>
      <c r="K525" t="s">
        <v>35</v>
      </c>
      <c r="L525" t="s">
        <v>73</v>
      </c>
      <c r="M525" t="s">
        <v>263</v>
      </c>
      <c r="N525" t="s">
        <v>46</v>
      </c>
      <c r="O525" t="s">
        <v>1717</v>
      </c>
      <c r="P525" t="s">
        <v>1634</v>
      </c>
      <c r="R525">
        <v>41871.82739583333</v>
      </c>
      <c r="S525">
        <v>42649.807881944442</v>
      </c>
      <c r="T525" t="s">
        <v>2194</v>
      </c>
      <c r="U525" t="s">
        <v>35</v>
      </c>
      <c r="V525" t="s">
        <v>35</v>
      </c>
      <c r="W525" t="s">
        <v>4132</v>
      </c>
    </row>
    <row r="526" spans="1:23" x14ac:dyDescent="0.25">
      <c r="B526" s="19">
        <v>5543</v>
      </c>
      <c r="C526" s="2">
        <f>HYPERLINK(URLs!B36 &amp; 48907,48907)</f>
        <v>48907</v>
      </c>
      <c r="D526" t="s">
        <v>2193</v>
      </c>
      <c r="E526" t="s">
        <v>387</v>
      </c>
      <c r="F526" t="s">
        <v>305</v>
      </c>
      <c r="G526" t="s">
        <v>328</v>
      </c>
      <c r="H526" t="s">
        <v>56</v>
      </c>
      <c r="I526" t="s">
        <v>35</v>
      </c>
      <c r="J526" t="s">
        <v>32</v>
      </c>
      <c r="K526" t="s">
        <v>35</v>
      </c>
      <c r="L526" t="s">
        <v>73</v>
      </c>
      <c r="M526" t="s">
        <v>263</v>
      </c>
      <c r="N526" t="s">
        <v>46</v>
      </c>
      <c r="O526" t="s">
        <v>1717</v>
      </c>
      <c r="P526" t="s">
        <v>1634</v>
      </c>
      <c r="R526">
        <v>41871.827222222222</v>
      </c>
      <c r="S526">
        <v>42678.612326388888</v>
      </c>
      <c r="T526" t="s">
        <v>2194</v>
      </c>
      <c r="U526" t="s">
        <v>35</v>
      </c>
      <c r="V526" t="s">
        <v>35</v>
      </c>
      <c r="W526" t="s">
        <v>3039</v>
      </c>
    </row>
    <row r="527" spans="1:23" x14ac:dyDescent="0.25">
      <c r="B527" s="19">
        <v>5543</v>
      </c>
      <c r="C527" s="2">
        <f>HYPERLINK(URLs!B36 &amp; 48699,48699)</f>
        <v>48699</v>
      </c>
      <c r="D527" t="s">
        <v>2187</v>
      </c>
      <c r="E527" t="s">
        <v>1</v>
      </c>
      <c r="F527" t="s">
        <v>305</v>
      </c>
      <c r="G527" t="s">
        <v>328</v>
      </c>
      <c r="H527" t="s">
        <v>56</v>
      </c>
      <c r="I527" t="s">
        <v>35</v>
      </c>
      <c r="J527" t="s">
        <v>32</v>
      </c>
      <c r="K527" t="s">
        <v>35</v>
      </c>
      <c r="L527" t="s">
        <v>73</v>
      </c>
      <c r="M527" t="s">
        <v>263</v>
      </c>
      <c r="N527" t="s">
        <v>46</v>
      </c>
      <c r="O527" t="s">
        <v>1717</v>
      </c>
      <c r="P527" t="s">
        <v>1634</v>
      </c>
      <c r="R527">
        <v>41866.766863425924</v>
      </c>
      <c r="S527">
        <v>42649.843622685185</v>
      </c>
      <c r="T527" t="s">
        <v>1</v>
      </c>
      <c r="U527" t="s">
        <v>35</v>
      </c>
      <c r="V527" t="s">
        <v>35</v>
      </c>
      <c r="W527" t="s">
        <v>4098</v>
      </c>
    </row>
    <row r="528" spans="1:23" x14ac:dyDescent="0.25">
      <c r="A528" t="s">
        <v>665</v>
      </c>
      <c r="B528" s="19">
        <v>5797</v>
      </c>
      <c r="C528" s="2">
        <f>HYPERLINK(URLs!B36 &amp; 76229,76229)</f>
        <v>76229</v>
      </c>
      <c r="D528" t="s">
        <v>3888</v>
      </c>
      <c r="E528" t="s">
        <v>371</v>
      </c>
      <c r="F528" t="s">
        <v>305</v>
      </c>
      <c r="G528" t="s">
        <v>337</v>
      </c>
      <c r="H528" t="s">
        <v>56</v>
      </c>
      <c r="I528" t="s">
        <v>68</v>
      </c>
      <c r="J528" t="s">
        <v>43</v>
      </c>
      <c r="K528" t="s">
        <v>33</v>
      </c>
      <c r="L528" t="s">
        <v>34</v>
      </c>
      <c r="M528" t="s">
        <v>368</v>
      </c>
      <c r="N528" t="s">
        <v>46</v>
      </c>
      <c r="P528" t="s">
        <v>56</v>
      </c>
      <c r="R528">
        <v>42397.664398148147</v>
      </c>
      <c r="S528">
        <v>42476.9296875</v>
      </c>
      <c r="T528" t="s">
        <v>171</v>
      </c>
      <c r="U528" t="s">
        <v>35</v>
      </c>
      <c r="V528" t="s">
        <v>35</v>
      </c>
      <c r="W528" t="s">
        <v>92</v>
      </c>
    </row>
    <row r="529" spans="1:23" x14ac:dyDescent="0.25">
      <c r="A529" t="s">
        <v>665</v>
      </c>
      <c r="B529" s="19">
        <v>5797</v>
      </c>
      <c r="C529" s="2">
        <f>HYPERLINK(URLs!B36 &amp; 71481,71481)</f>
        <v>71481</v>
      </c>
      <c r="D529" t="s">
        <v>3881</v>
      </c>
      <c r="E529" t="s">
        <v>371</v>
      </c>
      <c r="F529" t="s">
        <v>305</v>
      </c>
      <c r="G529" t="s">
        <v>304</v>
      </c>
      <c r="H529" t="s">
        <v>56</v>
      </c>
      <c r="I529" t="s">
        <v>68</v>
      </c>
      <c r="J529" t="s">
        <v>43</v>
      </c>
      <c r="K529" t="s">
        <v>33</v>
      </c>
      <c r="L529" t="s">
        <v>34</v>
      </c>
      <c r="M529" t="s">
        <v>368</v>
      </c>
      <c r="N529" t="s">
        <v>46</v>
      </c>
      <c r="P529" t="s">
        <v>56</v>
      </c>
      <c r="R529">
        <v>42301.612534722219</v>
      </c>
      <c r="S529">
        <v>42313.640416666669</v>
      </c>
      <c r="T529" t="s">
        <v>1917</v>
      </c>
      <c r="U529" t="s">
        <v>35</v>
      </c>
      <c r="V529" t="s">
        <v>35</v>
      </c>
      <c r="W529" t="s">
        <v>2475</v>
      </c>
    </row>
    <row r="530" spans="1:23" x14ac:dyDescent="0.25">
      <c r="A530" t="s">
        <v>665</v>
      </c>
      <c r="B530" s="19">
        <v>5797</v>
      </c>
      <c r="C530" s="2">
        <f>HYPERLINK(URLs!B36 &amp; 68456,68456)</f>
        <v>68456</v>
      </c>
      <c r="D530" t="s">
        <v>3870</v>
      </c>
      <c r="E530" t="s">
        <v>371</v>
      </c>
      <c r="F530" t="s">
        <v>305</v>
      </c>
      <c r="G530" t="s">
        <v>337</v>
      </c>
      <c r="H530" t="s">
        <v>56</v>
      </c>
      <c r="I530" t="s">
        <v>68</v>
      </c>
      <c r="J530" t="s">
        <v>43</v>
      </c>
      <c r="K530" t="s">
        <v>33</v>
      </c>
      <c r="L530" t="s">
        <v>34</v>
      </c>
      <c r="M530" t="s">
        <v>368</v>
      </c>
      <c r="N530" t="s">
        <v>46</v>
      </c>
      <c r="O530" t="s">
        <v>3871</v>
      </c>
      <c r="P530" t="s">
        <v>56</v>
      </c>
      <c r="R530">
        <v>42250.552835648145</v>
      </c>
      <c r="S530">
        <v>42306.656770833331</v>
      </c>
      <c r="T530" t="s">
        <v>3872</v>
      </c>
      <c r="U530" t="s">
        <v>35</v>
      </c>
      <c r="V530" t="s">
        <v>35</v>
      </c>
      <c r="W530" t="s">
        <v>3120</v>
      </c>
    </row>
    <row r="531" spans="1:23" x14ac:dyDescent="0.25">
      <c r="A531" t="s">
        <v>665</v>
      </c>
      <c r="B531" s="19">
        <v>5797</v>
      </c>
      <c r="C531" s="2">
        <f>HYPERLINK(URLs!B36 &amp; 50370,50370)</f>
        <v>50370</v>
      </c>
      <c r="D531" t="s">
        <v>3847</v>
      </c>
      <c r="E531" t="s">
        <v>371</v>
      </c>
      <c r="F531" t="s">
        <v>305</v>
      </c>
      <c r="G531" t="s">
        <v>304</v>
      </c>
      <c r="H531" t="s">
        <v>56</v>
      </c>
      <c r="I531" t="s">
        <v>68</v>
      </c>
      <c r="J531" t="s">
        <v>43</v>
      </c>
      <c r="K531" t="s">
        <v>33</v>
      </c>
      <c r="L531" t="s">
        <v>34</v>
      </c>
      <c r="M531" t="s">
        <v>368</v>
      </c>
      <c r="N531" t="s">
        <v>46</v>
      </c>
      <c r="O531" t="s">
        <v>3848</v>
      </c>
      <c r="P531" t="s">
        <v>56</v>
      </c>
      <c r="R531">
        <v>41903.697025462963</v>
      </c>
      <c r="S531">
        <v>42476.931145833332</v>
      </c>
      <c r="T531" t="s">
        <v>2047</v>
      </c>
      <c r="U531" t="s">
        <v>35</v>
      </c>
      <c r="V531" t="s">
        <v>35</v>
      </c>
      <c r="W531" t="s">
        <v>4098</v>
      </c>
    </row>
    <row r="532" spans="1:23" x14ac:dyDescent="0.25">
      <c r="B532" s="19">
        <v>5811</v>
      </c>
      <c r="C532" s="2">
        <f>HYPERLINK(URLs!B36 &amp; 50293,50293)</f>
        <v>50293</v>
      </c>
      <c r="D532" t="s">
        <v>2209</v>
      </c>
      <c r="E532" t="s">
        <v>1933</v>
      </c>
      <c r="F532" t="s">
        <v>305</v>
      </c>
      <c r="G532" t="s">
        <v>304</v>
      </c>
      <c r="H532" t="s">
        <v>30</v>
      </c>
      <c r="I532" t="s">
        <v>68</v>
      </c>
      <c r="J532" t="s">
        <v>58</v>
      </c>
      <c r="K532" t="s">
        <v>44</v>
      </c>
      <c r="L532" t="s">
        <v>34</v>
      </c>
      <c r="M532" t="s">
        <v>2179</v>
      </c>
      <c r="N532" t="s">
        <v>46</v>
      </c>
      <c r="P532" t="s">
        <v>2180</v>
      </c>
      <c r="Q532" t="s">
        <v>2203</v>
      </c>
      <c r="R532">
        <v>41900.658553240741</v>
      </c>
      <c r="S532">
        <v>42202.651701388888</v>
      </c>
      <c r="T532" t="s">
        <v>1913</v>
      </c>
      <c r="U532" t="s">
        <v>35</v>
      </c>
      <c r="V532" t="s">
        <v>35</v>
      </c>
      <c r="W532" t="s">
        <v>3867</v>
      </c>
    </row>
    <row r="533" spans="1:23" x14ac:dyDescent="0.25">
      <c r="B533" s="19">
        <v>5811</v>
      </c>
      <c r="C533" s="2">
        <f>HYPERLINK(URLs!B36 &amp; 50292,50292)</f>
        <v>50292</v>
      </c>
      <c r="D533" t="s">
        <v>2207</v>
      </c>
      <c r="E533" t="s">
        <v>1824</v>
      </c>
      <c r="F533" t="s">
        <v>305</v>
      </c>
      <c r="G533" t="s">
        <v>304</v>
      </c>
      <c r="H533" t="s">
        <v>30</v>
      </c>
      <c r="I533" t="s">
        <v>68</v>
      </c>
      <c r="J533" t="s">
        <v>58</v>
      </c>
      <c r="K533" t="s">
        <v>44</v>
      </c>
      <c r="L533" t="s">
        <v>34</v>
      </c>
      <c r="M533" t="s">
        <v>2179</v>
      </c>
      <c r="N533" t="s">
        <v>46</v>
      </c>
      <c r="O533" t="s">
        <v>2208</v>
      </c>
      <c r="P533" t="s">
        <v>2180</v>
      </c>
      <c r="Q533" t="s">
        <v>2203</v>
      </c>
      <c r="R533">
        <v>41900.658460648148</v>
      </c>
      <c r="S533">
        <v>42039.774502314816</v>
      </c>
      <c r="T533" t="s">
        <v>1913</v>
      </c>
      <c r="U533" t="s">
        <v>35</v>
      </c>
      <c r="V533" t="s">
        <v>35</v>
      </c>
      <c r="W533" t="s">
        <v>2722</v>
      </c>
    </row>
    <row r="534" spans="1:23" x14ac:dyDescent="0.25">
      <c r="B534" s="19">
        <v>5811</v>
      </c>
      <c r="C534" s="2">
        <f>HYPERLINK(URLs!B36 &amp; 50291,50291)</f>
        <v>50291</v>
      </c>
      <c r="D534" t="s">
        <v>2205</v>
      </c>
      <c r="E534" t="s">
        <v>1824</v>
      </c>
      <c r="F534" t="s">
        <v>305</v>
      </c>
      <c r="G534" t="s">
        <v>304</v>
      </c>
      <c r="H534" t="s">
        <v>30</v>
      </c>
      <c r="I534" t="s">
        <v>68</v>
      </c>
      <c r="J534" t="s">
        <v>58</v>
      </c>
      <c r="K534" t="s">
        <v>44</v>
      </c>
      <c r="L534" t="s">
        <v>34</v>
      </c>
      <c r="M534" t="s">
        <v>2179</v>
      </c>
      <c r="N534" t="s">
        <v>46</v>
      </c>
      <c r="O534" t="s">
        <v>2206</v>
      </c>
      <c r="P534" t="s">
        <v>2180</v>
      </c>
      <c r="Q534" t="s">
        <v>2203</v>
      </c>
      <c r="R534">
        <v>41900.65834490741</v>
      </c>
      <c r="S534">
        <v>42116.901747685188</v>
      </c>
      <c r="T534" t="s">
        <v>1913</v>
      </c>
      <c r="U534" t="s">
        <v>35</v>
      </c>
      <c r="V534" t="s">
        <v>35</v>
      </c>
      <c r="W534" t="s">
        <v>4112</v>
      </c>
    </row>
    <row r="535" spans="1:23" x14ac:dyDescent="0.25">
      <c r="B535" s="19">
        <v>5811</v>
      </c>
      <c r="C535" s="2">
        <f>HYPERLINK(URLs!B36 &amp; 50290,50290)</f>
        <v>50290</v>
      </c>
      <c r="D535" t="s">
        <v>2204</v>
      </c>
      <c r="E535" t="s">
        <v>1824</v>
      </c>
      <c r="F535" t="s">
        <v>305</v>
      </c>
      <c r="G535" t="s">
        <v>310</v>
      </c>
      <c r="H535" t="s">
        <v>30</v>
      </c>
      <c r="I535" t="s">
        <v>68</v>
      </c>
      <c r="J535" t="s">
        <v>58</v>
      </c>
      <c r="K535" t="s">
        <v>44</v>
      </c>
      <c r="L535" t="s">
        <v>34</v>
      </c>
      <c r="M535" t="s">
        <v>2179</v>
      </c>
      <c r="N535" t="s">
        <v>46</v>
      </c>
      <c r="P535" t="s">
        <v>2180</v>
      </c>
      <c r="Q535" t="s">
        <v>2203</v>
      </c>
      <c r="R535">
        <v>41900.658252314817</v>
      </c>
      <c r="S535">
        <v>42135.73914351852</v>
      </c>
      <c r="T535" t="s">
        <v>1913</v>
      </c>
      <c r="U535" t="s">
        <v>35</v>
      </c>
      <c r="V535" t="s">
        <v>35</v>
      </c>
      <c r="W535" t="s">
        <v>2475</v>
      </c>
    </row>
    <row r="536" spans="1:23" x14ac:dyDescent="0.25">
      <c r="B536" s="19">
        <v>5811</v>
      </c>
      <c r="C536" s="2">
        <f>HYPERLINK(URLs!B36 &amp; 50022,50022)</f>
        <v>50022</v>
      </c>
      <c r="D536" t="s">
        <v>2202</v>
      </c>
      <c r="E536" t="s">
        <v>1824</v>
      </c>
      <c r="F536" t="s">
        <v>305</v>
      </c>
      <c r="G536" t="s">
        <v>304</v>
      </c>
      <c r="H536" t="s">
        <v>30</v>
      </c>
      <c r="I536" t="s">
        <v>68</v>
      </c>
      <c r="J536" t="s">
        <v>58</v>
      </c>
      <c r="K536" t="s">
        <v>44</v>
      </c>
      <c r="L536" t="s">
        <v>34</v>
      </c>
      <c r="M536" t="s">
        <v>2179</v>
      </c>
      <c r="N536" t="s">
        <v>46</v>
      </c>
      <c r="P536" t="s">
        <v>2180</v>
      </c>
      <c r="Q536" t="s">
        <v>2203</v>
      </c>
      <c r="R536">
        <v>41894.614814814813</v>
      </c>
      <c r="S536">
        <v>42930.30773148148</v>
      </c>
      <c r="T536" t="s">
        <v>300</v>
      </c>
      <c r="U536" t="s">
        <v>35</v>
      </c>
      <c r="V536" t="s">
        <v>35</v>
      </c>
      <c r="W536" t="s">
        <v>4098</v>
      </c>
    </row>
    <row r="537" spans="1:23" x14ac:dyDescent="0.25">
      <c r="B537" s="19">
        <v>5914</v>
      </c>
      <c r="C537" s="2">
        <f>HYPERLINK(URLs!B36 &amp; 51260,51260)</f>
        <v>51260</v>
      </c>
      <c r="D537" t="s">
        <v>2224</v>
      </c>
      <c r="E537" t="s">
        <v>2225</v>
      </c>
      <c r="F537" t="s">
        <v>305</v>
      </c>
      <c r="G537" t="s">
        <v>337</v>
      </c>
      <c r="H537" t="s">
        <v>30</v>
      </c>
      <c r="I537" t="s">
        <v>68</v>
      </c>
      <c r="J537" t="s">
        <v>58</v>
      </c>
      <c r="K537" t="s">
        <v>44</v>
      </c>
      <c r="L537" t="s">
        <v>34</v>
      </c>
      <c r="M537" t="s">
        <v>2192</v>
      </c>
      <c r="N537" t="s">
        <v>2226</v>
      </c>
      <c r="P537" t="s">
        <v>56</v>
      </c>
      <c r="R537">
        <v>41920.632222222222</v>
      </c>
      <c r="S537">
        <v>42678.631342592591</v>
      </c>
      <c r="T537" t="s">
        <v>39</v>
      </c>
      <c r="U537" t="s">
        <v>35</v>
      </c>
      <c r="V537" t="s">
        <v>35</v>
      </c>
      <c r="W537" t="s">
        <v>3028</v>
      </c>
    </row>
    <row r="538" spans="1:23" x14ac:dyDescent="0.25">
      <c r="A538" t="s">
        <v>665</v>
      </c>
      <c r="B538" s="19">
        <v>5915</v>
      </c>
      <c r="C538" s="2">
        <f>HYPERLINK(URLs!B36 &amp; 57664,57664)</f>
        <v>57664</v>
      </c>
      <c r="D538" t="s">
        <v>2349</v>
      </c>
      <c r="E538" t="s">
        <v>2350</v>
      </c>
      <c r="F538" t="s">
        <v>305</v>
      </c>
      <c r="G538" t="s">
        <v>304</v>
      </c>
      <c r="H538" t="s">
        <v>30</v>
      </c>
      <c r="I538" t="s">
        <v>68</v>
      </c>
      <c r="J538" t="s">
        <v>58</v>
      </c>
      <c r="K538" t="s">
        <v>44</v>
      </c>
      <c r="L538" t="s">
        <v>34</v>
      </c>
      <c r="M538" t="s">
        <v>2179</v>
      </c>
      <c r="N538" t="s">
        <v>46</v>
      </c>
      <c r="O538" t="s">
        <v>2351</v>
      </c>
      <c r="P538" t="s">
        <v>56</v>
      </c>
      <c r="R538">
        <v>42058.176122685189</v>
      </c>
      <c r="S538">
        <v>42306.622106481482</v>
      </c>
      <c r="T538" t="s">
        <v>1913</v>
      </c>
      <c r="U538" t="s">
        <v>35</v>
      </c>
      <c r="V538" t="s">
        <v>35</v>
      </c>
      <c r="W538" t="s">
        <v>3120</v>
      </c>
    </row>
    <row r="539" spans="1:23" x14ac:dyDescent="0.25">
      <c r="B539" s="19">
        <v>5970</v>
      </c>
      <c r="C539" s="2">
        <f>HYPERLINK(URLs!B36 &amp; 51600,51600)</f>
        <v>51600</v>
      </c>
      <c r="D539" t="s">
        <v>3849</v>
      </c>
      <c r="E539" t="s">
        <v>1752</v>
      </c>
      <c r="F539" t="s">
        <v>305</v>
      </c>
      <c r="G539" t="s">
        <v>337</v>
      </c>
      <c r="H539" t="s">
        <v>30</v>
      </c>
      <c r="I539" t="s">
        <v>68</v>
      </c>
      <c r="J539" t="s">
        <v>58</v>
      </c>
      <c r="K539" t="s">
        <v>44</v>
      </c>
      <c r="L539" t="s">
        <v>34</v>
      </c>
      <c r="M539" t="s">
        <v>3780</v>
      </c>
      <c r="N539" t="s">
        <v>46</v>
      </c>
      <c r="P539" t="s">
        <v>1854</v>
      </c>
      <c r="R539">
        <v>41927.265856481485</v>
      </c>
      <c r="S539">
        <v>42172.440358796295</v>
      </c>
      <c r="T539" t="s">
        <v>1752</v>
      </c>
      <c r="U539" t="s">
        <v>35</v>
      </c>
      <c r="V539" t="s">
        <v>35</v>
      </c>
      <c r="W539" t="s">
        <v>4132</v>
      </c>
    </row>
    <row r="540" spans="1:23" x14ac:dyDescent="0.25">
      <c r="B540" s="19">
        <v>5970</v>
      </c>
      <c r="C540" s="2">
        <f>HYPERLINK(URLs!B36 &amp; 39084,39084)</f>
        <v>39084</v>
      </c>
      <c r="D540" t="s">
        <v>3817</v>
      </c>
      <c r="E540" t="s">
        <v>1913</v>
      </c>
      <c r="F540" t="s">
        <v>305</v>
      </c>
      <c r="G540" t="s">
        <v>304</v>
      </c>
      <c r="H540" t="s">
        <v>30</v>
      </c>
      <c r="I540" t="s">
        <v>35</v>
      </c>
      <c r="J540" t="s">
        <v>58</v>
      </c>
      <c r="K540" t="s">
        <v>44</v>
      </c>
      <c r="L540" t="s">
        <v>34</v>
      </c>
      <c r="M540" t="s">
        <v>3780</v>
      </c>
      <c r="N540" t="s">
        <v>46</v>
      </c>
      <c r="P540" t="s">
        <v>1854</v>
      </c>
      <c r="R540">
        <v>41683.491805555554</v>
      </c>
      <c r="S540">
        <v>41953.841145833336</v>
      </c>
      <c r="T540" t="s">
        <v>3818</v>
      </c>
      <c r="U540" t="s">
        <v>35</v>
      </c>
      <c r="V540" t="s">
        <v>35</v>
      </c>
      <c r="W540" t="s">
        <v>4098</v>
      </c>
    </row>
    <row r="541" spans="1:23" x14ac:dyDescent="0.25">
      <c r="B541" s="19">
        <v>5993</v>
      </c>
      <c r="C541" s="2">
        <f>HYPERLINK(URLs!B36 &amp; 52121,52121)</f>
        <v>52121</v>
      </c>
      <c r="D541" t="s">
        <v>2246</v>
      </c>
      <c r="E541" t="s">
        <v>1864</v>
      </c>
      <c r="F541" t="s">
        <v>305</v>
      </c>
      <c r="G541" t="s">
        <v>310</v>
      </c>
      <c r="H541" t="s">
        <v>30</v>
      </c>
      <c r="I541" t="s">
        <v>31</v>
      </c>
      <c r="J541" t="s">
        <v>43</v>
      </c>
      <c r="K541" t="s">
        <v>44</v>
      </c>
      <c r="L541" t="s">
        <v>73</v>
      </c>
      <c r="M541" t="s">
        <v>412</v>
      </c>
      <c r="N541" t="s">
        <v>46</v>
      </c>
      <c r="P541" t="s">
        <v>1749</v>
      </c>
      <c r="R541">
        <v>41936.831203703703</v>
      </c>
      <c r="S541">
        <v>42678.618784722225</v>
      </c>
      <c r="T541" t="s">
        <v>2194</v>
      </c>
      <c r="U541" t="s">
        <v>35</v>
      </c>
      <c r="V541" t="s">
        <v>35</v>
      </c>
      <c r="W541" t="s">
        <v>2552</v>
      </c>
    </row>
    <row r="542" spans="1:23" x14ac:dyDescent="0.25">
      <c r="B542" s="19">
        <v>5993</v>
      </c>
      <c r="C542" s="2">
        <f>HYPERLINK(URLs!B36 &amp; 52120,52120)</f>
        <v>52120</v>
      </c>
      <c r="D542" t="s">
        <v>2245</v>
      </c>
      <c r="E542" t="s">
        <v>1864</v>
      </c>
      <c r="F542" t="s">
        <v>305</v>
      </c>
      <c r="G542" t="s">
        <v>310</v>
      </c>
      <c r="H542" t="s">
        <v>30</v>
      </c>
      <c r="I542" t="s">
        <v>31</v>
      </c>
      <c r="J542" t="s">
        <v>43</v>
      </c>
      <c r="K542" t="s">
        <v>44</v>
      </c>
      <c r="L542" t="s">
        <v>73</v>
      </c>
      <c r="M542" t="s">
        <v>412</v>
      </c>
      <c r="N542" t="s">
        <v>46</v>
      </c>
      <c r="P542" t="s">
        <v>1749</v>
      </c>
      <c r="R542">
        <v>41936.831134259257</v>
      </c>
      <c r="S542">
        <v>42678.618611111109</v>
      </c>
      <c r="T542" t="s">
        <v>2194</v>
      </c>
      <c r="U542" t="s">
        <v>35</v>
      </c>
      <c r="V542" t="s">
        <v>35</v>
      </c>
      <c r="W542" t="s">
        <v>2552</v>
      </c>
    </row>
    <row r="543" spans="1:23" x14ac:dyDescent="0.25">
      <c r="B543" s="19">
        <v>5993</v>
      </c>
      <c r="C543" s="2">
        <f>HYPERLINK(URLs!B36 &amp; 52119,52119)</f>
        <v>52119</v>
      </c>
      <c r="D543" t="s">
        <v>2243</v>
      </c>
      <c r="E543" t="s">
        <v>445</v>
      </c>
      <c r="F543" t="s">
        <v>305</v>
      </c>
      <c r="G543" t="s">
        <v>310</v>
      </c>
      <c r="H543" t="s">
        <v>30</v>
      </c>
      <c r="I543" t="s">
        <v>68</v>
      </c>
      <c r="J543" t="s">
        <v>43</v>
      </c>
      <c r="K543" t="s">
        <v>44</v>
      </c>
      <c r="L543" t="s">
        <v>73</v>
      </c>
      <c r="M543" t="s">
        <v>263</v>
      </c>
      <c r="N543" t="s">
        <v>46</v>
      </c>
      <c r="O543" t="s">
        <v>2244</v>
      </c>
      <c r="P543" t="s">
        <v>1749</v>
      </c>
      <c r="R543">
        <v>41936.831064814818</v>
      </c>
      <c r="S543">
        <v>42678.612349537034</v>
      </c>
      <c r="T543" t="s">
        <v>2194</v>
      </c>
      <c r="U543" t="s">
        <v>35</v>
      </c>
      <c r="V543" t="s">
        <v>35</v>
      </c>
      <c r="W543" t="s">
        <v>394</v>
      </c>
    </row>
    <row r="544" spans="1:23" x14ac:dyDescent="0.25">
      <c r="B544" s="19">
        <v>5993</v>
      </c>
      <c r="C544" s="2">
        <f>HYPERLINK(URLs!B36 &amp; 52118,52118)</f>
        <v>52118</v>
      </c>
      <c r="D544" t="s">
        <v>2240</v>
      </c>
      <c r="E544" t="s">
        <v>2241</v>
      </c>
      <c r="F544" t="s">
        <v>305</v>
      </c>
      <c r="G544" t="s">
        <v>304</v>
      </c>
      <c r="H544" t="s">
        <v>30</v>
      </c>
      <c r="I544" t="s">
        <v>31</v>
      </c>
      <c r="J544" t="s">
        <v>43</v>
      </c>
      <c r="K544" t="s">
        <v>44</v>
      </c>
      <c r="L544" t="s">
        <v>73</v>
      </c>
      <c r="M544" t="s">
        <v>412</v>
      </c>
      <c r="N544" t="s">
        <v>46</v>
      </c>
      <c r="O544" t="s">
        <v>2242</v>
      </c>
      <c r="P544" t="s">
        <v>1749</v>
      </c>
      <c r="R544">
        <v>41936.830995370372</v>
      </c>
      <c r="S544">
        <v>42648.839930555558</v>
      </c>
      <c r="T544" t="s">
        <v>2194</v>
      </c>
      <c r="U544" t="s">
        <v>35</v>
      </c>
      <c r="V544" t="s">
        <v>35</v>
      </c>
      <c r="W544" t="s">
        <v>2552</v>
      </c>
    </row>
    <row r="545" spans="1:23" x14ac:dyDescent="0.25">
      <c r="B545" s="19">
        <v>5993</v>
      </c>
      <c r="C545" s="2">
        <f>HYPERLINK(URLs!B36 &amp; 52117,52117)</f>
        <v>52117</v>
      </c>
      <c r="D545" t="s">
        <v>2239</v>
      </c>
      <c r="E545" t="s">
        <v>1864</v>
      </c>
      <c r="F545" t="s">
        <v>305</v>
      </c>
      <c r="G545" t="s">
        <v>304</v>
      </c>
      <c r="H545" t="s">
        <v>30</v>
      </c>
      <c r="I545" t="s">
        <v>68</v>
      </c>
      <c r="J545" t="s">
        <v>43</v>
      </c>
      <c r="K545" t="s">
        <v>44</v>
      </c>
      <c r="L545" t="s">
        <v>73</v>
      </c>
      <c r="M545" t="s">
        <v>412</v>
      </c>
      <c r="N545" t="s">
        <v>46</v>
      </c>
      <c r="P545" t="s">
        <v>1749</v>
      </c>
      <c r="R545">
        <v>41936.830868055556</v>
      </c>
      <c r="S545">
        <v>42648.840104166666</v>
      </c>
      <c r="T545" t="s">
        <v>2194</v>
      </c>
      <c r="U545" t="s">
        <v>35</v>
      </c>
      <c r="V545" t="s">
        <v>35</v>
      </c>
      <c r="W545" t="s">
        <v>2722</v>
      </c>
    </row>
    <row r="546" spans="1:23" x14ac:dyDescent="0.25">
      <c r="B546" s="19">
        <v>5993</v>
      </c>
      <c r="C546" s="2">
        <f>HYPERLINK(URLs!B36 &amp; 52116,52116)</f>
        <v>52116</v>
      </c>
      <c r="D546" t="s">
        <v>2238</v>
      </c>
      <c r="E546" t="s">
        <v>1864</v>
      </c>
      <c r="F546" t="s">
        <v>305</v>
      </c>
      <c r="G546" t="s">
        <v>304</v>
      </c>
      <c r="H546" t="s">
        <v>30</v>
      </c>
      <c r="I546" t="s">
        <v>68</v>
      </c>
      <c r="J546" t="s">
        <v>43</v>
      </c>
      <c r="K546" t="s">
        <v>44</v>
      </c>
      <c r="L546" t="s">
        <v>73</v>
      </c>
      <c r="M546" t="s">
        <v>412</v>
      </c>
      <c r="N546" t="s">
        <v>46</v>
      </c>
      <c r="P546" t="s">
        <v>1749</v>
      </c>
      <c r="R546">
        <v>41936.830787037034</v>
      </c>
      <c r="S546">
        <v>42648.840231481481</v>
      </c>
      <c r="T546" t="s">
        <v>2194</v>
      </c>
      <c r="U546" t="s">
        <v>35</v>
      </c>
      <c r="V546" t="s">
        <v>35</v>
      </c>
      <c r="W546" t="s">
        <v>3867</v>
      </c>
    </row>
    <row r="547" spans="1:23" x14ac:dyDescent="0.25">
      <c r="B547" s="19">
        <v>5993</v>
      </c>
      <c r="C547" s="2">
        <f>HYPERLINK(URLs!B36 &amp; 51960,51960)</f>
        <v>51960</v>
      </c>
      <c r="D547" t="s">
        <v>2237</v>
      </c>
      <c r="E547" t="s">
        <v>1864</v>
      </c>
      <c r="F547" t="s">
        <v>305</v>
      </c>
      <c r="G547" t="s">
        <v>304</v>
      </c>
      <c r="H547" t="s">
        <v>30</v>
      </c>
      <c r="I547" t="s">
        <v>68</v>
      </c>
      <c r="J547" t="s">
        <v>43</v>
      </c>
      <c r="K547" t="s">
        <v>44</v>
      </c>
      <c r="L547" t="s">
        <v>73</v>
      </c>
      <c r="M547" t="s">
        <v>412</v>
      </c>
      <c r="N547" t="s">
        <v>46</v>
      </c>
      <c r="P547" t="s">
        <v>1749</v>
      </c>
      <c r="R547">
        <v>41933.901284722226</v>
      </c>
      <c r="S547">
        <v>42331.792673611111</v>
      </c>
      <c r="T547" t="s">
        <v>2</v>
      </c>
      <c r="U547" t="s">
        <v>35</v>
      </c>
      <c r="V547" t="s">
        <v>35</v>
      </c>
      <c r="W547" t="s">
        <v>4098</v>
      </c>
    </row>
    <row r="548" spans="1:23" x14ac:dyDescent="0.25">
      <c r="B548" s="19">
        <v>6099</v>
      </c>
      <c r="C548" s="2">
        <f>HYPERLINK(URLs!B36 &amp; 52610,52610)</f>
        <v>52610</v>
      </c>
      <c r="D548" t="s">
        <v>2251</v>
      </c>
      <c r="E548" t="s">
        <v>72</v>
      </c>
      <c r="F548" t="s">
        <v>305</v>
      </c>
      <c r="G548" t="s">
        <v>310</v>
      </c>
      <c r="H548" t="s">
        <v>30</v>
      </c>
      <c r="I548" t="s">
        <v>68</v>
      </c>
      <c r="J548" t="s">
        <v>43</v>
      </c>
      <c r="K548" t="s">
        <v>33</v>
      </c>
      <c r="L548" t="s">
        <v>73</v>
      </c>
      <c r="M548" t="s">
        <v>263</v>
      </c>
      <c r="N548" t="s">
        <v>46</v>
      </c>
      <c r="O548" t="s">
        <v>2252</v>
      </c>
      <c r="P548" t="s">
        <v>1634</v>
      </c>
      <c r="R548">
        <v>41947.64707175926</v>
      </c>
      <c r="S548">
        <v>42678.624432870369</v>
      </c>
      <c r="T548" t="s">
        <v>2194</v>
      </c>
      <c r="U548" t="s">
        <v>35</v>
      </c>
      <c r="V548" t="s">
        <v>35</v>
      </c>
      <c r="W548" t="s">
        <v>4147</v>
      </c>
    </row>
    <row r="549" spans="1:23" x14ac:dyDescent="0.25">
      <c r="B549" s="19">
        <v>6099</v>
      </c>
      <c r="C549" s="2">
        <f>HYPERLINK(URLs!B36 &amp; 52609,52609)</f>
        <v>52609</v>
      </c>
      <c r="D549" t="s">
        <v>2249</v>
      </c>
      <c r="E549" t="s">
        <v>445</v>
      </c>
      <c r="F549" t="s">
        <v>305</v>
      </c>
      <c r="G549" t="s">
        <v>337</v>
      </c>
      <c r="H549" t="s">
        <v>30</v>
      </c>
      <c r="I549" t="s">
        <v>31</v>
      </c>
      <c r="J549" t="s">
        <v>32</v>
      </c>
      <c r="K549" t="s">
        <v>33</v>
      </c>
      <c r="L549" t="s">
        <v>73</v>
      </c>
      <c r="M549" t="s">
        <v>263</v>
      </c>
      <c r="N549" t="s">
        <v>46</v>
      </c>
      <c r="O549" t="s">
        <v>2250</v>
      </c>
      <c r="P549" t="s">
        <v>1634</v>
      </c>
      <c r="R549">
        <v>41947.647013888891</v>
      </c>
      <c r="S549">
        <v>43074.854050925926</v>
      </c>
      <c r="T549" t="s">
        <v>2194</v>
      </c>
      <c r="U549" t="s">
        <v>35</v>
      </c>
      <c r="V549" t="s">
        <v>321</v>
      </c>
      <c r="W549" t="s">
        <v>2552</v>
      </c>
    </row>
    <row r="550" spans="1:23" x14ac:dyDescent="0.25">
      <c r="B550" s="19">
        <v>6099</v>
      </c>
      <c r="C550" s="2">
        <f>HYPERLINK(URLs!B36 &amp; 52422,52422)</f>
        <v>52422</v>
      </c>
      <c r="D550" t="s">
        <v>2248</v>
      </c>
      <c r="E550" t="s">
        <v>1</v>
      </c>
      <c r="F550" t="s">
        <v>305</v>
      </c>
      <c r="G550" t="s">
        <v>337</v>
      </c>
      <c r="H550" t="s">
        <v>30</v>
      </c>
      <c r="I550" t="s">
        <v>31</v>
      </c>
      <c r="J550" t="s">
        <v>32</v>
      </c>
      <c r="K550" t="s">
        <v>33</v>
      </c>
      <c r="L550" t="s">
        <v>73</v>
      </c>
      <c r="M550" t="s">
        <v>263</v>
      </c>
      <c r="N550" t="s">
        <v>46</v>
      </c>
      <c r="P550" t="s">
        <v>1634</v>
      </c>
      <c r="R550">
        <v>41942.915752314817</v>
      </c>
      <c r="S550">
        <v>42678.631689814814</v>
      </c>
      <c r="T550" t="s">
        <v>1</v>
      </c>
      <c r="U550" t="s">
        <v>35</v>
      </c>
      <c r="V550" t="s">
        <v>321</v>
      </c>
      <c r="W550" t="s">
        <v>4098</v>
      </c>
    </row>
    <row r="551" spans="1:23" x14ac:dyDescent="0.25">
      <c r="B551" s="19">
        <v>6103</v>
      </c>
      <c r="C551" s="2">
        <f>HYPERLINK(URLs!B36 &amp; 53031,53031)</f>
        <v>53031</v>
      </c>
      <c r="D551" t="s">
        <v>2261</v>
      </c>
      <c r="E551" t="s">
        <v>2002</v>
      </c>
      <c r="F551" t="s">
        <v>305</v>
      </c>
      <c r="G551" t="s">
        <v>337</v>
      </c>
      <c r="H551" t="s">
        <v>30</v>
      </c>
      <c r="I551" t="s">
        <v>57</v>
      </c>
      <c r="J551" t="s">
        <v>58</v>
      </c>
      <c r="K551" t="s">
        <v>1733</v>
      </c>
      <c r="L551" t="s">
        <v>73</v>
      </c>
      <c r="M551" t="s">
        <v>273</v>
      </c>
      <c r="N551" t="s">
        <v>46</v>
      </c>
      <c r="P551" t="s">
        <v>2121</v>
      </c>
      <c r="R551">
        <v>41955.78800925926</v>
      </c>
      <c r="S551">
        <v>42034.498912037037</v>
      </c>
      <c r="T551" t="s">
        <v>2194</v>
      </c>
      <c r="U551" t="s">
        <v>35</v>
      </c>
      <c r="V551" t="s">
        <v>35</v>
      </c>
      <c r="W551" t="s">
        <v>491</v>
      </c>
    </row>
    <row r="552" spans="1:23" x14ac:dyDescent="0.25">
      <c r="B552" s="19">
        <v>6103</v>
      </c>
      <c r="C552" s="2">
        <f>HYPERLINK(URLs!B36 &amp; 53030,53030)</f>
        <v>53030</v>
      </c>
      <c r="D552" t="s">
        <v>2260</v>
      </c>
      <c r="E552" t="s">
        <v>2194</v>
      </c>
      <c r="F552" t="s">
        <v>305</v>
      </c>
      <c r="G552" t="s">
        <v>310</v>
      </c>
      <c r="H552" t="s">
        <v>30</v>
      </c>
      <c r="I552" t="s">
        <v>57</v>
      </c>
      <c r="J552" t="s">
        <v>58</v>
      </c>
      <c r="K552" t="s">
        <v>1733</v>
      </c>
      <c r="L552" t="s">
        <v>73</v>
      </c>
      <c r="M552" t="s">
        <v>273</v>
      </c>
      <c r="N552" t="s">
        <v>46</v>
      </c>
      <c r="P552" t="s">
        <v>2121</v>
      </c>
      <c r="R552">
        <v>41955.787905092591</v>
      </c>
      <c r="S552">
        <v>42678.613182870373</v>
      </c>
      <c r="T552" t="s">
        <v>2194</v>
      </c>
      <c r="U552" t="s">
        <v>35</v>
      </c>
      <c r="V552" t="s">
        <v>35</v>
      </c>
      <c r="W552" t="s">
        <v>65</v>
      </c>
    </row>
    <row r="553" spans="1:23" x14ac:dyDescent="0.25">
      <c r="B553" s="19">
        <v>6103</v>
      </c>
      <c r="C553" s="2">
        <f>HYPERLINK(URLs!B36 &amp; 53029,53029)</f>
        <v>53029</v>
      </c>
      <c r="D553" t="s">
        <v>2259</v>
      </c>
      <c r="E553" t="s">
        <v>2194</v>
      </c>
      <c r="F553" t="s">
        <v>305</v>
      </c>
      <c r="G553" t="s">
        <v>310</v>
      </c>
      <c r="H553" t="s">
        <v>30</v>
      </c>
      <c r="I553" t="s">
        <v>57</v>
      </c>
      <c r="J553" t="s">
        <v>58</v>
      </c>
      <c r="K553" t="s">
        <v>1733</v>
      </c>
      <c r="L553" t="s">
        <v>73</v>
      </c>
      <c r="M553" t="s">
        <v>273</v>
      </c>
      <c r="N553" t="s">
        <v>46</v>
      </c>
      <c r="P553" t="s">
        <v>2121</v>
      </c>
      <c r="R553">
        <v>41955.787800925929</v>
      </c>
      <c r="S553">
        <v>42012.699120370373</v>
      </c>
      <c r="T553" t="s">
        <v>2194</v>
      </c>
      <c r="U553" t="s">
        <v>35</v>
      </c>
      <c r="V553" t="s">
        <v>35</v>
      </c>
      <c r="W553" t="s">
        <v>394</v>
      </c>
    </row>
    <row r="554" spans="1:23" x14ac:dyDescent="0.25">
      <c r="B554" s="19">
        <v>6103</v>
      </c>
      <c r="C554" s="2">
        <f>HYPERLINK(URLs!B36 &amp; 53028,53028)</f>
        <v>53028</v>
      </c>
      <c r="D554" t="s">
        <v>2258</v>
      </c>
      <c r="E554" t="s">
        <v>2002</v>
      </c>
      <c r="F554" t="s">
        <v>305</v>
      </c>
      <c r="G554" t="s">
        <v>304</v>
      </c>
      <c r="H554" t="s">
        <v>30</v>
      </c>
      <c r="I554" t="s">
        <v>57</v>
      </c>
      <c r="J554" t="s">
        <v>58</v>
      </c>
      <c r="K554" t="s">
        <v>1733</v>
      </c>
      <c r="L554" t="s">
        <v>73</v>
      </c>
      <c r="M554" t="s">
        <v>273</v>
      </c>
      <c r="N554" t="s">
        <v>46</v>
      </c>
      <c r="P554" t="s">
        <v>2121</v>
      </c>
      <c r="R554">
        <v>41955.787685185183</v>
      </c>
      <c r="S554">
        <v>42648.840219907404</v>
      </c>
      <c r="T554" t="s">
        <v>2194</v>
      </c>
      <c r="U554" t="s">
        <v>35</v>
      </c>
      <c r="V554" t="s">
        <v>35</v>
      </c>
      <c r="W554" t="s">
        <v>2552</v>
      </c>
    </row>
    <row r="555" spans="1:23" x14ac:dyDescent="0.25">
      <c r="B555" s="19">
        <v>6103</v>
      </c>
      <c r="C555" s="2">
        <f>HYPERLINK(URLs!B36 &amp; 53027,53027)</f>
        <v>53027</v>
      </c>
      <c r="D555" t="s">
        <v>2257</v>
      </c>
      <c r="E555" t="s">
        <v>2002</v>
      </c>
      <c r="F555" t="s">
        <v>305</v>
      </c>
      <c r="G555" t="s">
        <v>337</v>
      </c>
      <c r="H555" t="s">
        <v>30</v>
      </c>
      <c r="I555" t="s">
        <v>57</v>
      </c>
      <c r="J555" t="s">
        <v>58</v>
      </c>
      <c r="K555" t="s">
        <v>1733</v>
      </c>
      <c r="L555" t="s">
        <v>73</v>
      </c>
      <c r="M555" t="s">
        <v>273</v>
      </c>
      <c r="N555" t="s">
        <v>46</v>
      </c>
      <c r="P555" t="s">
        <v>2121</v>
      </c>
      <c r="R555">
        <v>41955.787581018521</v>
      </c>
      <c r="S555">
        <v>42678.618854166663</v>
      </c>
      <c r="T555" t="s">
        <v>2194</v>
      </c>
      <c r="U555" t="s">
        <v>35</v>
      </c>
      <c r="V555" t="s">
        <v>35</v>
      </c>
      <c r="W555" t="s">
        <v>4132</v>
      </c>
    </row>
    <row r="556" spans="1:23" x14ac:dyDescent="0.25">
      <c r="B556" s="19">
        <v>6103</v>
      </c>
      <c r="C556" s="2">
        <f>HYPERLINK(URLs!B36 &amp; 53026,53026)</f>
        <v>53026</v>
      </c>
      <c r="D556" t="s">
        <v>2256</v>
      </c>
      <c r="E556" t="s">
        <v>2002</v>
      </c>
      <c r="F556" t="s">
        <v>305</v>
      </c>
      <c r="G556" t="s">
        <v>310</v>
      </c>
      <c r="H556" t="s">
        <v>30</v>
      </c>
      <c r="I556" t="s">
        <v>57</v>
      </c>
      <c r="J556" t="s">
        <v>58</v>
      </c>
      <c r="K556" t="s">
        <v>1733</v>
      </c>
      <c r="L556" t="s">
        <v>73</v>
      </c>
      <c r="M556" t="s">
        <v>273</v>
      </c>
      <c r="N556" t="s">
        <v>46</v>
      </c>
      <c r="P556" t="s">
        <v>2121</v>
      </c>
      <c r="R556">
        <v>41955.787465277775</v>
      </c>
      <c r="S556">
        <v>42678.615740740737</v>
      </c>
      <c r="T556" t="s">
        <v>2194</v>
      </c>
      <c r="U556" t="s">
        <v>35</v>
      </c>
      <c r="V556" t="s">
        <v>35</v>
      </c>
      <c r="W556" t="s">
        <v>3039</v>
      </c>
    </row>
    <row r="557" spans="1:23" x14ac:dyDescent="0.25">
      <c r="A557" t="s">
        <v>633</v>
      </c>
      <c r="B557" s="19">
        <v>6109</v>
      </c>
      <c r="C557" s="2">
        <f>HYPERLINK(URLs!B36 &amp; 45984,45984)</f>
        <v>45984</v>
      </c>
      <c r="D557" t="s">
        <v>2150</v>
      </c>
      <c r="E557" t="s">
        <v>2151</v>
      </c>
      <c r="F557" t="s">
        <v>305</v>
      </c>
      <c r="G557" t="s">
        <v>328</v>
      </c>
      <c r="H557" t="s">
        <v>426</v>
      </c>
      <c r="I557" t="s">
        <v>57</v>
      </c>
      <c r="J557" t="s">
        <v>58</v>
      </c>
      <c r="K557" t="s">
        <v>33</v>
      </c>
      <c r="L557" t="s">
        <v>34</v>
      </c>
      <c r="M557" t="s">
        <v>1853</v>
      </c>
      <c r="N557" t="s">
        <v>46</v>
      </c>
      <c r="O557" t="s">
        <v>2152</v>
      </c>
      <c r="P557" t="s">
        <v>56</v>
      </c>
      <c r="R557">
        <v>41817.875983796293</v>
      </c>
      <c r="S557">
        <v>42256.077210648145</v>
      </c>
      <c r="T557" t="s">
        <v>2153</v>
      </c>
      <c r="U557" t="s">
        <v>35</v>
      </c>
      <c r="V557" t="s">
        <v>35</v>
      </c>
      <c r="W557" t="s">
        <v>2475</v>
      </c>
    </row>
    <row r="558" spans="1:23" x14ac:dyDescent="0.25">
      <c r="B558" s="19">
        <v>6163</v>
      </c>
      <c r="C558" s="2">
        <f>HYPERLINK(URLs!B36 &amp; 54258,54258)</f>
        <v>54258</v>
      </c>
      <c r="D558" t="s">
        <v>2273</v>
      </c>
      <c r="E558" t="s">
        <v>72</v>
      </c>
      <c r="F558" t="s">
        <v>305</v>
      </c>
      <c r="G558" t="s">
        <v>337</v>
      </c>
      <c r="H558" t="s">
        <v>30</v>
      </c>
      <c r="I558" t="s">
        <v>35</v>
      </c>
      <c r="J558" t="s">
        <v>43</v>
      </c>
      <c r="K558" t="s">
        <v>33</v>
      </c>
      <c r="L558" t="s">
        <v>73</v>
      </c>
      <c r="M558" t="s">
        <v>263</v>
      </c>
      <c r="N558" t="s">
        <v>46</v>
      </c>
      <c r="P558" t="s">
        <v>1634</v>
      </c>
      <c r="R558">
        <v>41976.733576388891</v>
      </c>
      <c r="S558">
        <v>42678.622685185182</v>
      </c>
      <c r="T558" t="s">
        <v>2194</v>
      </c>
      <c r="U558" t="s">
        <v>35</v>
      </c>
      <c r="V558" t="s">
        <v>35</v>
      </c>
      <c r="W558" t="s">
        <v>3039</v>
      </c>
    </row>
    <row r="559" spans="1:23" x14ac:dyDescent="0.25">
      <c r="B559" s="19">
        <v>6163</v>
      </c>
      <c r="C559" s="2">
        <f>HYPERLINK(URLs!B36 &amp; 53462,53462)</f>
        <v>53462</v>
      </c>
      <c r="D559" t="s">
        <v>2263</v>
      </c>
      <c r="E559" t="s">
        <v>72</v>
      </c>
      <c r="F559" t="s">
        <v>305</v>
      </c>
      <c r="G559" t="s">
        <v>353</v>
      </c>
      <c r="H559" t="s">
        <v>30</v>
      </c>
      <c r="I559" t="s">
        <v>68</v>
      </c>
      <c r="J559" t="s">
        <v>58</v>
      </c>
      <c r="K559" t="s">
        <v>44</v>
      </c>
      <c r="L559" t="s">
        <v>96</v>
      </c>
      <c r="M559" t="s">
        <v>269</v>
      </c>
      <c r="N559" t="s">
        <v>46</v>
      </c>
      <c r="P559" t="s">
        <v>1749</v>
      </c>
      <c r="R559">
        <v>41963.315208333333</v>
      </c>
      <c r="S559">
        <v>42678.615914351853</v>
      </c>
      <c r="T559" t="s">
        <v>4</v>
      </c>
      <c r="U559" t="s">
        <v>35</v>
      </c>
      <c r="V559" t="s">
        <v>35</v>
      </c>
      <c r="W559" t="s">
        <v>3039</v>
      </c>
    </row>
    <row r="560" spans="1:23" x14ac:dyDescent="0.25">
      <c r="A560" t="s">
        <v>665</v>
      </c>
      <c r="B560" s="19">
        <v>6273</v>
      </c>
      <c r="C560" s="2">
        <f>HYPERLINK(URLs!B36 &amp; 43004,43004)</f>
        <v>43004</v>
      </c>
      <c r="D560" t="s">
        <v>2127</v>
      </c>
      <c r="E560" t="s">
        <v>2128</v>
      </c>
      <c r="F560" t="s">
        <v>305</v>
      </c>
      <c r="G560" t="s">
        <v>304</v>
      </c>
      <c r="H560" t="s">
        <v>30</v>
      </c>
      <c r="I560" t="s">
        <v>57</v>
      </c>
      <c r="J560" t="s">
        <v>58</v>
      </c>
      <c r="K560" t="s">
        <v>33</v>
      </c>
      <c r="L560" t="s">
        <v>34</v>
      </c>
      <c r="M560" t="s">
        <v>1853</v>
      </c>
      <c r="N560" t="s">
        <v>46</v>
      </c>
      <c r="O560" t="s">
        <v>2129</v>
      </c>
      <c r="P560" t="s">
        <v>56</v>
      </c>
      <c r="R560">
        <v>41778.491712962961</v>
      </c>
      <c r="S560">
        <v>42649.918622685182</v>
      </c>
      <c r="T560" t="s">
        <v>2130</v>
      </c>
      <c r="U560" t="s">
        <v>35</v>
      </c>
      <c r="V560" t="s">
        <v>35</v>
      </c>
      <c r="W560" t="s">
        <v>4112</v>
      </c>
    </row>
    <row r="561" spans="1:23" x14ac:dyDescent="0.25">
      <c r="B561" s="19">
        <v>6429</v>
      </c>
      <c r="C561" s="2">
        <f>HYPERLINK(URLs!B36 &amp; 56325,56325)</f>
        <v>56325</v>
      </c>
      <c r="D561" t="s">
        <v>2316</v>
      </c>
      <c r="E561" t="s">
        <v>139</v>
      </c>
      <c r="F561" t="s">
        <v>305</v>
      </c>
      <c r="G561" t="s">
        <v>304</v>
      </c>
      <c r="H561" t="s">
        <v>30</v>
      </c>
      <c r="I561" t="s">
        <v>68</v>
      </c>
      <c r="J561" t="s">
        <v>32</v>
      </c>
      <c r="K561" t="s">
        <v>33</v>
      </c>
      <c r="L561" t="s">
        <v>73</v>
      </c>
      <c r="M561" t="s">
        <v>263</v>
      </c>
      <c r="N561" t="s">
        <v>46</v>
      </c>
      <c r="P561" t="s">
        <v>2121</v>
      </c>
      <c r="R561">
        <v>42034.958692129629</v>
      </c>
      <c r="S561">
        <v>42648.841944444444</v>
      </c>
      <c r="T561" t="s">
        <v>301</v>
      </c>
      <c r="U561" t="s">
        <v>3936</v>
      </c>
      <c r="V561" t="s">
        <v>35</v>
      </c>
      <c r="W561" t="s">
        <v>47</v>
      </c>
    </row>
    <row r="562" spans="1:23" x14ac:dyDescent="0.25">
      <c r="B562" s="19">
        <v>6429</v>
      </c>
      <c r="C562" s="2">
        <f>HYPERLINK(URLs!B36 &amp; 56047,56047)</f>
        <v>56047</v>
      </c>
      <c r="D562" t="s">
        <v>2299</v>
      </c>
      <c r="E562" t="s">
        <v>387</v>
      </c>
      <c r="F562" t="s">
        <v>305</v>
      </c>
      <c r="G562" t="s">
        <v>337</v>
      </c>
      <c r="H562" t="s">
        <v>30</v>
      </c>
      <c r="I562" t="s">
        <v>31</v>
      </c>
      <c r="J562" t="s">
        <v>32</v>
      </c>
      <c r="K562" t="s">
        <v>33</v>
      </c>
      <c r="L562" t="s">
        <v>73</v>
      </c>
      <c r="M562" t="s">
        <v>263</v>
      </c>
      <c r="N562" t="s">
        <v>46</v>
      </c>
      <c r="P562" t="s">
        <v>2121</v>
      </c>
      <c r="R562">
        <v>42030.655798611115</v>
      </c>
      <c r="S562">
        <v>42678.622557870367</v>
      </c>
      <c r="T562" t="s">
        <v>72</v>
      </c>
      <c r="U562" t="s">
        <v>35</v>
      </c>
      <c r="V562" t="s">
        <v>35</v>
      </c>
      <c r="W562" t="s">
        <v>4132</v>
      </c>
    </row>
    <row r="563" spans="1:23" x14ac:dyDescent="0.25">
      <c r="B563" s="19">
        <v>6429</v>
      </c>
      <c r="C563" s="2">
        <f>HYPERLINK(URLs!B36 &amp; 55951,55951)</f>
        <v>55951</v>
      </c>
      <c r="D563" t="s">
        <v>2297</v>
      </c>
      <c r="E563" t="s">
        <v>139</v>
      </c>
      <c r="F563" t="s">
        <v>305</v>
      </c>
      <c r="G563" t="s">
        <v>304</v>
      </c>
      <c r="H563" t="s">
        <v>30</v>
      </c>
      <c r="I563" t="s">
        <v>68</v>
      </c>
      <c r="J563" t="s">
        <v>32</v>
      </c>
      <c r="K563" t="s">
        <v>33</v>
      </c>
      <c r="L563" t="s">
        <v>73</v>
      </c>
      <c r="M563" t="s">
        <v>263</v>
      </c>
      <c r="N563" t="s">
        <v>2292</v>
      </c>
      <c r="O563" t="s">
        <v>2298</v>
      </c>
      <c r="P563" t="s">
        <v>2121</v>
      </c>
      <c r="R563">
        <v>42026.398576388892</v>
      </c>
      <c r="S563">
        <v>42648.841504629629</v>
      </c>
      <c r="T563" t="s">
        <v>139</v>
      </c>
      <c r="U563" t="s">
        <v>35</v>
      </c>
      <c r="V563" t="s">
        <v>35</v>
      </c>
      <c r="W563" t="s">
        <v>2552</v>
      </c>
    </row>
    <row r="564" spans="1:23" x14ac:dyDescent="0.25">
      <c r="B564" s="19">
        <v>6429</v>
      </c>
      <c r="C564" s="2">
        <f>HYPERLINK(URLs!B36 &amp; 55950,55950)</f>
        <v>55950</v>
      </c>
      <c r="D564" t="s">
        <v>2296</v>
      </c>
      <c r="E564" t="s">
        <v>387</v>
      </c>
      <c r="F564" t="s">
        <v>305</v>
      </c>
      <c r="G564" t="s">
        <v>337</v>
      </c>
      <c r="H564" t="s">
        <v>30</v>
      </c>
      <c r="I564" t="s">
        <v>31</v>
      </c>
      <c r="J564" t="s">
        <v>32</v>
      </c>
      <c r="K564" t="s">
        <v>33</v>
      </c>
      <c r="L564" t="s">
        <v>73</v>
      </c>
      <c r="M564" t="s">
        <v>263</v>
      </c>
      <c r="N564" t="s">
        <v>46</v>
      </c>
      <c r="P564" t="s">
        <v>2121</v>
      </c>
      <c r="R564">
        <v>42026.397743055553</v>
      </c>
      <c r="S564">
        <v>42678.622743055559</v>
      </c>
      <c r="T564" t="s">
        <v>139</v>
      </c>
      <c r="U564" t="s">
        <v>35</v>
      </c>
      <c r="V564" t="s">
        <v>35</v>
      </c>
      <c r="W564" t="s">
        <v>4137</v>
      </c>
    </row>
    <row r="565" spans="1:23" x14ac:dyDescent="0.25">
      <c r="B565" s="19">
        <v>6429</v>
      </c>
      <c r="C565" s="2">
        <f>HYPERLINK(URLs!B36 &amp; 55948,55948)</f>
        <v>55948</v>
      </c>
      <c r="D565" t="s">
        <v>2295</v>
      </c>
      <c r="E565" t="s">
        <v>139</v>
      </c>
      <c r="F565" t="s">
        <v>305</v>
      </c>
      <c r="G565" t="s">
        <v>304</v>
      </c>
      <c r="H565" t="s">
        <v>30</v>
      </c>
      <c r="I565" t="s">
        <v>31</v>
      </c>
      <c r="J565" t="s">
        <v>32</v>
      </c>
      <c r="K565" t="s">
        <v>33</v>
      </c>
      <c r="L565" t="s">
        <v>73</v>
      </c>
      <c r="M565" t="s">
        <v>263</v>
      </c>
      <c r="N565" t="s">
        <v>46</v>
      </c>
      <c r="P565" t="s">
        <v>2121</v>
      </c>
      <c r="R565">
        <v>42026.396435185183</v>
      </c>
      <c r="S565">
        <v>42648.841458333336</v>
      </c>
      <c r="T565" t="s">
        <v>139</v>
      </c>
      <c r="U565" t="s">
        <v>35</v>
      </c>
      <c r="V565" t="s">
        <v>35</v>
      </c>
      <c r="W565" t="s">
        <v>65</v>
      </c>
    </row>
    <row r="566" spans="1:23" x14ac:dyDescent="0.25">
      <c r="B566" s="19">
        <v>6429</v>
      </c>
      <c r="C566" s="2">
        <f>HYPERLINK(URLs!B36 &amp; 55944,55944)</f>
        <v>55944</v>
      </c>
      <c r="D566" t="s">
        <v>2294</v>
      </c>
      <c r="E566" t="s">
        <v>139</v>
      </c>
      <c r="F566" t="s">
        <v>305</v>
      </c>
      <c r="G566" t="s">
        <v>304</v>
      </c>
      <c r="H566" t="s">
        <v>30</v>
      </c>
      <c r="I566" t="s">
        <v>68</v>
      </c>
      <c r="J566" t="s">
        <v>32</v>
      </c>
      <c r="K566" t="s">
        <v>33</v>
      </c>
      <c r="L566" t="s">
        <v>73</v>
      </c>
      <c r="M566" t="s">
        <v>263</v>
      </c>
      <c r="N566" t="s">
        <v>2292</v>
      </c>
      <c r="P566" t="s">
        <v>2121</v>
      </c>
      <c r="R566">
        <v>42026.349456018521</v>
      </c>
      <c r="S566">
        <v>42759.713287037041</v>
      </c>
      <c r="T566" t="s">
        <v>139</v>
      </c>
      <c r="U566" t="s">
        <v>35</v>
      </c>
      <c r="V566" t="s">
        <v>35</v>
      </c>
      <c r="W566" t="s">
        <v>4098</v>
      </c>
    </row>
    <row r="567" spans="1:23" x14ac:dyDescent="0.25">
      <c r="B567" s="19">
        <v>6441</v>
      </c>
      <c r="C567" s="2">
        <f>HYPERLINK(URLs!B36 &amp; 56055,56055)</f>
        <v>56055</v>
      </c>
      <c r="D567" t="s">
        <v>3850</v>
      </c>
      <c r="E567" t="s">
        <v>3851</v>
      </c>
      <c r="F567" t="s">
        <v>305</v>
      </c>
      <c r="G567" t="s">
        <v>337</v>
      </c>
      <c r="H567" t="s">
        <v>30</v>
      </c>
      <c r="I567" t="s">
        <v>57</v>
      </c>
      <c r="J567" t="s">
        <v>2183</v>
      </c>
      <c r="K567" t="s">
        <v>33</v>
      </c>
      <c r="L567" t="s">
        <v>34</v>
      </c>
      <c r="M567" t="s">
        <v>368</v>
      </c>
      <c r="N567" t="s">
        <v>46</v>
      </c>
      <c r="P567" t="s">
        <v>2121</v>
      </c>
      <c r="R567">
        <v>42030.760972222219</v>
      </c>
      <c r="S567">
        <v>42678.621122685188</v>
      </c>
      <c r="T567" t="s">
        <v>3852</v>
      </c>
      <c r="U567" t="s">
        <v>35</v>
      </c>
      <c r="V567" t="s">
        <v>35</v>
      </c>
      <c r="W567" t="s">
        <v>4132</v>
      </c>
    </row>
    <row r="568" spans="1:23" x14ac:dyDescent="0.25">
      <c r="B568" s="19">
        <v>6441</v>
      </c>
      <c r="C568" s="2">
        <f>HYPERLINK(URLs!B36 &amp; 56051,56051)</f>
        <v>56051</v>
      </c>
      <c r="D568" t="s">
        <v>2301</v>
      </c>
      <c r="E568" t="s">
        <v>371</v>
      </c>
      <c r="F568" t="s">
        <v>305</v>
      </c>
      <c r="G568" t="s">
        <v>353</v>
      </c>
      <c r="H568" t="s">
        <v>30</v>
      </c>
      <c r="I568" t="s">
        <v>57</v>
      </c>
      <c r="J568" t="s">
        <v>58</v>
      </c>
      <c r="K568" t="s">
        <v>33</v>
      </c>
      <c r="L568" t="s">
        <v>34</v>
      </c>
      <c r="M568" t="s">
        <v>2179</v>
      </c>
      <c r="N568" t="s">
        <v>46</v>
      </c>
      <c r="O568" t="s">
        <v>2302</v>
      </c>
      <c r="P568" t="s">
        <v>1634</v>
      </c>
      <c r="Q568" t="s">
        <v>2303</v>
      </c>
      <c r="R568">
        <v>42030.698831018519</v>
      </c>
      <c r="S568">
        <v>42102.617986111109</v>
      </c>
      <c r="T568" t="s">
        <v>300</v>
      </c>
      <c r="U568" t="s">
        <v>35</v>
      </c>
      <c r="V568" t="s">
        <v>35</v>
      </c>
      <c r="W568" t="s">
        <v>3028</v>
      </c>
    </row>
    <row r="569" spans="1:23" x14ac:dyDescent="0.25">
      <c r="B569" s="19">
        <v>6458</v>
      </c>
      <c r="C569" s="2">
        <f>HYPERLINK(URLs!B36 &amp; 56192,56192)</f>
        <v>56192</v>
      </c>
      <c r="D569" t="s">
        <v>2310</v>
      </c>
      <c r="E569" t="s">
        <v>139</v>
      </c>
      <c r="F569" t="s">
        <v>305</v>
      </c>
      <c r="G569" t="s">
        <v>353</v>
      </c>
      <c r="H569" t="s">
        <v>30</v>
      </c>
      <c r="I569" t="s">
        <v>31</v>
      </c>
      <c r="J569" t="s">
        <v>43</v>
      </c>
      <c r="K569" t="s">
        <v>44</v>
      </c>
      <c r="L569" t="s">
        <v>73</v>
      </c>
      <c r="M569" t="s">
        <v>263</v>
      </c>
      <c r="N569" t="s">
        <v>46</v>
      </c>
      <c r="P569" t="s">
        <v>2121</v>
      </c>
      <c r="R569">
        <v>42032.830289351848</v>
      </c>
      <c r="S569">
        <v>42678.619004629632</v>
      </c>
      <c r="T569" t="s">
        <v>1</v>
      </c>
      <c r="U569" t="s">
        <v>35</v>
      </c>
      <c r="V569" t="s">
        <v>35</v>
      </c>
      <c r="W569" t="s">
        <v>4132</v>
      </c>
    </row>
    <row r="570" spans="1:23" x14ac:dyDescent="0.25">
      <c r="A570" t="s">
        <v>665</v>
      </c>
      <c r="B570" s="19">
        <v>6495</v>
      </c>
      <c r="C570" s="2">
        <f>HYPERLINK(URLs!B36 &amp; 57666,57666)</f>
        <v>57666</v>
      </c>
      <c r="D570" t="s">
        <v>2356</v>
      </c>
      <c r="E570" t="s">
        <v>2354</v>
      </c>
      <c r="F570" t="s">
        <v>305</v>
      </c>
      <c r="G570" t="s">
        <v>304</v>
      </c>
      <c r="H570" t="s">
        <v>2220</v>
      </c>
      <c r="I570" t="s">
        <v>31</v>
      </c>
      <c r="J570" t="s">
        <v>32</v>
      </c>
      <c r="K570" t="s">
        <v>33</v>
      </c>
      <c r="L570" t="s">
        <v>34</v>
      </c>
      <c r="M570" t="s">
        <v>1853</v>
      </c>
      <c r="N570" t="s">
        <v>46</v>
      </c>
      <c r="O570" t="s">
        <v>2357</v>
      </c>
      <c r="P570" t="s">
        <v>56</v>
      </c>
      <c r="R570">
        <v>42058.183807870373</v>
      </c>
      <c r="S570">
        <v>42116.901678240742</v>
      </c>
      <c r="T570" t="s">
        <v>1913</v>
      </c>
      <c r="U570" t="s">
        <v>35</v>
      </c>
      <c r="V570" t="s">
        <v>35</v>
      </c>
      <c r="W570" t="s">
        <v>2475</v>
      </c>
    </row>
    <row r="571" spans="1:23" x14ac:dyDescent="0.25">
      <c r="A571" t="s">
        <v>665</v>
      </c>
      <c r="B571" s="19">
        <v>6495</v>
      </c>
      <c r="C571" s="2">
        <f>HYPERLINK(URLs!B36 &amp; 57665,57665)</f>
        <v>57665</v>
      </c>
      <c r="D571" t="s">
        <v>2353</v>
      </c>
      <c r="E571" t="s">
        <v>2354</v>
      </c>
      <c r="F571" t="s">
        <v>305</v>
      </c>
      <c r="G571" t="s">
        <v>304</v>
      </c>
      <c r="H571" t="s">
        <v>2220</v>
      </c>
      <c r="I571" t="s">
        <v>31</v>
      </c>
      <c r="J571" t="s">
        <v>32</v>
      </c>
      <c r="K571" t="s">
        <v>33</v>
      </c>
      <c r="L571" t="s">
        <v>34</v>
      </c>
      <c r="M571" t="s">
        <v>1853</v>
      </c>
      <c r="N571" t="s">
        <v>2355</v>
      </c>
      <c r="P571" t="s">
        <v>56</v>
      </c>
      <c r="R571">
        <v>42058.183738425927</v>
      </c>
      <c r="S571">
        <v>42216.448425925926</v>
      </c>
      <c r="T571" t="s">
        <v>1913</v>
      </c>
      <c r="U571" t="s">
        <v>35</v>
      </c>
      <c r="V571" t="s">
        <v>35</v>
      </c>
      <c r="W571" t="s">
        <v>2708</v>
      </c>
    </row>
    <row r="572" spans="1:23" x14ac:dyDescent="0.25">
      <c r="A572" t="s">
        <v>665</v>
      </c>
      <c r="B572" s="19">
        <v>6508</v>
      </c>
      <c r="C572" s="2">
        <f>HYPERLINK(URLs!B36 &amp; 57874,57874)</f>
        <v>57874</v>
      </c>
      <c r="D572" t="s">
        <v>2365</v>
      </c>
      <c r="E572" t="s">
        <v>2354</v>
      </c>
      <c r="F572" t="s">
        <v>305</v>
      </c>
      <c r="G572" t="s">
        <v>304</v>
      </c>
      <c r="H572" t="s">
        <v>30</v>
      </c>
      <c r="I572" t="s">
        <v>31</v>
      </c>
      <c r="J572" t="s">
        <v>43</v>
      </c>
      <c r="K572" t="s">
        <v>44</v>
      </c>
      <c r="L572" t="s">
        <v>34</v>
      </c>
      <c r="M572" t="s">
        <v>1853</v>
      </c>
      <c r="N572" t="s">
        <v>2355</v>
      </c>
      <c r="P572" t="s">
        <v>2216</v>
      </c>
      <c r="R572">
        <v>42061.67459490741</v>
      </c>
      <c r="S572">
        <v>42216.450775462959</v>
      </c>
      <c r="T572" t="s">
        <v>1913</v>
      </c>
      <c r="U572" t="s">
        <v>35</v>
      </c>
      <c r="V572" t="s">
        <v>35</v>
      </c>
      <c r="W572" t="s">
        <v>2708</v>
      </c>
    </row>
    <row r="573" spans="1:23" x14ac:dyDescent="0.25">
      <c r="B573" s="19">
        <v>6520</v>
      </c>
      <c r="C573" s="2">
        <f>HYPERLINK(URLs!B36 &amp; 57384,57384)</f>
        <v>57384</v>
      </c>
      <c r="D573" t="s">
        <v>2334</v>
      </c>
      <c r="E573" t="s">
        <v>387</v>
      </c>
      <c r="F573" t="s">
        <v>305</v>
      </c>
      <c r="G573" t="s">
        <v>337</v>
      </c>
      <c r="H573" t="s">
        <v>30</v>
      </c>
      <c r="I573" t="s">
        <v>68</v>
      </c>
      <c r="J573" t="s">
        <v>43</v>
      </c>
      <c r="K573" t="s">
        <v>33</v>
      </c>
      <c r="L573" t="s">
        <v>73</v>
      </c>
      <c r="M573" t="s">
        <v>263</v>
      </c>
      <c r="N573" t="s">
        <v>46</v>
      </c>
      <c r="P573" t="s">
        <v>1634</v>
      </c>
      <c r="R573">
        <v>42053.69190972222</v>
      </c>
      <c r="S573">
        <v>42053.694710648146</v>
      </c>
      <c r="T573" t="s">
        <v>317</v>
      </c>
      <c r="U573" t="s">
        <v>35</v>
      </c>
      <c r="V573" t="s">
        <v>35</v>
      </c>
      <c r="W573" t="s">
        <v>491</v>
      </c>
    </row>
    <row r="574" spans="1:23" x14ac:dyDescent="0.25">
      <c r="B574" s="19">
        <v>6520</v>
      </c>
      <c r="C574" s="2">
        <f>HYPERLINK(URLs!B36 &amp; 57383,57383)</f>
        <v>57383</v>
      </c>
      <c r="D574" t="s">
        <v>2333</v>
      </c>
      <c r="E574" t="s">
        <v>387</v>
      </c>
      <c r="F574" t="s">
        <v>305</v>
      </c>
      <c r="G574" t="s">
        <v>337</v>
      </c>
      <c r="H574" t="s">
        <v>30</v>
      </c>
      <c r="I574" t="s">
        <v>68</v>
      </c>
      <c r="J574" t="s">
        <v>43</v>
      </c>
      <c r="K574" t="s">
        <v>33</v>
      </c>
      <c r="L574" t="s">
        <v>73</v>
      </c>
      <c r="M574" t="s">
        <v>263</v>
      </c>
      <c r="N574" t="s">
        <v>46</v>
      </c>
      <c r="P574" t="s">
        <v>1634</v>
      </c>
      <c r="R574">
        <v>42053.691817129627</v>
      </c>
      <c r="S574">
        <v>42678.623865740738</v>
      </c>
      <c r="T574" t="s">
        <v>317</v>
      </c>
      <c r="U574" t="s">
        <v>35</v>
      </c>
      <c r="V574" t="s">
        <v>35</v>
      </c>
      <c r="W574" t="s">
        <v>4097</v>
      </c>
    </row>
    <row r="575" spans="1:23" x14ac:dyDescent="0.25">
      <c r="B575" s="19">
        <v>6520</v>
      </c>
      <c r="C575" s="2">
        <f>HYPERLINK(URLs!B36 &amp; 57382,57382)</f>
        <v>57382</v>
      </c>
      <c r="D575" t="s">
        <v>2332</v>
      </c>
      <c r="E575" t="s">
        <v>387</v>
      </c>
      <c r="F575" t="s">
        <v>305</v>
      </c>
      <c r="G575" t="s">
        <v>337</v>
      </c>
      <c r="H575" t="s">
        <v>30</v>
      </c>
      <c r="I575" t="s">
        <v>68</v>
      </c>
      <c r="J575" t="s">
        <v>43</v>
      </c>
      <c r="K575" t="s">
        <v>33</v>
      </c>
      <c r="L575" t="s">
        <v>73</v>
      </c>
      <c r="M575" t="s">
        <v>263</v>
      </c>
      <c r="N575" t="s">
        <v>46</v>
      </c>
      <c r="P575" t="s">
        <v>1634</v>
      </c>
      <c r="R575">
        <v>42053.691736111112</v>
      </c>
      <c r="S575">
        <v>42678.624513888892</v>
      </c>
      <c r="T575" t="s">
        <v>317</v>
      </c>
      <c r="U575" t="s">
        <v>35</v>
      </c>
      <c r="V575" t="s">
        <v>35</v>
      </c>
      <c r="W575" t="s">
        <v>65</v>
      </c>
    </row>
    <row r="576" spans="1:23" x14ac:dyDescent="0.25">
      <c r="B576" s="19">
        <v>6520</v>
      </c>
      <c r="C576" s="2">
        <f>HYPERLINK(URLs!B36 &amp; 57381,57381)</f>
        <v>57381</v>
      </c>
      <c r="D576" t="s">
        <v>2331</v>
      </c>
      <c r="E576" t="s">
        <v>387</v>
      </c>
      <c r="F576" t="s">
        <v>305</v>
      </c>
      <c r="G576" t="s">
        <v>337</v>
      </c>
      <c r="H576" t="s">
        <v>30</v>
      </c>
      <c r="I576" t="s">
        <v>68</v>
      </c>
      <c r="J576" t="s">
        <v>43</v>
      </c>
      <c r="K576" t="s">
        <v>33</v>
      </c>
      <c r="L576" t="s">
        <v>73</v>
      </c>
      <c r="M576" t="s">
        <v>263</v>
      </c>
      <c r="N576" t="s">
        <v>46</v>
      </c>
      <c r="P576" t="s">
        <v>1634</v>
      </c>
      <c r="R576">
        <v>42053.691666666666</v>
      </c>
      <c r="S576">
        <v>42053.6953587963</v>
      </c>
      <c r="T576" t="s">
        <v>317</v>
      </c>
      <c r="U576" t="s">
        <v>35</v>
      </c>
      <c r="V576" t="s">
        <v>35</v>
      </c>
      <c r="W576" t="s">
        <v>4147</v>
      </c>
    </row>
    <row r="577" spans="1:23" x14ac:dyDescent="0.25">
      <c r="B577" s="19">
        <v>6520</v>
      </c>
      <c r="C577" s="2">
        <f>HYPERLINK(URLs!B36 &amp; 57380,57380)</f>
        <v>57380</v>
      </c>
      <c r="D577" t="s">
        <v>2330</v>
      </c>
      <c r="E577" t="s">
        <v>387</v>
      </c>
      <c r="F577" t="s">
        <v>305</v>
      </c>
      <c r="G577" t="s">
        <v>337</v>
      </c>
      <c r="H577" t="s">
        <v>30</v>
      </c>
      <c r="I577" t="s">
        <v>68</v>
      </c>
      <c r="J577" t="s">
        <v>43</v>
      </c>
      <c r="K577" t="s">
        <v>33</v>
      </c>
      <c r="L577" t="s">
        <v>73</v>
      </c>
      <c r="M577" t="s">
        <v>263</v>
      </c>
      <c r="N577" t="s">
        <v>46</v>
      </c>
      <c r="P577" t="s">
        <v>1634</v>
      </c>
      <c r="R577">
        <v>42053.69159722222</v>
      </c>
      <c r="S577">
        <v>42053.695439814815</v>
      </c>
      <c r="T577" t="s">
        <v>317</v>
      </c>
      <c r="U577" t="s">
        <v>35</v>
      </c>
      <c r="V577" t="s">
        <v>35</v>
      </c>
      <c r="W577" t="s">
        <v>2552</v>
      </c>
    </row>
    <row r="578" spans="1:23" x14ac:dyDescent="0.25">
      <c r="B578" s="19">
        <v>6520</v>
      </c>
      <c r="C578" s="2">
        <f>HYPERLINK(URLs!B36 &amp; 57379,57379)</f>
        <v>57379</v>
      </c>
      <c r="D578" t="s">
        <v>2329</v>
      </c>
      <c r="E578" t="s">
        <v>387</v>
      </c>
      <c r="F578" t="s">
        <v>305</v>
      </c>
      <c r="G578" t="s">
        <v>310</v>
      </c>
      <c r="H578" t="s">
        <v>30</v>
      </c>
      <c r="I578" t="s">
        <v>68</v>
      </c>
      <c r="J578" t="s">
        <v>43</v>
      </c>
      <c r="K578" t="s">
        <v>33</v>
      </c>
      <c r="L578" t="s">
        <v>73</v>
      </c>
      <c r="M578" t="s">
        <v>263</v>
      </c>
      <c r="N578" t="s">
        <v>46</v>
      </c>
      <c r="P578" t="s">
        <v>1634</v>
      </c>
      <c r="R578">
        <v>42053.691516203704</v>
      </c>
      <c r="S578">
        <v>42053.695543981485</v>
      </c>
      <c r="T578" t="s">
        <v>317</v>
      </c>
      <c r="U578" t="s">
        <v>35</v>
      </c>
      <c r="V578" t="s">
        <v>35</v>
      </c>
      <c r="W578" t="s">
        <v>4132</v>
      </c>
    </row>
    <row r="579" spans="1:23" x14ac:dyDescent="0.25">
      <c r="B579" s="19">
        <v>6520</v>
      </c>
      <c r="C579" s="2">
        <f>HYPERLINK(URLs!B36 &amp; 56663,56663)</f>
        <v>56663</v>
      </c>
      <c r="D579" t="s">
        <v>2323</v>
      </c>
      <c r="E579" t="s">
        <v>387</v>
      </c>
      <c r="F579" t="s">
        <v>305</v>
      </c>
      <c r="G579" t="s">
        <v>337</v>
      </c>
      <c r="H579" t="s">
        <v>30</v>
      </c>
      <c r="I579" t="s">
        <v>68</v>
      </c>
      <c r="J579" t="s">
        <v>43</v>
      </c>
      <c r="K579" t="s">
        <v>33</v>
      </c>
      <c r="L579" t="s">
        <v>73</v>
      </c>
      <c r="M579" t="s">
        <v>263</v>
      </c>
      <c r="N579" t="s">
        <v>46</v>
      </c>
      <c r="P579" t="s">
        <v>1634</v>
      </c>
      <c r="R579">
        <v>42041.73914351852</v>
      </c>
      <c r="S579">
        <v>42678.624247685184</v>
      </c>
      <c r="T579" t="s">
        <v>1</v>
      </c>
      <c r="U579" t="s">
        <v>35</v>
      </c>
      <c r="V579" t="s">
        <v>35</v>
      </c>
      <c r="W579" t="s">
        <v>4098</v>
      </c>
    </row>
    <row r="580" spans="1:23" x14ac:dyDescent="0.25">
      <c r="B580" s="19">
        <v>6550</v>
      </c>
      <c r="C580" s="2">
        <f>HYPERLINK(URLs!B36 &amp; 56415,56415)</f>
        <v>56415</v>
      </c>
      <c r="D580" t="s">
        <v>2321</v>
      </c>
      <c r="E580" t="s">
        <v>450</v>
      </c>
      <c r="F580" t="s">
        <v>305</v>
      </c>
      <c r="G580" t="s">
        <v>328</v>
      </c>
      <c r="H580" t="s">
        <v>54</v>
      </c>
      <c r="I580" t="s">
        <v>31</v>
      </c>
      <c r="J580" t="s">
        <v>32</v>
      </c>
      <c r="K580" t="s">
        <v>44</v>
      </c>
      <c r="L580" t="s">
        <v>73</v>
      </c>
      <c r="M580" t="s">
        <v>263</v>
      </c>
      <c r="N580" t="s">
        <v>46</v>
      </c>
      <c r="O580" t="s">
        <v>2315</v>
      </c>
      <c r="P580" t="s">
        <v>1634</v>
      </c>
      <c r="R580">
        <v>42038.656238425923</v>
      </c>
      <c r="S580">
        <v>42709.810555555552</v>
      </c>
      <c r="T580" t="s">
        <v>317</v>
      </c>
      <c r="U580" t="s">
        <v>35</v>
      </c>
      <c r="V580" t="s">
        <v>321</v>
      </c>
      <c r="W580" t="s">
        <v>4147</v>
      </c>
    </row>
    <row r="581" spans="1:23" x14ac:dyDescent="0.25">
      <c r="B581" s="19">
        <v>6550</v>
      </c>
      <c r="C581" s="2">
        <f>HYPERLINK(URLs!B36 &amp; 56414,56414)</f>
        <v>56414</v>
      </c>
      <c r="D581" t="s">
        <v>2319</v>
      </c>
      <c r="E581" t="s">
        <v>139</v>
      </c>
      <c r="F581" t="s">
        <v>305</v>
      </c>
      <c r="G581" t="s">
        <v>328</v>
      </c>
      <c r="H581" t="s">
        <v>54</v>
      </c>
      <c r="I581" t="s">
        <v>31</v>
      </c>
      <c r="J581" t="s">
        <v>32</v>
      </c>
      <c r="K581" t="s">
        <v>51</v>
      </c>
      <c r="L581" t="s">
        <v>73</v>
      </c>
      <c r="M581" t="s">
        <v>263</v>
      </c>
      <c r="N581" t="s">
        <v>46</v>
      </c>
      <c r="O581" t="s">
        <v>2320</v>
      </c>
      <c r="P581" t="s">
        <v>1634</v>
      </c>
      <c r="R581">
        <v>42038.656122685185</v>
      </c>
      <c r="S581">
        <v>42678.621041666665</v>
      </c>
      <c r="T581" t="s">
        <v>317</v>
      </c>
      <c r="U581" t="s">
        <v>35</v>
      </c>
      <c r="V581" t="s">
        <v>321</v>
      </c>
      <c r="W581" t="s">
        <v>2552</v>
      </c>
    </row>
    <row r="582" spans="1:23" x14ac:dyDescent="0.25">
      <c r="B582" s="19">
        <v>6550</v>
      </c>
      <c r="C582" s="2">
        <f>HYPERLINK(URLs!B36 &amp; 56413,56413)</f>
        <v>56413</v>
      </c>
      <c r="D582" t="s">
        <v>2318</v>
      </c>
      <c r="E582" t="s">
        <v>387</v>
      </c>
      <c r="F582" t="s">
        <v>305</v>
      </c>
      <c r="G582" t="s">
        <v>328</v>
      </c>
      <c r="H582" t="s">
        <v>54</v>
      </c>
      <c r="I582" t="s">
        <v>31</v>
      </c>
      <c r="J582" t="s">
        <v>32</v>
      </c>
      <c r="K582" t="s">
        <v>51</v>
      </c>
      <c r="L582" t="s">
        <v>73</v>
      </c>
      <c r="M582" t="s">
        <v>263</v>
      </c>
      <c r="N582" t="s">
        <v>46</v>
      </c>
      <c r="P582" t="s">
        <v>1634</v>
      </c>
      <c r="R582">
        <v>42038.656006944446</v>
      </c>
      <c r="S582">
        <v>42678.623159722221</v>
      </c>
      <c r="T582" t="s">
        <v>317</v>
      </c>
      <c r="U582" t="s">
        <v>35</v>
      </c>
      <c r="V582" t="s">
        <v>321</v>
      </c>
      <c r="W582" t="s">
        <v>4132</v>
      </c>
    </row>
    <row r="583" spans="1:23" x14ac:dyDescent="0.25">
      <c r="B583" s="19">
        <v>6550</v>
      </c>
      <c r="C583" s="2">
        <f>HYPERLINK(URLs!B36 &amp; 56290,56290)</f>
        <v>56290</v>
      </c>
      <c r="D583" t="s">
        <v>2314</v>
      </c>
      <c r="E583" t="s">
        <v>139</v>
      </c>
      <c r="F583" t="s">
        <v>305</v>
      </c>
      <c r="G583" t="s">
        <v>328</v>
      </c>
      <c r="H583" t="s">
        <v>54</v>
      </c>
      <c r="I583" t="s">
        <v>31</v>
      </c>
      <c r="J583" t="s">
        <v>32</v>
      </c>
      <c r="K583" t="s">
        <v>44</v>
      </c>
      <c r="L583" t="s">
        <v>73</v>
      </c>
      <c r="M583" t="s">
        <v>263</v>
      </c>
      <c r="N583" t="s">
        <v>46</v>
      </c>
      <c r="O583" t="s">
        <v>2315</v>
      </c>
      <c r="P583" t="s">
        <v>1634</v>
      </c>
      <c r="R583">
        <v>42034.424201388887</v>
      </c>
      <c r="S583">
        <v>42678.622858796298</v>
      </c>
      <c r="T583" t="s">
        <v>450</v>
      </c>
      <c r="U583" t="s">
        <v>35</v>
      </c>
      <c r="V583" t="s">
        <v>321</v>
      </c>
      <c r="W583" t="s">
        <v>4098</v>
      </c>
    </row>
    <row r="584" spans="1:23" x14ac:dyDescent="0.25">
      <c r="B584" s="19">
        <v>6556</v>
      </c>
      <c r="C584" s="2">
        <f>HYPERLINK(URLs!B36 &amp; 98845,98845)</f>
        <v>98845</v>
      </c>
      <c r="D584" t="s">
        <v>3540</v>
      </c>
      <c r="E584" t="s">
        <v>490</v>
      </c>
      <c r="F584" t="s">
        <v>305</v>
      </c>
      <c r="G584" t="s">
        <v>304</v>
      </c>
      <c r="H584" t="s">
        <v>30</v>
      </c>
      <c r="I584" t="s">
        <v>68</v>
      </c>
      <c r="J584" t="s">
        <v>43</v>
      </c>
      <c r="K584" t="s">
        <v>33</v>
      </c>
      <c r="L584" t="s">
        <v>73</v>
      </c>
      <c r="M584" t="s">
        <v>263</v>
      </c>
      <c r="N584" t="s">
        <v>46</v>
      </c>
      <c r="P584" t="s">
        <v>2121</v>
      </c>
      <c r="Q584" t="s">
        <v>3541</v>
      </c>
      <c r="R584">
        <v>42853.16611111111</v>
      </c>
      <c r="S584">
        <v>42978.86005787037</v>
      </c>
      <c r="T584" t="s">
        <v>490</v>
      </c>
      <c r="U584" t="s">
        <v>35</v>
      </c>
      <c r="V584" t="s">
        <v>35</v>
      </c>
      <c r="W584" t="s">
        <v>4169</v>
      </c>
    </row>
    <row r="585" spans="1:23" x14ac:dyDescent="0.25">
      <c r="B585" s="19">
        <v>6556</v>
      </c>
      <c r="C585" s="2">
        <f>HYPERLINK(URLs!B36 &amp; 55675,55675)</f>
        <v>55675</v>
      </c>
      <c r="D585" t="s">
        <v>2291</v>
      </c>
      <c r="E585" t="s">
        <v>139</v>
      </c>
      <c r="F585" t="s">
        <v>305</v>
      </c>
      <c r="G585" t="s">
        <v>304</v>
      </c>
      <c r="H585" t="s">
        <v>30</v>
      </c>
      <c r="I585" t="s">
        <v>68</v>
      </c>
      <c r="J585" t="s">
        <v>43</v>
      </c>
      <c r="K585" t="s">
        <v>33</v>
      </c>
      <c r="L585" t="s">
        <v>73</v>
      </c>
      <c r="M585" t="s">
        <v>263</v>
      </c>
      <c r="N585" t="s">
        <v>2292</v>
      </c>
      <c r="P585" t="s">
        <v>2121</v>
      </c>
      <c r="R585">
        <v>42019.471782407411</v>
      </c>
      <c r="S585">
        <v>42648.841562499998</v>
      </c>
      <c r="T585" t="s">
        <v>72</v>
      </c>
      <c r="U585" t="s">
        <v>35</v>
      </c>
      <c r="V585" t="s">
        <v>35</v>
      </c>
      <c r="W585" t="s">
        <v>2552</v>
      </c>
    </row>
    <row r="586" spans="1:23" x14ac:dyDescent="0.25">
      <c r="B586" s="19">
        <v>6556</v>
      </c>
      <c r="C586" s="2">
        <f>HYPERLINK(URLs!B36 &amp; 55674,55674)</f>
        <v>55674</v>
      </c>
      <c r="D586" t="s">
        <v>2290</v>
      </c>
      <c r="E586" t="s">
        <v>387</v>
      </c>
      <c r="F586" t="s">
        <v>305</v>
      </c>
      <c r="G586" t="s">
        <v>337</v>
      </c>
      <c r="H586" t="s">
        <v>30</v>
      </c>
      <c r="I586" t="s">
        <v>68</v>
      </c>
      <c r="J586" t="s">
        <v>43</v>
      </c>
      <c r="K586" t="s">
        <v>33</v>
      </c>
      <c r="L586" t="s">
        <v>73</v>
      </c>
      <c r="M586" t="s">
        <v>263</v>
      </c>
      <c r="N586" t="s">
        <v>46</v>
      </c>
      <c r="P586" t="s">
        <v>2121</v>
      </c>
      <c r="R586">
        <v>42019.47148148148</v>
      </c>
      <c r="S586">
        <v>42678.62027777778</v>
      </c>
      <c r="T586" t="s">
        <v>72</v>
      </c>
      <c r="U586" t="s">
        <v>35</v>
      </c>
      <c r="V586" t="s">
        <v>35</v>
      </c>
      <c r="W586" t="s">
        <v>4132</v>
      </c>
    </row>
    <row r="587" spans="1:23" x14ac:dyDescent="0.25">
      <c r="B587" s="19">
        <v>6556</v>
      </c>
      <c r="C587" s="2">
        <f>HYPERLINK(URLs!B36 &amp; 55364,55364)</f>
        <v>55364</v>
      </c>
      <c r="D587" t="s">
        <v>2289</v>
      </c>
      <c r="E587" t="s">
        <v>139</v>
      </c>
      <c r="F587" t="s">
        <v>305</v>
      </c>
      <c r="G587" t="s">
        <v>304</v>
      </c>
      <c r="H587" t="s">
        <v>30</v>
      </c>
      <c r="I587" t="s">
        <v>68</v>
      </c>
      <c r="J587" t="s">
        <v>43</v>
      </c>
      <c r="K587" t="s">
        <v>33</v>
      </c>
      <c r="L587" t="s">
        <v>73</v>
      </c>
      <c r="M587" t="s">
        <v>263</v>
      </c>
      <c r="N587" t="s">
        <v>46</v>
      </c>
      <c r="P587" t="s">
        <v>2121</v>
      </c>
      <c r="R587">
        <v>42013.020474537036</v>
      </c>
      <c r="S587">
        <v>42853.16611111111</v>
      </c>
      <c r="T587" t="s">
        <v>1</v>
      </c>
      <c r="U587" t="s">
        <v>35</v>
      </c>
      <c r="V587" t="s">
        <v>35</v>
      </c>
      <c r="W587" t="s">
        <v>4098</v>
      </c>
    </row>
    <row r="588" spans="1:23" x14ac:dyDescent="0.25">
      <c r="A588" t="s">
        <v>665</v>
      </c>
      <c r="B588" s="19">
        <v>6587</v>
      </c>
      <c r="C588" s="2">
        <f>HYPERLINK(URLs!B36 &amp; 61387,61387)</f>
        <v>61387</v>
      </c>
      <c r="D588" t="s">
        <v>2441</v>
      </c>
      <c r="E588" t="s">
        <v>445</v>
      </c>
      <c r="F588" t="s">
        <v>305</v>
      </c>
      <c r="G588" t="s">
        <v>337</v>
      </c>
      <c r="H588" t="s">
        <v>30</v>
      </c>
      <c r="I588" t="s">
        <v>68</v>
      </c>
      <c r="J588" t="s">
        <v>43</v>
      </c>
      <c r="K588" t="s">
        <v>33</v>
      </c>
      <c r="L588" t="s">
        <v>73</v>
      </c>
      <c r="M588" t="s">
        <v>263</v>
      </c>
      <c r="N588" t="s">
        <v>46</v>
      </c>
      <c r="P588" t="s">
        <v>491</v>
      </c>
      <c r="R588">
        <v>42121.765555555554</v>
      </c>
      <c r="S588">
        <v>43007.403877314813</v>
      </c>
      <c r="T588" t="s">
        <v>317</v>
      </c>
      <c r="U588" t="s">
        <v>35</v>
      </c>
      <c r="V588" t="s">
        <v>35</v>
      </c>
      <c r="W588" t="s">
        <v>85</v>
      </c>
    </row>
    <row r="589" spans="1:23" x14ac:dyDescent="0.25">
      <c r="A589" t="s">
        <v>665</v>
      </c>
      <c r="B589" s="19">
        <v>6587</v>
      </c>
      <c r="C589" s="2">
        <f>HYPERLINK(URLs!B36 &amp; 61386,61386)</f>
        <v>61386</v>
      </c>
      <c r="D589" t="s">
        <v>2439</v>
      </c>
      <c r="E589" t="s">
        <v>387</v>
      </c>
      <c r="F589" t="s">
        <v>305</v>
      </c>
      <c r="G589" t="s">
        <v>337</v>
      </c>
      <c r="H589" t="s">
        <v>30</v>
      </c>
      <c r="I589" t="s">
        <v>68</v>
      </c>
      <c r="J589" t="s">
        <v>43</v>
      </c>
      <c r="K589" t="s">
        <v>33</v>
      </c>
      <c r="L589" t="s">
        <v>73</v>
      </c>
      <c r="M589" t="s">
        <v>263</v>
      </c>
      <c r="N589" t="s">
        <v>46</v>
      </c>
      <c r="O589" t="s">
        <v>2440</v>
      </c>
      <c r="P589" t="s">
        <v>491</v>
      </c>
      <c r="R589">
        <v>42121.765486111108</v>
      </c>
      <c r="S589">
        <v>42577.550798611112</v>
      </c>
      <c r="T589" t="s">
        <v>317</v>
      </c>
      <c r="U589" t="s">
        <v>35</v>
      </c>
      <c r="V589" t="s">
        <v>35</v>
      </c>
      <c r="W589" t="s">
        <v>4144</v>
      </c>
    </row>
    <row r="590" spans="1:23" x14ac:dyDescent="0.25">
      <c r="A590" t="s">
        <v>665</v>
      </c>
      <c r="B590" s="19">
        <v>6587</v>
      </c>
      <c r="C590" s="2">
        <f>HYPERLINK(URLs!B36 &amp; 61385,61385)</f>
        <v>61385</v>
      </c>
      <c r="D590" t="s">
        <v>2438</v>
      </c>
      <c r="E590" t="s">
        <v>445</v>
      </c>
      <c r="F590" t="s">
        <v>305</v>
      </c>
      <c r="G590" t="s">
        <v>328</v>
      </c>
      <c r="H590" t="s">
        <v>30</v>
      </c>
      <c r="I590" t="s">
        <v>31</v>
      </c>
      <c r="J590" t="s">
        <v>43</v>
      </c>
      <c r="K590" t="s">
        <v>44</v>
      </c>
      <c r="L590" t="s">
        <v>73</v>
      </c>
      <c r="M590" t="s">
        <v>263</v>
      </c>
      <c r="N590" t="s">
        <v>46</v>
      </c>
      <c r="P590" t="s">
        <v>491</v>
      </c>
      <c r="R590">
        <v>42121.765428240738</v>
      </c>
      <c r="S590">
        <v>42678.633113425924</v>
      </c>
      <c r="T590" t="s">
        <v>317</v>
      </c>
      <c r="U590" t="s">
        <v>35</v>
      </c>
      <c r="V590" t="s">
        <v>35</v>
      </c>
      <c r="W590" t="s">
        <v>3028</v>
      </c>
    </row>
    <row r="591" spans="1:23" x14ac:dyDescent="0.25">
      <c r="A591" t="s">
        <v>665</v>
      </c>
      <c r="B591" s="19">
        <v>6587</v>
      </c>
      <c r="C591" s="2">
        <f>HYPERLINK(URLs!B36 &amp; 57541,57541)</f>
        <v>57541</v>
      </c>
      <c r="D591" t="s">
        <v>2346</v>
      </c>
      <c r="E591" t="s">
        <v>387</v>
      </c>
      <c r="F591" t="s">
        <v>305</v>
      </c>
      <c r="G591" t="s">
        <v>337</v>
      </c>
      <c r="H591" t="s">
        <v>30</v>
      </c>
      <c r="I591" t="s">
        <v>31</v>
      </c>
      <c r="J591" t="s">
        <v>32</v>
      </c>
      <c r="K591" t="s">
        <v>33</v>
      </c>
      <c r="L591" t="s">
        <v>73</v>
      </c>
      <c r="M591" t="s">
        <v>263</v>
      </c>
      <c r="N591" t="s">
        <v>46</v>
      </c>
      <c r="O591" t="s">
        <v>2347</v>
      </c>
      <c r="P591" t="s">
        <v>491</v>
      </c>
      <c r="R591">
        <v>42055.555069444446</v>
      </c>
      <c r="S591">
        <v>42577.550659722219</v>
      </c>
      <c r="T591" t="s">
        <v>317</v>
      </c>
      <c r="U591" t="s">
        <v>35</v>
      </c>
      <c r="V591" t="s">
        <v>35</v>
      </c>
      <c r="W591" t="s">
        <v>4144</v>
      </c>
    </row>
    <row r="592" spans="1:23" x14ac:dyDescent="0.25">
      <c r="A592" t="s">
        <v>665</v>
      </c>
      <c r="B592" s="19">
        <v>6587</v>
      </c>
      <c r="C592" s="2">
        <f>HYPERLINK(URLs!B36 &amp; 57540,57540)</f>
        <v>57540</v>
      </c>
      <c r="D592" t="s">
        <v>2345</v>
      </c>
      <c r="E592" t="s">
        <v>387</v>
      </c>
      <c r="F592" t="s">
        <v>305</v>
      </c>
      <c r="G592" t="s">
        <v>328</v>
      </c>
      <c r="H592" t="s">
        <v>30</v>
      </c>
      <c r="I592" t="s">
        <v>31</v>
      </c>
      <c r="J592" t="s">
        <v>32</v>
      </c>
      <c r="K592" t="s">
        <v>33</v>
      </c>
      <c r="L592" t="s">
        <v>73</v>
      </c>
      <c r="M592" t="s">
        <v>263</v>
      </c>
      <c r="N592" t="s">
        <v>46</v>
      </c>
      <c r="P592" t="s">
        <v>491</v>
      </c>
      <c r="R592">
        <v>42055.554988425924</v>
      </c>
      <c r="S592">
        <v>42678.623020833336</v>
      </c>
      <c r="T592" t="s">
        <v>317</v>
      </c>
      <c r="U592" t="s">
        <v>35</v>
      </c>
      <c r="V592" t="s">
        <v>35</v>
      </c>
      <c r="W592" t="s">
        <v>4097</v>
      </c>
    </row>
    <row r="593" spans="1:23" x14ac:dyDescent="0.25">
      <c r="A593" t="s">
        <v>665</v>
      </c>
      <c r="B593" s="19">
        <v>6587</v>
      </c>
      <c r="C593" s="2">
        <f>HYPERLINK(URLs!B36 &amp; 57539,57539)</f>
        <v>57539</v>
      </c>
      <c r="D593" t="s">
        <v>2344</v>
      </c>
      <c r="E593" t="s">
        <v>387</v>
      </c>
      <c r="F593" t="s">
        <v>305</v>
      </c>
      <c r="G593" t="s">
        <v>328</v>
      </c>
      <c r="H593" t="s">
        <v>30</v>
      </c>
      <c r="I593" t="s">
        <v>31</v>
      </c>
      <c r="J593" t="s">
        <v>32</v>
      </c>
      <c r="K593" t="s">
        <v>33</v>
      </c>
      <c r="L593" t="s">
        <v>73</v>
      </c>
      <c r="M593" t="s">
        <v>263</v>
      </c>
      <c r="N593" t="s">
        <v>46</v>
      </c>
      <c r="P593" t="s">
        <v>491</v>
      </c>
      <c r="R593">
        <v>42055.554930555554</v>
      </c>
      <c r="S593">
        <v>42678.622777777775</v>
      </c>
      <c r="T593" t="s">
        <v>317</v>
      </c>
      <c r="U593" t="s">
        <v>35</v>
      </c>
      <c r="V593" t="s">
        <v>35</v>
      </c>
      <c r="W593" t="s">
        <v>65</v>
      </c>
    </row>
    <row r="594" spans="1:23" x14ac:dyDescent="0.25">
      <c r="A594" t="s">
        <v>665</v>
      </c>
      <c r="B594" s="19">
        <v>6587</v>
      </c>
      <c r="C594" s="2">
        <f>HYPERLINK(URLs!B36 &amp; 57538,57538)</f>
        <v>57538</v>
      </c>
      <c r="D594" t="s">
        <v>2343</v>
      </c>
      <c r="E594" t="s">
        <v>387</v>
      </c>
      <c r="F594" t="s">
        <v>305</v>
      </c>
      <c r="G594" t="s">
        <v>328</v>
      </c>
      <c r="H594" t="s">
        <v>30</v>
      </c>
      <c r="I594" t="s">
        <v>31</v>
      </c>
      <c r="J594" t="s">
        <v>32</v>
      </c>
      <c r="K594" t="s">
        <v>33</v>
      </c>
      <c r="L594" t="s">
        <v>73</v>
      </c>
      <c r="M594" t="s">
        <v>263</v>
      </c>
      <c r="N594" t="s">
        <v>46</v>
      </c>
      <c r="P594" t="s">
        <v>491</v>
      </c>
      <c r="R594">
        <v>42055.554861111108</v>
      </c>
      <c r="S594">
        <v>42678.623067129629</v>
      </c>
      <c r="T594" t="s">
        <v>317</v>
      </c>
      <c r="U594" t="s">
        <v>35</v>
      </c>
      <c r="V594" t="s">
        <v>35</v>
      </c>
      <c r="W594" t="s">
        <v>4147</v>
      </c>
    </row>
    <row r="595" spans="1:23" x14ac:dyDescent="0.25">
      <c r="A595" t="s">
        <v>665</v>
      </c>
      <c r="B595" s="19">
        <v>6587</v>
      </c>
      <c r="C595" s="2">
        <f>HYPERLINK(URLs!B36 &amp; 57537,57537)</f>
        <v>57537</v>
      </c>
      <c r="D595" t="s">
        <v>2342</v>
      </c>
      <c r="E595" t="s">
        <v>387</v>
      </c>
      <c r="F595" t="s">
        <v>305</v>
      </c>
      <c r="G595" t="s">
        <v>328</v>
      </c>
      <c r="H595" t="s">
        <v>30</v>
      </c>
      <c r="I595" t="s">
        <v>68</v>
      </c>
      <c r="J595" t="s">
        <v>43</v>
      </c>
      <c r="K595" t="s">
        <v>33</v>
      </c>
      <c r="L595" t="s">
        <v>73</v>
      </c>
      <c r="M595" t="s">
        <v>263</v>
      </c>
      <c r="N595" t="s">
        <v>46</v>
      </c>
      <c r="O595" t="s">
        <v>2117</v>
      </c>
      <c r="P595" t="s">
        <v>491</v>
      </c>
      <c r="R595">
        <v>42055.554780092592</v>
      </c>
      <c r="S595">
        <v>42678.621261574073</v>
      </c>
      <c r="T595" t="s">
        <v>317</v>
      </c>
      <c r="U595" t="s">
        <v>35</v>
      </c>
      <c r="V595" t="s">
        <v>321</v>
      </c>
      <c r="W595" t="s">
        <v>2552</v>
      </c>
    </row>
    <row r="596" spans="1:23" x14ac:dyDescent="0.25">
      <c r="A596" t="s">
        <v>665</v>
      </c>
      <c r="B596" s="19">
        <v>6587</v>
      </c>
      <c r="C596" s="2">
        <f>HYPERLINK(URLs!B36 &amp; 57536,57536)</f>
        <v>57536</v>
      </c>
      <c r="D596" t="s">
        <v>2341</v>
      </c>
      <c r="E596" t="s">
        <v>387</v>
      </c>
      <c r="F596" t="s">
        <v>305</v>
      </c>
      <c r="G596" t="s">
        <v>328</v>
      </c>
      <c r="H596" t="s">
        <v>30</v>
      </c>
      <c r="I596" t="s">
        <v>31</v>
      </c>
      <c r="J596" t="s">
        <v>32</v>
      </c>
      <c r="K596" t="s">
        <v>33</v>
      </c>
      <c r="L596" t="s">
        <v>73</v>
      </c>
      <c r="M596" t="s">
        <v>263</v>
      </c>
      <c r="N596" t="s">
        <v>46</v>
      </c>
      <c r="P596" t="s">
        <v>491</v>
      </c>
      <c r="R596">
        <v>42055.554710648146</v>
      </c>
      <c r="S596">
        <v>42678.622939814813</v>
      </c>
      <c r="T596" t="s">
        <v>317</v>
      </c>
      <c r="U596" t="s">
        <v>35</v>
      </c>
      <c r="V596" t="s">
        <v>35</v>
      </c>
      <c r="W596" t="s">
        <v>4132</v>
      </c>
    </row>
    <row r="597" spans="1:23" x14ac:dyDescent="0.25">
      <c r="A597" t="s">
        <v>665</v>
      </c>
      <c r="B597" s="19">
        <v>6587</v>
      </c>
      <c r="C597" s="2">
        <f>HYPERLINK(URLs!B36 &amp; 57519,57519)</f>
        <v>57519</v>
      </c>
      <c r="D597" t="s">
        <v>2338</v>
      </c>
      <c r="E597" t="s">
        <v>445</v>
      </c>
      <c r="F597" t="s">
        <v>305</v>
      </c>
      <c r="G597" t="s">
        <v>328</v>
      </c>
      <c r="H597" t="s">
        <v>30</v>
      </c>
      <c r="I597" t="s">
        <v>31</v>
      </c>
      <c r="J597" t="s">
        <v>32</v>
      </c>
      <c r="K597" t="s">
        <v>33</v>
      </c>
      <c r="L597" t="s">
        <v>73</v>
      </c>
      <c r="M597" t="s">
        <v>263</v>
      </c>
      <c r="N597" t="s">
        <v>46</v>
      </c>
      <c r="O597" t="s">
        <v>2339</v>
      </c>
      <c r="P597" t="s">
        <v>491</v>
      </c>
      <c r="Q597" t="s">
        <v>2340</v>
      </c>
      <c r="R597">
        <v>42055.432152777779</v>
      </c>
      <c r="S597">
        <v>42923.406666666669</v>
      </c>
      <c r="T597" t="s">
        <v>86</v>
      </c>
      <c r="U597" t="s">
        <v>35</v>
      </c>
      <c r="V597" t="s">
        <v>321</v>
      </c>
      <c r="W597" t="s">
        <v>4098</v>
      </c>
    </row>
    <row r="598" spans="1:23" x14ac:dyDescent="0.25">
      <c r="B598" s="19">
        <v>6629</v>
      </c>
      <c r="C598" s="2">
        <f>HYPERLINK(URLs!B36 &amp; 71191,71191)</f>
        <v>71191</v>
      </c>
      <c r="D598" t="s">
        <v>2738</v>
      </c>
      <c r="E598" t="s">
        <v>376</v>
      </c>
      <c r="F598" t="s">
        <v>305</v>
      </c>
      <c r="G598" t="s">
        <v>304</v>
      </c>
      <c r="H598" t="s">
        <v>30</v>
      </c>
      <c r="I598" t="s">
        <v>68</v>
      </c>
      <c r="J598" t="s">
        <v>43</v>
      </c>
      <c r="K598" t="s">
        <v>33</v>
      </c>
      <c r="L598" t="s">
        <v>34</v>
      </c>
      <c r="M598" t="s">
        <v>2179</v>
      </c>
      <c r="N598" t="s">
        <v>46</v>
      </c>
      <c r="P598" t="s">
        <v>1634</v>
      </c>
      <c r="Q598" t="s">
        <v>2416</v>
      </c>
      <c r="R598">
        <v>42296.844363425924</v>
      </c>
      <c r="S598">
        <v>42801.452557870369</v>
      </c>
      <c r="T598" t="s">
        <v>376</v>
      </c>
      <c r="U598" t="s">
        <v>35</v>
      </c>
      <c r="V598" t="s">
        <v>35</v>
      </c>
      <c r="W598" t="s">
        <v>4133</v>
      </c>
    </row>
    <row r="599" spans="1:23" x14ac:dyDescent="0.25">
      <c r="B599" s="19">
        <v>6629</v>
      </c>
      <c r="C599" s="2">
        <f>HYPERLINK(URLs!B36 &amp; 71190,71190)</f>
        <v>71190</v>
      </c>
      <c r="D599" t="s">
        <v>2737</v>
      </c>
      <c r="E599" t="s">
        <v>376</v>
      </c>
      <c r="F599" t="s">
        <v>305</v>
      </c>
      <c r="G599" t="s">
        <v>304</v>
      </c>
      <c r="H599" t="s">
        <v>30</v>
      </c>
      <c r="I599" t="s">
        <v>68</v>
      </c>
      <c r="J599" t="s">
        <v>43</v>
      </c>
      <c r="K599" t="s">
        <v>33</v>
      </c>
      <c r="L599" t="s">
        <v>34</v>
      </c>
      <c r="M599" t="s">
        <v>2179</v>
      </c>
      <c r="N599" t="s">
        <v>46</v>
      </c>
      <c r="P599" t="s">
        <v>1634</v>
      </c>
      <c r="R599">
        <v>42296.84238425926</v>
      </c>
      <c r="S599">
        <v>43187.156145833331</v>
      </c>
      <c r="T599" t="s">
        <v>376</v>
      </c>
      <c r="U599" t="s">
        <v>35</v>
      </c>
      <c r="V599" t="s">
        <v>35</v>
      </c>
      <c r="W599" t="s">
        <v>4098</v>
      </c>
    </row>
    <row r="600" spans="1:23" x14ac:dyDescent="0.25">
      <c r="B600" s="19">
        <v>6647</v>
      </c>
      <c r="C600" s="2">
        <f>HYPERLINK(URLs!B36 &amp; 40050,40050)</f>
        <v>40050</v>
      </c>
      <c r="D600" t="s">
        <v>2076</v>
      </c>
      <c r="E600" t="s">
        <v>2060</v>
      </c>
      <c r="F600" t="s">
        <v>305</v>
      </c>
      <c r="G600" t="s">
        <v>304</v>
      </c>
      <c r="H600" t="s">
        <v>30</v>
      </c>
      <c r="I600" t="s">
        <v>31</v>
      </c>
      <c r="J600" t="s">
        <v>43</v>
      </c>
      <c r="K600" t="s">
        <v>44</v>
      </c>
      <c r="L600" t="s">
        <v>34</v>
      </c>
      <c r="M600" t="s">
        <v>1748</v>
      </c>
      <c r="N600" t="s">
        <v>46</v>
      </c>
      <c r="P600" t="s">
        <v>1854</v>
      </c>
      <c r="R600">
        <v>41710.27679398148</v>
      </c>
      <c r="S600">
        <v>42306.915798611109</v>
      </c>
      <c r="T600" t="s">
        <v>2075</v>
      </c>
      <c r="U600" t="s">
        <v>35</v>
      </c>
      <c r="V600" t="s">
        <v>35</v>
      </c>
      <c r="W600" t="s">
        <v>3867</v>
      </c>
    </row>
    <row r="601" spans="1:23" x14ac:dyDescent="0.25">
      <c r="B601" s="19">
        <v>6647</v>
      </c>
      <c r="C601" s="2">
        <f>HYPERLINK(URLs!B36 &amp; 40049,40049)</f>
        <v>40049</v>
      </c>
      <c r="D601" t="s">
        <v>2074</v>
      </c>
      <c r="E601" t="s">
        <v>1958</v>
      </c>
      <c r="F601" t="s">
        <v>305</v>
      </c>
      <c r="G601" t="s">
        <v>304</v>
      </c>
      <c r="H601" t="s">
        <v>30</v>
      </c>
      <c r="I601" t="s">
        <v>31</v>
      </c>
      <c r="J601" t="s">
        <v>43</v>
      </c>
      <c r="K601" t="s">
        <v>44</v>
      </c>
      <c r="L601" t="s">
        <v>34</v>
      </c>
      <c r="M601" t="s">
        <v>1748</v>
      </c>
      <c r="N601" t="s">
        <v>46</v>
      </c>
      <c r="P601" t="s">
        <v>1854</v>
      </c>
      <c r="R601">
        <v>41710.275092592594</v>
      </c>
      <c r="S601">
        <v>42306.915798611109</v>
      </c>
      <c r="T601" t="s">
        <v>2075</v>
      </c>
      <c r="U601" t="s">
        <v>35</v>
      </c>
      <c r="V601" t="s">
        <v>35</v>
      </c>
      <c r="W601" t="s">
        <v>4112</v>
      </c>
    </row>
    <row r="602" spans="1:23" x14ac:dyDescent="0.25">
      <c r="B602" s="19">
        <v>6647</v>
      </c>
      <c r="C602" s="2">
        <f>HYPERLINK(URLs!B36 &amp; 38971,38971)</f>
        <v>38971</v>
      </c>
      <c r="D602" t="s">
        <v>2059</v>
      </c>
      <c r="E602" t="s">
        <v>2060</v>
      </c>
      <c r="F602" t="s">
        <v>305</v>
      </c>
      <c r="G602" t="s">
        <v>304</v>
      </c>
      <c r="H602" t="s">
        <v>30</v>
      </c>
      <c r="I602" t="s">
        <v>31</v>
      </c>
      <c r="J602" t="s">
        <v>43</v>
      </c>
      <c r="K602" t="s">
        <v>44</v>
      </c>
      <c r="L602" t="s">
        <v>34</v>
      </c>
      <c r="M602" t="s">
        <v>1748</v>
      </c>
      <c r="N602" t="s">
        <v>46</v>
      </c>
      <c r="P602" t="s">
        <v>1854</v>
      </c>
      <c r="R602">
        <v>41680.873923611114</v>
      </c>
      <c r="S602">
        <v>42306.915798611109</v>
      </c>
      <c r="T602" t="s">
        <v>2053</v>
      </c>
      <c r="U602" t="s">
        <v>35</v>
      </c>
      <c r="V602" t="s">
        <v>35</v>
      </c>
      <c r="W602" t="s">
        <v>4098</v>
      </c>
    </row>
    <row r="603" spans="1:23" x14ac:dyDescent="0.25">
      <c r="B603" s="19">
        <v>6784</v>
      </c>
      <c r="C603" s="2">
        <f>HYPERLINK(URLs!B36 &amp; 58809,58809)</f>
        <v>58809</v>
      </c>
      <c r="D603" t="s">
        <v>3854</v>
      </c>
      <c r="E603" t="s">
        <v>2047</v>
      </c>
      <c r="F603" t="s">
        <v>305</v>
      </c>
      <c r="G603" t="s">
        <v>304</v>
      </c>
      <c r="H603" t="s">
        <v>30</v>
      </c>
      <c r="I603" t="s">
        <v>31</v>
      </c>
      <c r="J603" t="s">
        <v>32</v>
      </c>
      <c r="K603" t="s">
        <v>44</v>
      </c>
      <c r="L603" t="s">
        <v>34</v>
      </c>
      <c r="M603" t="s">
        <v>3780</v>
      </c>
      <c r="N603" t="s">
        <v>46</v>
      </c>
      <c r="O603" t="s">
        <v>3855</v>
      </c>
      <c r="P603" t="s">
        <v>1854</v>
      </c>
      <c r="R603">
        <v>42079.765405092592</v>
      </c>
      <c r="S603">
        <v>43007.432997685188</v>
      </c>
      <c r="T603" t="s">
        <v>2047</v>
      </c>
      <c r="U603" t="s">
        <v>35</v>
      </c>
      <c r="V603" t="s">
        <v>35</v>
      </c>
      <c r="W603" t="s">
        <v>4148</v>
      </c>
    </row>
    <row r="604" spans="1:23" x14ac:dyDescent="0.25">
      <c r="B604" s="19">
        <v>6807</v>
      </c>
      <c r="C604" s="2">
        <f>HYPERLINK(URLs!B36 &amp; 58745,58745)</f>
        <v>58745</v>
      </c>
      <c r="D604" t="s">
        <v>2377</v>
      </c>
      <c r="E604" t="s">
        <v>2378</v>
      </c>
      <c r="F604" t="s">
        <v>305</v>
      </c>
      <c r="G604" t="s">
        <v>337</v>
      </c>
      <c r="H604" t="s">
        <v>30</v>
      </c>
      <c r="I604" t="s">
        <v>31</v>
      </c>
      <c r="J604" t="s">
        <v>32</v>
      </c>
      <c r="K604" t="s">
        <v>33</v>
      </c>
      <c r="L604" t="s">
        <v>34</v>
      </c>
      <c r="M604" t="s">
        <v>2379</v>
      </c>
      <c r="N604" t="s">
        <v>46</v>
      </c>
      <c r="P604" t="s">
        <v>1634</v>
      </c>
      <c r="R604">
        <v>42078.859247685185</v>
      </c>
      <c r="S604">
        <v>42678.636956018519</v>
      </c>
      <c r="T604" t="s">
        <v>299</v>
      </c>
      <c r="U604" t="s">
        <v>35</v>
      </c>
      <c r="V604" t="s">
        <v>35</v>
      </c>
      <c r="W604" t="s">
        <v>3028</v>
      </c>
    </row>
    <row r="605" spans="1:23" x14ac:dyDescent="0.25">
      <c r="B605" s="19">
        <v>6808</v>
      </c>
      <c r="C605" s="2">
        <f>HYPERLINK(URLs!B36 &amp; 58752,58752)</f>
        <v>58752</v>
      </c>
      <c r="D605" t="s">
        <v>2381</v>
      </c>
      <c r="E605" t="s">
        <v>2002</v>
      </c>
      <c r="F605" t="s">
        <v>305</v>
      </c>
      <c r="G605" t="s">
        <v>310</v>
      </c>
      <c r="H605" t="s">
        <v>30</v>
      </c>
      <c r="I605" t="s">
        <v>57</v>
      </c>
      <c r="J605" t="s">
        <v>2183</v>
      </c>
      <c r="K605" t="s">
        <v>33</v>
      </c>
      <c r="L605" t="s">
        <v>34</v>
      </c>
      <c r="M605" t="s">
        <v>2024</v>
      </c>
      <c r="N605" t="s">
        <v>46</v>
      </c>
      <c r="P605" t="s">
        <v>2121</v>
      </c>
      <c r="R605">
        <v>42079.177083333336</v>
      </c>
      <c r="S605">
        <v>42678.632164351853</v>
      </c>
      <c r="T605" t="s">
        <v>299</v>
      </c>
      <c r="U605" t="s">
        <v>35</v>
      </c>
      <c r="V605" t="s">
        <v>35</v>
      </c>
      <c r="W605" t="s">
        <v>3028</v>
      </c>
    </row>
    <row r="606" spans="1:23" x14ac:dyDescent="0.25">
      <c r="A606" t="s">
        <v>633</v>
      </c>
      <c r="B606" s="19">
        <v>6826</v>
      </c>
      <c r="C606" s="2">
        <f>HYPERLINK(URLs!B36 &amp; 68493,68493)</f>
        <v>68493</v>
      </c>
      <c r="D606" t="s">
        <v>2694</v>
      </c>
      <c r="E606" t="s">
        <v>164</v>
      </c>
      <c r="F606" t="s">
        <v>305</v>
      </c>
      <c r="G606" t="s">
        <v>337</v>
      </c>
      <c r="H606" t="s">
        <v>30</v>
      </c>
      <c r="I606" t="s">
        <v>68</v>
      </c>
      <c r="J606" t="s">
        <v>43</v>
      </c>
      <c r="K606" t="s">
        <v>33</v>
      </c>
      <c r="L606" t="s">
        <v>34</v>
      </c>
      <c r="M606" t="s">
        <v>278</v>
      </c>
      <c r="N606" t="s">
        <v>46</v>
      </c>
      <c r="P606" t="s">
        <v>369</v>
      </c>
      <c r="R606">
        <v>42250.873148148145</v>
      </c>
      <c r="S606">
        <v>42926.590497685182</v>
      </c>
      <c r="T606" t="s">
        <v>53</v>
      </c>
      <c r="U606" t="s">
        <v>35</v>
      </c>
      <c r="V606" t="s">
        <v>35</v>
      </c>
      <c r="W606" t="s">
        <v>4154</v>
      </c>
    </row>
    <row r="607" spans="1:23" x14ac:dyDescent="0.25">
      <c r="A607" t="s">
        <v>633</v>
      </c>
      <c r="B607" s="19">
        <v>6826</v>
      </c>
      <c r="C607" s="2">
        <f>HYPERLINK(URLs!B36 &amp; 68476,68476)</f>
        <v>68476</v>
      </c>
      <c r="D607" t="s">
        <v>2688</v>
      </c>
      <c r="E607" t="s">
        <v>2276</v>
      </c>
      <c r="F607" t="s">
        <v>305</v>
      </c>
      <c r="G607" t="s">
        <v>304</v>
      </c>
      <c r="H607" t="s">
        <v>30</v>
      </c>
      <c r="I607" t="s">
        <v>68</v>
      </c>
      <c r="J607" t="s">
        <v>43</v>
      </c>
      <c r="K607" t="s">
        <v>33</v>
      </c>
      <c r="L607" t="s">
        <v>34</v>
      </c>
      <c r="M607" t="s">
        <v>278</v>
      </c>
      <c r="N607" t="s">
        <v>46</v>
      </c>
      <c r="P607" t="s">
        <v>369</v>
      </c>
      <c r="Q607" t="s">
        <v>528</v>
      </c>
      <c r="R607">
        <v>42250.676412037035</v>
      </c>
      <c r="S607">
        <v>42941.80537037037</v>
      </c>
      <c r="T607" t="s">
        <v>149</v>
      </c>
      <c r="U607" t="s">
        <v>35</v>
      </c>
      <c r="V607" t="s">
        <v>35</v>
      </c>
      <c r="W607" t="s">
        <v>133</v>
      </c>
    </row>
    <row r="608" spans="1:23" x14ac:dyDescent="0.25">
      <c r="A608" t="s">
        <v>633</v>
      </c>
      <c r="B608" s="19">
        <v>6826</v>
      </c>
      <c r="C608" s="2">
        <f>HYPERLINK(URLs!B36 &amp; 68475,68475)</f>
        <v>68475</v>
      </c>
      <c r="D608" t="s">
        <v>2687</v>
      </c>
      <c r="E608" t="s">
        <v>2276</v>
      </c>
      <c r="F608" t="s">
        <v>305</v>
      </c>
      <c r="G608" t="s">
        <v>304</v>
      </c>
      <c r="H608" t="s">
        <v>30</v>
      </c>
      <c r="I608" t="s">
        <v>68</v>
      </c>
      <c r="J608" t="s">
        <v>43</v>
      </c>
      <c r="K608" t="s">
        <v>33</v>
      </c>
      <c r="L608" t="s">
        <v>34</v>
      </c>
      <c r="M608" t="s">
        <v>278</v>
      </c>
      <c r="N608" t="s">
        <v>46</v>
      </c>
      <c r="P608" t="s">
        <v>377</v>
      </c>
      <c r="R608">
        <v>42250.676296296297</v>
      </c>
      <c r="S608">
        <v>42356.71503472222</v>
      </c>
      <c r="T608" t="s">
        <v>149</v>
      </c>
      <c r="U608" t="s">
        <v>3956</v>
      </c>
      <c r="V608" t="s">
        <v>35</v>
      </c>
      <c r="W608" t="s">
        <v>118</v>
      </c>
    </row>
    <row r="609" spans="1:23" x14ac:dyDescent="0.25">
      <c r="A609" t="s">
        <v>633</v>
      </c>
      <c r="B609" s="19">
        <v>6826</v>
      </c>
      <c r="C609" s="2">
        <f>HYPERLINK(URLs!B36 &amp; 56265,56265)</f>
        <v>56265</v>
      </c>
      <c r="D609" t="s">
        <v>2311</v>
      </c>
      <c r="E609" t="s">
        <v>164</v>
      </c>
      <c r="F609" t="s">
        <v>305</v>
      </c>
      <c r="G609" t="s">
        <v>304</v>
      </c>
      <c r="H609" t="s">
        <v>30</v>
      </c>
      <c r="I609" t="s">
        <v>68</v>
      </c>
      <c r="J609" t="s">
        <v>43</v>
      </c>
      <c r="K609" t="s">
        <v>33</v>
      </c>
      <c r="L609" t="s">
        <v>34</v>
      </c>
      <c r="M609" t="s">
        <v>278</v>
      </c>
      <c r="N609" t="s">
        <v>46</v>
      </c>
      <c r="O609" t="s">
        <v>2312</v>
      </c>
      <c r="P609" t="s">
        <v>2287</v>
      </c>
      <c r="R609">
        <v>42033.944351851853</v>
      </c>
      <c r="S609">
        <v>42249.726678240739</v>
      </c>
      <c r="T609" t="s">
        <v>53</v>
      </c>
      <c r="U609" t="s">
        <v>3935</v>
      </c>
      <c r="V609" t="s">
        <v>35</v>
      </c>
      <c r="W609" t="s">
        <v>369</v>
      </c>
    </row>
    <row r="610" spans="1:23" x14ac:dyDescent="0.25">
      <c r="A610" t="s">
        <v>633</v>
      </c>
      <c r="B610" s="19">
        <v>6826</v>
      </c>
      <c r="C610" s="2">
        <f>HYPERLINK(URLs!B36 &amp; 55182,55182)</f>
        <v>55182</v>
      </c>
      <c r="D610" t="s">
        <v>2286</v>
      </c>
      <c r="E610" t="s">
        <v>164</v>
      </c>
      <c r="F610" t="s">
        <v>305</v>
      </c>
      <c r="G610" t="s">
        <v>337</v>
      </c>
      <c r="H610" t="s">
        <v>30</v>
      </c>
      <c r="I610" t="s">
        <v>68</v>
      </c>
      <c r="J610" t="s">
        <v>43</v>
      </c>
      <c r="K610" t="s">
        <v>33</v>
      </c>
      <c r="L610" t="s">
        <v>34</v>
      </c>
      <c r="M610" t="s">
        <v>278</v>
      </c>
      <c r="N610" t="s">
        <v>46</v>
      </c>
      <c r="P610" t="s">
        <v>2287</v>
      </c>
      <c r="R610">
        <v>42009.770509259259</v>
      </c>
      <c r="S610">
        <v>42249.726678240739</v>
      </c>
      <c r="T610" t="s">
        <v>53</v>
      </c>
      <c r="U610" t="s">
        <v>35</v>
      </c>
      <c r="V610" t="s">
        <v>35</v>
      </c>
      <c r="W610" t="s">
        <v>374</v>
      </c>
    </row>
    <row r="611" spans="1:23" x14ac:dyDescent="0.25">
      <c r="A611" t="s">
        <v>633</v>
      </c>
      <c r="B611" s="19">
        <v>6826</v>
      </c>
      <c r="C611" s="2">
        <f>HYPERLINK(URLs!B36 &amp; 54726,54726)</f>
        <v>54726</v>
      </c>
      <c r="D611" t="s">
        <v>2275</v>
      </c>
      <c r="E611" t="s">
        <v>2276</v>
      </c>
      <c r="F611" t="s">
        <v>305</v>
      </c>
      <c r="G611" t="s">
        <v>304</v>
      </c>
      <c r="H611" t="s">
        <v>30</v>
      </c>
      <c r="I611" t="s">
        <v>68</v>
      </c>
      <c r="J611" t="s">
        <v>43</v>
      </c>
      <c r="K611" t="s">
        <v>33</v>
      </c>
      <c r="L611" t="s">
        <v>34</v>
      </c>
      <c r="M611" t="s">
        <v>278</v>
      </c>
      <c r="N611" t="s">
        <v>46</v>
      </c>
      <c r="P611" t="s">
        <v>369</v>
      </c>
      <c r="R611">
        <v>41985.676377314812</v>
      </c>
      <c r="S611">
        <v>42930.30878472222</v>
      </c>
      <c r="T611" t="s">
        <v>2277</v>
      </c>
      <c r="U611" t="s">
        <v>35</v>
      </c>
      <c r="V611" t="s">
        <v>35</v>
      </c>
      <c r="W611" t="s">
        <v>4098</v>
      </c>
    </row>
    <row r="612" spans="1:23" x14ac:dyDescent="0.25">
      <c r="A612" t="s">
        <v>633</v>
      </c>
      <c r="B612" s="19">
        <v>6845</v>
      </c>
      <c r="C612" s="2">
        <f>HYPERLINK(URLs!B36 &amp; 58991,58991)</f>
        <v>58991</v>
      </c>
      <c r="D612" t="s">
        <v>2385</v>
      </c>
      <c r="E612" t="s">
        <v>1727</v>
      </c>
      <c r="F612" t="s">
        <v>305</v>
      </c>
      <c r="G612" t="s">
        <v>337</v>
      </c>
      <c r="H612" t="s">
        <v>2169</v>
      </c>
      <c r="I612" t="s">
        <v>57</v>
      </c>
      <c r="J612" t="s">
        <v>58</v>
      </c>
      <c r="K612" t="s">
        <v>33</v>
      </c>
      <c r="L612" t="s">
        <v>34</v>
      </c>
      <c r="M612" t="s">
        <v>258</v>
      </c>
      <c r="N612" t="s">
        <v>46</v>
      </c>
      <c r="O612" t="s">
        <v>2386</v>
      </c>
      <c r="P612" t="s">
        <v>56</v>
      </c>
      <c r="R612">
        <v>42081.649861111109</v>
      </c>
      <c r="S612">
        <v>43145.43309027778</v>
      </c>
      <c r="T612" t="s">
        <v>2387</v>
      </c>
      <c r="U612" t="s">
        <v>35</v>
      </c>
      <c r="V612" t="s">
        <v>35</v>
      </c>
      <c r="W612" t="s">
        <v>3120</v>
      </c>
    </row>
    <row r="613" spans="1:23" x14ac:dyDescent="0.25">
      <c r="A613" t="s">
        <v>633</v>
      </c>
      <c r="B613" s="19">
        <v>6900</v>
      </c>
      <c r="C613" s="2">
        <f>HYPERLINK(URLs!B36 &amp; 63336,63336)</f>
        <v>63336</v>
      </c>
      <c r="D613" t="s">
        <v>2496</v>
      </c>
      <c r="E613" t="s">
        <v>442</v>
      </c>
      <c r="F613" t="s">
        <v>305</v>
      </c>
      <c r="G613" t="s">
        <v>395</v>
      </c>
      <c r="H613" t="s">
        <v>30</v>
      </c>
      <c r="I613" t="s">
        <v>68</v>
      </c>
      <c r="J613" t="s">
        <v>43</v>
      </c>
      <c r="K613" t="s">
        <v>33</v>
      </c>
      <c r="L613" t="s">
        <v>73</v>
      </c>
      <c r="M613" t="s">
        <v>264</v>
      </c>
      <c r="N613" t="s">
        <v>46</v>
      </c>
      <c r="O613" t="s">
        <v>2497</v>
      </c>
      <c r="P613" t="s">
        <v>394</v>
      </c>
      <c r="R613">
        <v>42157.849398148152</v>
      </c>
      <c r="S613">
        <v>42759.723368055558</v>
      </c>
      <c r="T613" t="s">
        <v>301</v>
      </c>
      <c r="U613" t="s">
        <v>35</v>
      </c>
      <c r="V613" t="s">
        <v>35</v>
      </c>
      <c r="W613" t="s">
        <v>61</v>
      </c>
    </row>
    <row r="614" spans="1:23" x14ac:dyDescent="0.25">
      <c r="A614" t="s">
        <v>633</v>
      </c>
      <c r="B614" s="19">
        <v>6900</v>
      </c>
      <c r="C614" s="2">
        <f>HYPERLINK(URLs!B36 &amp; 58311,58311)</f>
        <v>58311</v>
      </c>
      <c r="D614" t="s">
        <v>2373</v>
      </c>
      <c r="E614" t="s">
        <v>442</v>
      </c>
      <c r="F614" t="s">
        <v>305</v>
      </c>
      <c r="G614" t="s">
        <v>395</v>
      </c>
      <c r="H614" t="s">
        <v>30</v>
      </c>
      <c r="I614" t="s">
        <v>68</v>
      </c>
      <c r="J614" t="s">
        <v>43</v>
      </c>
      <c r="K614" t="s">
        <v>33</v>
      </c>
      <c r="L614" t="s">
        <v>73</v>
      </c>
      <c r="M614" t="s">
        <v>264</v>
      </c>
      <c r="N614" t="s">
        <v>46</v>
      </c>
      <c r="P614" t="s">
        <v>423</v>
      </c>
      <c r="R614">
        <v>42069.864710648151</v>
      </c>
      <c r="S614">
        <v>42759.674328703702</v>
      </c>
      <c r="T614" t="s">
        <v>317</v>
      </c>
      <c r="U614" t="s">
        <v>35</v>
      </c>
      <c r="V614" t="s">
        <v>35</v>
      </c>
      <c r="W614" t="s">
        <v>65</v>
      </c>
    </row>
    <row r="615" spans="1:23" x14ac:dyDescent="0.25">
      <c r="A615" t="s">
        <v>633</v>
      </c>
      <c r="B615" s="19">
        <v>6900</v>
      </c>
      <c r="C615" s="2">
        <f>HYPERLINK(URLs!B36 &amp; 58310,58310)</f>
        <v>58310</v>
      </c>
      <c r="D615" t="s">
        <v>2372</v>
      </c>
      <c r="E615" t="s">
        <v>442</v>
      </c>
      <c r="F615" t="s">
        <v>305</v>
      </c>
      <c r="G615" t="s">
        <v>337</v>
      </c>
      <c r="H615" t="s">
        <v>30</v>
      </c>
      <c r="I615" t="s">
        <v>68</v>
      </c>
      <c r="J615" t="s">
        <v>43</v>
      </c>
      <c r="K615" t="s">
        <v>33</v>
      </c>
      <c r="L615" t="s">
        <v>73</v>
      </c>
      <c r="M615" t="s">
        <v>264</v>
      </c>
      <c r="N615" t="s">
        <v>46</v>
      </c>
      <c r="O615" t="s">
        <v>2252</v>
      </c>
      <c r="P615" t="s">
        <v>423</v>
      </c>
      <c r="R615">
        <v>42069.85193287037</v>
      </c>
      <c r="S615">
        <v>42678.630995370368</v>
      </c>
      <c r="T615" t="s">
        <v>317</v>
      </c>
      <c r="U615" t="s">
        <v>35</v>
      </c>
      <c r="V615" t="s">
        <v>35</v>
      </c>
      <c r="W615" t="s">
        <v>4147</v>
      </c>
    </row>
    <row r="616" spans="1:23" x14ac:dyDescent="0.25">
      <c r="A616" t="s">
        <v>633</v>
      </c>
      <c r="B616" s="19">
        <v>6900</v>
      </c>
      <c r="C616" s="2">
        <f>HYPERLINK(URLs!B36 &amp; 58308,58308)</f>
        <v>58308</v>
      </c>
      <c r="D616" t="s">
        <v>2371</v>
      </c>
      <c r="E616" t="s">
        <v>442</v>
      </c>
      <c r="F616" t="s">
        <v>305</v>
      </c>
      <c r="G616" t="s">
        <v>395</v>
      </c>
      <c r="H616" t="s">
        <v>30</v>
      </c>
      <c r="I616" t="s">
        <v>68</v>
      </c>
      <c r="J616" t="s">
        <v>43</v>
      </c>
      <c r="K616" t="s">
        <v>33</v>
      </c>
      <c r="L616" t="s">
        <v>73</v>
      </c>
      <c r="M616" t="s">
        <v>264</v>
      </c>
      <c r="N616" t="s">
        <v>46</v>
      </c>
      <c r="P616" t="s">
        <v>394</v>
      </c>
      <c r="R616">
        <v>42069.806539351855</v>
      </c>
      <c r="S616">
        <v>42759.674513888887</v>
      </c>
      <c r="T616" t="s">
        <v>418</v>
      </c>
      <c r="U616" t="s">
        <v>35</v>
      </c>
      <c r="V616" t="s">
        <v>35</v>
      </c>
      <c r="W616" t="s">
        <v>4098</v>
      </c>
    </row>
    <row r="617" spans="1:23" x14ac:dyDescent="0.25">
      <c r="A617" t="s">
        <v>633</v>
      </c>
      <c r="B617" s="19">
        <v>6901</v>
      </c>
      <c r="C617" s="2">
        <f>HYPERLINK(URLs!B36 &amp; 60524,60524)</f>
        <v>60524</v>
      </c>
      <c r="D617" t="s">
        <v>2423</v>
      </c>
      <c r="E617" t="s">
        <v>2325</v>
      </c>
      <c r="F617" t="s">
        <v>305</v>
      </c>
      <c r="G617" t="s">
        <v>304</v>
      </c>
      <c r="H617" t="s">
        <v>30</v>
      </c>
      <c r="I617" t="s">
        <v>31</v>
      </c>
      <c r="J617" t="s">
        <v>43</v>
      </c>
      <c r="K617" t="s">
        <v>44</v>
      </c>
      <c r="L617" t="s">
        <v>73</v>
      </c>
      <c r="M617" t="s">
        <v>277</v>
      </c>
      <c r="N617" t="s">
        <v>46</v>
      </c>
      <c r="P617" t="s">
        <v>47</v>
      </c>
      <c r="R617">
        <v>42109.561261574076</v>
      </c>
      <c r="S617">
        <v>42648.843506944446</v>
      </c>
      <c r="T617" t="s">
        <v>288</v>
      </c>
      <c r="U617" t="s">
        <v>3937</v>
      </c>
      <c r="V617" t="s">
        <v>35</v>
      </c>
      <c r="W617" t="s">
        <v>61</v>
      </c>
    </row>
    <row r="618" spans="1:23" x14ac:dyDescent="0.25">
      <c r="A618" t="s">
        <v>633</v>
      </c>
      <c r="B618" s="19">
        <v>6901</v>
      </c>
      <c r="C618" s="2">
        <f>HYPERLINK(URLs!B36 &amp; 58469,58469)</f>
        <v>58469</v>
      </c>
      <c r="D618" t="s">
        <v>2375</v>
      </c>
      <c r="E618" t="s">
        <v>296</v>
      </c>
      <c r="F618" t="s">
        <v>305</v>
      </c>
      <c r="G618" t="s">
        <v>304</v>
      </c>
      <c r="H618" t="s">
        <v>30</v>
      </c>
      <c r="I618" t="s">
        <v>31</v>
      </c>
      <c r="J618" t="s">
        <v>43</v>
      </c>
      <c r="K618" t="s">
        <v>44</v>
      </c>
      <c r="L618" t="s">
        <v>73</v>
      </c>
      <c r="M618" t="s">
        <v>263</v>
      </c>
      <c r="N618" t="s">
        <v>46</v>
      </c>
      <c r="P618" t="s">
        <v>423</v>
      </c>
      <c r="R618">
        <v>42073.824224537035</v>
      </c>
      <c r="S618">
        <v>42648.842523148145</v>
      </c>
      <c r="T618" t="s">
        <v>288</v>
      </c>
      <c r="U618" t="s">
        <v>35</v>
      </c>
      <c r="V618" t="s">
        <v>35</v>
      </c>
      <c r="W618" t="s">
        <v>65</v>
      </c>
    </row>
    <row r="619" spans="1:23" x14ac:dyDescent="0.25">
      <c r="A619" t="s">
        <v>633</v>
      </c>
      <c r="B619" s="19">
        <v>6901</v>
      </c>
      <c r="C619" s="2">
        <f>HYPERLINK(URLs!B36 &amp; 58468,58468)</f>
        <v>58468</v>
      </c>
      <c r="D619" t="s">
        <v>2374</v>
      </c>
      <c r="E619" t="s">
        <v>296</v>
      </c>
      <c r="F619" t="s">
        <v>305</v>
      </c>
      <c r="G619" t="s">
        <v>337</v>
      </c>
      <c r="H619" t="s">
        <v>30</v>
      </c>
      <c r="I619" t="s">
        <v>31</v>
      </c>
      <c r="J619" t="s">
        <v>43</v>
      </c>
      <c r="K619" t="s">
        <v>44</v>
      </c>
      <c r="L619" t="s">
        <v>73</v>
      </c>
      <c r="M619" t="s">
        <v>277</v>
      </c>
      <c r="N619" t="s">
        <v>46</v>
      </c>
      <c r="O619" t="s">
        <v>2272</v>
      </c>
      <c r="P619" t="s">
        <v>423</v>
      </c>
      <c r="R619">
        <v>42073.824074074073</v>
      </c>
      <c r="S619">
        <v>42709.80196759259</v>
      </c>
      <c r="T619" t="s">
        <v>288</v>
      </c>
      <c r="U619" t="s">
        <v>35</v>
      </c>
      <c r="V619" t="s">
        <v>35</v>
      </c>
      <c r="W619" t="s">
        <v>4147</v>
      </c>
    </row>
    <row r="620" spans="1:23" x14ac:dyDescent="0.25">
      <c r="A620" t="s">
        <v>633</v>
      </c>
      <c r="B620" s="19">
        <v>6901</v>
      </c>
      <c r="C620" s="2">
        <f>HYPERLINK(URLs!B36 &amp; 56399,56399)</f>
        <v>56399</v>
      </c>
      <c r="D620" t="s">
        <v>431</v>
      </c>
      <c r="E620" t="s">
        <v>296</v>
      </c>
      <c r="F620" t="s">
        <v>305</v>
      </c>
      <c r="G620" t="s">
        <v>304</v>
      </c>
      <c r="H620" t="s">
        <v>30</v>
      </c>
      <c r="I620" t="s">
        <v>31</v>
      </c>
      <c r="J620" t="s">
        <v>43</v>
      </c>
      <c r="K620" t="s">
        <v>44</v>
      </c>
      <c r="L620" t="s">
        <v>73</v>
      </c>
      <c r="M620" t="s">
        <v>277</v>
      </c>
      <c r="N620" t="s">
        <v>46</v>
      </c>
      <c r="P620" t="s">
        <v>394</v>
      </c>
      <c r="R620">
        <v>42037.999432870369</v>
      </c>
      <c r="S620">
        <v>42759.712141203701</v>
      </c>
      <c r="T620" t="s">
        <v>430</v>
      </c>
      <c r="U620" t="s">
        <v>35</v>
      </c>
      <c r="V620" t="s">
        <v>35</v>
      </c>
      <c r="W620" t="s">
        <v>4098</v>
      </c>
    </row>
    <row r="621" spans="1:23" x14ac:dyDescent="0.25">
      <c r="A621" t="s">
        <v>633</v>
      </c>
      <c r="B621" s="19">
        <v>6902</v>
      </c>
      <c r="C621" s="2">
        <f>HYPERLINK(URLs!B36 &amp; 58093,58093)</f>
        <v>58093</v>
      </c>
      <c r="D621" t="s">
        <v>2369</v>
      </c>
      <c r="E621" t="s">
        <v>387</v>
      </c>
      <c r="F621" t="s">
        <v>305</v>
      </c>
      <c r="G621" t="s">
        <v>310</v>
      </c>
      <c r="H621" t="s">
        <v>30</v>
      </c>
      <c r="I621" t="s">
        <v>31</v>
      </c>
      <c r="J621" t="s">
        <v>43</v>
      </c>
      <c r="K621" t="s">
        <v>44</v>
      </c>
      <c r="L621" t="s">
        <v>73</v>
      </c>
      <c r="M621" t="s">
        <v>263</v>
      </c>
      <c r="N621" t="s">
        <v>46</v>
      </c>
      <c r="P621" t="s">
        <v>423</v>
      </c>
      <c r="R621">
        <v>42067.306967592594</v>
      </c>
      <c r="S621">
        <v>42678.62462962963</v>
      </c>
      <c r="T621" t="s">
        <v>317</v>
      </c>
      <c r="U621" t="s">
        <v>35</v>
      </c>
      <c r="V621" t="s">
        <v>35</v>
      </c>
      <c r="W621" t="s">
        <v>4097</v>
      </c>
    </row>
    <row r="622" spans="1:23" x14ac:dyDescent="0.25">
      <c r="A622" t="s">
        <v>633</v>
      </c>
      <c r="B622" s="19">
        <v>6902</v>
      </c>
      <c r="C622" s="2">
        <f>HYPERLINK(URLs!B36 &amp; 58092,58092)</f>
        <v>58092</v>
      </c>
      <c r="D622" t="s">
        <v>2368</v>
      </c>
      <c r="E622" t="s">
        <v>387</v>
      </c>
      <c r="F622" t="s">
        <v>305</v>
      </c>
      <c r="G622" t="s">
        <v>310</v>
      </c>
      <c r="H622" t="s">
        <v>30</v>
      </c>
      <c r="I622" t="s">
        <v>31</v>
      </c>
      <c r="J622" t="s">
        <v>43</v>
      </c>
      <c r="K622" t="s">
        <v>44</v>
      </c>
      <c r="L622" t="s">
        <v>73</v>
      </c>
      <c r="M622" t="s">
        <v>263</v>
      </c>
      <c r="N622" t="s">
        <v>46</v>
      </c>
      <c r="P622" t="s">
        <v>423</v>
      </c>
      <c r="R622">
        <v>42067.306909722225</v>
      </c>
      <c r="S622">
        <v>42678.624328703707</v>
      </c>
      <c r="T622" t="s">
        <v>317</v>
      </c>
      <c r="U622" t="s">
        <v>35</v>
      </c>
      <c r="V622" t="s">
        <v>35</v>
      </c>
      <c r="W622" t="s">
        <v>65</v>
      </c>
    </row>
    <row r="623" spans="1:23" x14ac:dyDescent="0.25">
      <c r="A623" t="s">
        <v>633</v>
      </c>
      <c r="B623" s="19">
        <v>6902</v>
      </c>
      <c r="C623" s="2">
        <f>HYPERLINK(URLs!B36 &amp; 58091,58091)</f>
        <v>58091</v>
      </c>
      <c r="D623" t="s">
        <v>2367</v>
      </c>
      <c r="E623" t="s">
        <v>387</v>
      </c>
      <c r="F623" t="s">
        <v>305</v>
      </c>
      <c r="G623" t="s">
        <v>310</v>
      </c>
      <c r="H623" t="s">
        <v>30</v>
      </c>
      <c r="I623" t="s">
        <v>31</v>
      </c>
      <c r="J623" t="s">
        <v>43</v>
      </c>
      <c r="K623" t="s">
        <v>44</v>
      </c>
      <c r="L623" t="s">
        <v>73</v>
      </c>
      <c r="M623" t="s">
        <v>263</v>
      </c>
      <c r="N623" t="s">
        <v>46</v>
      </c>
      <c r="P623" t="s">
        <v>423</v>
      </c>
      <c r="R623">
        <v>42067.306851851848</v>
      </c>
      <c r="S623">
        <v>42678.624293981484</v>
      </c>
      <c r="T623" t="s">
        <v>317</v>
      </c>
      <c r="U623" t="s">
        <v>35</v>
      </c>
      <c r="V623" t="s">
        <v>35</v>
      </c>
      <c r="W623" t="s">
        <v>4147</v>
      </c>
    </row>
    <row r="624" spans="1:23" x14ac:dyDescent="0.25">
      <c r="A624" t="s">
        <v>633</v>
      </c>
      <c r="B624" s="19">
        <v>6902</v>
      </c>
      <c r="C624" s="2">
        <f>HYPERLINK(URLs!B36 &amp; 58077,58077)</f>
        <v>58077</v>
      </c>
      <c r="D624" t="s">
        <v>2366</v>
      </c>
      <c r="E624" t="s">
        <v>442</v>
      </c>
      <c r="F624" t="s">
        <v>305</v>
      </c>
      <c r="G624" t="s">
        <v>353</v>
      </c>
      <c r="H624" t="s">
        <v>30</v>
      </c>
      <c r="I624" t="s">
        <v>31</v>
      </c>
      <c r="J624" t="s">
        <v>43</v>
      </c>
      <c r="K624" t="s">
        <v>44</v>
      </c>
      <c r="L624" t="s">
        <v>73</v>
      </c>
      <c r="M624" t="s">
        <v>263</v>
      </c>
      <c r="N624" t="s">
        <v>46</v>
      </c>
      <c r="P624" t="s">
        <v>423</v>
      </c>
      <c r="R624">
        <v>42066.968761574077</v>
      </c>
      <c r="S624">
        <v>42678.624479166669</v>
      </c>
      <c r="T624" t="s">
        <v>418</v>
      </c>
      <c r="U624" t="s">
        <v>35</v>
      </c>
      <c r="V624" t="s">
        <v>35</v>
      </c>
      <c r="W624" t="s">
        <v>4098</v>
      </c>
    </row>
    <row r="625" spans="1:23" x14ac:dyDescent="0.25">
      <c r="A625" t="s">
        <v>633</v>
      </c>
      <c r="B625" s="19">
        <v>6902</v>
      </c>
      <c r="C625" s="2">
        <f>HYPERLINK(URLs!B36 &amp; 56102,56102)</f>
        <v>56102</v>
      </c>
      <c r="D625" t="s">
        <v>2308</v>
      </c>
      <c r="E625" t="s">
        <v>387</v>
      </c>
      <c r="F625" t="s">
        <v>305</v>
      </c>
      <c r="G625" t="s">
        <v>304</v>
      </c>
      <c r="H625" t="s">
        <v>30</v>
      </c>
      <c r="I625" t="s">
        <v>31</v>
      </c>
      <c r="J625" t="s">
        <v>43</v>
      </c>
      <c r="K625" t="s">
        <v>44</v>
      </c>
      <c r="L625" t="s">
        <v>73</v>
      </c>
      <c r="M625" t="s">
        <v>263</v>
      </c>
      <c r="N625" t="s">
        <v>46</v>
      </c>
      <c r="P625" t="s">
        <v>394</v>
      </c>
      <c r="R625">
        <v>42031.720266203702</v>
      </c>
      <c r="S625">
        <v>42648.841319444444</v>
      </c>
      <c r="T625" t="s">
        <v>317</v>
      </c>
      <c r="U625" t="s">
        <v>35</v>
      </c>
      <c r="V625" t="s">
        <v>35</v>
      </c>
      <c r="W625" t="s">
        <v>65</v>
      </c>
    </row>
    <row r="626" spans="1:23" x14ac:dyDescent="0.25">
      <c r="A626" t="s">
        <v>633</v>
      </c>
      <c r="B626" s="19">
        <v>6902</v>
      </c>
      <c r="C626" s="2">
        <f>HYPERLINK(URLs!B36 &amp; 56100,56100)</f>
        <v>56100</v>
      </c>
      <c r="D626" t="s">
        <v>2306</v>
      </c>
      <c r="E626" t="s">
        <v>2307</v>
      </c>
      <c r="F626" t="s">
        <v>305</v>
      </c>
      <c r="G626" t="s">
        <v>337</v>
      </c>
      <c r="H626" t="s">
        <v>30</v>
      </c>
      <c r="I626" t="s">
        <v>31</v>
      </c>
      <c r="J626" t="s">
        <v>43</v>
      </c>
      <c r="K626" t="s">
        <v>44</v>
      </c>
      <c r="L626" t="s">
        <v>73</v>
      </c>
      <c r="M626" t="s">
        <v>412</v>
      </c>
      <c r="N626" t="s">
        <v>46</v>
      </c>
      <c r="O626" t="s">
        <v>2272</v>
      </c>
      <c r="P626" t="s">
        <v>394</v>
      </c>
      <c r="R626">
        <v>42031.716805555552</v>
      </c>
      <c r="S626">
        <v>42709.80846064815</v>
      </c>
      <c r="T626" t="s">
        <v>317</v>
      </c>
      <c r="U626" t="s">
        <v>35</v>
      </c>
      <c r="V626" t="s">
        <v>35</v>
      </c>
      <c r="W626" t="s">
        <v>4147</v>
      </c>
    </row>
    <row r="627" spans="1:23" x14ac:dyDescent="0.25">
      <c r="A627" t="s">
        <v>633</v>
      </c>
      <c r="B627" s="19">
        <v>6902</v>
      </c>
      <c r="C627" s="2">
        <f>HYPERLINK(URLs!B36 &amp; 56087,56087)</f>
        <v>56087</v>
      </c>
      <c r="D627" t="s">
        <v>432</v>
      </c>
      <c r="E627" t="s">
        <v>433</v>
      </c>
      <c r="F627" t="s">
        <v>305</v>
      </c>
      <c r="G627" t="s">
        <v>304</v>
      </c>
      <c r="H627" t="s">
        <v>30</v>
      </c>
      <c r="I627" t="s">
        <v>31</v>
      </c>
      <c r="J627" t="s">
        <v>43</v>
      </c>
      <c r="K627" t="s">
        <v>44</v>
      </c>
      <c r="L627" t="s">
        <v>73</v>
      </c>
      <c r="M627" t="s">
        <v>412</v>
      </c>
      <c r="N627" t="s">
        <v>46</v>
      </c>
      <c r="P627" t="s">
        <v>394</v>
      </c>
      <c r="Q627" t="s">
        <v>2305</v>
      </c>
      <c r="R627">
        <v>42031.536099537036</v>
      </c>
      <c r="S627">
        <v>43013.673587962963</v>
      </c>
      <c r="T627" t="s">
        <v>391</v>
      </c>
      <c r="U627" t="s">
        <v>35</v>
      </c>
      <c r="V627" t="s">
        <v>35</v>
      </c>
      <c r="W627" t="s">
        <v>4098</v>
      </c>
    </row>
    <row r="628" spans="1:23" x14ac:dyDescent="0.25">
      <c r="A628" t="s">
        <v>665</v>
      </c>
      <c r="B628" s="19">
        <v>6903</v>
      </c>
      <c r="C628" s="2">
        <f>HYPERLINK(URLs!B36 &amp; 58798,58798)</f>
        <v>58798</v>
      </c>
      <c r="D628" t="s">
        <v>429</v>
      </c>
      <c r="E628" t="s">
        <v>64</v>
      </c>
      <c r="F628" t="s">
        <v>305</v>
      </c>
      <c r="G628" t="s">
        <v>304</v>
      </c>
      <c r="H628" t="s">
        <v>426</v>
      </c>
      <c r="I628" t="s">
        <v>57</v>
      </c>
      <c r="J628" t="s">
        <v>58</v>
      </c>
      <c r="K628" t="s">
        <v>33</v>
      </c>
      <c r="L628" t="s">
        <v>45</v>
      </c>
      <c r="M628" t="s">
        <v>408</v>
      </c>
      <c r="N628" t="s">
        <v>46</v>
      </c>
      <c r="P628" t="s">
        <v>427</v>
      </c>
      <c r="Q628" t="s">
        <v>2383</v>
      </c>
      <c r="R628">
        <v>42079.61990740741</v>
      </c>
      <c r="S628">
        <v>42930.291608796295</v>
      </c>
      <c r="T628" t="s">
        <v>418</v>
      </c>
      <c r="U628" t="s">
        <v>35</v>
      </c>
      <c r="V628" t="s">
        <v>35</v>
      </c>
      <c r="W628" t="s">
        <v>428</v>
      </c>
    </row>
    <row r="629" spans="1:23" x14ac:dyDescent="0.25">
      <c r="A629" t="s">
        <v>633</v>
      </c>
      <c r="B629" s="19">
        <v>6904</v>
      </c>
      <c r="C629" s="2">
        <f>HYPERLINK(URLs!B36 &amp; 60988,60988)</f>
        <v>60988</v>
      </c>
      <c r="D629" t="s">
        <v>2427</v>
      </c>
      <c r="E629" t="s">
        <v>425</v>
      </c>
      <c r="F629" t="s">
        <v>305</v>
      </c>
      <c r="G629" t="s">
        <v>304</v>
      </c>
      <c r="H629" t="s">
        <v>30</v>
      </c>
      <c r="I629" t="s">
        <v>68</v>
      </c>
      <c r="J629" t="s">
        <v>58</v>
      </c>
      <c r="K629" t="s">
        <v>44</v>
      </c>
      <c r="L629" t="s">
        <v>34</v>
      </c>
      <c r="M629" t="s">
        <v>422</v>
      </c>
      <c r="N629" t="s">
        <v>46</v>
      </c>
      <c r="P629" t="s">
        <v>374</v>
      </c>
      <c r="R629">
        <v>42115.966990740744</v>
      </c>
      <c r="S629">
        <v>42356.710648148146</v>
      </c>
      <c r="T629" t="s">
        <v>53</v>
      </c>
      <c r="U629" t="s">
        <v>35</v>
      </c>
      <c r="V629" t="s">
        <v>35</v>
      </c>
      <c r="W629" t="s">
        <v>118</v>
      </c>
    </row>
    <row r="630" spans="1:23" x14ac:dyDescent="0.25">
      <c r="A630" t="s">
        <v>633</v>
      </c>
      <c r="B630" s="19">
        <v>6904</v>
      </c>
      <c r="C630" s="2">
        <f>HYPERLINK(URLs!B36 &amp; 60987,60987)</f>
        <v>60987</v>
      </c>
      <c r="D630" t="s">
        <v>2426</v>
      </c>
      <c r="E630" t="s">
        <v>425</v>
      </c>
      <c r="F630" t="s">
        <v>305</v>
      </c>
      <c r="G630" t="s">
        <v>304</v>
      </c>
      <c r="H630" t="s">
        <v>30</v>
      </c>
      <c r="I630" t="s">
        <v>68</v>
      </c>
      <c r="J630" t="s">
        <v>58</v>
      </c>
      <c r="K630" t="s">
        <v>44</v>
      </c>
      <c r="L630" t="s">
        <v>34</v>
      </c>
      <c r="M630" t="s">
        <v>422</v>
      </c>
      <c r="N630" t="s">
        <v>46</v>
      </c>
      <c r="P630" t="s">
        <v>374</v>
      </c>
      <c r="R630">
        <v>42115.966168981482</v>
      </c>
      <c r="S630">
        <v>42251.866886574076</v>
      </c>
      <c r="T630" t="s">
        <v>53</v>
      </c>
      <c r="U630" t="s">
        <v>3938</v>
      </c>
      <c r="V630" t="s">
        <v>35</v>
      </c>
      <c r="W630" t="s">
        <v>377</v>
      </c>
    </row>
    <row r="631" spans="1:23" x14ac:dyDescent="0.25">
      <c r="A631" t="s">
        <v>633</v>
      </c>
      <c r="B631" s="19">
        <v>6904</v>
      </c>
      <c r="C631" s="2">
        <f>HYPERLINK(URLs!B36 &amp; 59048,59048)</f>
        <v>59048</v>
      </c>
      <c r="D631" t="s">
        <v>424</v>
      </c>
      <c r="E631" t="s">
        <v>425</v>
      </c>
      <c r="F631" t="s">
        <v>305</v>
      </c>
      <c r="G631" t="s">
        <v>304</v>
      </c>
      <c r="H631" t="s">
        <v>30</v>
      </c>
      <c r="I631" t="s">
        <v>68</v>
      </c>
      <c r="J631" t="s">
        <v>58</v>
      </c>
      <c r="K631" t="s">
        <v>44</v>
      </c>
      <c r="L631" t="s">
        <v>34</v>
      </c>
      <c r="M631" t="s">
        <v>422</v>
      </c>
      <c r="N631" t="s">
        <v>46</v>
      </c>
      <c r="P631" t="s">
        <v>423</v>
      </c>
      <c r="R631">
        <v>42082.713599537034</v>
      </c>
      <c r="S631">
        <v>42930.307673611111</v>
      </c>
      <c r="T631" t="s">
        <v>1</v>
      </c>
      <c r="U631" t="s">
        <v>35</v>
      </c>
      <c r="V631" t="s">
        <v>35</v>
      </c>
      <c r="W631" t="s">
        <v>4098</v>
      </c>
    </row>
    <row r="632" spans="1:23" x14ac:dyDescent="0.25">
      <c r="A632" t="s">
        <v>633</v>
      </c>
      <c r="B632" s="19">
        <v>6905</v>
      </c>
      <c r="C632" s="2">
        <f>HYPERLINK(URLs!B36 &amp; 59213,59213)</f>
        <v>59213</v>
      </c>
      <c r="D632" t="s">
        <v>2402</v>
      </c>
      <c r="E632" t="s">
        <v>2399</v>
      </c>
      <c r="F632" t="s">
        <v>305</v>
      </c>
      <c r="G632" t="s">
        <v>310</v>
      </c>
      <c r="H632" t="s">
        <v>30</v>
      </c>
      <c r="I632" t="s">
        <v>68</v>
      </c>
      <c r="J632" t="s">
        <v>58</v>
      </c>
      <c r="K632" t="s">
        <v>44</v>
      </c>
      <c r="L632" t="s">
        <v>52</v>
      </c>
      <c r="M632" t="s">
        <v>408</v>
      </c>
      <c r="N632" t="s">
        <v>46</v>
      </c>
      <c r="P632" t="s">
        <v>394</v>
      </c>
      <c r="R632">
        <v>42087.2966087963</v>
      </c>
      <c r="S632">
        <v>42678.624537037038</v>
      </c>
      <c r="T632" t="s">
        <v>2394</v>
      </c>
      <c r="U632" t="s">
        <v>35</v>
      </c>
      <c r="V632" t="s">
        <v>35</v>
      </c>
      <c r="W632" t="s">
        <v>65</v>
      </c>
    </row>
    <row r="633" spans="1:23" x14ac:dyDescent="0.25">
      <c r="A633" t="s">
        <v>633</v>
      </c>
      <c r="B633" s="19">
        <v>6905</v>
      </c>
      <c r="C633" s="2">
        <f>HYPERLINK(URLs!B36 &amp; 59212,59212)</f>
        <v>59212</v>
      </c>
      <c r="D633" t="s">
        <v>2400</v>
      </c>
      <c r="E633" t="s">
        <v>2399</v>
      </c>
      <c r="F633" t="s">
        <v>305</v>
      </c>
      <c r="G633" t="s">
        <v>310</v>
      </c>
      <c r="H633" t="s">
        <v>30</v>
      </c>
      <c r="I633" t="s">
        <v>68</v>
      </c>
      <c r="J633" t="s">
        <v>58</v>
      </c>
      <c r="K633" t="s">
        <v>44</v>
      </c>
      <c r="L633" t="s">
        <v>52</v>
      </c>
      <c r="M633" t="s">
        <v>408</v>
      </c>
      <c r="N633" t="s">
        <v>46</v>
      </c>
      <c r="O633" t="s">
        <v>2401</v>
      </c>
      <c r="P633" t="s">
        <v>394</v>
      </c>
      <c r="R633">
        <v>42087.296516203707</v>
      </c>
      <c r="S633">
        <v>42678.624490740738</v>
      </c>
      <c r="T633" t="s">
        <v>2394</v>
      </c>
      <c r="U633" t="s">
        <v>35</v>
      </c>
      <c r="V633" t="s">
        <v>35</v>
      </c>
      <c r="W633" t="s">
        <v>4147</v>
      </c>
    </row>
    <row r="634" spans="1:23" x14ac:dyDescent="0.25">
      <c r="A634" t="s">
        <v>633</v>
      </c>
      <c r="B634" s="19">
        <v>6905</v>
      </c>
      <c r="C634" s="2">
        <f>HYPERLINK(URLs!B36 &amp; 59211,59211)</f>
        <v>59211</v>
      </c>
      <c r="D634" t="s">
        <v>2398</v>
      </c>
      <c r="E634" t="s">
        <v>2399</v>
      </c>
      <c r="F634" t="s">
        <v>305</v>
      </c>
      <c r="G634" t="s">
        <v>310</v>
      </c>
      <c r="H634" t="s">
        <v>30</v>
      </c>
      <c r="I634" t="s">
        <v>68</v>
      </c>
      <c r="J634" t="s">
        <v>58</v>
      </c>
      <c r="K634" t="s">
        <v>44</v>
      </c>
      <c r="L634" t="s">
        <v>52</v>
      </c>
      <c r="M634" t="s">
        <v>408</v>
      </c>
      <c r="N634" t="s">
        <v>46</v>
      </c>
      <c r="P634" t="s">
        <v>394</v>
      </c>
      <c r="R634">
        <v>42087.296412037038</v>
      </c>
      <c r="S634">
        <v>42678.6246875</v>
      </c>
      <c r="T634" t="s">
        <v>2394</v>
      </c>
      <c r="U634" t="s">
        <v>35</v>
      </c>
      <c r="V634" t="s">
        <v>35</v>
      </c>
      <c r="W634" t="s">
        <v>61</v>
      </c>
    </row>
    <row r="635" spans="1:23" x14ac:dyDescent="0.25">
      <c r="A635" t="s">
        <v>633</v>
      </c>
      <c r="B635" s="19">
        <v>6905</v>
      </c>
      <c r="C635" s="2">
        <f>HYPERLINK(URLs!B36 &amp; 59129,59129)</f>
        <v>59129</v>
      </c>
      <c r="D635" t="s">
        <v>421</v>
      </c>
      <c r="E635" t="s">
        <v>139</v>
      </c>
      <c r="F635" t="s">
        <v>305</v>
      </c>
      <c r="G635" t="s">
        <v>310</v>
      </c>
      <c r="H635" t="s">
        <v>30</v>
      </c>
      <c r="I635" t="s">
        <v>68</v>
      </c>
      <c r="J635" t="s">
        <v>58</v>
      </c>
      <c r="K635" t="s">
        <v>44</v>
      </c>
      <c r="L635" t="s">
        <v>73</v>
      </c>
      <c r="M635" t="s">
        <v>263</v>
      </c>
      <c r="N635" t="s">
        <v>46</v>
      </c>
      <c r="P635" t="s">
        <v>394</v>
      </c>
      <c r="R635">
        <v>42084.765497685185</v>
      </c>
      <c r="S635">
        <v>42648.843009259261</v>
      </c>
      <c r="T635" t="s">
        <v>420</v>
      </c>
      <c r="U635" t="s">
        <v>35</v>
      </c>
      <c r="V635" t="s">
        <v>35</v>
      </c>
      <c r="W635" t="s">
        <v>4098</v>
      </c>
    </row>
    <row r="636" spans="1:23" x14ac:dyDescent="0.25">
      <c r="A636" t="s">
        <v>633</v>
      </c>
      <c r="B636" s="19">
        <v>6906</v>
      </c>
      <c r="C636" s="2">
        <f>HYPERLINK(URLs!B36 &amp; 68361,68361)</f>
        <v>68361</v>
      </c>
      <c r="D636" t="s">
        <v>2680</v>
      </c>
      <c r="E636" t="s">
        <v>131</v>
      </c>
      <c r="F636" t="s">
        <v>305</v>
      </c>
      <c r="G636" t="s">
        <v>310</v>
      </c>
      <c r="H636" t="s">
        <v>30</v>
      </c>
      <c r="I636" t="s">
        <v>68</v>
      </c>
      <c r="J636" t="s">
        <v>43</v>
      </c>
      <c r="K636" t="s">
        <v>33</v>
      </c>
      <c r="L636" t="s">
        <v>96</v>
      </c>
      <c r="M636" t="s">
        <v>269</v>
      </c>
      <c r="N636" t="s">
        <v>46</v>
      </c>
      <c r="P636" t="s">
        <v>394</v>
      </c>
      <c r="R636">
        <v>42249.800162037034</v>
      </c>
      <c r="S636">
        <v>42678.639293981483</v>
      </c>
      <c r="T636" t="s">
        <v>317</v>
      </c>
      <c r="U636" t="s">
        <v>35</v>
      </c>
      <c r="V636" t="s">
        <v>35</v>
      </c>
      <c r="W636" t="s">
        <v>4153</v>
      </c>
    </row>
    <row r="637" spans="1:23" x14ac:dyDescent="0.25">
      <c r="A637" t="s">
        <v>633</v>
      </c>
      <c r="B637" s="19">
        <v>6906</v>
      </c>
      <c r="C637" s="2">
        <f>HYPERLINK(URLs!B36 &amp; 59210,59210)</f>
        <v>59210</v>
      </c>
      <c r="D637" t="s">
        <v>2397</v>
      </c>
      <c r="E637" t="s">
        <v>131</v>
      </c>
      <c r="F637" t="s">
        <v>305</v>
      </c>
      <c r="G637" t="s">
        <v>310</v>
      </c>
      <c r="H637" t="s">
        <v>30</v>
      </c>
      <c r="I637" t="s">
        <v>68</v>
      </c>
      <c r="J637" t="s">
        <v>43</v>
      </c>
      <c r="K637" t="s">
        <v>33</v>
      </c>
      <c r="L637" t="s">
        <v>96</v>
      </c>
      <c r="M637" t="s">
        <v>269</v>
      </c>
      <c r="N637" t="s">
        <v>46</v>
      </c>
      <c r="P637" t="s">
        <v>394</v>
      </c>
      <c r="R637">
        <v>42087.276250000003</v>
      </c>
      <c r="S637">
        <v>42678.639016203706</v>
      </c>
      <c r="T637" t="s">
        <v>2394</v>
      </c>
      <c r="U637" t="s">
        <v>35</v>
      </c>
      <c r="V637" t="s">
        <v>35</v>
      </c>
      <c r="W637" t="s">
        <v>65</v>
      </c>
    </row>
    <row r="638" spans="1:23" x14ac:dyDescent="0.25">
      <c r="A638" t="s">
        <v>633</v>
      </c>
      <c r="B638" s="19">
        <v>6906</v>
      </c>
      <c r="C638" s="2">
        <f>HYPERLINK(URLs!B36 &amp; 59209,59209)</f>
        <v>59209</v>
      </c>
      <c r="D638" t="s">
        <v>2395</v>
      </c>
      <c r="E638" t="s">
        <v>131</v>
      </c>
      <c r="F638" t="s">
        <v>305</v>
      </c>
      <c r="G638" t="s">
        <v>337</v>
      </c>
      <c r="H638" t="s">
        <v>30</v>
      </c>
      <c r="I638" t="s">
        <v>68</v>
      </c>
      <c r="J638" t="s">
        <v>43</v>
      </c>
      <c r="K638" t="s">
        <v>33</v>
      </c>
      <c r="L638" t="s">
        <v>96</v>
      </c>
      <c r="M638" t="s">
        <v>269</v>
      </c>
      <c r="N638" t="s">
        <v>46</v>
      </c>
      <c r="O638" t="s">
        <v>2396</v>
      </c>
      <c r="P638" t="s">
        <v>394</v>
      </c>
      <c r="R638">
        <v>42087.276145833333</v>
      </c>
      <c r="S638">
        <v>42678.630972222221</v>
      </c>
      <c r="T638" t="s">
        <v>2394</v>
      </c>
      <c r="U638" t="s">
        <v>35</v>
      </c>
      <c r="V638" t="s">
        <v>35</v>
      </c>
      <c r="W638" t="s">
        <v>4147</v>
      </c>
    </row>
    <row r="639" spans="1:23" x14ac:dyDescent="0.25">
      <c r="A639" t="s">
        <v>633</v>
      </c>
      <c r="B639" s="19">
        <v>6906</v>
      </c>
      <c r="C639" s="2">
        <f>HYPERLINK(URLs!B36 &amp; 59208,59208)</f>
        <v>59208</v>
      </c>
      <c r="D639" t="s">
        <v>2393</v>
      </c>
      <c r="E639" t="s">
        <v>131</v>
      </c>
      <c r="F639" t="s">
        <v>305</v>
      </c>
      <c r="G639" t="s">
        <v>337</v>
      </c>
      <c r="H639" t="s">
        <v>30</v>
      </c>
      <c r="I639" t="s">
        <v>68</v>
      </c>
      <c r="J639" t="s">
        <v>43</v>
      </c>
      <c r="K639" t="s">
        <v>33</v>
      </c>
      <c r="L639" t="s">
        <v>96</v>
      </c>
      <c r="M639" t="s">
        <v>269</v>
      </c>
      <c r="N639" t="s">
        <v>46</v>
      </c>
      <c r="P639" t="s">
        <v>394</v>
      </c>
      <c r="R639">
        <v>42087.276030092595</v>
      </c>
      <c r="S639">
        <v>42709.806226851855</v>
      </c>
      <c r="T639" t="s">
        <v>2394</v>
      </c>
      <c r="U639" t="s">
        <v>35</v>
      </c>
      <c r="V639" t="s">
        <v>35</v>
      </c>
      <c r="W639" t="s">
        <v>61</v>
      </c>
    </row>
    <row r="640" spans="1:23" x14ac:dyDescent="0.25">
      <c r="A640" t="s">
        <v>633</v>
      </c>
      <c r="B640" s="19">
        <v>6906</v>
      </c>
      <c r="C640" s="2">
        <f>HYPERLINK(URLs!B36 &amp; 59164,59164)</f>
        <v>59164</v>
      </c>
      <c r="D640" t="s">
        <v>419</v>
      </c>
      <c r="E640" t="s">
        <v>131</v>
      </c>
      <c r="F640" t="s">
        <v>305</v>
      </c>
      <c r="G640" t="s">
        <v>310</v>
      </c>
      <c r="H640" t="s">
        <v>30</v>
      </c>
      <c r="I640" t="s">
        <v>68</v>
      </c>
      <c r="J640" t="s">
        <v>43</v>
      </c>
      <c r="K640" t="s">
        <v>33</v>
      </c>
      <c r="L640" t="s">
        <v>96</v>
      </c>
      <c r="M640" t="s">
        <v>269</v>
      </c>
      <c r="N640" t="s">
        <v>46</v>
      </c>
      <c r="P640" t="s">
        <v>394</v>
      </c>
      <c r="R640">
        <v>42086.490844907406</v>
      </c>
      <c r="S640">
        <v>42678.668530092589</v>
      </c>
      <c r="T640" t="s">
        <v>418</v>
      </c>
      <c r="U640" t="s">
        <v>35</v>
      </c>
      <c r="V640" t="s">
        <v>35</v>
      </c>
      <c r="W640" t="s">
        <v>4098</v>
      </c>
    </row>
    <row r="641" spans="1:23" x14ac:dyDescent="0.25">
      <c r="A641" t="s">
        <v>633</v>
      </c>
      <c r="B641" s="19">
        <v>6910</v>
      </c>
      <c r="C641" s="2">
        <f>HYPERLINK(URLs!B36 &amp; 63053,63053)</f>
        <v>63053</v>
      </c>
      <c r="D641" t="s">
        <v>2489</v>
      </c>
      <c r="E641" t="s">
        <v>164</v>
      </c>
      <c r="F641" t="s">
        <v>305</v>
      </c>
      <c r="G641" t="s">
        <v>304</v>
      </c>
      <c r="H641" t="s">
        <v>30</v>
      </c>
      <c r="I641" t="s">
        <v>31</v>
      </c>
      <c r="J641" t="s">
        <v>32</v>
      </c>
      <c r="K641" t="s">
        <v>44</v>
      </c>
      <c r="L641" t="s">
        <v>34</v>
      </c>
      <c r="M641" t="s">
        <v>278</v>
      </c>
      <c r="N641" t="s">
        <v>46</v>
      </c>
      <c r="P641" t="s">
        <v>377</v>
      </c>
      <c r="R641">
        <v>42151.823321759257</v>
      </c>
      <c r="S641">
        <v>42478.692893518521</v>
      </c>
      <c r="T641" t="s">
        <v>149</v>
      </c>
      <c r="U641" t="s">
        <v>35</v>
      </c>
      <c r="V641" t="s">
        <v>35</v>
      </c>
      <c r="W641" t="s">
        <v>118</v>
      </c>
    </row>
    <row r="642" spans="1:23" x14ac:dyDescent="0.25">
      <c r="A642" t="s">
        <v>633</v>
      </c>
      <c r="B642" s="19">
        <v>6910</v>
      </c>
      <c r="C642" s="2">
        <f>HYPERLINK(URLs!B36 &amp; 63052,63052)</f>
        <v>63052</v>
      </c>
      <c r="D642" t="s">
        <v>2488</v>
      </c>
      <c r="E642" t="s">
        <v>164</v>
      </c>
      <c r="F642" t="s">
        <v>305</v>
      </c>
      <c r="G642" t="s">
        <v>304</v>
      </c>
      <c r="H642" t="s">
        <v>30</v>
      </c>
      <c r="I642" t="s">
        <v>31</v>
      </c>
      <c r="J642" t="s">
        <v>32</v>
      </c>
      <c r="K642" t="s">
        <v>44</v>
      </c>
      <c r="L642" t="s">
        <v>34</v>
      </c>
      <c r="M642" t="s">
        <v>278</v>
      </c>
      <c r="N642" t="s">
        <v>46</v>
      </c>
      <c r="P642" t="s">
        <v>377</v>
      </c>
      <c r="R642">
        <v>42151.823194444441</v>
      </c>
      <c r="S642">
        <v>42202.648043981484</v>
      </c>
      <c r="T642" t="s">
        <v>149</v>
      </c>
      <c r="U642" t="s">
        <v>3945</v>
      </c>
      <c r="V642" t="s">
        <v>35</v>
      </c>
      <c r="W642" t="s">
        <v>377</v>
      </c>
    </row>
    <row r="643" spans="1:23" x14ac:dyDescent="0.25">
      <c r="A643" t="s">
        <v>633</v>
      </c>
      <c r="B643" s="19">
        <v>6910</v>
      </c>
      <c r="C643" s="2">
        <f>HYPERLINK(URLs!B36 &amp; 63051,63051)</f>
        <v>63051</v>
      </c>
      <c r="D643" t="s">
        <v>2487</v>
      </c>
      <c r="E643" t="s">
        <v>164</v>
      </c>
      <c r="F643" t="s">
        <v>305</v>
      </c>
      <c r="G643" t="s">
        <v>337</v>
      </c>
      <c r="H643" t="s">
        <v>30</v>
      </c>
      <c r="I643" t="s">
        <v>31</v>
      </c>
      <c r="J643" t="s">
        <v>32</v>
      </c>
      <c r="K643" t="s">
        <v>44</v>
      </c>
      <c r="L643" t="s">
        <v>34</v>
      </c>
      <c r="M643" t="s">
        <v>278</v>
      </c>
      <c r="N643" t="s">
        <v>46</v>
      </c>
      <c r="P643" t="s">
        <v>377</v>
      </c>
      <c r="R643">
        <v>42151.823055555556</v>
      </c>
      <c r="S643">
        <v>42171.736168981479</v>
      </c>
      <c r="T643" t="s">
        <v>149</v>
      </c>
      <c r="U643" t="s">
        <v>35</v>
      </c>
      <c r="V643" t="s">
        <v>35</v>
      </c>
      <c r="W643" t="s">
        <v>4147</v>
      </c>
    </row>
    <row r="644" spans="1:23" x14ac:dyDescent="0.25">
      <c r="A644" t="s">
        <v>633</v>
      </c>
      <c r="B644" s="19">
        <v>6910</v>
      </c>
      <c r="C644" s="2">
        <f>HYPERLINK(URLs!B36 &amp; 62982,62982)</f>
        <v>62982</v>
      </c>
      <c r="D644" t="s">
        <v>2485</v>
      </c>
      <c r="E644" t="s">
        <v>164</v>
      </c>
      <c r="F644" t="s">
        <v>305</v>
      </c>
      <c r="G644" t="s">
        <v>304</v>
      </c>
      <c r="H644" t="s">
        <v>30</v>
      </c>
      <c r="I644" t="s">
        <v>31</v>
      </c>
      <c r="J644" t="s">
        <v>32</v>
      </c>
      <c r="K644" t="s">
        <v>44</v>
      </c>
      <c r="L644" t="s">
        <v>34</v>
      </c>
      <c r="M644" t="s">
        <v>278</v>
      </c>
      <c r="N644" t="s">
        <v>46</v>
      </c>
      <c r="P644" t="s">
        <v>377</v>
      </c>
      <c r="R644">
        <v>42150.759930555556</v>
      </c>
      <c r="S644">
        <v>42916.686377314814</v>
      </c>
      <c r="T644" t="s">
        <v>2486</v>
      </c>
      <c r="U644" t="s">
        <v>35</v>
      </c>
      <c r="V644" t="s">
        <v>35</v>
      </c>
      <c r="W644" t="s">
        <v>4098</v>
      </c>
    </row>
    <row r="645" spans="1:23" x14ac:dyDescent="0.25">
      <c r="A645" t="s">
        <v>633</v>
      </c>
      <c r="B645" s="19">
        <v>6912</v>
      </c>
      <c r="C645" s="2">
        <f>HYPERLINK(URLs!B36 &amp; 61892,61892)</f>
        <v>61892</v>
      </c>
      <c r="D645" t="s">
        <v>2459</v>
      </c>
      <c r="E645" t="s">
        <v>72</v>
      </c>
      <c r="F645" t="s">
        <v>305</v>
      </c>
      <c r="G645" t="s">
        <v>304</v>
      </c>
      <c r="H645" t="s">
        <v>30</v>
      </c>
      <c r="I645" t="s">
        <v>68</v>
      </c>
      <c r="J645" t="s">
        <v>58</v>
      </c>
      <c r="K645" t="s">
        <v>44</v>
      </c>
      <c r="L645" t="s">
        <v>96</v>
      </c>
      <c r="M645" t="s">
        <v>2458</v>
      </c>
      <c r="N645" t="s">
        <v>46</v>
      </c>
      <c r="P645" t="s">
        <v>394</v>
      </c>
      <c r="R645">
        <v>42130.580891203703</v>
      </c>
      <c r="S645">
        <v>42648.773287037038</v>
      </c>
      <c r="T645" t="s">
        <v>317</v>
      </c>
      <c r="U645" t="s">
        <v>35</v>
      </c>
      <c r="V645" t="s">
        <v>35</v>
      </c>
      <c r="W645" t="s">
        <v>65</v>
      </c>
    </row>
    <row r="646" spans="1:23" x14ac:dyDescent="0.25">
      <c r="A646" t="s">
        <v>633</v>
      </c>
      <c r="B646" s="19">
        <v>6912</v>
      </c>
      <c r="C646" s="2">
        <f>HYPERLINK(URLs!B36 &amp; 61875,61875)</f>
        <v>61875</v>
      </c>
      <c r="D646" t="s">
        <v>2457</v>
      </c>
      <c r="E646" t="s">
        <v>72</v>
      </c>
      <c r="F646" t="s">
        <v>305</v>
      </c>
      <c r="G646" t="s">
        <v>304</v>
      </c>
      <c r="H646" t="s">
        <v>30</v>
      </c>
      <c r="I646" t="s">
        <v>68</v>
      </c>
      <c r="J646" t="s">
        <v>58</v>
      </c>
      <c r="K646" t="s">
        <v>44</v>
      </c>
      <c r="L646" t="s">
        <v>96</v>
      </c>
      <c r="M646" t="s">
        <v>2458</v>
      </c>
      <c r="N646" t="s">
        <v>46</v>
      </c>
      <c r="P646" t="s">
        <v>394</v>
      </c>
      <c r="R646">
        <v>42130.421030092592</v>
      </c>
      <c r="S646">
        <v>42759.713263888887</v>
      </c>
      <c r="T646" t="s">
        <v>98</v>
      </c>
      <c r="U646" t="s">
        <v>35</v>
      </c>
      <c r="V646" t="s">
        <v>35</v>
      </c>
      <c r="W646" t="s">
        <v>4098</v>
      </c>
    </row>
    <row r="647" spans="1:23" x14ac:dyDescent="0.25">
      <c r="A647" t="s">
        <v>665</v>
      </c>
      <c r="B647" s="19">
        <v>7044</v>
      </c>
      <c r="C647" s="2">
        <f>HYPERLINK(URLs!B36 &amp; 98843,98843)</f>
        <v>98843</v>
      </c>
      <c r="D647" t="s">
        <v>3537</v>
      </c>
      <c r="E647" t="s">
        <v>490</v>
      </c>
      <c r="F647" t="s">
        <v>305</v>
      </c>
      <c r="G647" t="s">
        <v>304</v>
      </c>
      <c r="H647" t="s">
        <v>30</v>
      </c>
      <c r="I647" t="s">
        <v>31</v>
      </c>
      <c r="J647" t="s">
        <v>32</v>
      </c>
      <c r="K647" t="s">
        <v>44</v>
      </c>
      <c r="L647" t="s">
        <v>73</v>
      </c>
      <c r="M647" t="s">
        <v>264</v>
      </c>
      <c r="N647" t="s">
        <v>46</v>
      </c>
      <c r="P647" t="s">
        <v>491</v>
      </c>
      <c r="Q647" t="s">
        <v>3538</v>
      </c>
      <c r="R647">
        <v>42853.156087962961</v>
      </c>
      <c r="S647">
        <v>42933.568576388891</v>
      </c>
      <c r="T647" t="s">
        <v>490</v>
      </c>
      <c r="U647" t="s">
        <v>35</v>
      </c>
      <c r="V647" t="s">
        <v>35</v>
      </c>
      <c r="W647" t="s">
        <v>4169</v>
      </c>
    </row>
    <row r="648" spans="1:23" x14ac:dyDescent="0.25">
      <c r="A648" t="s">
        <v>665</v>
      </c>
      <c r="B648" s="19">
        <v>7044</v>
      </c>
      <c r="C648" s="2">
        <f>HYPERLINK(URLs!B36 &amp; 59334,59334)</f>
        <v>59334</v>
      </c>
      <c r="D648" t="s">
        <v>2412</v>
      </c>
      <c r="E648" t="s">
        <v>2410</v>
      </c>
      <c r="F648" t="s">
        <v>305</v>
      </c>
      <c r="G648" t="s">
        <v>304</v>
      </c>
      <c r="H648" t="s">
        <v>30</v>
      </c>
      <c r="I648" t="s">
        <v>31</v>
      </c>
      <c r="J648" t="s">
        <v>32</v>
      </c>
      <c r="K648" t="s">
        <v>44</v>
      </c>
      <c r="L648" t="s">
        <v>96</v>
      </c>
      <c r="M648" t="s">
        <v>269</v>
      </c>
      <c r="N648" t="s">
        <v>46</v>
      </c>
      <c r="P648" t="s">
        <v>491</v>
      </c>
      <c r="R648">
        <v>42088.722766203704</v>
      </c>
      <c r="S648">
        <v>42297.863171296296</v>
      </c>
      <c r="T648" t="s">
        <v>317</v>
      </c>
      <c r="U648" t="s">
        <v>35</v>
      </c>
      <c r="V648" t="s">
        <v>35</v>
      </c>
      <c r="W648" t="s">
        <v>4145</v>
      </c>
    </row>
    <row r="649" spans="1:23" x14ac:dyDescent="0.25">
      <c r="A649" t="s">
        <v>665</v>
      </c>
      <c r="B649" s="19">
        <v>7044</v>
      </c>
      <c r="C649" s="2">
        <f>HYPERLINK(URLs!B36 &amp; 59333,59333)</f>
        <v>59333</v>
      </c>
      <c r="D649" t="s">
        <v>2409</v>
      </c>
      <c r="E649" t="s">
        <v>2410</v>
      </c>
      <c r="F649" t="s">
        <v>305</v>
      </c>
      <c r="G649" t="s">
        <v>304</v>
      </c>
      <c r="H649" t="s">
        <v>30</v>
      </c>
      <c r="I649" t="s">
        <v>31</v>
      </c>
      <c r="J649" t="s">
        <v>32</v>
      </c>
      <c r="K649" t="s">
        <v>44</v>
      </c>
      <c r="L649" t="s">
        <v>96</v>
      </c>
      <c r="M649" t="s">
        <v>269</v>
      </c>
      <c r="N649" t="s">
        <v>46</v>
      </c>
      <c r="O649" t="s">
        <v>2411</v>
      </c>
      <c r="P649" t="s">
        <v>491</v>
      </c>
      <c r="R649">
        <v>42088.722662037035</v>
      </c>
      <c r="S649">
        <v>42318.562245370369</v>
      </c>
      <c r="T649" t="s">
        <v>317</v>
      </c>
      <c r="U649" t="s">
        <v>35</v>
      </c>
      <c r="V649" t="s">
        <v>35</v>
      </c>
      <c r="W649" t="s">
        <v>2708</v>
      </c>
    </row>
    <row r="650" spans="1:23" x14ac:dyDescent="0.25">
      <c r="A650" t="s">
        <v>665</v>
      </c>
      <c r="B650" s="19">
        <v>7044</v>
      </c>
      <c r="C650" s="2">
        <f>HYPERLINK(URLs!B36 &amp; 59332,59332)</f>
        <v>59332</v>
      </c>
      <c r="D650" t="s">
        <v>2408</v>
      </c>
      <c r="E650" t="s">
        <v>72</v>
      </c>
      <c r="F650" t="s">
        <v>305</v>
      </c>
      <c r="G650" t="s">
        <v>304</v>
      </c>
      <c r="H650" t="s">
        <v>30</v>
      </c>
      <c r="I650" t="s">
        <v>31</v>
      </c>
      <c r="J650" t="s">
        <v>32</v>
      </c>
      <c r="K650" t="s">
        <v>44</v>
      </c>
      <c r="L650" t="s">
        <v>96</v>
      </c>
      <c r="M650" t="s">
        <v>269</v>
      </c>
      <c r="N650" t="s">
        <v>46</v>
      </c>
      <c r="P650" t="s">
        <v>491</v>
      </c>
      <c r="R650">
        <v>42088.722581018519</v>
      </c>
      <c r="S650">
        <v>42759.713449074072</v>
      </c>
      <c r="T650" t="s">
        <v>317</v>
      </c>
      <c r="U650" t="s">
        <v>35</v>
      </c>
      <c r="V650" t="s">
        <v>35</v>
      </c>
      <c r="W650" t="s">
        <v>491</v>
      </c>
    </row>
    <row r="651" spans="1:23" x14ac:dyDescent="0.25">
      <c r="A651" t="s">
        <v>665</v>
      </c>
      <c r="B651" s="19">
        <v>7044</v>
      </c>
      <c r="C651" s="2">
        <f>HYPERLINK(URLs!B36 &amp; 59329,59329)</f>
        <v>59329</v>
      </c>
      <c r="D651" t="s">
        <v>2407</v>
      </c>
      <c r="E651" t="s">
        <v>291</v>
      </c>
      <c r="F651" t="s">
        <v>305</v>
      </c>
      <c r="G651" t="s">
        <v>337</v>
      </c>
      <c r="H651" t="s">
        <v>30</v>
      </c>
      <c r="I651" t="s">
        <v>31</v>
      </c>
      <c r="J651" t="s">
        <v>32</v>
      </c>
      <c r="K651" t="s">
        <v>44</v>
      </c>
      <c r="L651" t="s">
        <v>96</v>
      </c>
      <c r="M651" t="s">
        <v>269</v>
      </c>
      <c r="N651" t="s">
        <v>46</v>
      </c>
      <c r="O651" t="s">
        <v>2117</v>
      </c>
      <c r="P651" t="s">
        <v>491</v>
      </c>
      <c r="R651">
        <v>42088.722314814811</v>
      </c>
      <c r="S651">
        <v>42678.625914351855</v>
      </c>
      <c r="T651" t="s">
        <v>317</v>
      </c>
      <c r="U651" t="s">
        <v>35</v>
      </c>
      <c r="V651" t="s">
        <v>321</v>
      </c>
      <c r="W651" t="s">
        <v>2552</v>
      </c>
    </row>
    <row r="652" spans="1:23" x14ac:dyDescent="0.25">
      <c r="A652" t="s">
        <v>665</v>
      </c>
      <c r="B652" s="19">
        <v>7044</v>
      </c>
      <c r="C652" s="2">
        <f>HYPERLINK(URLs!B36 &amp; 59328,59328)</f>
        <v>59328</v>
      </c>
      <c r="D652" t="s">
        <v>2406</v>
      </c>
      <c r="E652" t="s">
        <v>72</v>
      </c>
      <c r="F652" t="s">
        <v>305</v>
      </c>
      <c r="G652" t="s">
        <v>304</v>
      </c>
      <c r="H652" t="s">
        <v>30</v>
      </c>
      <c r="I652" t="s">
        <v>31</v>
      </c>
      <c r="J652" t="s">
        <v>32</v>
      </c>
      <c r="K652" t="s">
        <v>44</v>
      </c>
      <c r="L652" t="s">
        <v>96</v>
      </c>
      <c r="M652" t="s">
        <v>269</v>
      </c>
      <c r="N652" t="s">
        <v>46</v>
      </c>
      <c r="P652" t="s">
        <v>491</v>
      </c>
      <c r="R652">
        <v>42088.722222222219</v>
      </c>
      <c r="S652">
        <v>42648.843356481484</v>
      </c>
      <c r="T652" t="s">
        <v>317</v>
      </c>
      <c r="U652" t="s">
        <v>35</v>
      </c>
      <c r="V652" t="s">
        <v>35</v>
      </c>
      <c r="W652" t="s">
        <v>4148</v>
      </c>
    </row>
    <row r="653" spans="1:23" x14ac:dyDescent="0.25">
      <c r="A653" t="s">
        <v>665</v>
      </c>
      <c r="B653" s="19">
        <v>7044</v>
      </c>
      <c r="C653" s="2">
        <f>HYPERLINK(URLs!B36 &amp; 59294,59294)</f>
        <v>59294</v>
      </c>
      <c r="D653" t="s">
        <v>2404</v>
      </c>
      <c r="E653" t="s">
        <v>72</v>
      </c>
      <c r="F653" t="s">
        <v>305</v>
      </c>
      <c r="G653" t="s">
        <v>304</v>
      </c>
      <c r="H653" t="s">
        <v>30</v>
      </c>
      <c r="I653" t="s">
        <v>31</v>
      </c>
      <c r="J653" t="s">
        <v>32</v>
      </c>
      <c r="K653" t="s">
        <v>44</v>
      </c>
      <c r="L653" t="s">
        <v>96</v>
      </c>
      <c r="M653" t="s">
        <v>269</v>
      </c>
      <c r="N653" t="s">
        <v>46</v>
      </c>
      <c r="P653" t="s">
        <v>491</v>
      </c>
      <c r="R653">
        <v>42088.404444444444</v>
      </c>
      <c r="S653">
        <v>42853.156087962961</v>
      </c>
      <c r="T653" t="s">
        <v>2405</v>
      </c>
      <c r="U653" t="s">
        <v>35</v>
      </c>
      <c r="V653" t="s">
        <v>35</v>
      </c>
      <c r="W653" t="s">
        <v>4098</v>
      </c>
    </row>
    <row r="654" spans="1:23" x14ac:dyDescent="0.25">
      <c r="B654" s="19">
        <v>7085</v>
      </c>
      <c r="C654" s="2">
        <f>HYPERLINK(URLs!B36 &amp; 60387,60387)</f>
        <v>60387</v>
      </c>
      <c r="D654" t="s">
        <v>2422</v>
      </c>
      <c r="E654" t="s">
        <v>2280</v>
      </c>
      <c r="F654" t="s">
        <v>305</v>
      </c>
      <c r="G654" t="s">
        <v>337</v>
      </c>
      <c r="H654" t="s">
        <v>30</v>
      </c>
      <c r="I654" t="s">
        <v>57</v>
      </c>
      <c r="J654" t="s">
        <v>58</v>
      </c>
      <c r="K654" t="s">
        <v>33</v>
      </c>
      <c r="L654" t="s">
        <v>73</v>
      </c>
      <c r="M654" t="s">
        <v>263</v>
      </c>
      <c r="N654" t="s">
        <v>46</v>
      </c>
      <c r="P654" t="s">
        <v>2121</v>
      </c>
      <c r="R654">
        <v>42107.852893518517</v>
      </c>
      <c r="S654">
        <v>42678.626967592594</v>
      </c>
      <c r="T654" t="s">
        <v>317</v>
      </c>
      <c r="U654" t="s">
        <v>35</v>
      </c>
      <c r="V654" t="s">
        <v>35</v>
      </c>
      <c r="W654" t="s">
        <v>3028</v>
      </c>
    </row>
    <row r="655" spans="1:23" x14ac:dyDescent="0.25">
      <c r="B655" s="19">
        <v>7085</v>
      </c>
      <c r="C655" s="2">
        <f>HYPERLINK(URLs!B36 &amp; 60384,60384)</f>
        <v>60384</v>
      </c>
      <c r="D655" t="s">
        <v>2419</v>
      </c>
      <c r="E655" t="s">
        <v>1518</v>
      </c>
      <c r="F655" t="s">
        <v>305</v>
      </c>
      <c r="G655" t="s">
        <v>337</v>
      </c>
      <c r="H655" t="s">
        <v>30</v>
      </c>
      <c r="I655" t="s">
        <v>57</v>
      </c>
      <c r="J655" t="s">
        <v>58</v>
      </c>
      <c r="K655" t="s">
        <v>33</v>
      </c>
      <c r="L655" t="s">
        <v>73</v>
      </c>
      <c r="M655" t="s">
        <v>263</v>
      </c>
      <c r="N655" t="s">
        <v>46</v>
      </c>
      <c r="O655" t="s">
        <v>2420</v>
      </c>
      <c r="P655" t="s">
        <v>2121</v>
      </c>
      <c r="R655">
        <v>42107.828136574077</v>
      </c>
      <c r="S655">
        <v>42678.632384259261</v>
      </c>
      <c r="T655" t="s">
        <v>409</v>
      </c>
      <c r="U655" t="s">
        <v>35</v>
      </c>
      <c r="V655" t="s">
        <v>35</v>
      </c>
      <c r="W655" t="s">
        <v>4098</v>
      </c>
    </row>
    <row r="656" spans="1:23" x14ac:dyDescent="0.25">
      <c r="A656" t="s">
        <v>633</v>
      </c>
      <c r="B656" s="19">
        <v>7211</v>
      </c>
      <c r="C656" s="2">
        <f>HYPERLINK(URLs!B36 &amp; 62330,62330)</f>
        <v>62330</v>
      </c>
      <c r="D656" t="s">
        <v>2471</v>
      </c>
      <c r="E656" t="s">
        <v>387</v>
      </c>
      <c r="F656" t="s">
        <v>305</v>
      </c>
      <c r="G656" t="s">
        <v>304</v>
      </c>
      <c r="H656" t="s">
        <v>30</v>
      </c>
      <c r="I656" t="s">
        <v>31</v>
      </c>
      <c r="J656" t="s">
        <v>43</v>
      </c>
      <c r="K656" t="s">
        <v>44</v>
      </c>
      <c r="L656" t="s">
        <v>73</v>
      </c>
      <c r="M656" t="s">
        <v>412</v>
      </c>
      <c r="N656" t="s">
        <v>46</v>
      </c>
      <c r="P656" t="s">
        <v>394</v>
      </c>
      <c r="R656">
        <v>42137.464143518519</v>
      </c>
      <c r="S656">
        <v>43256.13008101852</v>
      </c>
      <c r="T656" t="s">
        <v>317</v>
      </c>
      <c r="U656" t="s">
        <v>35</v>
      </c>
      <c r="V656" t="s">
        <v>35</v>
      </c>
      <c r="W656" t="s">
        <v>47</v>
      </c>
    </row>
    <row r="657" spans="1:23" x14ac:dyDescent="0.25">
      <c r="A657" t="s">
        <v>633</v>
      </c>
      <c r="B657" s="19">
        <v>7211</v>
      </c>
      <c r="C657" s="2">
        <f>HYPERLINK(URLs!B36 &amp; 61548,61548)</f>
        <v>61548</v>
      </c>
      <c r="D657" t="s">
        <v>2448</v>
      </c>
      <c r="E657" t="s">
        <v>70</v>
      </c>
      <c r="F657" t="s">
        <v>305</v>
      </c>
      <c r="G657" t="s">
        <v>310</v>
      </c>
      <c r="H657" t="s">
        <v>30</v>
      </c>
      <c r="I657" t="s">
        <v>31</v>
      </c>
      <c r="J657" t="s">
        <v>43</v>
      </c>
      <c r="K657" t="s">
        <v>44</v>
      </c>
      <c r="L657" t="s">
        <v>73</v>
      </c>
      <c r="M657" t="s">
        <v>412</v>
      </c>
      <c r="N657" t="s">
        <v>46</v>
      </c>
      <c r="P657" t="s">
        <v>394</v>
      </c>
      <c r="R657">
        <v>42123.715590277781</v>
      </c>
      <c r="S657">
        <v>42678.628819444442</v>
      </c>
      <c r="T657" t="s">
        <v>317</v>
      </c>
      <c r="U657" t="s">
        <v>35</v>
      </c>
      <c r="V657" t="s">
        <v>35</v>
      </c>
      <c r="W657" t="s">
        <v>4097</v>
      </c>
    </row>
    <row r="658" spans="1:23" x14ac:dyDescent="0.25">
      <c r="A658" t="s">
        <v>633</v>
      </c>
      <c r="B658" s="19">
        <v>7211</v>
      </c>
      <c r="C658" s="2">
        <f>HYPERLINK(URLs!B36 &amp; 61547,61547)</f>
        <v>61547</v>
      </c>
      <c r="D658" t="s">
        <v>2447</v>
      </c>
      <c r="E658" t="s">
        <v>70</v>
      </c>
      <c r="F658" t="s">
        <v>305</v>
      </c>
      <c r="G658" t="s">
        <v>304</v>
      </c>
      <c r="H658" t="s">
        <v>30</v>
      </c>
      <c r="I658" t="s">
        <v>31</v>
      </c>
      <c r="J658" t="s">
        <v>43</v>
      </c>
      <c r="K658" t="s">
        <v>44</v>
      </c>
      <c r="L658" t="s">
        <v>73</v>
      </c>
      <c r="M658" t="s">
        <v>412</v>
      </c>
      <c r="N658" t="s">
        <v>46</v>
      </c>
      <c r="P658" t="s">
        <v>394</v>
      </c>
      <c r="R658">
        <v>42123.715532407405</v>
      </c>
      <c r="S658">
        <v>42648.844918981478</v>
      </c>
      <c r="T658" t="s">
        <v>317</v>
      </c>
      <c r="U658" t="s">
        <v>35</v>
      </c>
      <c r="V658" t="s">
        <v>35</v>
      </c>
      <c r="W658" t="s">
        <v>65</v>
      </c>
    </row>
    <row r="659" spans="1:23" x14ac:dyDescent="0.25">
      <c r="A659" t="s">
        <v>633</v>
      </c>
      <c r="B659" s="19">
        <v>7211</v>
      </c>
      <c r="C659" s="2">
        <f>HYPERLINK(URLs!B36 &amp; 61546,61546)</f>
        <v>61546</v>
      </c>
      <c r="D659" t="s">
        <v>2445</v>
      </c>
      <c r="E659" t="s">
        <v>2446</v>
      </c>
      <c r="F659" t="s">
        <v>305</v>
      </c>
      <c r="G659" t="s">
        <v>304</v>
      </c>
      <c r="H659" t="s">
        <v>30</v>
      </c>
      <c r="I659" t="s">
        <v>31</v>
      </c>
      <c r="J659" t="s">
        <v>43</v>
      </c>
      <c r="K659" t="s">
        <v>44</v>
      </c>
      <c r="L659" t="s">
        <v>73</v>
      </c>
      <c r="M659" t="s">
        <v>412</v>
      </c>
      <c r="N659" t="s">
        <v>46</v>
      </c>
      <c r="P659" t="s">
        <v>394</v>
      </c>
      <c r="R659">
        <v>42123.715462962966</v>
      </c>
      <c r="S659">
        <v>42648.84479166667</v>
      </c>
      <c r="T659" t="s">
        <v>317</v>
      </c>
      <c r="U659" t="s">
        <v>3942</v>
      </c>
      <c r="V659" t="s">
        <v>35</v>
      </c>
      <c r="W659" t="s">
        <v>61</v>
      </c>
    </row>
    <row r="660" spans="1:23" x14ac:dyDescent="0.25">
      <c r="A660" t="s">
        <v>633</v>
      </c>
      <c r="B660" s="19">
        <v>7211</v>
      </c>
      <c r="C660" s="2">
        <f>HYPERLINK(URLs!B36 &amp; 61543,61543)</f>
        <v>61543</v>
      </c>
      <c r="D660" t="s">
        <v>413</v>
      </c>
      <c r="E660" t="s">
        <v>414</v>
      </c>
      <c r="F660" t="s">
        <v>305</v>
      </c>
      <c r="G660" t="s">
        <v>304</v>
      </c>
      <c r="H660" t="s">
        <v>30</v>
      </c>
      <c r="I660" t="s">
        <v>31</v>
      </c>
      <c r="J660" t="s">
        <v>43</v>
      </c>
      <c r="K660" t="s">
        <v>44</v>
      </c>
      <c r="L660" t="s">
        <v>73</v>
      </c>
      <c r="M660" t="s">
        <v>412</v>
      </c>
      <c r="N660" t="s">
        <v>46</v>
      </c>
      <c r="P660" t="s">
        <v>394</v>
      </c>
      <c r="R660">
        <v>42123.699548611112</v>
      </c>
      <c r="S660">
        <v>42759.712800925925</v>
      </c>
      <c r="T660" t="s">
        <v>98</v>
      </c>
      <c r="U660" t="s">
        <v>35</v>
      </c>
      <c r="V660" t="s">
        <v>35</v>
      </c>
      <c r="W660" t="s">
        <v>4098</v>
      </c>
    </row>
    <row r="661" spans="1:23" x14ac:dyDescent="0.25">
      <c r="B661" s="19">
        <v>7224</v>
      </c>
      <c r="C661" s="2">
        <f>HYPERLINK(URLs!B36 &amp; 81743,81743)</f>
        <v>81743</v>
      </c>
      <c r="D661" t="s">
        <v>3091</v>
      </c>
      <c r="E661" t="s">
        <v>72</v>
      </c>
      <c r="F661" t="s">
        <v>305</v>
      </c>
      <c r="G661" t="s">
        <v>304</v>
      </c>
      <c r="H661" t="s">
        <v>30</v>
      </c>
      <c r="I661" t="s">
        <v>68</v>
      </c>
      <c r="J661" t="s">
        <v>43</v>
      </c>
      <c r="K661" t="s">
        <v>33</v>
      </c>
      <c r="L661" t="s">
        <v>73</v>
      </c>
      <c r="M661" t="s">
        <v>263</v>
      </c>
      <c r="N661" t="s">
        <v>46</v>
      </c>
      <c r="P661" t="s">
        <v>491</v>
      </c>
      <c r="Q661" t="s">
        <v>491</v>
      </c>
      <c r="R661">
        <v>42487.51185185185</v>
      </c>
      <c r="S661">
        <v>42636.240023148152</v>
      </c>
      <c r="T661" t="s">
        <v>139</v>
      </c>
      <c r="U661" t="s">
        <v>35</v>
      </c>
      <c r="V661" t="s">
        <v>35</v>
      </c>
      <c r="W661" t="s">
        <v>3428</v>
      </c>
    </row>
    <row r="662" spans="1:23" x14ac:dyDescent="0.25">
      <c r="B662" s="19">
        <v>7224</v>
      </c>
      <c r="C662" s="2">
        <f>HYPERLINK(URLs!B36 &amp; 78778,78778)</f>
        <v>78778</v>
      </c>
      <c r="D662" t="s">
        <v>3022</v>
      </c>
      <c r="E662" t="s">
        <v>139</v>
      </c>
      <c r="F662" t="s">
        <v>305</v>
      </c>
      <c r="G662" t="s">
        <v>337</v>
      </c>
      <c r="H662" t="s">
        <v>30</v>
      </c>
      <c r="I662" t="s">
        <v>68</v>
      </c>
      <c r="J662" t="s">
        <v>43</v>
      </c>
      <c r="K662" t="s">
        <v>33</v>
      </c>
      <c r="L662" t="s">
        <v>73</v>
      </c>
      <c r="M662" t="s">
        <v>263</v>
      </c>
      <c r="N662" t="s">
        <v>46</v>
      </c>
      <c r="O662" t="s">
        <v>2111</v>
      </c>
      <c r="P662" t="s">
        <v>491</v>
      </c>
      <c r="Q662" t="s">
        <v>3023</v>
      </c>
      <c r="R662">
        <v>42444.200543981482</v>
      </c>
      <c r="S662">
        <v>42678.648055555554</v>
      </c>
      <c r="T662" t="s">
        <v>317</v>
      </c>
      <c r="U662" t="s">
        <v>35</v>
      </c>
      <c r="V662" t="s">
        <v>35</v>
      </c>
      <c r="W662" t="s">
        <v>4156</v>
      </c>
    </row>
    <row r="663" spans="1:23" x14ac:dyDescent="0.25">
      <c r="B663" s="19">
        <v>7224</v>
      </c>
      <c r="C663" s="2">
        <f>HYPERLINK(URLs!B36 &amp; 71543,71543)</f>
        <v>71543</v>
      </c>
      <c r="D663" t="s">
        <v>2747</v>
      </c>
      <c r="E663" t="s">
        <v>139</v>
      </c>
      <c r="F663" t="s">
        <v>305</v>
      </c>
      <c r="G663" t="s">
        <v>304</v>
      </c>
      <c r="H663" t="s">
        <v>30</v>
      </c>
      <c r="I663" t="s">
        <v>68</v>
      </c>
      <c r="J663" t="s">
        <v>43</v>
      </c>
      <c r="K663" t="s">
        <v>33</v>
      </c>
      <c r="L663" t="s">
        <v>73</v>
      </c>
      <c r="M663" t="s">
        <v>263</v>
      </c>
      <c r="N663" t="s">
        <v>46</v>
      </c>
      <c r="O663" t="s">
        <v>2748</v>
      </c>
      <c r="P663" t="s">
        <v>491</v>
      </c>
      <c r="Q663" t="s">
        <v>2749</v>
      </c>
      <c r="R663">
        <v>42303.819490740738</v>
      </c>
      <c r="S663">
        <v>42648.76840277778</v>
      </c>
      <c r="T663" t="s">
        <v>317</v>
      </c>
      <c r="U663" t="s">
        <v>35</v>
      </c>
      <c r="V663" t="s">
        <v>35</v>
      </c>
      <c r="W663" t="s">
        <v>3233</v>
      </c>
    </row>
    <row r="664" spans="1:23" x14ac:dyDescent="0.25">
      <c r="B664" s="19">
        <v>7224</v>
      </c>
      <c r="C664" s="2">
        <f>HYPERLINK(URLs!B36 &amp; 61336,61336)</f>
        <v>61336</v>
      </c>
      <c r="D664" t="s">
        <v>2437</v>
      </c>
      <c r="E664" t="s">
        <v>139</v>
      </c>
      <c r="F664" t="s">
        <v>305</v>
      </c>
      <c r="G664" t="s">
        <v>304</v>
      </c>
      <c r="H664" t="s">
        <v>30</v>
      </c>
      <c r="I664" t="s">
        <v>68</v>
      </c>
      <c r="J664" t="s">
        <v>43</v>
      </c>
      <c r="K664" t="s">
        <v>33</v>
      </c>
      <c r="L664" t="s">
        <v>73</v>
      </c>
      <c r="M664" t="s">
        <v>263</v>
      </c>
      <c r="N664" t="s">
        <v>46</v>
      </c>
      <c r="P664" t="s">
        <v>491</v>
      </c>
      <c r="Q664" t="s">
        <v>491</v>
      </c>
      <c r="R664">
        <v>42121.375509259262</v>
      </c>
      <c r="S664">
        <v>42871.662812499999</v>
      </c>
      <c r="T664" t="s">
        <v>86</v>
      </c>
      <c r="U664" t="s">
        <v>35</v>
      </c>
      <c r="V664" t="s">
        <v>35</v>
      </c>
      <c r="W664" t="s">
        <v>4098</v>
      </c>
    </row>
    <row r="665" spans="1:23" x14ac:dyDescent="0.25">
      <c r="B665" s="19">
        <v>7230</v>
      </c>
      <c r="C665" s="2">
        <f>HYPERLINK(URLs!B36 &amp; 67503,67503)</f>
        <v>67503</v>
      </c>
      <c r="D665" t="s">
        <v>2650</v>
      </c>
      <c r="E665" t="s">
        <v>62</v>
      </c>
      <c r="F665" t="s">
        <v>305</v>
      </c>
      <c r="G665" t="s">
        <v>353</v>
      </c>
      <c r="H665" t="s">
        <v>30</v>
      </c>
      <c r="I665" t="s">
        <v>31</v>
      </c>
      <c r="J665" t="s">
        <v>32</v>
      </c>
      <c r="K665" t="s">
        <v>33</v>
      </c>
      <c r="L665" t="s">
        <v>45</v>
      </c>
      <c r="M665" t="s">
        <v>265</v>
      </c>
      <c r="N665" t="s">
        <v>46</v>
      </c>
      <c r="P665" t="s">
        <v>428</v>
      </c>
      <c r="R665">
        <v>42236.900462962964</v>
      </c>
      <c r="S665">
        <v>42678.634618055556</v>
      </c>
      <c r="T665" t="s">
        <v>2526</v>
      </c>
      <c r="U665" t="s">
        <v>35</v>
      </c>
      <c r="V665" t="s">
        <v>321</v>
      </c>
      <c r="W665" t="s">
        <v>4126</v>
      </c>
    </row>
    <row r="666" spans="1:23" x14ac:dyDescent="0.25">
      <c r="B666" s="19">
        <v>7230</v>
      </c>
      <c r="C666" s="2">
        <f>HYPERLINK(URLs!B36 &amp; 67502,67502)</f>
        <v>67502</v>
      </c>
      <c r="D666" t="s">
        <v>2650</v>
      </c>
      <c r="E666" t="s">
        <v>62</v>
      </c>
      <c r="F666" t="s">
        <v>305</v>
      </c>
      <c r="G666" t="s">
        <v>353</v>
      </c>
      <c r="H666" t="s">
        <v>30</v>
      </c>
      <c r="I666" t="s">
        <v>31</v>
      </c>
      <c r="J666" t="s">
        <v>32</v>
      </c>
      <c r="K666" t="s">
        <v>33</v>
      </c>
      <c r="L666" t="s">
        <v>45</v>
      </c>
      <c r="M666" t="s">
        <v>265</v>
      </c>
      <c r="N666" t="s">
        <v>46</v>
      </c>
      <c r="P666" t="s">
        <v>428</v>
      </c>
      <c r="R666">
        <v>42236.897835648146</v>
      </c>
      <c r="S666">
        <v>42678.634155092594</v>
      </c>
      <c r="T666" t="s">
        <v>2526</v>
      </c>
      <c r="U666" t="s">
        <v>35</v>
      </c>
      <c r="V666" t="s">
        <v>321</v>
      </c>
      <c r="W666" t="s">
        <v>4126</v>
      </c>
    </row>
    <row r="667" spans="1:23" x14ac:dyDescent="0.25">
      <c r="B667" s="19">
        <v>7230</v>
      </c>
      <c r="C667" s="2">
        <f>HYPERLINK(URLs!B36 &amp; 67501,67501)</f>
        <v>67501</v>
      </c>
      <c r="D667" t="s">
        <v>2650</v>
      </c>
      <c r="E667" t="s">
        <v>343</v>
      </c>
      <c r="F667" t="s">
        <v>305</v>
      </c>
      <c r="G667" t="s">
        <v>353</v>
      </c>
      <c r="H667" t="s">
        <v>30</v>
      </c>
      <c r="I667" t="s">
        <v>31</v>
      </c>
      <c r="J667" t="s">
        <v>32</v>
      </c>
      <c r="K667" t="s">
        <v>33</v>
      </c>
      <c r="L667" t="s">
        <v>45</v>
      </c>
      <c r="M667" t="s">
        <v>265</v>
      </c>
      <c r="N667" t="s">
        <v>46</v>
      </c>
      <c r="P667" t="s">
        <v>428</v>
      </c>
      <c r="R667">
        <v>42236.895405092589</v>
      </c>
      <c r="S667">
        <v>43007.397210648145</v>
      </c>
      <c r="T667" t="s">
        <v>2526</v>
      </c>
      <c r="U667" t="s">
        <v>35</v>
      </c>
      <c r="V667" t="s">
        <v>321</v>
      </c>
      <c r="W667" t="s">
        <v>428</v>
      </c>
    </row>
    <row r="668" spans="1:23" x14ac:dyDescent="0.25">
      <c r="B668" s="19">
        <v>7231</v>
      </c>
      <c r="C668" s="2">
        <f>HYPERLINK(URLs!B36 &amp; 62672,62672)</f>
        <v>62672</v>
      </c>
      <c r="D668" t="s">
        <v>3860</v>
      </c>
      <c r="E668" t="s">
        <v>371</v>
      </c>
      <c r="F668" t="s">
        <v>305</v>
      </c>
      <c r="G668" t="s">
        <v>304</v>
      </c>
      <c r="H668" t="s">
        <v>30</v>
      </c>
      <c r="I668" t="s">
        <v>31</v>
      </c>
      <c r="J668" t="s">
        <v>43</v>
      </c>
      <c r="K668" t="s">
        <v>44</v>
      </c>
      <c r="L668" t="s">
        <v>34</v>
      </c>
      <c r="M668" t="s">
        <v>368</v>
      </c>
      <c r="N668" t="s">
        <v>46</v>
      </c>
      <c r="P668" t="s">
        <v>2121</v>
      </c>
      <c r="R668">
        <v>42144.439317129632</v>
      </c>
      <c r="S668">
        <v>42660.386770833335</v>
      </c>
      <c r="T668" t="s">
        <v>387</v>
      </c>
      <c r="U668" t="s">
        <v>35</v>
      </c>
      <c r="V668" t="s">
        <v>35</v>
      </c>
      <c r="W668" t="s">
        <v>2475</v>
      </c>
    </row>
    <row r="669" spans="1:23" x14ac:dyDescent="0.25">
      <c r="B669" s="19">
        <v>7231</v>
      </c>
      <c r="C669" s="2">
        <f>HYPERLINK(URLs!B36 &amp; 61990,61990)</f>
        <v>61990</v>
      </c>
      <c r="D669" t="s">
        <v>3857</v>
      </c>
      <c r="E669" t="s">
        <v>1727</v>
      </c>
      <c r="F669" t="s">
        <v>305</v>
      </c>
      <c r="G669" t="s">
        <v>304</v>
      </c>
      <c r="H669" t="s">
        <v>30</v>
      </c>
      <c r="I669" t="s">
        <v>31</v>
      </c>
      <c r="J669" t="s">
        <v>32</v>
      </c>
      <c r="K669" t="s">
        <v>44</v>
      </c>
      <c r="L669" t="s">
        <v>34</v>
      </c>
      <c r="M669" t="s">
        <v>368</v>
      </c>
      <c r="N669" t="s">
        <v>46</v>
      </c>
      <c r="O669" t="s">
        <v>3858</v>
      </c>
      <c r="P669" t="s">
        <v>2121</v>
      </c>
      <c r="Q669" t="s">
        <v>3859</v>
      </c>
      <c r="R669">
        <v>42131.45585648148</v>
      </c>
      <c r="S669">
        <v>43007.432997685188</v>
      </c>
      <c r="T669" t="s">
        <v>299</v>
      </c>
      <c r="U669" t="s">
        <v>35</v>
      </c>
      <c r="V669" t="s">
        <v>321</v>
      </c>
      <c r="W669" t="s">
        <v>3028</v>
      </c>
    </row>
    <row r="670" spans="1:23" x14ac:dyDescent="0.25">
      <c r="A670" t="s">
        <v>633</v>
      </c>
      <c r="B670" s="19">
        <v>7270</v>
      </c>
      <c r="C670" s="2">
        <f>HYPERLINK(URLs!B36 &amp; 63352,63352)</f>
        <v>63352</v>
      </c>
      <c r="D670" t="s">
        <v>2500</v>
      </c>
      <c r="E670" t="s">
        <v>411</v>
      </c>
      <c r="F670" t="s">
        <v>305</v>
      </c>
      <c r="G670" t="s">
        <v>304</v>
      </c>
      <c r="H670" t="s">
        <v>30</v>
      </c>
      <c r="I670" t="s">
        <v>31</v>
      </c>
      <c r="J670" t="s">
        <v>32</v>
      </c>
      <c r="K670" t="s">
        <v>33</v>
      </c>
      <c r="L670" t="s">
        <v>408</v>
      </c>
      <c r="M670" t="s">
        <v>407</v>
      </c>
      <c r="N670" t="s">
        <v>46</v>
      </c>
      <c r="P670" t="s">
        <v>394</v>
      </c>
      <c r="R670">
        <v>42158.215405092589</v>
      </c>
      <c r="S670">
        <v>42709.804837962962</v>
      </c>
      <c r="T670" t="s">
        <v>411</v>
      </c>
      <c r="U670" t="s">
        <v>3946</v>
      </c>
      <c r="V670" t="s">
        <v>35</v>
      </c>
      <c r="W670" t="s">
        <v>61</v>
      </c>
    </row>
    <row r="671" spans="1:23" x14ac:dyDescent="0.25">
      <c r="A671" t="s">
        <v>633</v>
      </c>
      <c r="B671" s="19">
        <v>7270</v>
      </c>
      <c r="C671" s="2">
        <f>HYPERLINK(URLs!B36 &amp; 62319,62319)</f>
        <v>62319</v>
      </c>
      <c r="D671" t="s">
        <v>2470</v>
      </c>
      <c r="E671" t="s">
        <v>411</v>
      </c>
      <c r="F671" t="s">
        <v>305</v>
      </c>
      <c r="G671" t="s">
        <v>304</v>
      </c>
      <c r="H671" t="s">
        <v>30</v>
      </c>
      <c r="I671" t="s">
        <v>68</v>
      </c>
      <c r="J671" t="s">
        <v>43</v>
      </c>
      <c r="K671" t="s">
        <v>33</v>
      </c>
      <c r="L671" t="s">
        <v>408</v>
      </c>
      <c r="M671" t="s">
        <v>407</v>
      </c>
      <c r="N671" t="s">
        <v>46</v>
      </c>
      <c r="P671" t="s">
        <v>394</v>
      </c>
      <c r="R671">
        <v>42137.402337962965</v>
      </c>
      <c r="S671">
        <v>42648.936377314814</v>
      </c>
      <c r="T671" t="s">
        <v>411</v>
      </c>
      <c r="U671" t="s">
        <v>35</v>
      </c>
      <c r="V671" t="s">
        <v>35</v>
      </c>
      <c r="W671" t="s">
        <v>65</v>
      </c>
    </row>
    <row r="672" spans="1:23" x14ac:dyDescent="0.25">
      <c r="A672" t="s">
        <v>633</v>
      </c>
      <c r="B672" s="19">
        <v>7270</v>
      </c>
      <c r="C672" s="2">
        <f>HYPERLINK(URLs!B36 &amp; 62318,62318)</f>
        <v>62318</v>
      </c>
      <c r="D672" t="s">
        <v>2469</v>
      </c>
      <c r="E672" t="s">
        <v>411</v>
      </c>
      <c r="F672" t="s">
        <v>305</v>
      </c>
      <c r="G672" t="s">
        <v>337</v>
      </c>
      <c r="H672" t="s">
        <v>30</v>
      </c>
      <c r="I672" t="s">
        <v>68</v>
      </c>
      <c r="J672" t="s">
        <v>43</v>
      </c>
      <c r="K672" t="s">
        <v>33</v>
      </c>
      <c r="L672" t="s">
        <v>408</v>
      </c>
      <c r="M672" t="s">
        <v>407</v>
      </c>
      <c r="N672" t="s">
        <v>46</v>
      </c>
      <c r="P672" t="s">
        <v>394</v>
      </c>
      <c r="R672">
        <v>42137.368472222224</v>
      </c>
      <c r="S672">
        <v>42277.748113425929</v>
      </c>
      <c r="T672" t="s">
        <v>411</v>
      </c>
      <c r="U672" t="s">
        <v>35</v>
      </c>
      <c r="V672" t="s">
        <v>35</v>
      </c>
      <c r="W672" t="s">
        <v>4147</v>
      </c>
    </row>
    <row r="673" spans="1:23" x14ac:dyDescent="0.25">
      <c r="A673" t="s">
        <v>633</v>
      </c>
      <c r="B673" s="19">
        <v>7270</v>
      </c>
      <c r="C673" s="2">
        <f>HYPERLINK(URLs!B36 &amp; 62176,62176)</f>
        <v>62176</v>
      </c>
      <c r="D673" t="s">
        <v>410</v>
      </c>
      <c r="E673" t="s">
        <v>411</v>
      </c>
      <c r="F673" t="s">
        <v>305</v>
      </c>
      <c r="G673" t="s">
        <v>304</v>
      </c>
      <c r="H673" t="s">
        <v>30</v>
      </c>
      <c r="I673" t="s">
        <v>31</v>
      </c>
      <c r="J673" t="s">
        <v>32</v>
      </c>
      <c r="K673" t="s">
        <v>33</v>
      </c>
      <c r="L673" t="s">
        <v>408</v>
      </c>
      <c r="M673" t="s">
        <v>407</v>
      </c>
      <c r="N673" t="s">
        <v>46</v>
      </c>
      <c r="P673" t="s">
        <v>394</v>
      </c>
      <c r="R673">
        <v>42135.823298611111</v>
      </c>
      <c r="S673">
        <v>42648.936516203707</v>
      </c>
      <c r="T673" t="s">
        <v>409</v>
      </c>
      <c r="U673" t="s">
        <v>35</v>
      </c>
      <c r="V673" t="s">
        <v>35</v>
      </c>
      <c r="W673" t="s">
        <v>4098</v>
      </c>
    </row>
    <row r="674" spans="1:23" x14ac:dyDescent="0.25">
      <c r="A674" t="s">
        <v>665</v>
      </c>
      <c r="B674" s="19">
        <v>7273</v>
      </c>
      <c r="C674" s="2">
        <f>HYPERLINK(URLs!B36 &amp; 98844,98844)</f>
        <v>98844</v>
      </c>
      <c r="D674" t="s">
        <v>3539</v>
      </c>
      <c r="E674" t="s">
        <v>490</v>
      </c>
      <c r="F674" t="s">
        <v>305</v>
      </c>
      <c r="G674" t="s">
        <v>304</v>
      </c>
      <c r="H674" t="s">
        <v>30</v>
      </c>
      <c r="I674" t="s">
        <v>31</v>
      </c>
      <c r="J674" t="s">
        <v>43</v>
      </c>
      <c r="K674" t="s">
        <v>44</v>
      </c>
      <c r="L674" t="s">
        <v>73</v>
      </c>
      <c r="M674" t="s">
        <v>264</v>
      </c>
      <c r="N674" t="s">
        <v>46</v>
      </c>
      <c r="P674" t="s">
        <v>491</v>
      </c>
      <c r="Q674" t="s">
        <v>3538</v>
      </c>
      <c r="R674">
        <v>42853.162499999999</v>
      </c>
      <c r="S674">
        <v>42912.538541666669</v>
      </c>
      <c r="T674" t="s">
        <v>490</v>
      </c>
      <c r="U674" t="s">
        <v>35</v>
      </c>
      <c r="V674" t="s">
        <v>35</v>
      </c>
      <c r="W674" t="s">
        <v>4169</v>
      </c>
    </row>
    <row r="675" spans="1:23" x14ac:dyDescent="0.25">
      <c r="A675" t="s">
        <v>665</v>
      </c>
      <c r="B675" s="19">
        <v>7273</v>
      </c>
      <c r="C675" s="2">
        <f>HYPERLINK(URLs!B36 &amp; 62265,62265)</f>
        <v>62265</v>
      </c>
      <c r="D675" t="s">
        <v>2468</v>
      </c>
      <c r="E675" t="s">
        <v>2410</v>
      </c>
      <c r="F675" t="s">
        <v>305</v>
      </c>
      <c r="G675" t="s">
        <v>304</v>
      </c>
      <c r="H675" t="s">
        <v>30</v>
      </c>
      <c r="I675" t="s">
        <v>31</v>
      </c>
      <c r="J675" t="s">
        <v>43</v>
      </c>
      <c r="K675" t="s">
        <v>44</v>
      </c>
      <c r="L675" t="s">
        <v>73</v>
      </c>
      <c r="M675" t="s">
        <v>263</v>
      </c>
      <c r="N675" t="s">
        <v>46</v>
      </c>
      <c r="P675" t="s">
        <v>491</v>
      </c>
      <c r="R675">
        <v>42136.825752314813</v>
      </c>
      <c r="S675">
        <v>42296.950648148151</v>
      </c>
      <c r="T675" t="s">
        <v>317</v>
      </c>
      <c r="U675" t="s">
        <v>35</v>
      </c>
      <c r="V675" t="s">
        <v>35</v>
      </c>
      <c r="W675" t="s">
        <v>4145</v>
      </c>
    </row>
    <row r="676" spans="1:23" x14ac:dyDescent="0.25">
      <c r="A676" t="s">
        <v>665</v>
      </c>
      <c r="B676" s="19">
        <v>7273</v>
      </c>
      <c r="C676" s="2">
        <f>HYPERLINK(URLs!B36 &amp; 62264,62264)</f>
        <v>62264</v>
      </c>
      <c r="D676" t="s">
        <v>2466</v>
      </c>
      <c r="E676" t="s">
        <v>84</v>
      </c>
      <c r="F676" t="s">
        <v>305</v>
      </c>
      <c r="G676" t="s">
        <v>304</v>
      </c>
      <c r="H676" t="s">
        <v>30</v>
      </c>
      <c r="I676" t="s">
        <v>31</v>
      </c>
      <c r="J676" t="s">
        <v>43</v>
      </c>
      <c r="K676" t="s">
        <v>44</v>
      </c>
      <c r="L676" t="s">
        <v>73</v>
      </c>
      <c r="M676" t="s">
        <v>263</v>
      </c>
      <c r="N676" t="s">
        <v>46</v>
      </c>
      <c r="O676" t="s">
        <v>2467</v>
      </c>
      <c r="P676" t="s">
        <v>491</v>
      </c>
      <c r="R676">
        <v>42136.825671296298</v>
      </c>
      <c r="S676">
        <v>42296.950671296298</v>
      </c>
      <c r="T676" t="s">
        <v>317</v>
      </c>
      <c r="U676" t="s">
        <v>35</v>
      </c>
      <c r="V676" t="s">
        <v>35</v>
      </c>
      <c r="W676" t="s">
        <v>2708</v>
      </c>
    </row>
    <row r="677" spans="1:23" x14ac:dyDescent="0.25">
      <c r="A677" t="s">
        <v>665</v>
      </c>
      <c r="B677" s="19">
        <v>7273</v>
      </c>
      <c r="C677" s="2">
        <f>HYPERLINK(URLs!B36 &amp; 62263,62263)</f>
        <v>62263</v>
      </c>
      <c r="D677" t="s">
        <v>2465</v>
      </c>
      <c r="E677" t="s">
        <v>84</v>
      </c>
      <c r="F677" t="s">
        <v>305</v>
      </c>
      <c r="G677" t="s">
        <v>304</v>
      </c>
      <c r="H677" t="s">
        <v>30</v>
      </c>
      <c r="I677" t="s">
        <v>31</v>
      </c>
      <c r="J677" t="s">
        <v>43</v>
      </c>
      <c r="K677" t="s">
        <v>44</v>
      </c>
      <c r="L677" t="s">
        <v>73</v>
      </c>
      <c r="M677" t="s">
        <v>263</v>
      </c>
      <c r="N677" t="s">
        <v>46</v>
      </c>
      <c r="P677" t="s">
        <v>491</v>
      </c>
      <c r="R677">
        <v>42136.825578703705</v>
      </c>
      <c r="S677">
        <v>42759.712453703702</v>
      </c>
      <c r="T677" t="s">
        <v>317</v>
      </c>
      <c r="U677" t="s">
        <v>35</v>
      </c>
      <c r="V677" t="s">
        <v>35</v>
      </c>
      <c r="W677" t="s">
        <v>491</v>
      </c>
    </row>
    <row r="678" spans="1:23" x14ac:dyDescent="0.25">
      <c r="A678" t="s">
        <v>665</v>
      </c>
      <c r="B678" s="19">
        <v>7273</v>
      </c>
      <c r="C678" s="2">
        <f>HYPERLINK(URLs!B36 &amp; 62262,62262)</f>
        <v>62262</v>
      </c>
      <c r="D678" t="s">
        <v>2464</v>
      </c>
      <c r="E678" t="s">
        <v>387</v>
      </c>
      <c r="F678" t="s">
        <v>305</v>
      </c>
      <c r="G678" t="s">
        <v>337</v>
      </c>
      <c r="H678" t="s">
        <v>30</v>
      </c>
      <c r="I678" t="s">
        <v>68</v>
      </c>
      <c r="J678" t="s">
        <v>58</v>
      </c>
      <c r="K678" t="s">
        <v>44</v>
      </c>
      <c r="L678" t="s">
        <v>73</v>
      </c>
      <c r="M678" t="s">
        <v>263</v>
      </c>
      <c r="N678" t="s">
        <v>46</v>
      </c>
      <c r="P678" t="s">
        <v>491</v>
      </c>
      <c r="R678">
        <v>42136.825509259259</v>
      </c>
      <c r="S678">
        <v>42759.723263888889</v>
      </c>
      <c r="T678" t="s">
        <v>317</v>
      </c>
      <c r="U678" t="s">
        <v>35</v>
      </c>
      <c r="V678" t="s">
        <v>35</v>
      </c>
      <c r="W678" t="s">
        <v>4097</v>
      </c>
    </row>
    <row r="679" spans="1:23" x14ac:dyDescent="0.25">
      <c r="A679" t="s">
        <v>665</v>
      </c>
      <c r="B679" s="19">
        <v>7273</v>
      </c>
      <c r="C679" s="2">
        <f>HYPERLINK(URLs!B36 &amp; 62261,62261)</f>
        <v>62261</v>
      </c>
      <c r="D679" t="s">
        <v>2463</v>
      </c>
      <c r="E679" t="s">
        <v>387</v>
      </c>
      <c r="F679" t="s">
        <v>305</v>
      </c>
      <c r="G679" t="s">
        <v>337</v>
      </c>
      <c r="H679" t="s">
        <v>30</v>
      </c>
      <c r="I679" t="s">
        <v>68</v>
      </c>
      <c r="J679" t="s">
        <v>58</v>
      </c>
      <c r="K679" t="s">
        <v>44</v>
      </c>
      <c r="L679" t="s">
        <v>73</v>
      </c>
      <c r="M679" t="s">
        <v>263</v>
      </c>
      <c r="N679" t="s">
        <v>46</v>
      </c>
      <c r="P679" t="s">
        <v>491</v>
      </c>
      <c r="R679">
        <v>42136.825428240743</v>
      </c>
      <c r="S679">
        <v>42678.626828703702</v>
      </c>
      <c r="T679" t="s">
        <v>317</v>
      </c>
      <c r="U679" t="s">
        <v>35</v>
      </c>
      <c r="V679" t="s">
        <v>35</v>
      </c>
      <c r="W679" t="s">
        <v>3028</v>
      </c>
    </row>
    <row r="680" spans="1:23" x14ac:dyDescent="0.25">
      <c r="A680" t="s">
        <v>665</v>
      </c>
      <c r="B680" s="19">
        <v>7273</v>
      </c>
      <c r="C680" s="2">
        <f>HYPERLINK(URLs!B36 &amp; 62222,62222)</f>
        <v>62222</v>
      </c>
      <c r="D680" t="s">
        <v>2462</v>
      </c>
      <c r="E680" t="s">
        <v>84</v>
      </c>
      <c r="F680" t="s">
        <v>305</v>
      </c>
      <c r="G680" t="s">
        <v>304</v>
      </c>
      <c r="H680" t="s">
        <v>30</v>
      </c>
      <c r="I680" t="s">
        <v>31</v>
      </c>
      <c r="J680" t="s">
        <v>43</v>
      </c>
      <c r="K680" t="s">
        <v>44</v>
      </c>
      <c r="L680" t="s">
        <v>73</v>
      </c>
      <c r="M680" t="s">
        <v>263</v>
      </c>
      <c r="N680" t="s">
        <v>46</v>
      </c>
      <c r="P680" t="s">
        <v>491</v>
      </c>
      <c r="R680">
        <v>42136.573078703703</v>
      </c>
      <c r="S680">
        <v>42853.162499999999</v>
      </c>
      <c r="T680" t="s">
        <v>86</v>
      </c>
      <c r="U680" t="s">
        <v>35</v>
      </c>
      <c r="V680" t="s">
        <v>35</v>
      </c>
      <c r="W680" t="s">
        <v>4098</v>
      </c>
    </row>
    <row r="681" spans="1:23" x14ac:dyDescent="0.25">
      <c r="A681" t="s">
        <v>665</v>
      </c>
      <c r="B681" s="19">
        <v>7298</v>
      </c>
      <c r="C681" s="2">
        <f>HYPERLINK(URLs!B36 &amp; 61452,61452)</f>
        <v>61452</v>
      </c>
      <c r="D681" t="s">
        <v>2442</v>
      </c>
      <c r="E681" t="s">
        <v>1563</v>
      </c>
      <c r="F681" t="s">
        <v>305</v>
      </c>
      <c r="G681" t="s">
        <v>304</v>
      </c>
      <c r="H681" t="s">
        <v>30</v>
      </c>
      <c r="I681" t="s">
        <v>31</v>
      </c>
      <c r="J681" t="s">
        <v>43</v>
      </c>
      <c r="K681" t="s">
        <v>44</v>
      </c>
      <c r="L681" t="s">
        <v>73</v>
      </c>
      <c r="M681" t="s">
        <v>263</v>
      </c>
      <c r="N681" t="s">
        <v>46</v>
      </c>
      <c r="O681" t="s">
        <v>2443</v>
      </c>
      <c r="P681" t="s">
        <v>491</v>
      </c>
      <c r="R681">
        <v>42122.627685185187</v>
      </c>
      <c r="S681">
        <v>42297.891805555555</v>
      </c>
      <c r="T681" t="s">
        <v>317</v>
      </c>
      <c r="U681" t="s">
        <v>35</v>
      </c>
      <c r="V681" t="s">
        <v>35</v>
      </c>
      <c r="W681" t="s">
        <v>2708</v>
      </c>
    </row>
    <row r="682" spans="1:23" x14ac:dyDescent="0.25">
      <c r="A682" t="s">
        <v>665</v>
      </c>
      <c r="B682" s="19">
        <v>7298</v>
      </c>
      <c r="C682" s="2">
        <f>HYPERLINK(URLs!B36 &amp; 61232,61232)</f>
        <v>61232</v>
      </c>
      <c r="D682" t="s">
        <v>2435</v>
      </c>
      <c r="E682" t="s">
        <v>139</v>
      </c>
      <c r="F682" t="s">
        <v>305</v>
      </c>
      <c r="G682" t="s">
        <v>304</v>
      </c>
      <c r="H682" t="s">
        <v>30</v>
      </c>
      <c r="I682" t="s">
        <v>31</v>
      </c>
      <c r="J682" t="s">
        <v>43</v>
      </c>
      <c r="K682" t="s">
        <v>44</v>
      </c>
      <c r="L682" t="s">
        <v>73</v>
      </c>
      <c r="M682" t="s">
        <v>263</v>
      </c>
      <c r="N682" t="s">
        <v>46</v>
      </c>
      <c r="P682" t="s">
        <v>491</v>
      </c>
      <c r="R682">
        <v>42118.546412037038</v>
      </c>
      <c r="S682">
        <v>42759.713067129633</v>
      </c>
      <c r="T682" t="s">
        <v>86</v>
      </c>
      <c r="U682" t="s">
        <v>35</v>
      </c>
      <c r="V682" t="s">
        <v>35</v>
      </c>
      <c r="W682" t="s">
        <v>4098</v>
      </c>
    </row>
    <row r="683" spans="1:23" x14ac:dyDescent="0.25">
      <c r="A683" t="s">
        <v>633</v>
      </c>
      <c r="B683" s="19">
        <v>7342</v>
      </c>
      <c r="C683" s="2">
        <f>HYPERLINK(URLs!B36 &amp; 64892,64892)</f>
        <v>64892</v>
      </c>
      <c r="D683" t="s">
        <v>2539</v>
      </c>
      <c r="E683" t="s">
        <v>41</v>
      </c>
      <c r="F683" t="s">
        <v>305</v>
      </c>
      <c r="G683" t="s">
        <v>337</v>
      </c>
      <c r="H683" t="s">
        <v>30</v>
      </c>
      <c r="I683" t="s">
        <v>31</v>
      </c>
      <c r="J683" t="s">
        <v>43</v>
      </c>
      <c r="K683" t="s">
        <v>44</v>
      </c>
      <c r="L683" t="s">
        <v>45</v>
      </c>
      <c r="M683" t="s">
        <v>106</v>
      </c>
      <c r="N683" t="s">
        <v>46</v>
      </c>
      <c r="O683" t="s">
        <v>2272</v>
      </c>
      <c r="P683" t="s">
        <v>47</v>
      </c>
      <c r="R683">
        <v>42187.315046296295</v>
      </c>
      <c r="S683">
        <v>42678.639930555553</v>
      </c>
      <c r="T683" t="s">
        <v>2540</v>
      </c>
      <c r="U683" t="s">
        <v>35</v>
      </c>
      <c r="V683" t="s">
        <v>35</v>
      </c>
      <c r="W683" t="s">
        <v>4147</v>
      </c>
    </row>
    <row r="684" spans="1:23" x14ac:dyDescent="0.25">
      <c r="A684" t="s">
        <v>633</v>
      </c>
      <c r="B684" s="19">
        <v>7342</v>
      </c>
      <c r="C684" s="2">
        <f>HYPERLINK(URLs!B36 &amp; 64891,64891)</f>
        <v>64891</v>
      </c>
      <c r="D684" t="s">
        <v>2536</v>
      </c>
      <c r="E684" t="s">
        <v>2537</v>
      </c>
      <c r="F684" t="s">
        <v>305</v>
      </c>
      <c r="G684" t="s">
        <v>328</v>
      </c>
      <c r="H684" t="s">
        <v>116</v>
      </c>
      <c r="I684" t="s">
        <v>31</v>
      </c>
      <c r="J684" t="s">
        <v>43</v>
      </c>
      <c r="K684" t="s">
        <v>44</v>
      </c>
      <c r="L684" t="s">
        <v>45</v>
      </c>
      <c r="M684" t="s">
        <v>106</v>
      </c>
      <c r="N684" t="s">
        <v>512</v>
      </c>
      <c r="O684" t="s">
        <v>2538</v>
      </c>
      <c r="P684" t="s">
        <v>47</v>
      </c>
      <c r="Q684" t="s">
        <v>47</v>
      </c>
      <c r="R684">
        <v>42187.301111111112</v>
      </c>
      <c r="S684">
        <v>43016.125150462962</v>
      </c>
      <c r="T684" t="s">
        <v>341</v>
      </c>
      <c r="U684" t="s">
        <v>35</v>
      </c>
      <c r="V684" t="s">
        <v>35</v>
      </c>
      <c r="W684" t="s">
        <v>4151</v>
      </c>
    </row>
    <row r="685" spans="1:23" x14ac:dyDescent="0.25">
      <c r="A685" t="s">
        <v>633</v>
      </c>
      <c r="B685" s="19">
        <v>7342</v>
      </c>
      <c r="C685" s="2">
        <f>HYPERLINK(URLs!B36 &amp; 64890,64890)</f>
        <v>64890</v>
      </c>
      <c r="D685" t="s">
        <v>2535</v>
      </c>
      <c r="E685" t="s">
        <v>41</v>
      </c>
      <c r="F685" t="s">
        <v>305</v>
      </c>
      <c r="G685" t="s">
        <v>304</v>
      </c>
      <c r="H685" t="s">
        <v>30</v>
      </c>
      <c r="I685" t="s">
        <v>31</v>
      </c>
      <c r="J685" t="s">
        <v>43</v>
      </c>
      <c r="K685" t="s">
        <v>44</v>
      </c>
      <c r="L685" t="s">
        <v>45</v>
      </c>
      <c r="M685" t="s">
        <v>106</v>
      </c>
      <c r="N685" t="s">
        <v>46</v>
      </c>
      <c r="P685" t="s">
        <v>47</v>
      </c>
      <c r="R685">
        <v>42187.297939814816</v>
      </c>
      <c r="S685">
        <v>42304.23609953704</v>
      </c>
      <c r="T685" t="s">
        <v>341</v>
      </c>
      <c r="U685" t="s">
        <v>3934</v>
      </c>
      <c r="V685" t="s">
        <v>35</v>
      </c>
      <c r="W685" t="s">
        <v>65</v>
      </c>
    </row>
    <row r="686" spans="1:23" x14ac:dyDescent="0.25">
      <c r="A686" t="s">
        <v>633</v>
      </c>
      <c r="B686" s="19">
        <v>7342</v>
      </c>
      <c r="C686" s="2">
        <f>HYPERLINK(URLs!B36 &amp; 62821,62821)</f>
        <v>62821</v>
      </c>
      <c r="D686" t="s">
        <v>2482</v>
      </c>
      <c r="E686" t="s">
        <v>41</v>
      </c>
      <c r="F686" t="s">
        <v>305</v>
      </c>
      <c r="G686" t="s">
        <v>304</v>
      </c>
      <c r="H686" t="s">
        <v>30</v>
      </c>
      <c r="I686" t="s">
        <v>31</v>
      </c>
      <c r="J686" t="s">
        <v>43</v>
      </c>
      <c r="K686" t="s">
        <v>44</v>
      </c>
      <c r="L686" t="s">
        <v>45</v>
      </c>
      <c r="M686" t="s">
        <v>106</v>
      </c>
      <c r="N686" t="s">
        <v>46</v>
      </c>
      <c r="P686" t="s">
        <v>47</v>
      </c>
      <c r="R686">
        <v>42146.401006944441</v>
      </c>
      <c r="S686">
        <v>42648.936956018515</v>
      </c>
      <c r="T686" t="s">
        <v>41</v>
      </c>
      <c r="U686" t="s">
        <v>3943</v>
      </c>
      <c r="V686" t="s">
        <v>35</v>
      </c>
      <c r="W686" t="s">
        <v>61</v>
      </c>
    </row>
    <row r="687" spans="1:23" x14ac:dyDescent="0.25">
      <c r="A687" t="s">
        <v>633</v>
      </c>
      <c r="B687" s="19">
        <v>7342</v>
      </c>
      <c r="C687" s="2">
        <f>HYPERLINK(URLs!B36 &amp; 62808,62808)</f>
        <v>62808</v>
      </c>
      <c r="D687" t="s">
        <v>40</v>
      </c>
      <c r="E687" t="s">
        <v>41</v>
      </c>
      <c r="F687" t="s">
        <v>305</v>
      </c>
      <c r="G687" t="s">
        <v>304</v>
      </c>
      <c r="H687" t="s">
        <v>30</v>
      </c>
      <c r="I687" t="s">
        <v>31</v>
      </c>
      <c r="J687" t="s">
        <v>43</v>
      </c>
      <c r="K687" t="s">
        <v>44</v>
      </c>
      <c r="L687" t="s">
        <v>45</v>
      </c>
      <c r="M687" t="s">
        <v>106</v>
      </c>
      <c r="N687" t="s">
        <v>46</v>
      </c>
      <c r="O687" t="s">
        <v>487</v>
      </c>
      <c r="P687" t="s">
        <v>47</v>
      </c>
      <c r="Q687" t="s">
        <v>2481</v>
      </c>
      <c r="R687">
        <v>42145.953506944446</v>
      </c>
      <c r="S687">
        <v>43187.154918981483</v>
      </c>
      <c r="T687" t="s">
        <v>48</v>
      </c>
      <c r="U687" t="s">
        <v>35</v>
      </c>
      <c r="V687" t="s">
        <v>35</v>
      </c>
      <c r="W687" t="s">
        <v>4098</v>
      </c>
    </row>
    <row r="688" spans="1:23" x14ac:dyDescent="0.25">
      <c r="A688" t="s">
        <v>665</v>
      </c>
      <c r="B688" s="19">
        <v>7646</v>
      </c>
      <c r="C688" s="2">
        <f>HYPERLINK(URLs!B36 &amp; 69734,69734)</f>
        <v>69734</v>
      </c>
      <c r="D688" t="s">
        <v>2707</v>
      </c>
      <c r="E688" t="s">
        <v>376</v>
      </c>
      <c r="F688" t="s">
        <v>305</v>
      </c>
      <c r="G688" t="s">
        <v>304</v>
      </c>
      <c r="H688" t="s">
        <v>2213</v>
      </c>
      <c r="I688" t="s">
        <v>31</v>
      </c>
      <c r="J688" t="s">
        <v>43</v>
      </c>
      <c r="K688" t="s">
        <v>44</v>
      </c>
      <c r="L688" t="s">
        <v>34</v>
      </c>
      <c r="M688" t="s">
        <v>2179</v>
      </c>
      <c r="N688" t="s">
        <v>46</v>
      </c>
      <c r="P688" t="s">
        <v>2708</v>
      </c>
      <c r="Q688" t="s">
        <v>2217</v>
      </c>
      <c r="R688">
        <v>42271.736296296294</v>
      </c>
      <c r="S688">
        <v>43333.441793981481</v>
      </c>
      <c r="T688" t="s">
        <v>2212</v>
      </c>
      <c r="U688" t="s">
        <v>35</v>
      </c>
      <c r="V688" t="s">
        <v>35</v>
      </c>
      <c r="W688" t="s">
        <v>4098</v>
      </c>
    </row>
    <row r="689" spans="1:23" x14ac:dyDescent="0.25">
      <c r="A689" t="s">
        <v>665</v>
      </c>
      <c r="B689" s="19">
        <v>7646</v>
      </c>
      <c r="C689" s="2">
        <f>HYPERLINK(URLs!B36 &amp; 50530,50530)</f>
        <v>50530</v>
      </c>
      <c r="D689" t="s">
        <v>2211</v>
      </c>
      <c r="E689" t="s">
        <v>2212</v>
      </c>
      <c r="F689" t="s">
        <v>305</v>
      </c>
      <c r="G689" t="s">
        <v>304</v>
      </c>
      <c r="H689" t="s">
        <v>2213</v>
      </c>
      <c r="I689" t="s">
        <v>31</v>
      </c>
      <c r="J689" t="s">
        <v>43</v>
      </c>
      <c r="K689" t="s">
        <v>44</v>
      </c>
      <c r="L689" t="s">
        <v>34</v>
      </c>
      <c r="M689" t="s">
        <v>2214</v>
      </c>
      <c r="N689" t="s">
        <v>46</v>
      </c>
      <c r="O689" t="s">
        <v>2215</v>
      </c>
      <c r="P689" t="s">
        <v>2216</v>
      </c>
      <c r="Q689" t="s">
        <v>2217</v>
      </c>
      <c r="R689">
        <v>41906.580196759256</v>
      </c>
      <c r="S689">
        <v>43333.441782407404</v>
      </c>
      <c r="T689" t="s">
        <v>2218</v>
      </c>
      <c r="U689" t="s">
        <v>35</v>
      </c>
      <c r="V689" t="s">
        <v>35</v>
      </c>
      <c r="W689" t="s">
        <v>4144</v>
      </c>
    </row>
    <row r="690" spans="1:23" x14ac:dyDescent="0.25">
      <c r="A690" t="s">
        <v>633</v>
      </c>
      <c r="B690" s="19">
        <v>7657</v>
      </c>
      <c r="C690" s="2">
        <f>HYPERLINK(URLs!B36 &amp; 69055,69055)</f>
        <v>69055</v>
      </c>
      <c r="D690" t="s">
        <v>2699</v>
      </c>
      <c r="E690" t="s">
        <v>94</v>
      </c>
      <c r="F690" t="s">
        <v>305</v>
      </c>
      <c r="G690" t="s">
        <v>310</v>
      </c>
      <c r="H690" t="s">
        <v>30</v>
      </c>
      <c r="I690" t="s">
        <v>31</v>
      </c>
      <c r="J690" t="s">
        <v>32</v>
      </c>
      <c r="K690" t="s">
        <v>44</v>
      </c>
      <c r="L690" t="s">
        <v>73</v>
      </c>
      <c r="M690" t="s">
        <v>263</v>
      </c>
      <c r="N690" t="s">
        <v>46</v>
      </c>
      <c r="P690" t="s">
        <v>394</v>
      </c>
      <c r="R690">
        <v>42262.452002314814</v>
      </c>
      <c r="S690">
        <v>42563.865694444445</v>
      </c>
      <c r="T690" t="s">
        <v>317</v>
      </c>
      <c r="U690" t="s">
        <v>35</v>
      </c>
      <c r="V690" t="s">
        <v>35</v>
      </c>
      <c r="W690" t="s">
        <v>133</v>
      </c>
    </row>
    <row r="691" spans="1:23" x14ac:dyDescent="0.25">
      <c r="A691" t="s">
        <v>633</v>
      </c>
      <c r="B691" s="19">
        <v>7657</v>
      </c>
      <c r="C691" s="2">
        <f>HYPERLINK(URLs!B36 &amp; 68364,68364)</f>
        <v>68364</v>
      </c>
      <c r="D691" t="s">
        <v>2683</v>
      </c>
      <c r="E691" t="s">
        <v>94</v>
      </c>
      <c r="F691" t="s">
        <v>305</v>
      </c>
      <c r="G691" t="s">
        <v>337</v>
      </c>
      <c r="H691" t="s">
        <v>30</v>
      </c>
      <c r="I691" t="s">
        <v>31</v>
      </c>
      <c r="J691" t="s">
        <v>32</v>
      </c>
      <c r="K691" t="s">
        <v>44</v>
      </c>
      <c r="L691" t="s">
        <v>73</v>
      </c>
      <c r="M691" t="s">
        <v>263</v>
      </c>
      <c r="N691" t="s">
        <v>46</v>
      </c>
      <c r="P691" t="s">
        <v>394</v>
      </c>
      <c r="R691">
        <v>42249.801041666666</v>
      </c>
      <c r="S691">
        <v>42678.648692129631</v>
      </c>
      <c r="T691" t="s">
        <v>317</v>
      </c>
      <c r="U691" t="s">
        <v>35</v>
      </c>
      <c r="V691" t="s">
        <v>35</v>
      </c>
      <c r="W691" t="s">
        <v>4153</v>
      </c>
    </row>
    <row r="692" spans="1:23" x14ac:dyDescent="0.25">
      <c r="A692" t="s">
        <v>633</v>
      </c>
      <c r="B692" s="19">
        <v>7657</v>
      </c>
      <c r="C692" s="2">
        <f>HYPERLINK(URLs!B36 &amp; 63281,63281)</f>
        <v>63281</v>
      </c>
      <c r="D692" t="s">
        <v>2495</v>
      </c>
      <c r="E692" t="s">
        <v>94</v>
      </c>
      <c r="F692" t="s">
        <v>305</v>
      </c>
      <c r="G692" t="s">
        <v>304</v>
      </c>
      <c r="H692" t="s">
        <v>30</v>
      </c>
      <c r="I692" t="s">
        <v>31</v>
      </c>
      <c r="J692" t="s">
        <v>32</v>
      </c>
      <c r="K692" t="s">
        <v>44</v>
      </c>
      <c r="L692" t="s">
        <v>73</v>
      </c>
      <c r="M692" t="s">
        <v>263</v>
      </c>
      <c r="N692" t="s">
        <v>518</v>
      </c>
      <c r="P692" t="s">
        <v>394</v>
      </c>
      <c r="R692">
        <v>42156.787291666667</v>
      </c>
      <c r="S692">
        <v>42648.759247685186</v>
      </c>
      <c r="T692" t="s">
        <v>317</v>
      </c>
      <c r="U692" t="s">
        <v>35</v>
      </c>
      <c r="V692" t="s">
        <v>35</v>
      </c>
      <c r="W692" t="s">
        <v>65</v>
      </c>
    </row>
    <row r="693" spans="1:23" x14ac:dyDescent="0.25">
      <c r="A693" t="s">
        <v>633</v>
      </c>
      <c r="B693" s="19">
        <v>7657</v>
      </c>
      <c r="C693" s="2">
        <f>HYPERLINK(URLs!B36 &amp; 63280,63280)</f>
        <v>63280</v>
      </c>
      <c r="D693" t="s">
        <v>2494</v>
      </c>
      <c r="E693" t="s">
        <v>94</v>
      </c>
      <c r="F693" t="s">
        <v>305</v>
      </c>
      <c r="G693" t="s">
        <v>337</v>
      </c>
      <c r="H693" t="s">
        <v>30</v>
      </c>
      <c r="I693" t="s">
        <v>31</v>
      </c>
      <c r="J693" t="s">
        <v>32</v>
      </c>
      <c r="K693" t="s">
        <v>44</v>
      </c>
      <c r="L693" t="s">
        <v>73</v>
      </c>
      <c r="M693" t="s">
        <v>263</v>
      </c>
      <c r="N693" t="s">
        <v>46</v>
      </c>
      <c r="P693" t="s">
        <v>394</v>
      </c>
      <c r="R693">
        <v>42156.787164351852</v>
      </c>
      <c r="S693">
        <v>42709.808483796296</v>
      </c>
      <c r="T693" t="s">
        <v>317</v>
      </c>
      <c r="U693" t="s">
        <v>35</v>
      </c>
      <c r="V693" t="s">
        <v>35</v>
      </c>
      <c r="W693" t="s">
        <v>61</v>
      </c>
    </row>
    <row r="694" spans="1:23" x14ac:dyDescent="0.25">
      <c r="A694" t="s">
        <v>633</v>
      </c>
      <c r="B694" s="19">
        <v>7657</v>
      </c>
      <c r="C694" s="2">
        <f>HYPERLINK(URLs!B36 &amp; 63279,63279)</f>
        <v>63279</v>
      </c>
      <c r="D694" t="s">
        <v>2493</v>
      </c>
      <c r="E694" t="s">
        <v>94</v>
      </c>
      <c r="F694" t="s">
        <v>305</v>
      </c>
      <c r="G694" t="s">
        <v>337</v>
      </c>
      <c r="H694" t="s">
        <v>30</v>
      </c>
      <c r="I694" t="s">
        <v>31</v>
      </c>
      <c r="J694" t="s">
        <v>32</v>
      </c>
      <c r="K694" t="s">
        <v>44</v>
      </c>
      <c r="L694" t="s">
        <v>73</v>
      </c>
      <c r="M694" t="s">
        <v>263</v>
      </c>
      <c r="N694" t="s">
        <v>46</v>
      </c>
      <c r="P694" t="s">
        <v>394</v>
      </c>
      <c r="R694">
        <v>42156.787048611113</v>
      </c>
      <c r="S694">
        <v>42678.635625000003</v>
      </c>
      <c r="T694" t="s">
        <v>317</v>
      </c>
      <c r="U694" t="s">
        <v>35</v>
      </c>
      <c r="V694" t="s">
        <v>35</v>
      </c>
      <c r="W694" t="s">
        <v>4147</v>
      </c>
    </row>
    <row r="695" spans="1:23" x14ac:dyDescent="0.25">
      <c r="A695" t="s">
        <v>633</v>
      </c>
      <c r="B695" s="19">
        <v>7657</v>
      </c>
      <c r="C695" s="2">
        <f>HYPERLINK(URLs!B36 &amp; 63278,63278)</f>
        <v>63278</v>
      </c>
      <c r="D695" t="s">
        <v>2492</v>
      </c>
      <c r="E695" t="s">
        <v>94</v>
      </c>
      <c r="F695" t="s">
        <v>305</v>
      </c>
      <c r="G695" t="s">
        <v>304</v>
      </c>
      <c r="H695" t="s">
        <v>30</v>
      </c>
      <c r="I695" t="s">
        <v>31</v>
      </c>
      <c r="J695" t="s">
        <v>32</v>
      </c>
      <c r="K695" t="s">
        <v>44</v>
      </c>
      <c r="L695" t="s">
        <v>73</v>
      </c>
      <c r="M695" t="s">
        <v>263</v>
      </c>
      <c r="N695" t="s">
        <v>46</v>
      </c>
      <c r="P695" t="s">
        <v>394</v>
      </c>
      <c r="R695">
        <v>42156.775219907409</v>
      </c>
      <c r="S695">
        <v>42871.689247685186</v>
      </c>
      <c r="T695" t="s">
        <v>1</v>
      </c>
      <c r="U695" t="s">
        <v>35</v>
      </c>
      <c r="V695" t="s">
        <v>35</v>
      </c>
      <c r="W695" t="s">
        <v>4098</v>
      </c>
    </row>
    <row r="696" spans="1:23" x14ac:dyDescent="0.25">
      <c r="A696" t="s">
        <v>665</v>
      </c>
      <c r="B696" s="19">
        <v>7686</v>
      </c>
      <c r="C696" s="2">
        <f>HYPERLINK(URLs!B36 &amp; 65914,65914)</f>
        <v>65914</v>
      </c>
      <c r="D696" t="s">
        <v>2582</v>
      </c>
      <c r="E696" t="s">
        <v>84</v>
      </c>
      <c r="F696" t="s">
        <v>305</v>
      </c>
      <c r="G696" t="s">
        <v>304</v>
      </c>
      <c r="H696" t="s">
        <v>30</v>
      </c>
      <c r="I696" t="s">
        <v>68</v>
      </c>
      <c r="J696" t="s">
        <v>43</v>
      </c>
      <c r="K696" t="s">
        <v>33</v>
      </c>
      <c r="L696" t="s">
        <v>73</v>
      </c>
      <c r="M696" t="s">
        <v>263</v>
      </c>
      <c r="N696" t="s">
        <v>46</v>
      </c>
      <c r="P696" t="s">
        <v>394</v>
      </c>
      <c r="R696">
        <v>42207.690057870372</v>
      </c>
      <c r="S696">
        <v>42648.768379629626</v>
      </c>
      <c r="T696" t="s">
        <v>317</v>
      </c>
      <c r="U696" t="s">
        <v>35</v>
      </c>
      <c r="V696" t="s">
        <v>35</v>
      </c>
      <c r="W696" t="s">
        <v>4141</v>
      </c>
    </row>
    <row r="697" spans="1:23" x14ac:dyDescent="0.25">
      <c r="A697" t="s">
        <v>665</v>
      </c>
      <c r="B697" s="19">
        <v>7686</v>
      </c>
      <c r="C697" s="2">
        <f>HYPERLINK(URLs!B36 &amp; 65287,65287)</f>
        <v>65287</v>
      </c>
      <c r="D697" t="s">
        <v>2561</v>
      </c>
      <c r="E697" t="s">
        <v>72</v>
      </c>
      <c r="F697" t="s">
        <v>305</v>
      </c>
      <c r="G697" t="s">
        <v>304</v>
      </c>
      <c r="H697" t="s">
        <v>30</v>
      </c>
      <c r="I697" t="s">
        <v>31</v>
      </c>
      <c r="J697" t="s">
        <v>43</v>
      </c>
      <c r="K697" t="s">
        <v>44</v>
      </c>
      <c r="L697" t="s">
        <v>73</v>
      </c>
      <c r="M697" t="s">
        <v>263</v>
      </c>
      <c r="N697" t="s">
        <v>46</v>
      </c>
      <c r="P697" t="s">
        <v>394</v>
      </c>
      <c r="R697">
        <v>42194.617025462961</v>
      </c>
      <c r="S697">
        <v>42296.914722222224</v>
      </c>
      <c r="T697" t="s">
        <v>317</v>
      </c>
      <c r="U697" t="s">
        <v>35</v>
      </c>
      <c r="V697" t="s">
        <v>35</v>
      </c>
      <c r="W697" t="s">
        <v>4145</v>
      </c>
    </row>
    <row r="698" spans="1:23" x14ac:dyDescent="0.25">
      <c r="A698" t="s">
        <v>665</v>
      </c>
      <c r="B698" s="19">
        <v>7686</v>
      </c>
      <c r="C698" s="2">
        <f>HYPERLINK(URLs!B36 &amp; 65286,65286)</f>
        <v>65286</v>
      </c>
      <c r="D698" t="s">
        <v>2560</v>
      </c>
      <c r="E698" t="s">
        <v>84</v>
      </c>
      <c r="F698" t="s">
        <v>305</v>
      </c>
      <c r="G698" t="s">
        <v>304</v>
      </c>
      <c r="H698" t="s">
        <v>30</v>
      </c>
      <c r="I698" t="s">
        <v>31</v>
      </c>
      <c r="J698" t="s">
        <v>43</v>
      </c>
      <c r="K698" t="s">
        <v>44</v>
      </c>
      <c r="L698" t="s">
        <v>73</v>
      </c>
      <c r="M698" t="s">
        <v>263</v>
      </c>
      <c r="N698" t="s">
        <v>46</v>
      </c>
      <c r="P698" t="s">
        <v>394</v>
      </c>
      <c r="R698">
        <v>42194.616909722223</v>
      </c>
      <c r="S698">
        <v>42296.914618055554</v>
      </c>
      <c r="T698" t="s">
        <v>317</v>
      </c>
      <c r="U698" t="s">
        <v>35</v>
      </c>
      <c r="V698" t="s">
        <v>35</v>
      </c>
      <c r="W698" t="s">
        <v>4144</v>
      </c>
    </row>
    <row r="699" spans="1:23" x14ac:dyDescent="0.25">
      <c r="A699" t="s">
        <v>665</v>
      </c>
      <c r="B699" s="19">
        <v>7686</v>
      </c>
      <c r="C699" s="2">
        <f>HYPERLINK(URLs!B36 &amp; 65285,65285)</f>
        <v>65285</v>
      </c>
      <c r="D699" t="s">
        <v>2558</v>
      </c>
      <c r="E699" t="s">
        <v>387</v>
      </c>
      <c r="F699" t="s">
        <v>305</v>
      </c>
      <c r="G699" t="s">
        <v>304</v>
      </c>
      <c r="H699" t="s">
        <v>30</v>
      </c>
      <c r="I699" t="s">
        <v>31</v>
      </c>
      <c r="J699" t="s">
        <v>43</v>
      </c>
      <c r="K699" t="s">
        <v>44</v>
      </c>
      <c r="L699" t="s">
        <v>73</v>
      </c>
      <c r="M699" t="s">
        <v>263</v>
      </c>
      <c r="N699" t="s">
        <v>46</v>
      </c>
      <c r="O699" t="s">
        <v>2559</v>
      </c>
      <c r="P699" t="s">
        <v>394</v>
      </c>
      <c r="R699">
        <v>42194.616782407407</v>
      </c>
      <c r="S699">
        <v>42759.712627314817</v>
      </c>
      <c r="T699" t="s">
        <v>317</v>
      </c>
      <c r="U699" t="s">
        <v>35</v>
      </c>
      <c r="V699" t="s">
        <v>35</v>
      </c>
      <c r="W699" t="s">
        <v>491</v>
      </c>
    </row>
    <row r="700" spans="1:23" x14ac:dyDescent="0.25">
      <c r="A700" t="s">
        <v>665</v>
      </c>
      <c r="B700" s="19">
        <v>7686</v>
      </c>
      <c r="C700" s="2">
        <f>HYPERLINK(URLs!B36 &amp; 65284,65284)</f>
        <v>65284</v>
      </c>
      <c r="D700" t="s">
        <v>2557</v>
      </c>
      <c r="E700" t="s">
        <v>387</v>
      </c>
      <c r="F700" t="s">
        <v>305</v>
      </c>
      <c r="G700" t="s">
        <v>304</v>
      </c>
      <c r="H700" t="s">
        <v>30</v>
      </c>
      <c r="I700" t="s">
        <v>31</v>
      </c>
      <c r="J700" t="s">
        <v>43</v>
      </c>
      <c r="K700" t="s">
        <v>44</v>
      </c>
      <c r="L700" t="s">
        <v>73</v>
      </c>
      <c r="M700" t="s">
        <v>263</v>
      </c>
      <c r="N700" t="s">
        <v>46</v>
      </c>
      <c r="P700" t="s">
        <v>394</v>
      </c>
      <c r="R700">
        <v>42194.616631944446</v>
      </c>
      <c r="S700">
        <v>42648.849328703705</v>
      </c>
      <c r="T700" t="s">
        <v>317</v>
      </c>
      <c r="U700" t="s">
        <v>35</v>
      </c>
      <c r="V700" t="s">
        <v>35</v>
      </c>
      <c r="W700" t="s">
        <v>65</v>
      </c>
    </row>
    <row r="701" spans="1:23" x14ac:dyDescent="0.25">
      <c r="A701" t="s">
        <v>665</v>
      </c>
      <c r="B701" s="19">
        <v>7686</v>
      </c>
      <c r="C701" s="2">
        <f>HYPERLINK(URLs!B36 &amp; 65283,65283)</f>
        <v>65283</v>
      </c>
      <c r="D701" t="s">
        <v>2556</v>
      </c>
      <c r="E701" t="s">
        <v>72</v>
      </c>
      <c r="F701" t="s">
        <v>305</v>
      </c>
      <c r="G701" t="s">
        <v>304</v>
      </c>
      <c r="H701" t="s">
        <v>30</v>
      </c>
      <c r="I701" t="s">
        <v>31</v>
      </c>
      <c r="J701" t="s">
        <v>43</v>
      </c>
      <c r="K701" t="s">
        <v>44</v>
      </c>
      <c r="L701" t="s">
        <v>73</v>
      </c>
      <c r="M701" t="s">
        <v>263</v>
      </c>
      <c r="N701" t="s">
        <v>46</v>
      </c>
      <c r="P701" t="s">
        <v>394</v>
      </c>
      <c r="R701">
        <v>42194.616423611114</v>
      </c>
      <c r="S701">
        <v>42648.849178240744</v>
      </c>
      <c r="T701" t="s">
        <v>317</v>
      </c>
      <c r="U701" t="s">
        <v>3947</v>
      </c>
      <c r="V701" t="s">
        <v>35</v>
      </c>
      <c r="W701" t="s">
        <v>61</v>
      </c>
    </row>
    <row r="702" spans="1:23" x14ac:dyDescent="0.25">
      <c r="A702" t="s">
        <v>665</v>
      </c>
      <c r="B702" s="19">
        <v>7686</v>
      </c>
      <c r="C702" s="2">
        <f>HYPERLINK(URLs!B36 &amp; 65282,65282)</f>
        <v>65282</v>
      </c>
      <c r="D702" t="s">
        <v>2555</v>
      </c>
      <c r="E702" t="s">
        <v>72</v>
      </c>
      <c r="F702" t="s">
        <v>305</v>
      </c>
      <c r="G702" t="s">
        <v>304</v>
      </c>
      <c r="H702" t="s">
        <v>30</v>
      </c>
      <c r="I702" t="s">
        <v>31</v>
      </c>
      <c r="J702" t="s">
        <v>43</v>
      </c>
      <c r="K702" t="s">
        <v>44</v>
      </c>
      <c r="L702" t="s">
        <v>73</v>
      </c>
      <c r="M702" t="s">
        <v>263</v>
      </c>
      <c r="N702" t="s">
        <v>46</v>
      </c>
      <c r="O702" t="s">
        <v>2430</v>
      </c>
      <c r="P702" t="s">
        <v>394</v>
      </c>
      <c r="R702">
        <v>42194.616284722222</v>
      </c>
      <c r="S702">
        <v>42396.68241898148</v>
      </c>
      <c r="T702" t="s">
        <v>317</v>
      </c>
      <c r="U702" t="s">
        <v>3950</v>
      </c>
      <c r="V702" t="s">
        <v>35</v>
      </c>
      <c r="W702" t="s">
        <v>4149</v>
      </c>
    </row>
    <row r="703" spans="1:23" x14ac:dyDescent="0.25">
      <c r="A703" t="s">
        <v>665</v>
      </c>
      <c r="B703" s="19">
        <v>7686</v>
      </c>
      <c r="C703" s="2">
        <f>HYPERLINK(URLs!B36 &amp; 65281,65281)</f>
        <v>65281</v>
      </c>
      <c r="D703" t="s">
        <v>2554</v>
      </c>
      <c r="E703" t="s">
        <v>72</v>
      </c>
      <c r="F703" t="s">
        <v>305</v>
      </c>
      <c r="G703" t="s">
        <v>304</v>
      </c>
      <c r="H703" t="s">
        <v>30</v>
      </c>
      <c r="I703" t="s">
        <v>68</v>
      </c>
      <c r="J703" t="s">
        <v>43</v>
      </c>
      <c r="K703" t="s">
        <v>33</v>
      </c>
      <c r="L703" t="s">
        <v>73</v>
      </c>
      <c r="M703" t="s">
        <v>263</v>
      </c>
      <c r="N703" t="s">
        <v>46</v>
      </c>
      <c r="P703" t="s">
        <v>394</v>
      </c>
      <c r="R703">
        <v>42194.616157407407</v>
      </c>
      <c r="S703">
        <v>42648.849120370367</v>
      </c>
      <c r="T703" t="s">
        <v>317</v>
      </c>
      <c r="U703" t="s">
        <v>35</v>
      </c>
      <c r="V703" t="s">
        <v>35</v>
      </c>
      <c r="W703" t="s">
        <v>4148</v>
      </c>
    </row>
    <row r="704" spans="1:23" x14ac:dyDescent="0.25">
      <c r="A704" t="s">
        <v>665</v>
      </c>
      <c r="B704" s="19">
        <v>7686</v>
      </c>
      <c r="C704" s="2">
        <f>HYPERLINK(URLs!B36 &amp; 65259,65259)</f>
        <v>65259</v>
      </c>
      <c r="D704" t="s">
        <v>2553</v>
      </c>
      <c r="E704" t="s">
        <v>387</v>
      </c>
      <c r="F704" t="s">
        <v>305</v>
      </c>
      <c r="G704" t="s">
        <v>304</v>
      </c>
      <c r="H704" t="s">
        <v>30</v>
      </c>
      <c r="I704" t="s">
        <v>31</v>
      </c>
      <c r="J704" t="s">
        <v>43</v>
      </c>
      <c r="K704" t="s">
        <v>44</v>
      </c>
      <c r="L704" t="s">
        <v>73</v>
      </c>
      <c r="M704" t="s">
        <v>263</v>
      </c>
      <c r="N704" t="s">
        <v>46</v>
      </c>
      <c r="P704" t="s">
        <v>394</v>
      </c>
      <c r="R704">
        <v>42194.462847222225</v>
      </c>
      <c r="S704">
        <v>42759.713564814818</v>
      </c>
      <c r="T704" t="s">
        <v>72</v>
      </c>
      <c r="U704" t="s">
        <v>35</v>
      </c>
      <c r="V704" t="s">
        <v>35</v>
      </c>
      <c r="W704" t="s">
        <v>4098</v>
      </c>
    </row>
    <row r="705" spans="1:23" x14ac:dyDescent="0.25">
      <c r="A705" t="s">
        <v>665</v>
      </c>
      <c r="B705" s="19">
        <v>7686</v>
      </c>
      <c r="C705" s="2">
        <f>HYPERLINK(URLs!B36 &amp; 63529,63529)</f>
        <v>63529</v>
      </c>
      <c r="D705" t="s">
        <v>2505</v>
      </c>
      <c r="E705" t="s">
        <v>139</v>
      </c>
      <c r="F705" t="s">
        <v>305</v>
      </c>
      <c r="G705" t="s">
        <v>304</v>
      </c>
      <c r="H705" t="s">
        <v>30</v>
      </c>
      <c r="I705" t="s">
        <v>31</v>
      </c>
      <c r="J705" t="s">
        <v>43</v>
      </c>
      <c r="K705" t="s">
        <v>44</v>
      </c>
      <c r="L705" t="s">
        <v>73</v>
      </c>
      <c r="M705" t="s">
        <v>263</v>
      </c>
      <c r="N705" t="s">
        <v>518</v>
      </c>
      <c r="P705" t="s">
        <v>394</v>
      </c>
      <c r="R705">
        <v>42160.65896990741</v>
      </c>
      <c r="S705">
        <v>42648.848819444444</v>
      </c>
      <c r="T705" t="s">
        <v>317</v>
      </c>
      <c r="U705" t="s">
        <v>35</v>
      </c>
      <c r="V705" t="s">
        <v>35</v>
      </c>
      <c r="W705" t="s">
        <v>65</v>
      </c>
    </row>
    <row r="706" spans="1:23" x14ac:dyDescent="0.25">
      <c r="A706" t="s">
        <v>665</v>
      </c>
      <c r="B706" s="19">
        <v>7686</v>
      </c>
      <c r="C706" s="2">
        <f>HYPERLINK(URLs!B36 &amp; 63528,63528)</f>
        <v>63528</v>
      </c>
      <c r="D706" t="s">
        <v>2504</v>
      </c>
      <c r="E706" t="s">
        <v>139</v>
      </c>
      <c r="F706" t="s">
        <v>305</v>
      </c>
      <c r="G706" t="s">
        <v>304</v>
      </c>
      <c r="H706" t="s">
        <v>30</v>
      </c>
      <c r="I706" t="s">
        <v>31</v>
      </c>
      <c r="J706" t="s">
        <v>43</v>
      </c>
      <c r="K706" t="s">
        <v>44</v>
      </c>
      <c r="L706" t="s">
        <v>73</v>
      </c>
      <c r="M706" t="s">
        <v>263</v>
      </c>
      <c r="N706" t="s">
        <v>46</v>
      </c>
      <c r="P706" t="s">
        <v>394</v>
      </c>
      <c r="R706">
        <v>42160.658842592595</v>
      </c>
      <c r="S706">
        <v>42648.848738425928</v>
      </c>
      <c r="T706" t="s">
        <v>317</v>
      </c>
      <c r="U706" t="s">
        <v>3947</v>
      </c>
      <c r="V706" t="s">
        <v>35</v>
      </c>
      <c r="W706" t="s">
        <v>61</v>
      </c>
    </row>
    <row r="707" spans="1:23" x14ac:dyDescent="0.25">
      <c r="A707" t="s">
        <v>665</v>
      </c>
      <c r="B707" s="19">
        <v>7686</v>
      </c>
      <c r="C707" s="2">
        <f>HYPERLINK(URLs!B36 &amp; 63527,63527)</f>
        <v>63527</v>
      </c>
      <c r="D707" t="s">
        <v>2503</v>
      </c>
      <c r="E707" t="s">
        <v>387</v>
      </c>
      <c r="F707" t="s">
        <v>305</v>
      </c>
      <c r="G707" t="s">
        <v>337</v>
      </c>
      <c r="H707" t="s">
        <v>30</v>
      </c>
      <c r="I707" t="s">
        <v>31</v>
      </c>
      <c r="J707" t="s">
        <v>43</v>
      </c>
      <c r="K707" t="s">
        <v>44</v>
      </c>
      <c r="L707" t="s">
        <v>73</v>
      </c>
      <c r="M707" t="s">
        <v>263</v>
      </c>
      <c r="N707" t="s">
        <v>46</v>
      </c>
      <c r="P707" t="s">
        <v>394</v>
      </c>
      <c r="R707">
        <v>42160.658715277779</v>
      </c>
      <c r="S707">
        <v>42678.634733796294</v>
      </c>
      <c r="T707" t="s">
        <v>317</v>
      </c>
      <c r="U707" t="s">
        <v>35</v>
      </c>
      <c r="V707" t="s">
        <v>35</v>
      </c>
      <c r="W707" t="s">
        <v>4147</v>
      </c>
    </row>
    <row r="708" spans="1:23" x14ac:dyDescent="0.25">
      <c r="A708" t="s">
        <v>665</v>
      </c>
      <c r="B708" s="19">
        <v>7686</v>
      </c>
      <c r="C708" s="2">
        <f>HYPERLINK(URLs!B36 &amp; 63480,63480)</f>
        <v>63480</v>
      </c>
      <c r="D708" t="s">
        <v>399</v>
      </c>
      <c r="E708" t="s">
        <v>139</v>
      </c>
      <c r="F708" t="s">
        <v>305</v>
      </c>
      <c r="G708" t="s">
        <v>304</v>
      </c>
      <c r="H708" t="s">
        <v>30</v>
      </c>
      <c r="I708" t="s">
        <v>31</v>
      </c>
      <c r="J708" t="s">
        <v>43</v>
      </c>
      <c r="K708" t="s">
        <v>44</v>
      </c>
      <c r="L708" t="s">
        <v>73</v>
      </c>
      <c r="M708" t="s">
        <v>263</v>
      </c>
      <c r="N708" t="s">
        <v>46</v>
      </c>
      <c r="P708" t="s">
        <v>394</v>
      </c>
      <c r="R708">
        <v>42159.818333333336</v>
      </c>
      <c r="S708">
        <v>42759.712361111109</v>
      </c>
      <c r="T708" t="s">
        <v>1</v>
      </c>
      <c r="U708" t="s">
        <v>35</v>
      </c>
      <c r="V708" t="s">
        <v>35</v>
      </c>
      <c r="W708" t="s">
        <v>4098</v>
      </c>
    </row>
    <row r="709" spans="1:23" x14ac:dyDescent="0.25">
      <c r="A709" t="s">
        <v>633</v>
      </c>
      <c r="B709" s="19">
        <v>7697</v>
      </c>
      <c r="C709" s="2">
        <f>HYPERLINK(URLs!B36 &amp; 62801,62801)</f>
        <v>62801</v>
      </c>
      <c r="D709" t="s">
        <v>2478</v>
      </c>
      <c r="E709" t="s">
        <v>2479</v>
      </c>
      <c r="F709" t="s">
        <v>305</v>
      </c>
      <c r="G709" t="s">
        <v>304</v>
      </c>
      <c r="H709" t="s">
        <v>30</v>
      </c>
      <c r="I709" t="s">
        <v>68</v>
      </c>
      <c r="J709" t="s">
        <v>58</v>
      </c>
      <c r="K709" t="s">
        <v>51</v>
      </c>
      <c r="L709" t="s">
        <v>73</v>
      </c>
      <c r="M709" t="s">
        <v>263</v>
      </c>
      <c r="N709" t="s">
        <v>46</v>
      </c>
      <c r="P709" t="s">
        <v>47</v>
      </c>
      <c r="R709">
        <v>42145.7887962963</v>
      </c>
      <c r="S709">
        <v>42759.712881944448</v>
      </c>
      <c r="T709" t="s">
        <v>1</v>
      </c>
      <c r="U709" t="s">
        <v>35</v>
      </c>
      <c r="V709" t="s">
        <v>35</v>
      </c>
      <c r="W709" t="s">
        <v>4098</v>
      </c>
    </row>
    <row r="710" spans="1:23" x14ac:dyDescent="0.25">
      <c r="A710" t="s">
        <v>633</v>
      </c>
      <c r="B710" s="19">
        <v>7699</v>
      </c>
      <c r="C710" s="2">
        <f>HYPERLINK(URLs!B36 &amp; 62869,62869)</f>
        <v>62869</v>
      </c>
      <c r="D710" t="s">
        <v>2483</v>
      </c>
      <c r="E710" t="s">
        <v>405</v>
      </c>
      <c r="F710" t="s">
        <v>305</v>
      </c>
      <c r="G710" t="s">
        <v>304</v>
      </c>
      <c r="H710" t="s">
        <v>30</v>
      </c>
      <c r="I710" t="s">
        <v>31</v>
      </c>
      <c r="J710" t="s">
        <v>43</v>
      </c>
      <c r="K710" t="s">
        <v>51</v>
      </c>
      <c r="L710" t="s">
        <v>34</v>
      </c>
      <c r="M710" t="s">
        <v>402</v>
      </c>
      <c r="N710" t="s">
        <v>46</v>
      </c>
      <c r="P710" t="s">
        <v>374</v>
      </c>
      <c r="R710">
        <v>42146.89947916667</v>
      </c>
      <c r="S710">
        <v>42251.8669212963</v>
      </c>
      <c r="T710" t="s">
        <v>53</v>
      </c>
      <c r="U710" t="s">
        <v>3944</v>
      </c>
      <c r="V710" t="s">
        <v>35</v>
      </c>
      <c r="W710" t="s">
        <v>377</v>
      </c>
    </row>
    <row r="711" spans="1:23" x14ac:dyDescent="0.25">
      <c r="A711" t="s">
        <v>633</v>
      </c>
      <c r="B711" s="19">
        <v>7699</v>
      </c>
      <c r="C711" s="2">
        <f>HYPERLINK(URLs!B36 &amp; 62645,62645)</f>
        <v>62645</v>
      </c>
      <c r="D711" t="s">
        <v>406</v>
      </c>
      <c r="E711" t="s">
        <v>405</v>
      </c>
      <c r="F711" t="s">
        <v>305</v>
      </c>
      <c r="G711" t="s">
        <v>304</v>
      </c>
      <c r="H711" t="s">
        <v>30</v>
      </c>
      <c r="I711" t="s">
        <v>31</v>
      </c>
      <c r="J711" t="s">
        <v>43</v>
      </c>
      <c r="K711" t="s">
        <v>51</v>
      </c>
      <c r="L711" t="s">
        <v>34</v>
      </c>
      <c r="M711" t="s">
        <v>402</v>
      </c>
      <c r="N711" t="s">
        <v>46</v>
      </c>
      <c r="P711" t="s">
        <v>374</v>
      </c>
      <c r="R711">
        <v>42143.890370370369</v>
      </c>
      <c r="S711">
        <v>42930.309328703705</v>
      </c>
      <c r="T711" t="s">
        <v>1</v>
      </c>
      <c r="U711" t="s">
        <v>35</v>
      </c>
      <c r="V711" t="s">
        <v>35</v>
      </c>
      <c r="W711" t="s">
        <v>4098</v>
      </c>
    </row>
    <row r="712" spans="1:23" x14ac:dyDescent="0.25">
      <c r="A712" t="s">
        <v>665</v>
      </c>
      <c r="B712" s="19">
        <v>7700</v>
      </c>
      <c r="C712" s="2">
        <f>HYPERLINK(URLs!B36 &amp; 67384,67384)</f>
        <v>67384</v>
      </c>
      <c r="D712" t="s">
        <v>2645</v>
      </c>
      <c r="E712" t="s">
        <v>164</v>
      </c>
      <c r="F712" t="s">
        <v>305</v>
      </c>
      <c r="G712" t="s">
        <v>304</v>
      </c>
      <c r="H712" t="s">
        <v>30</v>
      </c>
      <c r="I712" t="s">
        <v>31</v>
      </c>
      <c r="J712" t="s">
        <v>32</v>
      </c>
      <c r="K712" t="s">
        <v>51</v>
      </c>
      <c r="L712" t="s">
        <v>34</v>
      </c>
      <c r="M712" t="s">
        <v>278</v>
      </c>
      <c r="N712" t="s">
        <v>46</v>
      </c>
      <c r="P712" t="s">
        <v>369</v>
      </c>
      <c r="R712">
        <v>42235.91201388889</v>
      </c>
      <c r="S712">
        <v>42797.696018518516</v>
      </c>
      <c r="T712" t="s">
        <v>53</v>
      </c>
      <c r="U712" t="s">
        <v>35</v>
      </c>
      <c r="V712" t="s">
        <v>35</v>
      </c>
      <c r="W712" t="s">
        <v>133</v>
      </c>
    </row>
    <row r="713" spans="1:23" x14ac:dyDescent="0.25">
      <c r="A713" t="s">
        <v>665</v>
      </c>
      <c r="B713" s="19">
        <v>7700</v>
      </c>
      <c r="C713" s="2">
        <f>HYPERLINK(URLs!B36 &amp; 63702,63702)</f>
        <v>63702</v>
      </c>
      <c r="D713" t="s">
        <v>2512</v>
      </c>
      <c r="E713" t="s">
        <v>164</v>
      </c>
      <c r="F713" t="s">
        <v>305</v>
      </c>
      <c r="G713" t="s">
        <v>304</v>
      </c>
      <c r="H713" t="s">
        <v>30</v>
      </c>
      <c r="I713" t="s">
        <v>31</v>
      </c>
      <c r="J713" t="s">
        <v>32</v>
      </c>
      <c r="K713" t="s">
        <v>51</v>
      </c>
      <c r="L713" t="s">
        <v>34</v>
      </c>
      <c r="M713" t="s">
        <v>278</v>
      </c>
      <c r="N713" t="s">
        <v>518</v>
      </c>
      <c r="P713" t="s">
        <v>369</v>
      </c>
      <c r="R713">
        <v>42163.797939814816</v>
      </c>
      <c r="S713">
        <v>42356.712337962963</v>
      </c>
      <c r="T713" t="s">
        <v>149</v>
      </c>
      <c r="U713" t="s">
        <v>3949</v>
      </c>
      <c r="V713" t="s">
        <v>35</v>
      </c>
      <c r="W713" t="s">
        <v>118</v>
      </c>
    </row>
    <row r="714" spans="1:23" x14ac:dyDescent="0.25">
      <c r="A714" t="s">
        <v>665</v>
      </c>
      <c r="B714" s="19">
        <v>7700</v>
      </c>
      <c r="C714" s="2">
        <f>HYPERLINK(URLs!B36 &amp; 63701,63701)</f>
        <v>63701</v>
      </c>
      <c r="D714" t="s">
        <v>2511</v>
      </c>
      <c r="E714" t="s">
        <v>2307</v>
      </c>
      <c r="F714" t="s">
        <v>305</v>
      </c>
      <c r="G714" t="s">
        <v>304</v>
      </c>
      <c r="H714" t="s">
        <v>30</v>
      </c>
      <c r="I714" t="s">
        <v>31</v>
      </c>
      <c r="J714" t="s">
        <v>32</v>
      </c>
      <c r="K714" t="s">
        <v>51</v>
      </c>
      <c r="L714" t="s">
        <v>34</v>
      </c>
      <c r="M714" t="s">
        <v>336</v>
      </c>
      <c r="N714" t="s">
        <v>46</v>
      </c>
      <c r="O714" t="s">
        <v>397</v>
      </c>
      <c r="P714" t="s">
        <v>369</v>
      </c>
      <c r="R714">
        <v>42163.797812500001</v>
      </c>
      <c r="S714">
        <v>42478.692604166667</v>
      </c>
      <c r="T714" t="s">
        <v>149</v>
      </c>
      <c r="U714" t="s">
        <v>3948</v>
      </c>
      <c r="V714" t="s">
        <v>35</v>
      </c>
      <c r="W714" t="s">
        <v>377</v>
      </c>
    </row>
    <row r="715" spans="1:23" x14ac:dyDescent="0.25">
      <c r="A715" t="s">
        <v>665</v>
      </c>
      <c r="B715" s="19">
        <v>7700</v>
      </c>
      <c r="C715" s="2">
        <f>HYPERLINK(URLs!B36 &amp; 63700,63700)</f>
        <v>63700</v>
      </c>
      <c r="D715" t="s">
        <v>2510</v>
      </c>
      <c r="E715" t="s">
        <v>53</v>
      </c>
      <c r="F715" t="s">
        <v>305</v>
      </c>
      <c r="G715" t="s">
        <v>337</v>
      </c>
      <c r="H715" t="s">
        <v>30</v>
      </c>
      <c r="I715" t="s">
        <v>31</v>
      </c>
      <c r="J715" t="s">
        <v>32</v>
      </c>
      <c r="K715" t="s">
        <v>51</v>
      </c>
      <c r="L715" t="s">
        <v>34</v>
      </c>
      <c r="M715" t="s">
        <v>336</v>
      </c>
      <c r="N715" t="s">
        <v>46</v>
      </c>
      <c r="O715" t="s">
        <v>397</v>
      </c>
      <c r="P715" t="s">
        <v>369</v>
      </c>
      <c r="R715">
        <v>42163.797673611109</v>
      </c>
      <c r="S715">
        <v>42678.635983796295</v>
      </c>
      <c r="T715" t="s">
        <v>149</v>
      </c>
      <c r="U715" t="s">
        <v>35</v>
      </c>
      <c r="V715" t="s">
        <v>35</v>
      </c>
      <c r="W715" t="s">
        <v>4147</v>
      </c>
    </row>
    <row r="716" spans="1:23" x14ac:dyDescent="0.25">
      <c r="A716" t="s">
        <v>665</v>
      </c>
      <c r="B716" s="19">
        <v>7700</v>
      </c>
      <c r="C716" s="2">
        <f>HYPERLINK(URLs!B36 &amp; 63488,63488)</f>
        <v>63488</v>
      </c>
      <c r="D716" t="s">
        <v>398</v>
      </c>
      <c r="E716" t="s">
        <v>53</v>
      </c>
      <c r="F716" t="s">
        <v>305</v>
      </c>
      <c r="G716" t="s">
        <v>304</v>
      </c>
      <c r="H716" t="s">
        <v>30</v>
      </c>
      <c r="I716" t="s">
        <v>31</v>
      </c>
      <c r="J716" t="s">
        <v>32</v>
      </c>
      <c r="K716" t="s">
        <v>51</v>
      </c>
      <c r="L716" t="s">
        <v>34</v>
      </c>
      <c r="M716" t="s">
        <v>336</v>
      </c>
      <c r="N716" t="s">
        <v>46</v>
      </c>
      <c r="O716" t="s">
        <v>397</v>
      </c>
      <c r="P716" t="s">
        <v>369</v>
      </c>
      <c r="R716">
        <v>42159.987175925926</v>
      </c>
      <c r="S716">
        <v>42930.307245370372</v>
      </c>
      <c r="T716" t="s">
        <v>48</v>
      </c>
      <c r="U716" t="s">
        <v>35</v>
      </c>
      <c r="V716" t="s">
        <v>35</v>
      </c>
      <c r="W716" t="s">
        <v>4098</v>
      </c>
    </row>
    <row r="717" spans="1:23" x14ac:dyDescent="0.25">
      <c r="A717" t="s">
        <v>633</v>
      </c>
      <c r="B717" s="19">
        <v>7742</v>
      </c>
      <c r="C717" s="2">
        <f>HYPERLINK(URLs!B36 &amp; 67389,67389)</f>
        <v>67389</v>
      </c>
      <c r="D717" t="s">
        <v>2646</v>
      </c>
      <c r="E717" t="s">
        <v>50</v>
      </c>
      <c r="F717" t="s">
        <v>305</v>
      </c>
      <c r="G717" t="s">
        <v>310</v>
      </c>
      <c r="H717" t="s">
        <v>30</v>
      </c>
      <c r="I717" t="s">
        <v>31</v>
      </c>
      <c r="J717" t="s">
        <v>32</v>
      </c>
      <c r="K717" t="s">
        <v>51</v>
      </c>
      <c r="L717" t="s">
        <v>52</v>
      </c>
      <c r="M717" t="s">
        <v>259</v>
      </c>
      <c r="N717" t="s">
        <v>46</v>
      </c>
      <c r="P717" t="s">
        <v>47</v>
      </c>
      <c r="R717">
        <v>42235.940706018519</v>
      </c>
      <c r="S717">
        <v>42563.867824074077</v>
      </c>
      <c r="T717" t="s">
        <v>53</v>
      </c>
      <c r="U717" t="s">
        <v>35</v>
      </c>
      <c r="V717" t="s">
        <v>321</v>
      </c>
      <c r="W717" t="s">
        <v>133</v>
      </c>
    </row>
    <row r="718" spans="1:23" x14ac:dyDescent="0.25">
      <c r="A718" t="s">
        <v>633</v>
      </c>
      <c r="B718" s="19">
        <v>7742</v>
      </c>
      <c r="C718" s="2">
        <f>HYPERLINK(URLs!B36 &amp; 63960,63960)</f>
        <v>63960</v>
      </c>
      <c r="D718" t="s">
        <v>2517</v>
      </c>
      <c r="E718" t="s">
        <v>577</v>
      </c>
      <c r="F718" t="s">
        <v>305</v>
      </c>
      <c r="G718" t="s">
        <v>310</v>
      </c>
      <c r="H718" t="s">
        <v>116</v>
      </c>
      <c r="I718" t="s">
        <v>31</v>
      </c>
      <c r="J718" t="s">
        <v>32</v>
      </c>
      <c r="K718" t="s">
        <v>51</v>
      </c>
      <c r="L718" t="s">
        <v>52</v>
      </c>
      <c r="M718" t="s">
        <v>259</v>
      </c>
      <c r="N718" t="s">
        <v>512</v>
      </c>
      <c r="P718" t="s">
        <v>47</v>
      </c>
      <c r="Q718" t="s">
        <v>394</v>
      </c>
      <c r="R718">
        <v>42167.260844907411</v>
      </c>
      <c r="S718">
        <v>43086.136990740742</v>
      </c>
      <c r="T718" t="s">
        <v>53</v>
      </c>
      <c r="U718" t="s">
        <v>35</v>
      </c>
      <c r="V718" t="s">
        <v>321</v>
      </c>
      <c r="W718" t="s">
        <v>4143</v>
      </c>
    </row>
    <row r="719" spans="1:23" x14ac:dyDescent="0.25">
      <c r="A719" t="s">
        <v>633</v>
      </c>
      <c r="B719" s="19">
        <v>7742</v>
      </c>
      <c r="C719" s="2">
        <f>HYPERLINK(URLs!B36 &amp; 63959,63959)</f>
        <v>63959</v>
      </c>
      <c r="D719" t="s">
        <v>2516</v>
      </c>
      <c r="E719" t="s">
        <v>50</v>
      </c>
      <c r="F719" t="s">
        <v>305</v>
      </c>
      <c r="G719" t="s">
        <v>304</v>
      </c>
      <c r="H719" t="s">
        <v>30</v>
      </c>
      <c r="I719" t="s">
        <v>31</v>
      </c>
      <c r="J719" t="s">
        <v>32</v>
      </c>
      <c r="K719" t="s">
        <v>51</v>
      </c>
      <c r="L719" t="s">
        <v>52</v>
      </c>
      <c r="M719" t="s">
        <v>259</v>
      </c>
      <c r="N719" t="s">
        <v>60</v>
      </c>
      <c r="P719" t="s">
        <v>47</v>
      </c>
      <c r="R719">
        <v>42167.260740740741</v>
      </c>
      <c r="S719">
        <v>42648.937615740739</v>
      </c>
      <c r="T719" t="s">
        <v>53</v>
      </c>
      <c r="U719" t="s">
        <v>3952</v>
      </c>
      <c r="V719" t="s">
        <v>321</v>
      </c>
      <c r="W719" t="s">
        <v>65</v>
      </c>
    </row>
    <row r="720" spans="1:23" x14ac:dyDescent="0.25">
      <c r="A720" t="s">
        <v>633</v>
      </c>
      <c r="B720" s="19">
        <v>7742</v>
      </c>
      <c r="C720" s="2">
        <f>HYPERLINK(URLs!B36 &amp; 63958,63958)</f>
        <v>63958</v>
      </c>
      <c r="D720" t="s">
        <v>2515</v>
      </c>
      <c r="E720" t="s">
        <v>376</v>
      </c>
      <c r="F720" t="s">
        <v>305</v>
      </c>
      <c r="G720" t="s">
        <v>304</v>
      </c>
      <c r="H720" t="s">
        <v>30</v>
      </c>
      <c r="I720" t="s">
        <v>31</v>
      </c>
      <c r="J720" t="s">
        <v>32</v>
      </c>
      <c r="K720" t="s">
        <v>51</v>
      </c>
      <c r="L720" t="s">
        <v>34</v>
      </c>
      <c r="M720" t="s">
        <v>402</v>
      </c>
      <c r="N720" t="s">
        <v>46</v>
      </c>
      <c r="P720" t="s">
        <v>369</v>
      </c>
      <c r="R720">
        <v>42167.26059027778</v>
      </c>
      <c r="S720">
        <v>42251.867997685185</v>
      </c>
      <c r="T720" t="s">
        <v>53</v>
      </c>
      <c r="U720" t="s">
        <v>3951</v>
      </c>
      <c r="V720" t="s">
        <v>321</v>
      </c>
      <c r="W720" t="s">
        <v>377</v>
      </c>
    </row>
    <row r="721" spans="1:23" x14ac:dyDescent="0.25">
      <c r="A721" t="s">
        <v>633</v>
      </c>
      <c r="B721" s="19">
        <v>7742</v>
      </c>
      <c r="C721" s="2">
        <f>HYPERLINK(URLs!B36 &amp; 63957,63957)</f>
        <v>63957</v>
      </c>
      <c r="D721" t="s">
        <v>2514</v>
      </c>
      <c r="E721" t="s">
        <v>376</v>
      </c>
      <c r="F721" t="s">
        <v>305</v>
      </c>
      <c r="G721" t="s">
        <v>304</v>
      </c>
      <c r="H721" t="s">
        <v>30</v>
      </c>
      <c r="I721" t="s">
        <v>31</v>
      </c>
      <c r="J721" t="s">
        <v>32</v>
      </c>
      <c r="K721" t="s">
        <v>51</v>
      </c>
      <c r="L721" t="s">
        <v>34</v>
      </c>
      <c r="M721" t="s">
        <v>402</v>
      </c>
      <c r="N721" t="s">
        <v>46</v>
      </c>
      <c r="O721" t="s">
        <v>2430</v>
      </c>
      <c r="P721" t="s">
        <v>369</v>
      </c>
      <c r="R721">
        <v>42167.260416666664</v>
      </c>
      <c r="S721">
        <v>42396.683900462966</v>
      </c>
      <c r="T721" t="s">
        <v>53</v>
      </c>
      <c r="U721" t="s">
        <v>3950</v>
      </c>
      <c r="V721" t="s">
        <v>321</v>
      </c>
      <c r="W721" t="s">
        <v>4150</v>
      </c>
    </row>
    <row r="722" spans="1:23" x14ac:dyDescent="0.25">
      <c r="A722" t="s">
        <v>633</v>
      </c>
      <c r="B722" s="19">
        <v>7742</v>
      </c>
      <c r="C722" s="2">
        <f>HYPERLINK(URLs!B36 &amp; 63811,63811)</f>
        <v>63811</v>
      </c>
      <c r="D722" t="s">
        <v>49</v>
      </c>
      <c r="E722" t="s">
        <v>50</v>
      </c>
      <c r="F722" t="s">
        <v>305</v>
      </c>
      <c r="G722" t="s">
        <v>304</v>
      </c>
      <c r="H722" t="s">
        <v>30</v>
      </c>
      <c r="I722" t="s">
        <v>31</v>
      </c>
      <c r="J722" t="s">
        <v>32</v>
      </c>
      <c r="K722" t="s">
        <v>51</v>
      </c>
      <c r="L722" t="s">
        <v>52</v>
      </c>
      <c r="M722" t="s">
        <v>259</v>
      </c>
      <c r="N722" t="s">
        <v>46</v>
      </c>
      <c r="P722" t="s">
        <v>47</v>
      </c>
      <c r="Q722" t="s">
        <v>2481</v>
      </c>
      <c r="R722">
        <v>42165.275740740741</v>
      </c>
      <c r="S722">
        <v>43187.154988425929</v>
      </c>
      <c r="T722" t="s">
        <v>53</v>
      </c>
      <c r="U722" t="s">
        <v>35</v>
      </c>
      <c r="V722" t="s">
        <v>321</v>
      </c>
      <c r="W722" t="s">
        <v>4098</v>
      </c>
    </row>
    <row r="723" spans="1:23" x14ac:dyDescent="0.25">
      <c r="A723" t="s">
        <v>665</v>
      </c>
      <c r="B723" s="19">
        <v>7807</v>
      </c>
      <c r="C723" s="2">
        <f>HYPERLINK(URLs!B36 &amp; 66294,66294)</f>
        <v>66294</v>
      </c>
      <c r="D723" t="s">
        <v>2602</v>
      </c>
      <c r="E723" t="s">
        <v>2603</v>
      </c>
      <c r="F723" t="s">
        <v>305</v>
      </c>
      <c r="G723" t="s">
        <v>304</v>
      </c>
      <c r="H723" t="s">
        <v>30</v>
      </c>
      <c r="I723" t="s">
        <v>31</v>
      </c>
      <c r="J723" t="s">
        <v>32</v>
      </c>
      <c r="K723" t="s">
        <v>44</v>
      </c>
      <c r="L723" t="s">
        <v>45</v>
      </c>
      <c r="M723" t="s">
        <v>265</v>
      </c>
      <c r="N723" t="s">
        <v>46</v>
      </c>
      <c r="P723" t="s">
        <v>428</v>
      </c>
      <c r="R723">
        <v>42214.890555555554</v>
      </c>
      <c r="S723">
        <v>43332.661400462966</v>
      </c>
      <c r="T723" t="s">
        <v>383</v>
      </c>
      <c r="U723" t="s">
        <v>35</v>
      </c>
      <c r="V723" t="s">
        <v>35</v>
      </c>
      <c r="W723" t="s">
        <v>428</v>
      </c>
    </row>
    <row r="724" spans="1:23" x14ac:dyDescent="0.25">
      <c r="A724" t="s">
        <v>665</v>
      </c>
      <c r="B724" s="19">
        <v>7812</v>
      </c>
      <c r="C724" s="2">
        <f>HYPERLINK(URLs!B36 &amp; 64084,64084)</f>
        <v>64084</v>
      </c>
      <c r="D724" t="s">
        <v>2521</v>
      </c>
      <c r="E724" t="s">
        <v>417</v>
      </c>
      <c r="F724" t="s">
        <v>305</v>
      </c>
      <c r="G724" t="s">
        <v>353</v>
      </c>
      <c r="H724" t="s">
        <v>30</v>
      </c>
      <c r="I724" t="s">
        <v>31</v>
      </c>
      <c r="J724" t="s">
        <v>32</v>
      </c>
      <c r="K724" t="s">
        <v>44</v>
      </c>
      <c r="L724" t="s">
        <v>45</v>
      </c>
      <c r="M724" t="s">
        <v>261</v>
      </c>
      <c r="N724" t="s">
        <v>46</v>
      </c>
      <c r="P724" t="s">
        <v>47</v>
      </c>
      <c r="R724">
        <v>42170.866481481484</v>
      </c>
      <c r="S724">
        <v>42678.631782407407</v>
      </c>
      <c r="T724" t="s">
        <v>317</v>
      </c>
      <c r="U724" t="s">
        <v>35</v>
      </c>
      <c r="V724" t="s">
        <v>35</v>
      </c>
      <c r="W724" t="s">
        <v>65</v>
      </c>
    </row>
    <row r="725" spans="1:23" x14ac:dyDescent="0.25">
      <c r="A725" t="s">
        <v>665</v>
      </c>
      <c r="B725" s="19">
        <v>7812</v>
      </c>
      <c r="C725" s="2">
        <f>HYPERLINK(URLs!B36 &amp; 64083,64083)</f>
        <v>64083</v>
      </c>
      <c r="D725" t="s">
        <v>2520</v>
      </c>
      <c r="E725" t="s">
        <v>417</v>
      </c>
      <c r="F725" t="s">
        <v>305</v>
      </c>
      <c r="G725" t="s">
        <v>353</v>
      </c>
      <c r="H725" t="s">
        <v>30</v>
      </c>
      <c r="I725" t="s">
        <v>31</v>
      </c>
      <c r="J725" t="s">
        <v>32</v>
      </c>
      <c r="K725" t="s">
        <v>44</v>
      </c>
      <c r="L725" t="s">
        <v>45</v>
      </c>
      <c r="M725" t="s">
        <v>260</v>
      </c>
      <c r="N725" t="s">
        <v>46</v>
      </c>
      <c r="P725" t="s">
        <v>47</v>
      </c>
      <c r="R725">
        <v>42170.866354166668</v>
      </c>
      <c r="S725">
        <v>42678.63177083333</v>
      </c>
      <c r="T725" t="s">
        <v>317</v>
      </c>
      <c r="U725" t="s">
        <v>35</v>
      </c>
      <c r="V725" t="s">
        <v>35</v>
      </c>
      <c r="W725" t="s">
        <v>61</v>
      </c>
    </row>
    <row r="726" spans="1:23" x14ac:dyDescent="0.25">
      <c r="A726" t="s">
        <v>665</v>
      </c>
      <c r="B726" s="19">
        <v>7812</v>
      </c>
      <c r="C726" s="2">
        <f>HYPERLINK(URLs!B36 &amp; 64082,64082)</f>
        <v>64082</v>
      </c>
      <c r="D726" t="s">
        <v>2519</v>
      </c>
      <c r="E726" t="s">
        <v>417</v>
      </c>
      <c r="F726" t="s">
        <v>305</v>
      </c>
      <c r="G726" t="s">
        <v>353</v>
      </c>
      <c r="H726" t="s">
        <v>30</v>
      </c>
      <c r="I726" t="s">
        <v>31</v>
      </c>
      <c r="J726" t="s">
        <v>32</v>
      </c>
      <c r="K726" t="s">
        <v>44</v>
      </c>
      <c r="L726" t="s">
        <v>45</v>
      </c>
      <c r="M726" t="s">
        <v>261</v>
      </c>
      <c r="N726" t="s">
        <v>46</v>
      </c>
      <c r="P726" t="s">
        <v>47</v>
      </c>
      <c r="R726">
        <v>42170.866249999999</v>
      </c>
      <c r="S726">
        <v>42678.632256944446</v>
      </c>
      <c r="T726" t="s">
        <v>317</v>
      </c>
      <c r="U726" t="s">
        <v>35</v>
      </c>
      <c r="V726" t="s">
        <v>35</v>
      </c>
      <c r="W726" t="s">
        <v>4147</v>
      </c>
    </row>
    <row r="727" spans="1:23" x14ac:dyDescent="0.25">
      <c r="A727" t="s">
        <v>665</v>
      </c>
      <c r="B727" s="19">
        <v>7812</v>
      </c>
      <c r="C727" s="2">
        <f>HYPERLINK(URLs!B36 &amp; 64081,64081)</f>
        <v>64081</v>
      </c>
      <c r="D727" t="s">
        <v>2518</v>
      </c>
      <c r="E727" t="s">
        <v>417</v>
      </c>
      <c r="F727" t="s">
        <v>305</v>
      </c>
      <c r="G727" t="s">
        <v>353</v>
      </c>
      <c r="H727" t="s">
        <v>30</v>
      </c>
      <c r="I727" t="s">
        <v>31</v>
      </c>
      <c r="J727" t="s">
        <v>32</v>
      </c>
      <c r="K727" t="s">
        <v>44</v>
      </c>
      <c r="L727" t="s">
        <v>45</v>
      </c>
      <c r="M727" t="s">
        <v>261</v>
      </c>
      <c r="N727" t="s">
        <v>46</v>
      </c>
      <c r="P727" t="s">
        <v>47</v>
      </c>
      <c r="R727">
        <v>42170.854629629626</v>
      </c>
      <c r="S727">
        <v>42678.631747685184</v>
      </c>
      <c r="T727" t="s">
        <v>1</v>
      </c>
      <c r="U727" t="s">
        <v>35</v>
      </c>
      <c r="V727" t="s">
        <v>35</v>
      </c>
      <c r="W727" t="s">
        <v>4098</v>
      </c>
    </row>
    <row r="728" spans="1:23" x14ac:dyDescent="0.25">
      <c r="A728" t="s">
        <v>665</v>
      </c>
      <c r="B728" s="19">
        <v>7812</v>
      </c>
      <c r="C728" s="2">
        <f>HYPERLINK(URLs!B36 &amp; 61176,61176)</f>
        <v>61176</v>
      </c>
      <c r="D728" t="s">
        <v>2433</v>
      </c>
      <c r="E728" t="s">
        <v>417</v>
      </c>
      <c r="F728" t="s">
        <v>305</v>
      </c>
      <c r="G728" t="s">
        <v>304</v>
      </c>
      <c r="H728" t="s">
        <v>30</v>
      </c>
      <c r="I728" t="s">
        <v>31</v>
      </c>
      <c r="J728" t="s">
        <v>32</v>
      </c>
      <c r="K728" t="s">
        <v>33</v>
      </c>
      <c r="L728" t="s">
        <v>45</v>
      </c>
      <c r="M728" t="s">
        <v>261</v>
      </c>
      <c r="N728" t="s">
        <v>46</v>
      </c>
      <c r="P728" t="s">
        <v>394</v>
      </c>
      <c r="Q728" t="s">
        <v>2392</v>
      </c>
      <c r="R728">
        <v>42117.589074074072</v>
      </c>
      <c r="S728">
        <v>42269.290081018517</v>
      </c>
      <c r="T728" t="s">
        <v>53</v>
      </c>
      <c r="U728" t="s">
        <v>35</v>
      </c>
      <c r="V728" t="s">
        <v>35</v>
      </c>
      <c r="W728" t="s">
        <v>428</v>
      </c>
    </row>
    <row r="729" spans="1:23" x14ac:dyDescent="0.25">
      <c r="A729" t="s">
        <v>665</v>
      </c>
      <c r="B729" s="19">
        <v>7812</v>
      </c>
      <c r="C729" s="2">
        <f>HYPERLINK(URLs!B36 &amp; 61175,61175)</f>
        <v>61175</v>
      </c>
      <c r="D729" t="s">
        <v>2432</v>
      </c>
      <c r="E729" t="s">
        <v>417</v>
      </c>
      <c r="F729" t="s">
        <v>305</v>
      </c>
      <c r="G729" t="s">
        <v>304</v>
      </c>
      <c r="H729" t="s">
        <v>30</v>
      </c>
      <c r="I729" t="s">
        <v>31</v>
      </c>
      <c r="J729" t="s">
        <v>32</v>
      </c>
      <c r="K729" t="s">
        <v>33</v>
      </c>
      <c r="L729" t="s">
        <v>45</v>
      </c>
      <c r="M729" t="s">
        <v>261</v>
      </c>
      <c r="N729" t="s">
        <v>46</v>
      </c>
      <c r="P729" t="s">
        <v>394</v>
      </c>
      <c r="Q729" t="s">
        <v>2392</v>
      </c>
      <c r="R729">
        <v>42117.588969907411</v>
      </c>
      <c r="S729">
        <v>42648.93608796296</v>
      </c>
      <c r="T729" t="s">
        <v>53</v>
      </c>
      <c r="U729" t="s">
        <v>3941</v>
      </c>
      <c r="V729" t="s">
        <v>35</v>
      </c>
      <c r="W729" t="s">
        <v>65</v>
      </c>
    </row>
    <row r="730" spans="1:23" x14ac:dyDescent="0.25">
      <c r="A730" t="s">
        <v>665</v>
      </c>
      <c r="B730" s="19">
        <v>7812</v>
      </c>
      <c r="C730" s="2">
        <f>HYPERLINK(URLs!B36 &amp; 61174,61174)</f>
        <v>61174</v>
      </c>
      <c r="D730" t="s">
        <v>2431</v>
      </c>
      <c r="E730" t="s">
        <v>417</v>
      </c>
      <c r="F730" t="s">
        <v>305</v>
      </c>
      <c r="G730" t="s">
        <v>304</v>
      </c>
      <c r="H730" t="s">
        <v>30</v>
      </c>
      <c r="I730" t="s">
        <v>31</v>
      </c>
      <c r="J730" t="s">
        <v>32</v>
      </c>
      <c r="K730" t="s">
        <v>33</v>
      </c>
      <c r="L730" t="s">
        <v>45</v>
      </c>
      <c r="M730" t="s">
        <v>261</v>
      </c>
      <c r="N730" t="s">
        <v>46</v>
      </c>
      <c r="P730" t="s">
        <v>394</v>
      </c>
      <c r="Q730" t="s">
        <v>2392</v>
      </c>
      <c r="R730">
        <v>42117.588865740741</v>
      </c>
      <c r="S730">
        <v>42648.936365740738</v>
      </c>
      <c r="T730" t="s">
        <v>53</v>
      </c>
      <c r="U730" t="s">
        <v>3938</v>
      </c>
      <c r="V730" t="s">
        <v>35</v>
      </c>
      <c r="W730" t="s">
        <v>61</v>
      </c>
    </row>
    <row r="731" spans="1:23" x14ac:dyDescent="0.25">
      <c r="A731" t="s">
        <v>665</v>
      </c>
      <c r="B731" s="19">
        <v>7812</v>
      </c>
      <c r="C731" s="2">
        <f>HYPERLINK(URLs!B36 &amp; 61173,61173)</f>
        <v>61173</v>
      </c>
      <c r="D731" t="s">
        <v>2429</v>
      </c>
      <c r="E731" t="s">
        <v>417</v>
      </c>
      <c r="F731" t="s">
        <v>305</v>
      </c>
      <c r="G731" t="s">
        <v>304</v>
      </c>
      <c r="H731" t="s">
        <v>30</v>
      </c>
      <c r="I731" t="s">
        <v>31</v>
      </c>
      <c r="J731" t="s">
        <v>32</v>
      </c>
      <c r="K731" t="s">
        <v>33</v>
      </c>
      <c r="L731" t="s">
        <v>45</v>
      </c>
      <c r="M731" t="s">
        <v>261</v>
      </c>
      <c r="N731" t="s">
        <v>46</v>
      </c>
      <c r="O731" t="s">
        <v>2430</v>
      </c>
      <c r="P731" t="s">
        <v>394</v>
      </c>
      <c r="Q731" t="s">
        <v>2392</v>
      </c>
      <c r="R731">
        <v>42117.587418981479</v>
      </c>
      <c r="S731">
        <v>42709.804988425924</v>
      </c>
      <c r="T731" t="s">
        <v>53</v>
      </c>
      <c r="U731" t="s">
        <v>3940</v>
      </c>
      <c r="V731" t="s">
        <v>35</v>
      </c>
      <c r="W731" t="s">
        <v>4149</v>
      </c>
    </row>
    <row r="732" spans="1:23" x14ac:dyDescent="0.25">
      <c r="A732" t="s">
        <v>665</v>
      </c>
      <c r="B732" s="19">
        <v>7812</v>
      </c>
      <c r="C732" s="2">
        <f>HYPERLINK(URLs!B36 &amp; 59193,59193)</f>
        <v>59193</v>
      </c>
      <c r="D732" t="s">
        <v>416</v>
      </c>
      <c r="E732" t="s">
        <v>417</v>
      </c>
      <c r="F732" t="s">
        <v>305</v>
      </c>
      <c r="G732" t="s">
        <v>304</v>
      </c>
      <c r="H732" t="s">
        <v>30</v>
      </c>
      <c r="I732" t="s">
        <v>31</v>
      </c>
      <c r="J732" t="s">
        <v>32</v>
      </c>
      <c r="K732" t="s">
        <v>33</v>
      </c>
      <c r="L732" t="s">
        <v>45</v>
      </c>
      <c r="M732" t="s">
        <v>261</v>
      </c>
      <c r="N732" t="s">
        <v>46</v>
      </c>
      <c r="P732" t="s">
        <v>394</v>
      </c>
      <c r="Q732" t="s">
        <v>2392</v>
      </c>
      <c r="R732">
        <v>42087.018275462964</v>
      </c>
      <c r="S732">
        <v>42298.910393518519</v>
      </c>
      <c r="T732" t="s">
        <v>415</v>
      </c>
      <c r="U732" t="s">
        <v>35</v>
      </c>
      <c r="V732" t="s">
        <v>35</v>
      </c>
      <c r="W732" t="s">
        <v>4098</v>
      </c>
    </row>
    <row r="733" spans="1:23" x14ac:dyDescent="0.25">
      <c r="A733" t="s">
        <v>665</v>
      </c>
      <c r="B733" s="19">
        <v>7896</v>
      </c>
      <c r="C733" s="2">
        <f>HYPERLINK(URLs!B36 &amp; 64584,64584)</f>
        <v>64584</v>
      </c>
      <c r="D733" t="s">
        <v>2532</v>
      </c>
      <c r="E733" t="s">
        <v>53</v>
      </c>
      <c r="F733" t="s">
        <v>305</v>
      </c>
      <c r="G733" t="s">
        <v>310</v>
      </c>
      <c r="H733" t="s">
        <v>30</v>
      </c>
      <c r="I733" t="s">
        <v>68</v>
      </c>
      <c r="J733" t="s">
        <v>58</v>
      </c>
      <c r="K733" t="s">
        <v>51</v>
      </c>
      <c r="L733" t="s">
        <v>34</v>
      </c>
      <c r="M733" t="s">
        <v>258</v>
      </c>
      <c r="N733" t="s">
        <v>46</v>
      </c>
      <c r="P733" t="s">
        <v>369</v>
      </c>
      <c r="R733">
        <v>42180.540810185186</v>
      </c>
      <c r="S733">
        <v>42678.631898148145</v>
      </c>
      <c r="T733" t="s">
        <v>288</v>
      </c>
      <c r="U733" t="s">
        <v>35</v>
      </c>
      <c r="V733" t="s">
        <v>35</v>
      </c>
      <c r="W733" t="s">
        <v>4147</v>
      </c>
    </row>
    <row r="734" spans="1:23" x14ac:dyDescent="0.25">
      <c r="A734" t="s">
        <v>665</v>
      </c>
      <c r="B734" s="19">
        <v>7896</v>
      </c>
      <c r="C734" s="2">
        <f>HYPERLINK(URLs!B36 &amp; 64582,64582)</f>
        <v>64582</v>
      </c>
      <c r="D734" t="s">
        <v>2531</v>
      </c>
      <c r="E734" t="s">
        <v>88</v>
      </c>
      <c r="F734" t="s">
        <v>305</v>
      </c>
      <c r="G734" t="s">
        <v>310</v>
      </c>
      <c r="H734" t="s">
        <v>30</v>
      </c>
      <c r="I734" t="s">
        <v>68</v>
      </c>
      <c r="J734" t="s">
        <v>58</v>
      </c>
      <c r="K734" t="s">
        <v>51</v>
      </c>
      <c r="L734" t="s">
        <v>2529</v>
      </c>
      <c r="M734" t="s">
        <v>266</v>
      </c>
      <c r="N734" t="s">
        <v>46</v>
      </c>
      <c r="P734" t="s">
        <v>47</v>
      </c>
      <c r="R734">
        <v>42180.538356481484</v>
      </c>
      <c r="S734">
        <v>42678.640208333331</v>
      </c>
      <c r="T734" t="s">
        <v>288</v>
      </c>
      <c r="U734" t="s">
        <v>35</v>
      </c>
      <c r="V734" t="s">
        <v>35</v>
      </c>
      <c r="W734" t="s">
        <v>61</v>
      </c>
    </row>
    <row r="735" spans="1:23" x14ac:dyDescent="0.25">
      <c r="A735" t="s">
        <v>665</v>
      </c>
      <c r="B735" s="19">
        <v>7896</v>
      </c>
      <c r="C735" s="2">
        <f>HYPERLINK(URLs!B36 &amp; 64581,64581)</f>
        <v>64581</v>
      </c>
      <c r="D735" t="s">
        <v>2530</v>
      </c>
      <c r="E735" t="s">
        <v>88</v>
      </c>
      <c r="F735" t="s">
        <v>305</v>
      </c>
      <c r="G735" t="s">
        <v>310</v>
      </c>
      <c r="H735" t="s">
        <v>30</v>
      </c>
      <c r="I735" t="s">
        <v>68</v>
      </c>
      <c r="J735" t="s">
        <v>58</v>
      </c>
      <c r="K735" t="s">
        <v>51</v>
      </c>
      <c r="L735" t="s">
        <v>2529</v>
      </c>
      <c r="M735" t="s">
        <v>266</v>
      </c>
      <c r="N735" t="s">
        <v>46</v>
      </c>
      <c r="P735" t="s">
        <v>47</v>
      </c>
      <c r="R735">
        <v>42180.538252314815</v>
      </c>
      <c r="S735">
        <v>42678.631631944445</v>
      </c>
      <c r="T735" t="s">
        <v>288</v>
      </c>
      <c r="U735" t="s">
        <v>35</v>
      </c>
      <c r="V735" t="s">
        <v>35</v>
      </c>
      <c r="W735" t="s">
        <v>65</v>
      </c>
    </row>
    <row r="736" spans="1:23" x14ac:dyDescent="0.25">
      <c r="A736" t="s">
        <v>665</v>
      </c>
      <c r="B736" s="19">
        <v>7896</v>
      </c>
      <c r="C736" s="2">
        <f>HYPERLINK(URLs!B36 &amp; 64578,64578)</f>
        <v>64578</v>
      </c>
      <c r="D736" t="s">
        <v>2528</v>
      </c>
      <c r="E736" t="s">
        <v>88</v>
      </c>
      <c r="F736" t="s">
        <v>305</v>
      </c>
      <c r="G736" t="s">
        <v>1621</v>
      </c>
      <c r="H736" t="s">
        <v>30</v>
      </c>
      <c r="I736" t="s">
        <v>68</v>
      </c>
      <c r="J736" t="s">
        <v>58</v>
      </c>
      <c r="K736" t="s">
        <v>51</v>
      </c>
      <c r="L736" t="s">
        <v>2529</v>
      </c>
      <c r="M736" t="s">
        <v>266</v>
      </c>
      <c r="N736" t="s">
        <v>46</v>
      </c>
      <c r="P736" t="s">
        <v>47</v>
      </c>
      <c r="R736">
        <v>42180.522604166668</v>
      </c>
      <c r="S736">
        <v>43171.783402777779</v>
      </c>
      <c r="T736" t="s">
        <v>1</v>
      </c>
      <c r="U736" t="s">
        <v>35</v>
      </c>
      <c r="V736" t="s">
        <v>35</v>
      </c>
      <c r="W736" t="s">
        <v>4098</v>
      </c>
    </row>
    <row r="737" spans="1:23" x14ac:dyDescent="0.25">
      <c r="B737" s="19">
        <v>7938</v>
      </c>
      <c r="C737" s="2">
        <f>HYPERLINK(URLs!B36 &amp; 64880,64880)</f>
        <v>64880</v>
      </c>
      <c r="D737" t="s">
        <v>3862</v>
      </c>
      <c r="E737" t="s">
        <v>3863</v>
      </c>
      <c r="F737" t="s">
        <v>305</v>
      </c>
      <c r="G737" t="s">
        <v>310</v>
      </c>
      <c r="H737" t="s">
        <v>30</v>
      </c>
      <c r="I737" t="s">
        <v>31</v>
      </c>
      <c r="J737" t="s">
        <v>43</v>
      </c>
      <c r="K737" t="s">
        <v>44</v>
      </c>
      <c r="L737" t="s">
        <v>34</v>
      </c>
      <c r="M737" t="s">
        <v>3780</v>
      </c>
      <c r="N737" t="s">
        <v>46</v>
      </c>
      <c r="P737" t="s">
        <v>2121</v>
      </c>
      <c r="R737">
        <v>42187.237384259257</v>
      </c>
      <c r="S737">
        <v>42646.729687500003</v>
      </c>
      <c r="T737" t="s">
        <v>299</v>
      </c>
      <c r="U737" t="s">
        <v>35</v>
      </c>
      <c r="V737" t="s">
        <v>35</v>
      </c>
      <c r="W737" t="s">
        <v>4126</v>
      </c>
    </row>
    <row r="738" spans="1:23" x14ac:dyDescent="0.25">
      <c r="A738" t="s">
        <v>665</v>
      </c>
      <c r="B738" s="19">
        <v>7943</v>
      </c>
      <c r="C738" s="2">
        <f>HYPERLINK(URLs!B36 &amp; 64333,64333)</f>
        <v>64333</v>
      </c>
      <c r="D738" t="s">
        <v>2522</v>
      </c>
      <c r="E738" t="s">
        <v>2523</v>
      </c>
      <c r="F738" t="s">
        <v>305</v>
      </c>
      <c r="G738" t="s">
        <v>328</v>
      </c>
      <c r="H738" t="s">
        <v>30</v>
      </c>
      <c r="I738" t="s">
        <v>31</v>
      </c>
      <c r="J738" t="s">
        <v>32</v>
      </c>
      <c r="K738" t="s">
        <v>33</v>
      </c>
      <c r="L738" t="s">
        <v>73</v>
      </c>
      <c r="M738" t="s">
        <v>295</v>
      </c>
      <c r="N738" t="s">
        <v>46</v>
      </c>
      <c r="P738" t="s">
        <v>394</v>
      </c>
      <c r="R738">
        <v>42174.650312500002</v>
      </c>
      <c r="S738">
        <v>42678.637395833335</v>
      </c>
      <c r="T738" t="s">
        <v>317</v>
      </c>
      <c r="U738" t="s">
        <v>35</v>
      </c>
      <c r="V738" t="s">
        <v>35</v>
      </c>
      <c r="W738" t="s">
        <v>61</v>
      </c>
    </row>
    <row r="739" spans="1:23" x14ac:dyDescent="0.25">
      <c r="A739" t="s">
        <v>665</v>
      </c>
      <c r="B739" s="19">
        <v>7943</v>
      </c>
      <c r="C739" s="2">
        <f>HYPERLINK(URLs!B36 &amp; 57778,57778)</f>
        <v>57778</v>
      </c>
      <c r="D739" t="s">
        <v>2363</v>
      </c>
      <c r="E739" t="s">
        <v>94</v>
      </c>
      <c r="F739" t="s">
        <v>305</v>
      </c>
      <c r="G739" t="s">
        <v>328</v>
      </c>
      <c r="H739" t="s">
        <v>30</v>
      </c>
      <c r="I739" t="s">
        <v>31</v>
      </c>
      <c r="J739" t="s">
        <v>32</v>
      </c>
      <c r="K739" t="s">
        <v>33</v>
      </c>
      <c r="L739" t="s">
        <v>73</v>
      </c>
      <c r="M739" t="s">
        <v>295</v>
      </c>
      <c r="N739" t="s">
        <v>518</v>
      </c>
      <c r="P739" t="s">
        <v>2360</v>
      </c>
      <c r="R739">
        <v>42060.306134259263</v>
      </c>
      <c r="S739">
        <v>42258.65011574074</v>
      </c>
      <c r="T739" t="s">
        <v>317</v>
      </c>
      <c r="U739" t="s">
        <v>35</v>
      </c>
      <c r="V739" t="s">
        <v>35</v>
      </c>
      <c r="W739" t="s">
        <v>65</v>
      </c>
    </row>
    <row r="740" spans="1:23" x14ac:dyDescent="0.25">
      <c r="A740" t="s">
        <v>665</v>
      </c>
      <c r="B740" s="19">
        <v>7943</v>
      </c>
      <c r="C740" s="2">
        <f>HYPERLINK(URLs!B36 &amp; 57777,57777)</f>
        <v>57777</v>
      </c>
      <c r="D740" t="s">
        <v>2361</v>
      </c>
      <c r="E740" t="s">
        <v>94</v>
      </c>
      <c r="F740" t="s">
        <v>305</v>
      </c>
      <c r="G740" t="s">
        <v>328</v>
      </c>
      <c r="H740" t="s">
        <v>30</v>
      </c>
      <c r="I740" t="s">
        <v>31</v>
      </c>
      <c r="J740" t="s">
        <v>32</v>
      </c>
      <c r="K740" t="s">
        <v>33</v>
      </c>
      <c r="L740" t="s">
        <v>73</v>
      </c>
      <c r="M740" t="s">
        <v>295</v>
      </c>
      <c r="N740" t="s">
        <v>46</v>
      </c>
      <c r="O740" t="s">
        <v>2362</v>
      </c>
      <c r="P740" t="s">
        <v>2360</v>
      </c>
      <c r="R740">
        <v>42060.30605324074</v>
      </c>
      <c r="S740">
        <v>42223.661747685182</v>
      </c>
      <c r="T740" t="s">
        <v>317</v>
      </c>
      <c r="U740" t="s">
        <v>35</v>
      </c>
      <c r="V740" t="s">
        <v>35</v>
      </c>
      <c r="W740" t="s">
        <v>4147</v>
      </c>
    </row>
    <row r="741" spans="1:23" x14ac:dyDescent="0.25">
      <c r="A741" t="s">
        <v>665</v>
      </c>
      <c r="B741" s="19">
        <v>7943</v>
      </c>
      <c r="C741" s="2">
        <f>HYPERLINK(URLs!B36 &amp; 57761,57761)</f>
        <v>57761</v>
      </c>
      <c r="D741" t="s">
        <v>2359</v>
      </c>
      <c r="E741" t="s">
        <v>94</v>
      </c>
      <c r="F741" t="s">
        <v>305</v>
      </c>
      <c r="G741" t="s">
        <v>328</v>
      </c>
      <c r="H741" t="s">
        <v>30</v>
      </c>
      <c r="I741" t="s">
        <v>31</v>
      </c>
      <c r="J741" t="s">
        <v>32</v>
      </c>
      <c r="K741" t="s">
        <v>33</v>
      </c>
      <c r="L741" t="s">
        <v>73</v>
      </c>
      <c r="M741" t="s">
        <v>295</v>
      </c>
      <c r="N741" t="s">
        <v>46</v>
      </c>
      <c r="P741" t="s">
        <v>2360</v>
      </c>
      <c r="R741">
        <v>42059.985636574071</v>
      </c>
      <c r="S741">
        <v>42678.633437500001</v>
      </c>
      <c r="T741" t="s">
        <v>141</v>
      </c>
      <c r="U741" t="s">
        <v>35</v>
      </c>
      <c r="V741" t="s">
        <v>35</v>
      </c>
      <c r="W741" t="s">
        <v>4098</v>
      </c>
    </row>
    <row r="742" spans="1:23" x14ac:dyDescent="0.25">
      <c r="A742" t="s">
        <v>665</v>
      </c>
      <c r="B742" s="19">
        <v>7965</v>
      </c>
      <c r="C742" s="2">
        <f>HYPERLINK(URLs!B36 &amp; 65136,65136)</f>
        <v>65136</v>
      </c>
      <c r="D742" t="s">
        <v>2546</v>
      </c>
      <c r="E742" t="s">
        <v>62</v>
      </c>
      <c r="F742" t="s">
        <v>305</v>
      </c>
      <c r="G742" t="s">
        <v>310</v>
      </c>
      <c r="H742" t="s">
        <v>30</v>
      </c>
      <c r="I742" t="s">
        <v>31</v>
      </c>
      <c r="J742" t="s">
        <v>43</v>
      </c>
      <c r="K742" t="s">
        <v>51</v>
      </c>
      <c r="L742" t="s">
        <v>45</v>
      </c>
      <c r="M742" t="s">
        <v>2547</v>
      </c>
      <c r="N742" t="s">
        <v>46</v>
      </c>
      <c r="P742" t="s">
        <v>394</v>
      </c>
      <c r="R742">
        <v>42192.651631944442</v>
      </c>
      <c r="S742">
        <v>42678.632280092592</v>
      </c>
      <c r="T742" t="s">
        <v>2</v>
      </c>
      <c r="U742" t="s">
        <v>35</v>
      </c>
      <c r="V742" t="s">
        <v>35</v>
      </c>
      <c r="W742" t="s">
        <v>4126</v>
      </c>
    </row>
    <row r="743" spans="1:23" x14ac:dyDescent="0.25">
      <c r="B743" s="19">
        <v>7980</v>
      </c>
      <c r="C743" s="2">
        <f>HYPERLINK(URLs!B36 &amp; 66282,66282)</f>
        <v>66282</v>
      </c>
      <c r="D743" t="s">
        <v>2599</v>
      </c>
      <c r="E743" t="s">
        <v>445</v>
      </c>
      <c r="F743" t="s">
        <v>305</v>
      </c>
      <c r="G743" t="s">
        <v>328</v>
      </c>
      <c r="H743" t="s">
        <v>30</v>
      </c>
      <c r="I743" t="s">
        <v>68</v>
      </c>
      <c r="J743" t="s">
        <v>43</v>
      </c>
      <c r="K743" t="s">
        <v>33</v>
      </c>
      <c r="L743" t="s">
        <v>73</v>
      </c>
      <c r="M743" t="s">
        <v>263</v>
      </c>
      <c r="N743" t="s">
        <v>46</v>
      </c>
      <c r="P743" t="s">
        <v>2552</v>
      </c>
      <c r="R743">
        <v>42214.769050925926</v>
      </c>
      <c r="S743">
        <v>42275.411666666667</v>
      </c>
      <c r="T743" t="s">
        <v>317</v>
      </c>
      <c r="U743" t="s">
        <v>35</v>
      </c>
      <c r="V743" t="s">
        <v>35</v>
      </c>
      <c r="W743" t="s">
        <v>4145</v>
      </c>
    </row>
    <row r="744" spans="1:23" x14ac:dyDescent="0.25">
      <c r="B744" s="19">
        <v>7980</v>
      </c>
      <c r="C744" s="2">
        <f>HYPERLINK(URLs!B36 &amp; 66281,66281)</f>
        <v>66281</v>
      </c>
      <c r="D744" t="s">
        <v>2598</v>
      </c>
      <c r="E744" t="s">
        <v>445</v>
      </c>
      <c r="F744" t="s">
        <v>305</v>
      </c>
      <c r="G744" t="s">
        <v>328</v>
      </c>
      <c r="H744" t="s">
        <v>30</v>
      </c>
      <c r="I744" t="s">
        <v>68</v>
      </c>
      <c r="J744" t="s">
        <v>43</v>
      </c>
      <c r="K744" t="s">
        <v>33</v>
      </c>
      <c r="L744" t="s">
        <v>73</v>
      </c>
      <c r="M744" t="s">
        <v>263</v>
      </c>
      <c r="N744" t="s">
        <v>46</v>
      </c>
      <c r="P744" t="s">
        <v>2552</v>
      </c>
      <c r="R744">
        <v>42214.768993055557</v>
      </c>
      <c r="S744">
        <v>42296.662418981483</v>
      </c>
      <c r="T744" t="s">
        <v>317</v>
      </c>
      <c r="U744" t="s">
        <v>35</v>
      </c>
      <c r="V744" t="s">
        <v>35</v>
      </c>
      <c r="W744" t="s">
        <v>3120</v>
      </c>
    </row>
    <row r="745" spans="1:23" x14ac:dyDescent="0.25">
      <c r="B745" s="19">
        <v>7980</v>
      </c>
      <c r="C745" s="2">
        <f>HYPERLINK(URLs!B36 &amp; 66280,66280)</f>
        <v>66280</v>
      </c>
      <c r="D745" t="s">
        <v>2597</v>
      </c>
      <c r="E745" t="s">
        <v>445</v>
      </c>
      <c r="F745" t="s">
        <v>305</v>
      </c>
      <c r="G745" t="s">
        <v>328</v>
      </c>
      <c r="H745" t="s">
        <v>30</v>
      </c>
      <c r="I745" t="s">
        <v>68</v>
      </c>
      <c r="J745" t="s">
        <v>43</v>
      </c>
      <c r="K745" t="s">
        <v>33</v>
      </c>
      <c r="L745" t="s">
        <v>73</v>
      </c>
      <c r="M745" t="s">
        <v>263</v>
      </c>
      <c r="N745" t="s">
        <v>46</v>
      </c>
      <c r="P745" t="s">
        <v>2552</v>
      </c>
      <c r="R745">
        <v>42214.768923611111</v>
      </c>
      <c r="S745">
        <v>42678.634432870371</v>
      </c>
      <c r="T745" t="s">
        <v>317</v>
      </c>
      <c r="U745" t="s">
        <v>35</v>
      </c>
      <c r="V745" t="s">
        <v>35</v>
      </c>
      <c r="W745" t="s">
        <v>491</v>
      </c>
    </row>
    <row r="746" spans="1:23" x14ac:dyDescent="0.25">
      <c r="B746" s="19">
        <v>7980</v>
      </c>
      <c r="C746" s="2">
        <f>HYPERLINK(URLs!B36 &amp; 66279,66279)</f>
        <v>66279</v>
      </c>
      <c r="D746" t="s">
        <v>2596</v>
      </c>
      <c r="E746" t="s">
        <v>445</v>
      </c>
      <c r="F746" t="s">
        <v>305</v>
      </c>
      <c r="G746" t="s">
        <v>328</v>
      </c>
      <c r="H746" t="s">
        <v>30</v>
      </c>
      <c r="I746" t="s">
        <v>68</v>
      </c>
      <c r="J746" t="s">
        <v>43</v>
      </c>
      <c r="K746" t="s">
        <v>33</v>
      </c>
      <c r="L746" t="s">
        <v>73</v>
      </c>
      <c r="M746" t="s">
        <v>263</v>
      </c>
      <c r="N746" t="s">
        <v>46</v>
      </c>
      <c r="P746" t="s">
        <v>2552</v>
      </c>
      <c r="R746">
        <v>42214.768865740742</v>
      </c>
      <c r="S746">
        <v>42678.634456018517</v>
      </c>
      <c r="T746" t="s">
        <v>317</v>
      </c>
      <c r="U746" t="s">
        <v>35</v>
      </c>
      <c r="V746" t="s">
        <v>35</v>
      </c>
      <c r="W746" t="s">
        <v>65</v>
      </c>
    </row>
    <row r="747" spans="1:23" x14ac:dyDescent="0.25">
      <c r="B747" s="19">
        <v>7980</v>
      </c>
      <c r="C747" s="2">
        <f>HYPERLINK(URLs!B36 &amp; 66278,66278)</f>
        <v>66278</v>
      </c>
      <c r="D747" t="s">
        <v>2595</v>
      </c>
      <c r="E747" t="s">
        <v>445</v>
      </c>
      <c r="F747" t="s">
        <v>305</v>
      </c>
      <c r="G747" t="s">
        <v>328</v>
      </c>
      <c r="H747" t="s">
        <v>30</v>
      </c>
      <c r="I747" t="s">
        <v>68</v>
      </c>
      <c r="J747" t="s">
        <v>43</v>
      </c>
      <c r="K747" t="s">
        <v>33</v>
      </c>
      <c r="L747" t="s">
        <v>73</v>
      </c>
      <c r="M747" t="s">
        <v>263</v>
      </c>
      <c r="N747" t="s">
        <v>46</v>
      </c>
      <c r="P747" t="s">
        <v>2552</v>
      </c>
      <c r="R747">
        <v>42214.768784722219</v>
      </c>
      <c r="S747">
        <v>42678.634467592594</v>
      </c>
      <c r="T747" t="s">
        <v>317</v>
      </c>
      <c r="U747" t="s">
        <v>35</v>
      </c>
      <c r="V747" t="s">
        <v>35</v>
      </c>
      <c r="W747" t="s">
        <v>61</v>
      </c>
    </row>
    <row r="748" spans="1:23" x14ac:dyDescent="0.25">
      <c r="B748" s="19">
        <v>7980</v>
      </c>
      <c r="C748" s="2">
        <f>HYPERLINK(URLs!B36 &amp; 66277,66277)</f>
        <v>66277</v>
      </c>
      <c r="D748" t="s">
        <v>2594</v>
      </c>
      <c r="E748" t="s">
        <v>445</v>
      </c>
      <c r="F748" t="s">
        <v>305</v>
      </c>
      <c r="G748" t="s">
        <v>328</v>
      </c>
      <c r="H748" t="s">
        <v>30</v>
      </c>
      <c r="I748" t="s">
        <v>68</v>
      </c>
      <c r="J748" t="s">
        <v>43</v>
      </c>
      <c r="K748" t="s">
        <v>33</v>
      </c>
      <c r="L748" t="s">
        <v>73</v>
      </c>
      <c r="M748" t="s">
        <v>263</v>
      </c>
      <c r="N748" t="s">
        <v>46</v>
      </c>
      <c r="P748" t="s">
        <v>2552</v>
      </c>
      <c r="R748">
        <v>42214.76871527778</v>
      </c>
      <c r="S748">
        <v>42678.634733796294</v>
      </c>
      <c r="T748" t="s">
        <v>317</v>
      </c>
      <c r="U748" t="s">
        <v>35</v>
      </c>
      <c r="V748" t="s">
        <v>35</v>
      </c>
      <c r="W748" t="s">
        <v>4147</v>
      </c>
    </row>
    <row r="749" spans="1:23" x14ac:dyDescent="0.25">
      <c r="B749" s="19">
        <v>7980</v>
      </c>
      <c r="C749" s="2">
        <f>HYPERLINK(URLs!B36 &amp; 66276,66276)</f>
        <v>66276</v>
      </c>
      <c r="D749" t="s">
        <v>2593</v>
      </c>
      <c r="E749" t="s">
        <v>445</v>
      </c>
      <c r="F749" t="s">
        <v>305</v>
      </c>
      <c r="G749" t="s">
        <v>328</v>
      </c>
      <c r="H749" t="s">
        <v>30</v>
      </c>
      <c r="I749" t="s">
        <v>68</v>
      </c>
      <c r="J749" t="s">
        <v>43</v>
      </c>
      <c r="K749" t="s">
        <v>33</v>
      </c>
      <c r="L749" t="s">
        <v>73</v>
      </c>
      <c r="M749" t="s">
        <v>263</v>
      </c>
      <c r="N749" t="s">
        <v>46</v>
      </c>
      <c r="P749" t="s">
        <v>2552</v>
      </c>
      <c r="R749">
        <v>42214.768645833334</v>
      </c>
      <c r="S749">
        <v>42678.634386574071</v>
      </c>
      <c r="T749" t="s">
        <v>317</v>
      </c>
      <c r="U749" t="s">
        <v>35</v>
      </c>
      <c r="V749" t="s">
        <v>35</v>
      </c>
      <c r="W749" t="s">
        <v>3028</v>
      </c>
    </row>
    <row r="750" spans="1:23" x14ac:dyDescent="0.25">
      <c r="B750" s="19">
        <v>7980</v>
      </c>
      <c r="C750" s="2">
        <f>HYPERLINK(URLs!B36 &amp; 66275,66275)</f>
        <v>66275</v>
      </c>
      <c r="D750" t="s">
        <v>2592</v>
      </c>
      <c r="E750" t="s">
        <v>445</v>
      </c>
      <c r="F750" t="s">
        <v>305</v>
      </c>
      <c r="G750" t="s">
        <v>328</v>
      </c>
      <c r="H750" t="s">
        <v>30</v>
      </c>
      <c r="I750" t="s">
        <v>68</v>
      </c>
      <c r="J750" t="s">
        <v>43</v>
      </c>
      <c r="K750" t="s">
        <v>33</v>
      </c>
      <c r="L750" t="s">
        <v>73</v>
      </c>
      <c r="M750" t="s">
        <v>263</v>
      </c>
      <c r="N750" t="s">
        <v>46</v>
      </c>
      <c r="P750" t="s">
        <v>2552</v>
      </c>
      <c r="R750">
        <v>42214.768564814818</v>
      </c>
      <c r="S750">
        <v>42678.634710648148</v>
      </c>
      <c r="T750" t="s">
        <v>317</v>
      </c>
      <c r="U750" t="s">
        <v>35</v>
      </c>
      <c r="V750" t="s">
        <v>35</v>
      </c>
      <c r="W750" t="s">
        <v>3039</v>
      </c>
    </row>
    <row r="751" spans="1:23" x14ac:dyDescent="0.25">
      <c r="B751" s="19">
        <v>7980</v>
      </c>
      <c r="C751" s="2">
        <f>HYPERLINK(URLs!B36 &amp; 65209,65209)</f>
        <v>65209</v>
      </c>
      <c r="D751" t="s">
        <v>2550</v>
      </c>
      <c r="E751" t="s">
        <v>445</v>
      </c>
      <c r="F751" t="s">
        <v>305</v>
      </c>
      <c r="G751" t="s">
        <v>328</v>
      </c>
      <c r="H751" t="s">
        <v>30</v>
      </c>
      <c r="I751" t="s">
        <v>68</v>
      </c>
      <c r="J751" t="s">
        <v>43</v>
      </c>
      <c r="K751" t="s">
        <v>33</v>
      </c>
      <c r="L751" t="s">
        <v>73</v>
      </c>
      <c r="M751" t="s">
        <v>263</v>
      </c>
      <c r="N751" t="s">
        <v>46</v>
      </c>
      <c r="O751" t="s">
        <v>2551</v>
      </c>
      <c r="P751" t="s">
        <v>2552</v>
      </c>
      <c r="R751">
        <v>42193.638101851851</v>
      </c>
      <c r="S751">
        <v>42678.643043981479</v>
      </c>
      <c r="T751" t="s">
        <v>2</v>
      </c>
      <c r="U751" t="s">
        <v>35</v>
      </c>
      <c r="V751" t="s">
        <v>35</v>
      </c>
      <c r="W751" t="s">
        <v>4098</v>
      </c>
    </row>
    <row r="752" spans="1:23" x14ac:dyDescent="0.25">
      <c r="A752" t="s">
        <v>633</v>
      </c>
      <c r="B752" s="19">
        <v>8018</v>
      </c>
      <c r="C752" s="2">
        <f>HYPERLINK(URLs!B36 &amp; 78236,78236)</f>
        <v>78236</v>
      </c>
      <c r="D752" t="s">
        <v>2977</v>
      </c>
      <c r="E752" t="s">
        <v>387</v>
      </c>
      <c r="F752" t="s">
        <v>305</v>
      </c>
      <c r="G752" t="s">
        <v>395</v>
      </c>
      <c r="H752" t="s">
        <v>30</v>
      </c>
      <c r="I752" t="s">
        <v>31</v>
      </c>
      <c r="J752" t="s">
        <v>32</v>
      </c>
      <c r="K752" t="s">
        <v>33</v>
      </c>
      <c r="L752" t="s">
        <v>73</v>
      </c>
      <c r="M752" t="s">
        <v>263</v>
      </c>
      <c r="N752" t="s">
        <v>46</v>
      </c>
      <c r="P752" t="s">
        <v>394</v>
      </c>
      <c r="Q752" t="s">
        <v>159</v>
      </c>
      <c r="R752">
        <v>42433.617002314815</v>
      </c>
      <c r="S752">
        <v>42759.638009259259</v>
      </c>
      <c r="T752" t="s">
        <v>317</v>
      </c>
      <c r="U752" t="s">
        <v>35</v>
      </c>
      <c r="V752" t="s">
        <v>321</v>
      </c>
      <c r="W752" t="s">
        <v>69</v>
      </c>
    </row>
    <row r="753" spans="1:23" x14ac:dyDescent="0.25">
      <c r="A753" t="s">
        <v>633</v>
      </c>
      <c r="B753" s="19">
        <v>8018</v>
      </c>
      <c r="C753" s="2">
        <f>HYPERLINK(URLs!B36 &amp; 75219,75219)</f>
        <v>75219</v>
      </c>
      <c r="D753" t="s">
        <v>2872</v>
      </c>
      <c r="E753" t="s">
        <v>445</v>
      </c>
      <c r="F753" t="s">
        <v>305</v>
      </c>
      <c r="G753" t="s">
        <v>337</v>
      </c>
      <c r="H753" t="s">
        <v>30</v>
      </c>
      <c r="I753" t="s">
        <v>31</v>
      </c>
      <c r="J753" t="s">
        <v>32</v>
      </c>
      <c r="K753" t="s">
        <v>33</v>
      </c>
      <c r="L753" t="s">
        <v>73</v>
      </c>
      <c r="M753" t="s">
        <v>263</v>
      </c>
      <c r="N753" t="s">
        <v>518</v>
      </c>
      <c r="P753" t="s">
        <v>394</v>
      </c>
      <c r="R753">
        <v>42384.608541666668</v>
      </c>
      <c r="S753">
        <v>42398.873680555553</v>
      </c>
      <c r="T753" t="s">
        <v>317</v>
      </c>
      <c r="U753" t="s">
        <v>35</v>
      </c>
      <c r="V753" t="s">
        <v>321</v>
      </c>
      <c r="W753" t="s">
        <v>4156</v>
      </c>
    </row>
    <row r="754" spans="1:23" x14ac:dyDescent="0.25">
      <c r="A754" t="s">
        <v>633</v>
      </c>
      <c r="B754" s="19">
        <v>8018</v>
      </c>
      <c r="C754" s="2">
        <f>HYPERLINK(URLs!B36 &amp; 69057,69057)</f>
        <v>69057</v>
      </c>
      <c r="D754" t="s">
        <v>2700</v>
      </c>
      <c r="E754" t="s">
        <v>387</v>
      </c>
      <c r="F754" t="s">
        <v>305</v>
      </c>
      <c r="G754" t="s">
        <v>395</v>
      </c>
      <c r="H754" t="s">
        <v>30</v>
      </c>
      <c r="I754" t="s">
        <v>31</v>
      </c>
      <c r="J754" t="s">
        <v>32</v>
      </c>
      <c r="K754" t="s">
        <v>33</v>
      </c>
      <c r="L754" t="s">
        <v>73</v>
      </c>
      <c r="M754" t="s">
        <v>263</v>
      </c>
      <c r="N754" t="s">
        <v>518</v>
      </c>
      <c r="P754" t="s">
        <v>394</v>
      </c>
      <c r="Q754" t="s">
        <v>159</v>
      </c>
      <c r="R754">
        <v>42262.459155092591</v>
      </c>
      <c r="S754">
        <v>42759.637754629628</v>
      </c>
      <c r="T754" t="s">
        <v>317</v>
      </c>
      <c r="U754" t="s">
        <v>35</v>
      </c>
      <c r="V754" t="s">
        <v>321</v>
      </c>
      <c r="W754" t="s">
        <v>133</v>
      </c>
    </row>
    <row r="755" spans="1:23" x14ac:dyDescent="0.25">
      <c r="A755" t="s">
        <v>633</v>
      </c>
      <c r="B755" s="19">
        <v>8018</v>
      </c>
      <c r="C755" s="2">
        <f>HYPERLINK(URLs!B36 &amp; 68365,68365)</f>
        <v>68365</v>
      </c>
      <c r="D755" t="s">
        <v>2684</v>
      </c>
      <c r="E755" t="s">
        <v>445</v>
      </c>
      <c r="F755" t="s">
        <v>305</v>
      </c>
      <c r="G755" t="s">
        <v>337</v>
      </c>
      <c r="H755" t="s">
        <v>30</v>
      </c>
      <c r="I755" t="s">
        <v>31</v>
      </c>
      <c r="J755" t="s">
        <v>32</v>
      </c>
      <c r="K755" t="s">
        <v>33</v>
      </c>
      <c r="L755" t="s">
        <v>73</v>
      </c>
      <c r="M755" t="s">
        <v>263</v>
      </c>
      <c r="N755" t="s">
        <v>46</v>
      </c>
      <c r="P755" t="s">
        <v>47</v>
      </c>
      <c r="R755">
        <v>42249.801481481481</v>
      </c>
      <c r="S755">
        <v>42678.643067129633</v>
      </c>
      <c r="T755" t="s">
        <v>317</v>
      </c>
      <c r="U755" t="s">
        <v>35</v>
      </c>
      <c r="V755" t="s">
        <v>321</v>
      </c>
      <c r="W755" t="s">
        <v>4153</v>
      </c>
    </row>
    <row r="756" spans="1:23" x14ac:dyDescent="0.25">
      <c r="A756" t="s">
        <v>633</v>
      </c>
      <c r="B756" s="19">
        <v>8018</v>
      </c>
      <c r="C756" s="2">
        <f>HYPERLINK(URLs!B36 &amp; 65916,65916)</f>
        <v>65916</v>
      </c>
      <c r="D756" t="s">
        <v>2583</v>
      </c>
      <c r="E756" t="s">
        <v>2027</v>
      </c>
      <c r="F756" t="s">
        <v>305</v>
      </c>
      <c r="G756" t="s">
        <v>337</v>
      </c>
      <c r="H756" t="s">
        <v>30</v>
      </c>
      <c r="I756" t="s">
        <v>31</v>
      </c>
      <c r="J756" t="s">
        <v>32</v>
      </c>
      <c r="K756" t="s">
        <v>44</v>
      </c>
      <c r="L756" t="s">
        <v>73</v>
      </c>
      <c r="M756" t="s">
        <v>263</v>
      </c>
      <c r="N756" t="s">
        <v>46</v>
      </c>
      <c r="P756" t="s">
        <v>47</v>
      </c>
      <c r="R756">
        <v>42207.69394675926</v>
      </c>
      <c r="S756">
        <v>42678.632847222223</v>
      </c>
      <c r="T756" t="s">
        <v>317</v>
      </c>
      <c r="U756" t="s">
        <v>35</v>
      </c>
      <c r="V756" t="s">
        <v>321</v>
      </c>
      <c r="W756" t="s">
        <v>3039</v>
      </c>
    </row>
    <row r="757" spans="1:23" x14ac:dyDescent="0.25">
      <c r="A757" t="s">
        <v>633</v>
      </c>
      <c r="B757" s="19">
        <v>8018</v>
      </c>
      <c r="C757" s="2">
        <f>HYPERLINK(URLs!B36 &amp; 65358,65358)</f>
        <v>65358</v>
      </c>
      <c r="D757" t="s">
        <v>2571</v>
      </c>
      <c r="E757" t="s">
        <v>387</v>
      </c>
      <c r="F757" t="s">
        <v>305</v>
      </c>
      <c r="G757" t="s">
        <v>337</v>
      </c>
      <c r="H757" t="s">
        <v>30</v>
      </c>
      <c r="I757" t="s">
        <v>68</v>
      </c>
      <c r="J757" t="s">
        <v>43</v>
      </c>
      <c r="K757" t="s">
        <v>33</v>
      </c>
      <c r="L757" t="s">
        <v>73</v>
      </c>
      <c r="M757" t="s">
        <v>263</v>
      </c>
      <c r="N757" t="s">
        <v>46</v>
      </c>
      <c r="O757" t="s">
        <v>2572</v>
      </c>
      <c r="P757" t="s">
        <v>47</v>
      </c>
      <c r="R757">
        <v>42195.797939814816</v>
      </c>
      <c r="S757">
        <v>43007.403877314813</v>
      </c>
      <c r="T757" t="s">
        <v>317</v>
      </c>
      <c r="U757" t="s">
        <v>35</v>
      </c>
      <c r="V757" t="s">
        <v>321</v>
      </c>
      <c r="W757" t="s">
        <v>4145</v>
      </c>
    </row>
    <row r="758" spans="1:23" x14ac:dyDescent="0.25">
      <c r="A758" t="s">
        <v>633</v>
      </c>
      <c r="B758" s="19">
        <v>8018</v>
      </c>
      <c r="C758" s="2">
        <f>HYPERLINK(URLs!B36 &amp; 65357,65357)</f>
        <v>65357</v>
      </c>
      <c r="D758" t="s">
        <v>2568</v>
      </c>
      <c r="E758" t="s">
        <v>2569</v>
      </c>
      <c r="F758" t="s">
        <v>305</v>
      </c>
      <c r="G758" t="s">
        <v>310</v>
      </c>
      <c r="H758" t="s">
        <v>30</v>
      </c>
      <c r="I758" t="s">
        <v>68</v>
      </c>
      <c r="J758" t="s">
        <v>43</v>
      </c>
      <c r="K758" t="s">
        <v>33</v>
      </c>
      <c r="L758" t="s">
        <v>73</v>
      </c>
      <c r="M758" t="s">
        <v>263</v>
      </c>
      <c r="N758" t="s">
        <v>46</v>
      </c>
      <c r="O758" t="s">
        <v>2570</v>
      </c>
      <c r="P758" t="s">
        <v>47</v>
      </c>
      <c r="R758">
        <v>42195.797824074078</v>
      </c>
      <c r="S758">
        <v>42269.810104166667</v>
      </c>
      <c r="T758" t="s">
        <v>317</v>
      </c>
      <c r="U758" t="s">
        <v>35</v>
      </c>
      <c r="V758" t="s">
        <v>321</v>
      </c>
      <c r="W758" t="s">
        <v>3120</v>
      </c>
    </row>
    <row r="759" spans="1:23" x14ac:dyDescent="0.25">
      <c r="A759" t="s">
        <v>633</v>
      </c>
      <c r="B759" s="19">
        <v>8018</v>
      </c>
      <c r="C759" s="2">
        <f>HYPERLINK(URLs!B36 &amp; 65356,65356)</f>
        <v>65356</v>
      </c>
      <c r="D759" t="s">
        <v>2567</v>
      </c>
      <c r="E759" t="s">
        <v>387</v>
      </c>
      <c r="F759" t="s">
        <v>305</v>
      </c>
      <c r="G759" t="s">
        <v>310</v>
      </c>
      <c r="H759" t="s">
        <v>30</v>
      </c>
      <c r="I759" t="s">
        <v>68</v>
      </c>
      <c r="J759" t="s">
        <v>43</v>
      </c>
      <c r="K759" t="s">
        <v>33</v>
      </c>
      <c r="L759" t="s">
        <v>73</v>
      </c>
      <c r="M759" t="s">
        <v>263</v>
      </c>
      <c r="N759" t="s">
        <v>46</v>
      </c>
      <c r="P759" t="s">
        <v>47</v>
      </c>
      <c r="R759">
        <v>42195.797731481478</v>
      </c>
      <c r="S759">
        <v>42269.810150462959</v>
      </c>
      <c r="T759" t="s">
        <v>317</v>
      </c>
      <c r="U759" t="s">
        <v>35</v>
      </c>
      <c r="V759" t="s">
        <v>321</v>
      </c>
      <c r="W759" t="s">
        <v>491</v>
      </c>
    </row>
    <row r="760" spans="1:23" x14ac:dyDescent="0.25">
      <c r="A760" t="s">
        <v>633</v>
      </c>
      <c r="B760" s="19">
        <v>8018</v>
      </c>
      <c r="C760" s="2">
        <f>HYPERLINK(URLs!B36 &amp; 65355,65355)</f>
        <v>65355</v>
      </c>
      <c r="D760" t="s">
        <v>2566</v>
      </c>
      <c r="E760" t="s">
        <v>387</v>
      </c>
      <c r="F760" t="s">
        <v>305</v>
      </c>
      <c r="G760" t="s">
        <v>337</v>
      </c>
      <c r="H760" t="s">
        <v>30</v>
      </c>
      <c r="I760" t="s">
        <v>31</v>
      </c>
      <c r="J760" t="s">
        <v>32</v>
      </c>
      <c r="K760" t="s">
        <v>33</v>
      </c>
      <c r="L760" t="s">
        <v>73</v>
      </c>
      <c r="M760" t="s">
        <v>263</v>
      </c>
      <c r="N760" t="s">
        <v>518</v>
      </c>
      <c r="P760" t="s">
        <v>47</v>
      </c>
      <c r="Q760" t="s">
        <v>394</v>
      </c>
      <c r="R760">
        <v>42195.797615740739</v>
      </c>
      <c r="S760">
        <v>42716.783854166664</v>
      </c>
      <c r="T760" t="s">
        <v>317</v>
      </c>
      <c r="U760" t="s">
        <v>35</v>
      </c>
      <c r="V760" t="s">
        <v>321</v>
      </c>
      <c r="W760" t="s">
        <v>65</v>
      </c>
    </row>
    <row r="761" spans="1:23" x14ac:dyDescent="0.25">
      <c r="A761" t="s">
        <v>633</v>
      </c>
      <c r="B761" s="19">
        <v>8018</v>
      </c>
      <c r="C761" s="2">
        <f>HYPERLINK(URLs!B36 &amp; 65354,65354)</f>
        <v>65354</v>
      </c>
      <c r="D761" t="s">
        <v>2565</v>
      </c>
      <c r="E761" t="s">
        <v>445</v>
      </c>
      <c r="F761" t="s">
        <v>305</v>
      </c>
      <c r="G761" t="s">
        <v>337</v>
      </c>
      <c r="H761" t="s">
        <v>30</v>
      </c>
      <c r="I761" t="s">
        <v>31</v>
      </c>
      <c r="J761" t="s">
        <v>32</v>
      </c>
      <c r="K761" t="s">
        <v>44</v>
      </c>
      <c r="L761" t="s">
        <v>73</v>
      </c>
      <c r="M761" t="s">
        <v>263</v>
      </c>
      <c r="N761" t="s">
        <v>46</v>
      </c>
      <c r="P761" t="s">
        <v>47</v>
      </c>
      <c r="R761">
        <v>42195.797500000001</v>
      </c>
      <c r="S761">
        <v>42709.810601851852</v>
      </c>
      <c r="T761" t="s">
        <v>317</v>
      </c>
      <c r="U761" t="s">
        <v>35</v>
      </c>
      <c r="V761" t="s">
        <v>321</v>
      </c>
      <c r="W761" t="s">
        <v>61</v>
      </c>
    </row>
    <row r="762" spans="1:23" x14ac:dyDescent="0.25">
      <c r="A762" t="s">
        <v>633</v>
      </c>
      <c r="B762" s="19">
        <v>8018</v>
      </c>
      <c r="C762" s="2">
        <f>HYPERLINK(URLs!B36 &amp; 65353,65353)</f>
        <v>65353</v>
      </c>
      <c r="D762" t="s">
        <v>2564</v>
      </c>
      <c r="E762" t="s">
        <v>387</v>
      </c>
      <c r="F762" t="s">
        <v>305</v>
      </c>
      <c r="G762" t="s">
        <v>337</v>
      </c>
      <c r="H762" t="s">
        <v>30</v>
      </c>
      <c r="I762" t="s">
        <v>31</v>
      </c>
      <c r="J762" t="s">
        <v>32</v>
      </c>
      <c r="K762" t="s">
        <v>44</v>
      </c>
      <c r="L762" t="s">
        <v>73</v>
      </c>
      <c r="M762" t="s">
        <v>263</v>
      </c>
      <c r="N762" t="s">
        <v>46</v>
      </c>
      <c r="P762" t="s">
        <v>47</v>
      </c>
      <c r="R762">
        <v>42195.797407407408</v>
      </c>
      <c r="S762">
        <v>42678.635787037034</v>
      </c>
      <c r="T762" t="s">
        <v>317</v>
      </c>
      <c r="U762" t="s">
        <v>35</v>
      </c>
      <c r="V762" t="s">
        <v>321</v>
      </c>
      <c r="W762" t="s">
        <v>4147</v>
      </c>
    </row>
    <row r="763" spans="1:23" x14ac:dyDescent="0.25">
      <c r="A763" t="s">
        <v>633</v>
      </c>
      <c r="B763" s="19">
        <v>8018</v>
      </c>
      <c r="C763" s="2">
        <f>HYPERLINK(URLs!B36 &amp; 65352,65352)</f>
        <v>65352</v>
      </c>
      <c r="D763" t="s">
        <v>2563</v>
      </c>
      <c r="E763" t="s">
        <v>387</v>
      </c>
      <c r="F763" t="s">
        <v>305</v>
      </c>
      <c r="G763" t="s">
        <v>337</v>
      </c>
      <c r="H763" t="s">
        <v>30</v>
      </c>
      <c r="I763" t="s">
        <v>31</v>
      </c>
      <c r="J763" t="s">
        <v>32</v>
      </c>
      <c r="K763" t="s">
        <v>44</v>
      </c>
      <c r="L763" t="s">
        <v>73</v>
      </c>
      <c r="M763" t="s">
        <v>263</v>
      </c>
      <c r="N763" t="s">
        <v>46</v>
      </c>
      <c r="P763" t="s">
        <v>47</v>
      </c>
      <c r="R763">
        <v>42195.797314814816</v>
      </c>
      <c r="S763">
        <v>42678.6328125</v>
      </c>
      <c r="T763" t="s">
        <v>317</v>
      </c>
      <c r="U763" t="s">
        <v>35</v>
      </c>
      <c r="V763" t="s">
        <v>321</v>
      </c>
      <c r="W763" t="s">
        <v>3028</v>
      </c>
    </row>
    <row r="764" spans="1:23" x14ac:dyDescent="0.25">
      <c r="A764" t="s">
        <v>633</v>
      </c>
      <c r="B764" s="19">
        <v>8018</v>
      </c>
      <c r="C764" s="2">
        <f>HYPERLINK(URLs!B36 &amp; 65346,65346)</f>
        <v>65346</v>
      </c>
      <c r="D764" t="s">
        <v>396</v>
      </c>
      <c r="E764" t="s">
        <v>387</v>
      </c>
      <c r="F764" t="s">
        <v>305</v>
      </c>
      <c r="G764" t="s">
        <v>395</v>
      </c>
      <c r="H764" t="s">
        <v>30</v>
      </c>
      <c r="I764" t="s">
        <v>31</v>
      </c>
      <c r="J764" t="s">
        <v>32</v>
      </c>
      <c r="K764" t="s">
        <v>33</v>
      </c>
      <c r="L764" t="s">
        <v>73</v>
      </c>
      <c r="M764" t="s">
        <v>263</v>
      </c>
      <c r="N764" t="s">
        <v>46</v>
      </c>
      <c r="P764" t="s">
        <v>394</v>
      </c>
      <c r="Q764" t="s">
        <v>159</v>
      </c>
      <c r="R764">
        <v>42195.69153935185</v>
      </c>
      <c r="S764">
        <v>42759.637777777774</v>
      </c>
      <c r="T764" t="s">
        <v>1</v>
      </c>
      <c r="U764" t="s">
        <v>35</v>
      </c>
      <c r="V764" t="s">
        <v>321</v>
      </c>
      <c r="W764" t="s">
        <v>4098</v>
      </c>
    </row>
    <row r="765" spans="1:23" x14ac:dyDescent="0.25">
      <c r="B765" s="19">
        <v>8031</v>
      </c>
      <c r="C765" s="2">
        <f>HYPERLINK(URLs!B36 &amp; 67887,67887)</f>
        <v>67887</v>
      </c>
      <c r="D765" t="s">
        <v>2670</v>
      </c>
      <c r="E765" t="s">
        <v>2526</v>
      </c>
      <c r="F765" t="s">
        <v>305</v>
      </c>
      <c r="G765" t="s">
        <v>304</v>
      </c>
      <c r="H765" t="s">
        <v>30</v>
      </c>
      <c r="I765" t="s">
        <v>31</v>
      </c>
      <c r="J765" t="s">
        <v>43</v>
      </c>
      <c r="K765" t="s">
        <v>44</v>
      </c>
      <c r="L765" t="s">
        <v>45</v>
      </c>
      <c r="M765" t="s">
        <v>265</v>
      </c>
      <c r="N765" t="s">
        <v>46</v>
      </c>
      <c r="P765" t="s">
        <v>428</v>
      </c>
      <c r="R765">
        <v>42243.209918981483</v>
      </c>
      <c r="S765">
        <v>42930.300069444442</v>
      </c>
      <c r="T765" t="s">
        <v>2526</v>
      </c>
      <c r="U765" t="s">
        <v>35</v>
      </c>
      <c r="V765" t="s">
        <v>35</v>
      </c>
      <c r="W765" t="s">
        <v>428</v>
      </c>
    </row>
    <row r="766" spans="1:23" x14ac:dyDescent="0.25">
      <c r="B766" s="19">
        <v>8049</v>
      </c>
      <c r="C766" s="2">
        <f>HYPERLINK(URLs!B36 &amp; 65761,65761)</f>
        <v>65761</v>
      </c>
      <c r="D766" t="s">
        <v>2578</v>
      </c>
      <c r="E766" t="s">
        <v>139</v>
      </c>
      <c r="F766" t="s">
        <v>305</v>
      </c>
      <c r="G766" t="s">
        <v>328</v>
      </c>
      <c r="H766" t="s">
        <v>54</v>
      </c>
      <c r="I766" t="s">
        <v>68</v>
      </c>
      <c r="J766" t="s">
        <v>43</v>
      </c>
      <c r="K766" t="s">
        <v>33</v>
      </c>
      <c r="L766" t="s">
        <v>73</v>
      </c>
      <c r="M766" t="s">
        <v>263</v>
      </c>
      <c r="N766" t="s">
        <v>46</v>
      </c>
      <c r="P766" t="s">
        <v>1749</v>
      </c>
      <c r="R766">
        <v>42205.575810185182</v>
      </c>
      <c r="S766">
        <v>43007.403877314813</v>
      </c>
      <c r="T766" t="s">
        <v>317</v>
      </c>
      <c r="U766" t="s">
        <v>35</v>
      </c>
      <c r="V766" t="s">
        <v>35</v>
      </c>
      <c r="W766" t="s">
        <v>85</v>
      </c>
    </row>
    <row r="767" spans="1:23" x14ac:dyDescent="0.25">
      <c r="B767" s="19">
        <v>8049</v>
      </c>
      <c r="C767" s="2">
        <f>HYPERLINK(URLs!B36 &amp; 65760,65760)</f>
        <v>65760</v>
      </c>
      <c r="D767" t="s">
        <v>2577</v>
      </c>
      <c r="E767" t="s">
        <v>139</v>
      </c>
      <c r="F767" t="s">
        <v>305</v>
      </c>
      <c r="G767" t="s">
        <v>328</v>
      </c>
      <c r="H767" t="s">
        <v>54</v>
      </c>
      <c r="I767" t="s">
        <v>68</v>
      </c>
      <c r="J767" t="s">
        <v>43</v>
      </c>
      <c r="K767" t="s">
        <v>33</v>
      </c>
      <c r="L767" t="s">
        <v>73</v>
      </c>
      <c r="M767" t="s">
        <v>263</v>
      </c>
      <c r="N767" t="s">
        <v>46</v>
      </c>
      <c r="P767" t="s">
        <v>1749</v>
      </c>
      <c r="R767">
        <v>42205.575706018521</v>
      </c>
      <c r="S767">
        <v>42292.781458333331</v>
      </c>
      <c r="T767" t="s">
        <v>317</v>
      </c>
      <c r="U767" t="s">
        <v>35</v>
      </c>
      <c r="V767" t="s">
        <v>35</v>
      </c>
      <c r="W767" t="s">
        <v>3120</v>
      </c>
    </row>
    <row r="768" spans="1:23" x14ac:dyDescent="0.25">
      <c r="B768" s="19">
        <v>8049</v>
      </c>
      <c r="C768" s="2">
        <f>HYPERLINK(URLs!B36 &amp; 65759,65759)</f>
        <v>65759</v>
      </c>
      <c r="D768" t="s">
        <v>2576</v>
      </c>
      <c r="E768" t="s">
        <v>139</v>
      </c>
      <c r="F768" t="s">
        <v>305</v>
      </c>
      <c r="G768" t="s">
        <v>328</v>
      </c>
      <c r="H768" t="s">
        <v>54</v>
      </c>
      <c r="I768" t="s">
        <v>31</v>
      </c>
      <c r="J768" t="s">
        <v>43</v>
      </c>
      <c r="K768" t="s">
        <v>44</v>
      </c>
      <c r="L768" t="s">
        <v>73</v>
      </c>
      <c r="M768" t="s">
        <v>263</v>
      </c>
      <c r="N768" t="s">
        <v>46</v>
      </c>
      <c r="P768" t="s">
        <v>1749</v>
      </c>
      <c r="R768">
        <v>42205.575590277775</v>
      </c>
      <c r="S768">
        <v>42678.639247685183</v>
      </c>
      <c r="T768" t="s">
        <v>317</v>
      </c>
      <c r="U768" t="s">
        <v>35</v>
      </c>
      <c r="V768" t="s">
        <v>35</v>
      </c>
      <c r="W768" t="s">
        <v>491</v>
      </c>
    </row>
    <row r="769" spans="1:23" x14ac:dyDescent="0.25">
      <c r="B769" s="19">
        <v>8049</v>
      </c>
      <c r="C769" s="2">
        <f>HYPERLINK(URLs!B36 &amp; 65758,65758)</f>
        <v>65758</v>
      </c>
      <c r="D769" t="s">
        <v>2575</v>
      </c>
      <c r="E769" t="s">
        <v>139</v>
      </c>
      <c r="F769" t="s">
        <v>305</v>
      </c>
      <c r="G769" t="s">
        <v>328</v>
      </c>
      <c r="H769" t="s">
        <v>54</v>
      </c>
      <c r="I769" t="s">
        <v>31</v>
      </c>
      <c r="J769" t="s">
        <v>43</v>
      </c>
      <c r="K769" t="s">
        <v>44</v>
      </c>
      <c r="L769" t="s">
        <v>73</v>
      </c>
      <c r="M769" t="s">
        <v>263</v>
      </c>
      <c r="N769" t="s">
        <v>46</v>
      </c>
      <c r="P769" t="s">
        <v>1749</v>
      </c>
      <c r="R769">
        <v>42205.575462962966</v>
      </c>
      <c r="S769">
        <v>42678.639317129629</v>
      </c>
      <c r="T769" t="s">
        <v>317</v>
      </c>
      <c r="U769" t="s">
        <v>35</v>
      </c>
      <c r="V769" t="s">
        <v>35</v>
      </c>
      <c r="W769" t="s">
        <v>3028</v>
      </c>
    </row>
    <row r="770" spans="1:23" x14ac:dyDescent="0.25">
      <c r="B770" s="19">
        <v>8049</v>
      </c>
      <c r="C770" s="2">
        <f>HYPERLINK(URLs!B36 &amp; 65377,65377)</f>
        <v>65377</v>
      </c>
      <c r="D770" t="s">
        <v>2574</v>
      </c>
      <c r="E770" t="s">
        <v>139</v>
      </c>
      <c r="F770" t="s">
        <v>305</v>
      </c>
      <c r="G770" t="s">
        <v>328</v>
      </c>
      <c r="H770" t="s">
        <v>54</v>
      </c>
      <c r="I770" t="s">
        <v>31</v>
      </c>
      <c r="J770" t="s">
        <v>32</v>
      </c>
      <c r="K770" t="s">
        <v>44</v>
      </c>
      <c r="L770" t="s">
        <v>73</v>
      </c>
      <c r="M770" t="s">
        <v>263</v>
      </c>
      <c r="N770" t="s">
        <v>46</v>
      </c>
      <c r="P770" t="s">
        <v>1749</v>
      </c>
      <c r="R770">
        <v>42198.160277777781</v>
      </c>
      <c r="S770">
        <v>42301.206064814818</v>
      </c>
      <c r="T770" t="s">
        <v>450</v>
      </c>
      <c r="U770" t="s">
        <v>35</v>
      </c>
      <c r="V770" t="s">
        <v>35</v>
      </c>
      <c r="W770" t="s">
        <v>4098</v>
      </c>
    </row>
    <row r="771" spans="1:23" x14ac:dyDescent="0.25">
      <c r="B771" s="19">
        <v>8360</v>
      </c>
      <c r="C771" s="2">
        <f>HYPERLINK(URLs!B36 &amp; 66339,66339)</f>
        <v>66339</v>
      </c>
      <c r="D771" t="s">
        <v>3865</v>
      </c>
      <c r="E771" t="s">
        <v>3866</v>
      </c>
      <c r="F771" t="s">
        <v>305</v>
      </c>
      <c r="G771" t="s">
        <v>304</v>
      </c>
      <c r="H771" t="s">
        <v>30</v>
      </c>
      <c r="I771" t="s">
        <v>31</v>
      </c>
      <c r="J771" t="s">
        <v>32</v>
      </c>
      <c r="K771" t="s">
        <v>51</v>
      </c>
      <c r="L771" t="s">
        <v>34</v>
      </c>
      <c r="M771" t="s">
        <v>368</v>
      </c>
      <c r="N771" t="s">
        <v>46</v>
      </c>
      <c r="P771" t="s">
        <v>2180</v>
      </c>
      <c r="Q771" t="s">
        <v>3867</v>
      </c>
      <c r="R771">
        <v>42215.644629629627</v>
      </c>
      <c r="S771">
        <v>43007.432997685188</v>
      </c>
      <c r="T771" t="s">
        <v>1</v>
      </c>
      <c r="U771" t="s">
        <v>35</v>
      </c>
      <c r="V771" t="s">
        <v>321</v>
      </c>
      <c r="W771" t="s">
        <v>4141</v>
      </c>
    </row>
    <row r="772" spans="1:23" x14ac:dyDescent="0.25">
      <c r="A772" t="s">
        <v>633</v>
      </c>
      <c r="B772" s="19">
        <v>8737</v>
      </c>
      <c r="C772" s="2">
        <f>HYPERLINK(URLs!B36 &amp; 69059,69059)</f>
        <v>69059</v>
      </c>
      <c r="D772" t="s">
        <v>2701</v>
      </c>
      <c r="E772" t="s">
        <v>94</v>
      </c>
      <c r="F772" t="s">
        <v>305</v>
      </c>
      <c r="G772" t="s">
        <v>328</v>
      </c>
      <c r="H772" t="s">
        <v>30</v>
      </c>
      <c r="I772" t="s">
        <v>31</v>
      </c>
      <c r="J772" t="s">
        <v>43</v>
      </c>
      <c r="K772" t="s">
        <v>44</v>
      </c>
      <c r="L772" t="s">
        <v>73</v>
      </c>
      <c r="M772" t="s">
        <v>273</v>
      </c>
      <c r="N772" t="s">
        <v>46</v>
      </c>
      <c r="P772" t="s">
        <v>394</v>
      </c>
      <c r="R772">
        <v>42262.462939814817</v>
      </c>
      <c r="S772">
        <v>42678.639039351852</v>
      </c>
      <c r="T772" t="s">
        <v>317</v>
      </c>
      <c r="U772" t="s">
        <v>35</v>
      </c>
      <c r="V772" t="s">
        <v>35</v>
      </c>
      <c r="W772" t="s">
        <v>133</v>
      </c>
    </row>
    <row r="773" spans="1:23" x14ac:dyDescent="0.25">
      <c r="A773" t="s">
        <v>633</v>
      </c>
      <c r="B773" s="19">
        <v>8737</v>
      </c>
      <c r="C773" s="2">
        <f>HYPERLINK(URLs!B36 &amp; 68366,68366)</f>
        <v>68366</v>
      </c>
      <c r="D773" t="s">
        <v>2685</v>
      </c>
      <c r="E773" t="s">
        <v>94</v>
      </c>
      <c r="F773" t="s">
        <v>305</v>
      </c>
      <c r="G773" t="s">
        <v>337</v>
      </c>
      <c r="H773" t="s">
        <v>30</v>
      </c>
      <c r="I773" t="s">
        <v>31</v>
      </c>
      <c r="J773" t="s">
        <v>43</v>
      </c>
      <c r="K773" t="s">
        <v>44</v>
      </c>
      <c r="L773" t="s">
        <v>73</v>
      </c>
      <c r="M773" t="s">
        <v>263</v>
      </c>
      <c r="N773" t="s">
        <v>46</v>
      </c>
      <c r="P773" t="s">
        <v>47</v>
      </c>
      <c r="R773">
        <v>42249.801817129628</v>
      </c>
      <c r="S773">
        <v>42678.637037037035</v>
      </c>
      <c r="T773" t="s">
        <v>317</v>
      </c>
      <c r="U773" t="s">
        <v>35</v>
      </c>
      <c r="V773" t="s">
        <v>35</v>
      </c>
      <c r="W773" t="s">
        <v>4153</v>
      </c>
    </row>
    <row r="774" spans="1:23" x14ac:dyDescent="0.25">
      <c r="A774" t="s">
        <v>633</v>
      </c>
      <c r="B774" s="19">
        <v>8737</v>
      </c>
      <c r="C774" s="2">
        <f>HYPERLINK(URLs!B36 &amp; 66731,66731)</f>
        <v>66731</v>
      </c>
      <c r="D774" t="s">
        <v>2617</v>
      </c>
      <c r="E774" t="s">
        <v>94</v>
      </c>
      <c r="F774" t="s">
        <v>305</v>
      </c>
      <c r="G774" t="s">
        <v>310</v>
      </c>
      <c r="H774" t="s">
        <v>30</v>
      </c>
      <c r="I774" t="s">
        <v>68</v>
      </c>
      <c r="J774" t="s">
        <v>43</v>
      </c>
      <c r="K774" t="s">
        <v>33</v>
      </c>
      <c r="L774" t="s">
        <v>73</v>
      </c>
      <c r="M774" t="s">
        <v>273</v>
      </c>
      <c r="N774" t="s">
        <v>46</v>
      </c>
      <c r="P774" t="s">
        <v>47</v>
      </c>
      <c r="R774">
        <v>42223.269131944442</v>
      </c>
      <c r="S774">
        <v>43007.403877314813</v>
      </c>
      <c r="T774" t="s">
        <v>317</v>
      </c>
      <c r="U774" t="s">
        <v>35</v>
      </c>
      <c r="V774" t="s">
        <v>35</v>
      </c>
      <c r="W774" t="s">
        <v>4145</v>
      </c>
    </row>
    <row r="775" spans="1:23" x14ac:dyDescent="0.25">
      <c r="A775" t="s">
        <v>633</v>
      </c>
      <c r="B775" s="19">
        <v>8737</v>
      </c>
      <c r="C775" s="2">
        <f>HYPERLINK(URLs!B36 &amp; 66730,66730)</f>
        <v>66730</v>
      </c>
      <c r="D775" t="s">
        <v>2616</v>
      </c>
      <c r="E775" t="s">
        <v>94</v>
      </c>
      <c r="F775" t="s">
        <v>305</v>
      </c>
      <c r="G775" t="s">
        <v>310</v>
      </c>
      <c r="H775" t="s">
        <v>30</v>
      </c>
      <c r="I775" t="s">
        <v>68</v>
      </c>
      <c r="J775" t="s">
        <v>43</v>
      </c>
      <c r="K775" t="s">
        <v>33</v>
      </c>
      <c r="L775" t="s">
        <v>73</v>
      </c>
      <c r="M775" t="s">
        <v>273</v>
      </c>
      <c r="N775" t="s">
        <v>46</v>
      </c>
      <c r="P775" t="s">
        <v>47</v>
      </c>
      <c r="R775">
        <v>42223.269085648149</v>
      </c>
      <c r="S775">
        <v>42255.850104166668</v>
      </c>
      <c r="T775" t="s">
        <v>317</v>
      </c>
      <c r="U775" t="s">
        <v>35</v>
      </c>
      <c r="V775" t="s">
        <v>35</v>
      </c>
      <c r="W775" t="s">
        <v>3120</v>
      </c>
    </row>
    <row r="776" spans="1:23" x14ac:dyDescent="0.25">
      <c r="A776" t="s">
        <v>633</v>
      </c>
      <c r="B776" s="19">
        <v>8737</v>
      </c>
      <c r="C776" s="2">
        <f>HYPERLINK(URLs!B36 &amp; 66729,66729)</f>
        <v>66729</v>
      </c>
      <c r="D776" t="s">
        <v>2615</v>
      </c>
      <c r="E776" t="s">
        <v>94</v>
      </c>
      <c r="F776" t="s">
        <v>305</v>
      </c>
      <c r="G776" t="s">
        <v>310</v>
      </c>
      <c r="H776" t="s">
        <v>30</v>
      </c>
      <c r="I776" t="s">
        <v>68</v>
      </c>
      <c r="J776" t="s">
        <v>43</v>
      </c>
      <c r="K776" t="s">
        <v>33</v>
      </c>
      <c r="L776" t="s">
        <v>73</v>
      </c>
      <c r="M776" t="s">
        <v>273</v>
      </c>
      <c r="N776" t="s">
        <v>46</v>
      </c>
      <c r="P776" t="s">
        <v>47</v>
      </c>
      <c r="R776">
        <v>42223.26903935185</v>
      </c>
      <c r="S776">
        <v>42255.850138888891</v>
      </c>
      <c r="T776" t="s">
        <v>317</v>
      </c>
      <c r="U776" t="s">
        <v>35</v>
      </c>
      <c r="V776" t="s">
        <v>35</v>
      </c>
      <c r="W776" t="s">
        <v>491</v>
      </c>
    </row>
    <row r="777" spans="1:23" x14ac:dyDescent="0.25">
      <c r="A777" t="s">
        <v>633</v>
      </c>
      <c r="B777" s="19">
        <v>8737</v>
      </c>
      <c r="C777" s="2">
        <f>HYPERLINK(URLs!B36 &amp; 66728,66728)</f>
        <v>66728</v>
      </c>
      <c r="D777" t="s">
        <v>2614</v>
      </c>
      <c r="E777" t="s">
        <v>94</v>
      </c>
      <c r="F777" t="s">
        <v>305</v>
      </c>
      <c r="G777" t="s">
        <v>328</v>
      </c>
      <c r="H777" t="s">
        <v>30</v>
      </c>
      <c r="I777" t="s">
        <v>31</v>
      </c>
      <c r="J777" t="s">
        <v>43</v>
      </c>
      <c r="K777" t="s">
        <v>44</v>
      </c>
      <c r="L777" t="s">
        <v>73</v>
      </c>
      <c r="M777" t="s">
        <v>273</v>
      </c>
      <c r="N777" t="s">
        <v>518</v>
      </c>
      <c r="P777" t="s">
        <v>47</v>
      </c>
      <c r="R777">
        <v>42223.26898148148</v>
      </c>
      <c r="S777">
        <v>42678.639363425929</v>
      </c>
      <c r="T777" t="s">
        <v>317</v>
      </c>
      <c r="U777" t="s">
        <v>35</v>
      </c>
      <c r="V777" t="s">
        <v>35</v>
      </c>
      <c r="W777" t="s">
        <v>65</v>
      </c>
    </row>
    <row r="778" spans="1:23" x14ac:dyDescent="0.25">
      <c r="A778" t="s">
        <v>633</v>
      </c>
      <c r="B778" s="19">
        <v>8737</v>
      </c>
      <c r="C778" s="2">
        <f>HYPERLINK(URLs!B36 &amp; 66727,66727)</f>
        <v>66727</v>
      </c>
      <c r="D778" t="s">
        <v>2613</v>
      </c>
      <c r="E778" t="s">
        <v>94</v>
      </c>
      <c r="F778" t="s">
        <v>305</v>
      </c>
      <c r="G778" t="s">
        <v>337</v>
      </c>
      <c r="H778" t="s">
        <v>30</v>
      </c>
      <c r="I778" t="s">
        <v>31</v>
      </c>
      <c r="J778" t="s">
        <v>32</v>
      </c>
      <c r="K778" t="s">
        <v>44</v>
      </c>
      <c r="L778" t="s">
        <v>73</v>
      </c>
      <c r="M778" t="s">
        <v>263</v>
      </c>
      <c r="N778" t="s">
        <v>46</v>
      </c>
      <c r="P778" t="s">
        <v>47</v>
      </c>
      <c r="R778">
        <v>42223.268923611111</v>
      </c>
      <c r="S778">
        <v>42709.809803240743</v>
      </c>
      <c r="T778" t="s">
        <v>317</v>
      </c>
      <c r="U778" t="s">
        <v>35</v>
      </c>
      <c r="V778" t="s">
        <v>321</v>
      </c>
      <c r="W778" t="s">
        <v>61</v>
      </c>
    </row>
    <row r="779" spans="1:23" x14ac:dyDescent="0.25">
      <c r="A779" t="s">
        <v>633</v>
      </c>
      <c r="B779" s="19">
        <v>8737</v>
      </c>
      <c r="C779" s="2">
        <f>HYPERLINK(URLs!B36 &amp; 66726,66726)</f>
        <v>66726</v>
      </c>
      <c r="D779" t="s">
        <v>2612</v>
      </c>
      <c r="E779" t="s">
        <v>94</v>
      </c>
      <c r="F779" t="s">
        <v>305</v>
      </c>
      <c r="G779" t="s">
        <v>337</v>
      </c>
      <c r="H779" t="s">
        <v>30</v>
      </c>
      <c r="I779" t="s">
        <v>31</v>
      </c>
      <c r="J779" t="s">
        <v>43</v>
      </c>
      <c r="K779" t="s">
        <v>44</v>
      </c>
      <c r="L779" t="s">
        <v>73</v>
      </c>
      <c r="M779" t="s">
        <v>273</v>
      </c>
      <c r="N779" t="s">
        <v>46</v>
      </c>
      <c r="P779" t="s">
        <v>47</v>
      </c>
      <c r="R779">
        <v>42223.268877314818</v>
      </c>
      <c r="S779">
        <v>42678.635937500003</v>
      </c>
      <c r="T779" t="s">
        <v>317</v>
      </c>
      <c r="U779" t="s">
        <v>35</v>
      </c>
      <c r="V779" t="s">
        <v>35</v>
      </c>
      <c r="W779" t="s">
        <v>4147</v>
      </c>
    </row>
    <row r="780" spans="1:23" x14ac:dyDescent="0.25">
      <c r="A780" t="s">
        <v>633</v>
      </c>
      <c r="B780" s="19">
        <v>8737</v>
      </c>
      <c r="C780" s="2">
        <f>HYPERLINK(URLs!B36 &amp; 66725,66725)</f>
        <v>66725</v>
      </c>
      <c r="D780" t="s">
        <v>2611</v>
      </c>
      <c r="E780" t="s">
        <v>3</v>
      </c>
      <c r="F780" t="s">
        <v>305</v>
      </c>
      <c r="G780" t="s">
        <v>310</v>
      </c>
      <c r="H780" t="s">
        <v>30</v>
      </c>
      <c r="I780" t="s">
        <v>31</v>
      </c>
      <c r="J780" t="s">
        <v>43</v>
      </c>
      <c r="K780" t="s">
        <v>44</v>
      </c>
      <c r="L780" t="s">
        <v>73</v>
      </c>
      <c r="M780" t="s">
        <v>273</v>
      </c>
      <c r="N780" t="s">
        <v>46</v>
      </c>
      <c r="P780" t="s">
        <v>47</v>
      </c>
      <c r="R780">
        <v>42223.268831018519</v>
      </c>
      <c r="S780">
        <v>42255.850127314814</v>
      </c>
      <c r="T780" t="s">
        <v>317</v>
      </c>
      <c r="U780" t="s">
        <v>35</v>
      </c>
      <c r="V780" t="s">
        <v>35</v>
      </c>
      <c r="W780" t="s">
        <v>3028</v>
      </c>
    </row>
    <row r="781" spans="1:23" x14ac:dyDescent="0.25">
      <c r="A781" t="s">
        <v>633</v>
      </c>
      <c r="B781" s="19">
        <v>8737</v>
      </c>
      <c r="C781" s="2">
        <f>HYPERLINK(URLs!B36 &amp; 66724,66724)</f>
        <v>66724</v>
      </c>
      <c r="D781" t="s">
        <v>2610</v>
      </c>
      <c r="E781" t="s">
        <v>94</v>
      </c>
      <c r="F781" t="s">
        <v>305</v>
      </c>
      <c r="G781" t="s">
        <v>337</v>
      </c>
      <c r="H781" t="s">
        <v>30</v>
      </c>
      <c r="I781" t="s">
        <v>31</v>
      </c>
      <c r="J781" t="s">
        <v>43</v>
      </c>
      <c r="K781" t="s">
        <v>44</v>
      </c>
      <c r="L781" t="s">
        <v>73</v>
      </c>
      <c r="M781" t="s">
        <v>273</v>
      </c>
      <c r="N781" t="s">
        <v>46</v>
      </c>
      <c r="P781" t="s">
        <v>47</v>
      </c>
      <c r="R781">
        <v>42223.268784722219</v>
      </c>
      <c r="S781">
        <v>42678.634421296294</v>
      </c>
      <c r="T781" t="s">
        <v>317</v>
      </c>
      <c r="U781" t="s">
        <v>35</v>
      </c>
      <c r="V781" t="s">
        <v>35</v>
      </c>
      <c r="W781" t="s">
        <v>3039</v>
      </c>
    </row>
    <row r="782" spans="1:23" x14ac:dyDescent="0.25">
      <c r="A782" t="s">
        <v>633</v>
      </c>
      <c r="B782" s="19">
        <v>8737</v>
      </c>
      <c r="C782" s="2">
        <f>HYPERLINK(URLs!B36 &amp; 66713,66713)</f>
        <v>66713</v>
      </c>
      <c r="D782" t="s">
        <v>2609</v>
      </c>
      <c r="E782" t="s">
        <v>94</v>
      </c>
      <c r="F782" t="s">
        <v>305</v>
      </c>
      <c r="G782" t="s">
        <v>328</v>
      </c>
      <c r="H782" t="s">
        <v>30</v>
      </c>
      <c r="I782" t="s">
        <v>31</v>
      </c>
      <c r="J782" t="s">
        <v>43</v>
      </c>
      <c r="K782" t="s">
        <v>44</v>
      </c>
      <c r="L782" t="s">
        <v>73</v>
      </c>
      <c r="M782" t="s">
        <v>273</v>
      </c>
      <c r="N782" t="s">
        <v>46</v>
      </c>
      <c r="P782" t="s">
        <v>394</v>
      </c>
      <c r="R782">
        <v>42222.782071759262</v>
      </c>
      <c r="S782">
        <v>42678.639502314814</v>
      </c>
      <c r="T782" t="s">
        <v>3</v>
      </c>
      <c r="U782" t="s">
        <v>35</v>
      </c>
      <c r="V782" t="s">
        <v>35</v>
      </c>
      <c r="W782" t="s">
        <v>4098</v>
      </c>
    </row>
    <row r="783" spans="1:23" x14ac:dyDescent="0.25">
      <c r="B783" s="19">
        <v>8744</v>
      </c>
      <c r="C783" s="2">
        <f>HYPERLINK(URLs!B36 &amp; 68489,68489)</f>
        <v>68489</v>
      </c>
      <c r="D783" t="s">
        <v>2692</v>
      </c>
      <c r="E783" t="s">
        <v>387</v>
      </c>
      <c r="F783" t="s">
        <v>305</v>
      </c>
      <c r="G783" t="s">
        <v>337</v>
      </c>
      <c r="H783" t="s">
        <v>30</v>
      </c>
      <c r="I783" t="s">
        <v>68</v>
      </c>
      <c r="J783" t="s">
        <v>43</v>
      </c>
      <c r="K783" t="s">
        <v>33</v>
      </c>
      <c r="L783" t="s">
        <v>73</v>
      </c>
      <c r="M783" t="s">
        <v>263</v>
      </c>
      <c r="N783" t="s">
        <v>46</v>
      </c>
      <c r="P783" t="s">
        <v>394</v>
      </c>
      <c r="R783">
        <v>42250.871412037035</v>
      </c>
      <c r="S783">
        <v>42290.736157407409</v>
      </c>
      <c r="T783" t="s">
        <v>317</v>
      </c>
      <c r="U783" t="s">
        <v>35</v>
      </c>
      <c r="V783" t="s">
        <v>35</v>
      </c>
      <c r="W783" t="s">
        <v>4153</v>
      </c>
    </row>
    <row r="784" spans="1:23" x14ac:dyDescent="0.25">
      <c r="B784" s="19">
        <v>8744</v>
      </c>
      <c r="C784" s="2">
        <f>HYPERLINK(URLs!B36 &amp; 66418,66418)</f>
        <v>66418</v>
      </c>
      <c r="D784" t="s">
        <v>2606</v>
      </c>
      <c r="E784" t="s">
        <v>387</v>
      </c>
      <c r="F784" t="s">
        <v>305</v>
      </c>
      <c r="G784" t="s">
        <v>304</v>
      </c>
      <c r="H784" t="s">
        <v>30</v>
      </c>
      <c r="I784" t="s">
        <v>68</v>
      </c>
      <c r="J784" t="s">
        <v>43</v>
      </c>
      <c r="K784" t="s">
        <v>33</v>
      </c>
      <c r="L784" t="s">
        <v>73</v>
      </c>
      <c r="M784" t="s">
        <v>263</v>
      </c>
      <c r="N784" t="s">
        <v>46</v>
      </c>
      <c r="O784" t="s">
        <v>2607</v>
      </c>
      <c r="P784" t="s">
        <v>394</v>
      </c>
      <c r="R784">
        <v>42216.911608796298</v>
      </c>
      <c r="S784">
        <v>42759.712997685187</v>
      </c>
      <c r="T784" t="s">
        <v>1</v>
      </c>
      <c r="U784" t="s">
        <v>35</v>
      </c>
      <c r="V784" t="s">
        <v>35</v>
      </c>
      <c r="W784" t="s">
        <v>4098</v>
      </c>
    </row>
    <row r="785" spans="1:23" x14ac:dyDescent="0.25">
      <c r="A785" t="s">
        <v>633</v>
      </c>
      <c r="B785" s="19">
        <v>8746</v>
      </c>
      <c r="C785" s="2">
        <f>HYPERLINK(URLs!B36 &amp; 60386,60386)</f>
        <v>60386</v>
      </c>
      <c r="D785" t="s">
        <v>2421</v>
      </c>
      <c r="E785" t="s">
        <v>194</v>
      </c>
      <c r="F785" t="s">
        <v>305</v>
      </c>
      <c r="G785" t="s">
        <v>304</v>
      </c>
      <c r="H785" t="s">
        <v>30</v>
      </c>
      <c r="I785" t="s">
        <v>31</v>
      </c>
      <c r="J785" t="s">
        <v>43</v>
      </c>
      <c r="K785" t="s">
        <v>51</v>
      </c>
      <c r="L785" t="s">
        <v>195</v>
      </c>
      <c r="M785" t="s">
        <v>324</v>
      </c>
      <c r="N785" t="s">
        <v>46</v>
      </c>
      <c r="P785" t="s">
        <v>394</v>
      </c>
      <c r="R785">
        <v>42107.842175925929</v>
      </c>
      <c r="S785">
        <v>42648.935868055552</v>
      </c>
      <c r="T785" t="s">
        <v>53</v>
      </c>
      <c r="U785" t="s">
        <v>3937</v>
      </c>
      <c r="V785" t="s">
        <v>321</v>
      </c>
      <c r="W785" t="s">
        <v>61</v>
      </c>
    </row>
    <row r="786" spans="1:23" x14ac:dyDescent="0.25">
      <c r="A786" t="s">
        <v>633</v>
      </c>
      <c r="B786" s="19">
        <v>8746</v>
      </c>
      <c r="C786" s="2">
        <f>HYPERLINK(URLs!B36 &amp; 56685,56685)</f>
        <v>56685</v>
      </c>
      <c r="D786" t="s">
        <v>2324</v>
      </c>
      <c r="E786" t="s">
        <v>2325</v>
      </c>
      <c r="F786" t="s">
        <v>305</v>
      </c>
      <c r="G786" t="s">
        <v>304</v>
      </c>
      <c r="H786" t="s">
        <v>30</v>
      </c>
      <c r="I786" t="s">
        <v>31</v>
      </c>
      <c r="J786" t="s">
        <v>43</v>
      </c>
      <c r="K786" t="s">
        <v>51</v>
      </c>
      <c r="L786" t="s">
        <v>195</v>
      </c>
      <c r="M786" t="s">
        <v>324</v>
      </c>
      <c r="N786" t="s">
        <v>46</v>
      </c>
      <c r="P786" t="s">
        <v>437</v>
      </c>
      <c r="R786">
        <v>42041.986504629633</v>
      </c>
      <c r="S786">
        <v>42709.764143518521</v>
      </c>
      <c r="T786" t="s">
        <v>53</v>
      </c>
      <c r="U786" t="s">
        <v>35</v>
      </c>
      <c r="V786" t="s">
        <v>35</v>
      </c>
      <c r="W786" t="s">
        <v>65</v>
      </c>
    </row>
    <row r="787" spans="1:23" x14ac:dyDescent="0.25">
      <c r="A787" t="s">
        <v>633</v>
      </c>
      <c r="B787" s="19">
        <v>8746</v>
      </c>
      <c r="C787" s="2">
        <f>HYPERLINK(URLs!B36 &amp; 54092,54092)</f>
        <v>54092</v>
      </c>
      <c r="D787" t="s">
        <v>2271</v>
      </c>
      <c r="E787" t="s">
        <v>194</v>
      </c>
      <c r="F787" t="s">
        <v>305</v>
      </c>
      <c r="G787" t="s">
        <v>337</v>
      </c>
      <c r="H787" t="s">
        <v>30</v>
      </c>
      <c r="I787" t="s">
        <v>31</v>
      </c>
      <c r="J787" t="s">
        <v>43</v>
      </c>
      <c r="K787" t="s">
        <v>44</v>
      </c>
      <c r="L787" t="s">
        <v>195</v>
      </c>
      <c r="M787" t="s">
        <v>324</v>
      </c>
      <c r="N787" t="s">
        <v>46</v>
      </c>
      <c r="O787" t="s">
        <v>2272</v>
      </c>
      <c r="P787" t="s">
        <v>437</v>
      </c>
      <c r="R787">
        <v>41973.673576388886</v>
      </c>
      <c r="S787">
        <v>42678.63490740741</v>
      </c>
      <c r="T787" t="s">
        <v>53</v>
      </c>
      <c r="U787" t="s">
        <v>35</v>
      </c>
      <c r="V787" t="s">
        <v>321</v>
      </c>
      <c r="W787" t="s">
        <v>4147</v>
      </c>
    </row>
    <row r="788" spans="1:23" x14ac:dyDescent="0.25">
      <c r="A788" t="s">
        <v>633</v>
      </c>
      <c r="B788" s="19">
        <v>8746</v>
      </c>
      <c r="C788" s="2">
        <f>HYPERLINK(URLs!B36 &amp; 52920,52920)</f>
        <v>52920</v>
      </c>
      <c r="D788" t="s">
        <v>439</v>
      </c>
      <c r="E788" t="s">
        <v>194</v>
      </c>
      <c r="F788" t="s">
        <v>305</v>
      </c>
      <c r="G788" t="s">
        <v>304</v>
      </c>
      <c r="H788" t="s">
        <v>30</v>
      </c>
      <c r="I788" t="s">
        <v>31</v>
      </c>
      <c r="J788" t="s">
        <v>43</v>
      </c>
      <c r="K788" t="s">
        <v>51</v>
      </c>
      <c r="L788" t="s">
        <v>195</v>
      </c>
      <c r="M788" t="s">
        <v>324</v>
      </c>
      <c r="N788" t="s">
        <v>46</v>
      </c>
      <c r="P788" t="s">
        <v>437</v>
      </c>
      <c r="R788">
        <v>41953.805925925924</v>
      </c>
      <c r="S788">
        <v>42930.307488425926</v>
      </c>
      <c r="T788" t="s">
        <v>438</v>
      </c>
      <c r="U788" t="s">
        <v>35</v>
      </c>
      <c r="V788" t="s">
        <v>35</v>
      </c>
      <c r="W788" t="s">
        <v>4098</v>
      </c>
    </row>
    <row r="789" spans="1:23" x14ac:dyDescent="0.25">
      <c r="A789" t="s">
        <v>665</v>
      </c>
      <c r="B789" s="19">
        <v>8776</v>
      </c>
      <c r="C789" s="2">
        <f>HYPERLINK(URLs!B36 &amp; 66894,66894)</f>
        <v>66894</v>
      </c>
      <c r="D789" t="s">
        <v>2623</v>
      </c>
      <c r="E789" t="s">
        <v>387</v>
      </c>
      <c r="F789" t="s">
        <v>305</v>
      </c>
      <c r="G789" t="s">
        <v>353</v>
      </c>
      <c r="H789" t="s">
        <v>30</v>
      </c>
      <c r="I789" t="s">
        <v>31</v>
      </c>
      <c r="J789" t="s">
        <v>32</v>
      </c>
      <c r="K789" t="s">
        <v>44</v>
      </c>
      <c r="L789" t="s">
        <v>73</v>
      </c>
      <c r="M789" t="s">
        <v>263</v>
      </c>
      <c r="N789" t="s">
        <v>46</v>
      </c>
      <c r="P789" t="s">
        <v>394</v>
      </c>
      <c r="R789">
        <v>42227.716458333336</v>
      </c>
      <c r="S789">
        <v>42678.634710648148</v>
      </c>
      <c r="T789" t="s">
        <v>317</v>
      </c>
      <c r="U789" t="s">
        <v>35</v>
      </c>
      <c r="V789" t="s">
        <v>321</v>
      </c>
      <c r="W789" t="s">
        <v>65</v>
      </c>
    </row>
    <row r="790" spans="1:23" x14ac:dyDescent="0.25">
      <c r="A790" t="s">
        <v>665</v>
      </c>
      <c r="B790" s="19">
        <v>8776</v>
      </c>
      <c r="C790" s="2">
        <f>HYPERLINK(URLs!B36 &amp; 66893,66893)</f>
        <v>66893</v>
      </c>
      <c r="D790" t="s">
        <v>2622</v>
      </c>
      <c r="E790" t="s">
        <v>387</v>
      </c>
      <c r="F790" t="s">
        <v>305</v>
      </c>
      <c r="G790" t="s">
        <v>353</v>
      </c>
      <c r="H790" t="s">
        <v>30</v>
      </c>
      <c r="I790" t="s">
        <v>31</v>
      </c>
      <c r="J790" t="s">
        <v>32</v>
      </c>
      <c r="K790" t="s">
        <v>44</v>
      </c>
      <c r="L790" t="s">
        <v>73</v>
      </c>
      <c r="M790" t="s">
        <v>263</v>
      </c>
      <c r="N790" t="s">
        <v>46</v>
      </c>
      <c r="P790" t="s">
        <v>394</v>
      </c>
      <c r="R790">
        <v>42227.716377314813</v>
      </c>
      <c r="S790">
        <v>42717.709733796299</v>
      </c>
      <c r="T790" t="s">
        <v>317</v>
      </c>
      <c r="U790" t="s">
        <v>35</v>
      </c>
      <c r="V790" t="s">
        <v>321</v>
      </c>
      <c r="W790" t="s">
        <v>61</v>
      </c>
    </row>
    <row r="791" spans="1:23" x14ac:dyDescent="0.25">
      <c r="A791" t="s">
        <v>665</v>
      </c>
      <c r="B791" s="19">
        <v>8776</v>
      </c>
      <c r="C791" s="2">
        <f>HYPERLINK(URLs!B36 &amp; 66891,66891)</f>
        <v>66891</v>
      </c>
      <c r="D791" t="s">
        <v>2621</v>
      </c>
      <c r="E791" t="s">
        <v>387</v>
      </c>
      <c r="F791" t="s">
        <v>305</v>
      </c>
      <c r="G791" t="s">
        <v>353</v>
      </c>
      <c r="H791" t="s">
        <v>30</v>
      </c>
      <c r="I791" t="s">
        <v>31</v>
      </c>
      <c r="J791" t="s">
        <v>32</v>
      </c>
      <c r="K791" t="s">
        <v>44</v>
      </c>
      <c r="L791" t="s">
        <v>73</v>
      </c>
      <c r="M791" t="s">
        <v>263</v>
      </c>
      <c r="N791" t="s">
        <v>46</v>
      </c>
      <c r="P791" t="s">
        <v>394</v>
      </c>
      <c r="R791">
        <v>42227.684872685182</v>
      </c>
      <c r="S791">
        <v>42678.634386574071</v>
      </c>
      <c r="T791" t="s">
        <v>1</v>
      </c>
      <c r="U791" t="s">
        <v>35</v>
      </c>
      <c r="V791" t="s">
        <v>321</v>
      </c>
      <c r="W791" t="s">
        <v>4098</v>
      </c>
    </row>
    <row r="792" spans="1:23" x14ac:dyDescent="0.25">
      <c r="A792" t="s">
        <v>665</v>
      </c>
      <c r="B792" s="19">
        <v>8776</v>
      </c>
      <c r="C792" s="2">
        <f>HYPERLINK(URLs!B36 &amp; 61078,61078)</f>
        <v>61078</v>
      </c>
      <c r="D792" t="s">
        <v>2428</v>
      </c>
      <c r="E792" t="s">
        <v>291</v>
      </c>
      <c r="F792" t="s">
        <v>305</v>
      </c>
      <c r="G792" t="s">
        <v>304</v>
      </c>
      <c r="H792" t="s">
        <v>30</v>
      </c>
      <c r="I792" t="s">
        <v>31</v>
      </c>
      <c r="J792" t="s">
        <v>32</v>
      </c>
      <c r="K792" t="s">
        <v>44</v>
      </c>
      <c r="L792" t="s">
        <v>96</v>
      </c>
      <c r="M792" t="s">
        <v>269</v>
      </c>
      <c r="N792" t="s">
        <v>46</v>
      </c>
      <c r="P792" t="s">
        <v>394</v>
      </c>
      <c r="R792">
        <v>42116.703553240739</v>
      </c>
      <c r="S792">
        <v>42648.844837962963</v>
      </c>
      <c r="T792" t="s">
        <v>317</v>
      </c>
      <c r="U792" t="s">
        <v>3939</v>
      </c>
      <c r="V792" t="s">
        <v>321</v>
      </c>
      <c r="W792" t="s">
        <v>61</v>
      </c>
    </row>
    <row r="793" spans="1:23" x14ac:dyDescent="0.25">
      <c r="A793" t="s">
        <v>665</v>
      </c>
      <c r="B793" s="19">
        <v>8776</v>
      </c>
      <c r="C793" s="2">
        <f>HYPERLINK(URLs!B36 &amp; 56737,56737)</f>
        <v>56737</v>
      </c>
      <c r="D793" t="s">
        <v>2327</v>
      </c>
      <c r="E793" t="s">
        <v>442</v>
      </c>
      <c r="F793" t="s">
        <v>305</v>
      </c>
      <c r="G793" t="s">
        <v>337</v>
      </c>
      <c r="H793" t="s">
        <v>30</v>
      </c>
      <c r="I793" t="s">
        <v>31</v>
      </c>
      <c r="J793" t="s">
        <v>32</v>
      </c>
      <c r="K793" t="s">
        <v>33</v>
      </c>
      <c r="L793" t="s">
        <v>96</v>
      </c>
      <c r="M793" t="s">
        <v>269</v>
      </c>
      <c r="N793" t="s">
        <v>46</v>
      </c>
      <c r="O793" t="s">
        <v>2328</v>
      </c>
      <c r="P793" t="s">
        <v>2268</v>
      </c>
      <c r="R793">
        <v>42044.802476851852</v>
      </c>
      <c r="S793">
        <v>42709.806354166663</v>
      </c>
      <c r="T793" t="s">
        <v>317</v>
      </c>
      <c r="U793" t="s">
        <v>35</v>
      </c>
      <c r="V793" t="s">
        <v>321</v>
      </c>
      <c r="W793" t="s">
        <v>4147</v>
      </c>
    </row>
    <row r="794" spans="1:23" x14ac:dyDescent="0.25">
      <c r="A794" t="s">
        <v>665</v>
      </c>
      <c r="B794" s="19">
        <v>8776</v>
      </c>
      <c r="C794" s="2">
        <f>HYPERLINK(URLs!B36 &amp; 53653,53653)</f>
        <v>53653</v>
      </c>
      <c r="D794" t="s">
        <v>2270</v>
      </c>
      <c r="E794" t="s">
        <v>442</v>
      </c>
      <c r="F794" t="s">
        <v>305</v>
      </c>
      <c r="G794" t="s">
        <v>310</v>
      </c>
      <c r="H794" t="s">
        <v>30</v>
      </c>
      <c r="I794" t="s">
        <v>31</v>
      </c>
      <c r="J794" t="s">
        <v>32</v>
      </c>
      <c r="K794" t="s">
        <v>1733</v>
      </c>
      <c r="L794" t="s">
        <v>96</v>
      </c>
      <c r="M794" t="s">
        <v>269</v>
      </c>
      <c r="N794" t="s">
        <v>46</v>
      </c>
      <c r="P794" t="s">
        <v>2268</v>
      </c>
      <c r="R794">
        <v>41963.623576388891</v>
      </c>
      <c r="S794">
        <v>42678.634305555555</v>
      </c>
      <c r="T794" t="s">
        <v>2194</v>
      </c>
      <c r="U794" t="s">
        <v>35</v>
      </c>
      <c r="V794" t="s">
        <v>35</v>
      </c>
      <c r="W794" t="s">
        <v>428</v>
      </c>
    </row>
    <row r="795" spans="1:23" x14ac:dyDescent="0.25">
      <c r="A795" t="s">
        <v>665</v>
      </c>
      <c r="B795" s="19">
        <v>8776</v>
      </c>
      <c r="C795" s="2">
        <f>HYPERLINK(URLs!B36 &amp; 53652,53652)</f>
        <v>53652</v>
      </c>
      <c r="D795" t="s">
        <v>2269</v>
      </c>
      <c r="E795" t="s">
        <v>442</v>
      </c>
      <c r="F795" t="s">
        <v>305</v>
      </c>
      <c r="G795" t="s">
        <v>304</v>
      </c>
      <c r="H795" t="s">
        <v>30</v>
      </c>
      <c r="I795" t="s">
        <v>31</v>
      </c>
      <c r="J795" t="s">
        <v>32</v>
      </c>
      <c r="K795" t="s">
        <v>44</v>
      </c>
      <c r="L795" t="s">
        <v>96</v>
      </c>
      <c r="M795" t="s">
        <v>269</v>
      </c>
      <c r="N795" t="s">
        <v>518</v>
      </c>
      <c r="P795" t="s">
        <v>394</v>
      </c>
      <c r="R795">
        <v>41963.623460648145</v>
      </c>
      <c r="S795">
        <v>42648.840428240743</v>
      </c>
      <c r="T795" t="s">
        <v>2194</v>
      </c>
      <c r="U795" t="s">
        <v>35</v>
      </c>
      <c r="V795" t="s">
        <v>321</v>
      </c>
      <c r="W795" t="s">
        <v>65</v>
      </c>
    </row>
    <row r="796" spans="1:23" x14ac:dyDescent="0.25">
      <c r="A796" t="s">
        <v>665</v>
      </c>
      <c r="B796" s="19">
        <v>8776</v>
      </c>
      <c r="C796" s="2">
        <f>HYPERLINK(URLs!B36 &amp; 53651,53651)</f>
        <v>53651</v>
      </c>
      <c r="D796" t="s">
        <v>2267</v>
      </c>
      <c r="E796" t="s">
        <v>442</v>
      </c>
      <c r="F796" t="s">
        <v>305</v>
      </c>
      <c r="G796" t="s">
        <v>337</v>
      </c>
      <c r="H796" t="s">
        <v>30</v>
      </c>
      <c r="I796" t="s">
        <v>31</v>
      </c>
      <c r="J796" t="s">
        <v>32</v>
      </c>
      <c r="K796" t="s">
        <v>1733</v>
      </c>
      <c r="L796" t="s">
        <v>96</v>
      </c>
      <c r="M796" t="s">
        <v>269</v>
      </c>
      <c r="N796" t="s">
        <v>46</v>
      </c>
      <c r="P796" t="s">
        <v>2268</v>
      </c>
      <c r="R796">
        <v>41963.623368055552</v>
      </c>
      <c r="S796">
        <v>42678.63486111111</v>
      </c>
      <c r="T796" t="s">
        <v>2194</v>
      </c>
      <c r="U796" t="s">
        <v>35</v>
      </c>
      <c r="V796" t="s">
        <v>35</v>
      </c>
      <c r="W796" t="s">
        <v>4137</v>
      </c>
    </row>
    <row r="797" spans="1:23" x14ac:dyDescent="0.25">
      <c r="A797" t="s">
        <v>665</v>
      </c>
      <c r="B797" s="19">
        <v>8776</v>
      </c>
      <c r="C797" s="2">
        <f>HYPERLINK(URLs!B36 &amp; 52720,52720)</f>
        <v>52720</v>
      </c>
      <c r="D797" t="s">
        <v>441</v>
      </c>
      <c r="E797" t="s">
        <v>442</v>
      </c>
      <c r="F797" t="s">
        <v>305</v>
      </c>
      <c r="G797" t="s">
        <v>304</v>
      </c>
      <c r="H797" t="s">
        <v>30</v>
      </c>
      <c r="I797" t="s">
        <v>31</v>
      </c>
      <c r="J797" t="s">
        <v>32</v>
      </c>
      <c r="K797" t="s">
        <v>33</v>
      </c>
      <c r="L797" t="s">
        <v>96</v>
      </c>
      <c r="M797" t="s">
        <v>269</v>
      </c>
      <c r="N797" t="s">
        <v>46</v>
      </c>
      <c r="P797" t="s">
        <v>394</v>
      </c>
      <c r="R797">
        <v>41948.924259259256</v>
      </c>
      <c r="S797">
        <v>43007.405034722222</v>
      </c>
      <c r="T797" t="s">
        <v>440</v>
      </c>
      <c r="U797" t="s">
        <v>35</v>
      </c>
      <c r="V797" t="s">
        <v>321</v>
      </c>
      <c r="W797" t="s">
        <v>4098</v>
      </c>
    </row>
    <row r="798" spans="1:23" x14ac:dyDescent="0.25">
      <c r="A798" t="s">
        <v>665</v>
      </c>
      <c r="B798" s="19">
        <v>8789</v>
      </c>
      <c r="C798" s="2">
        <f>HYPERLINK(URLs!B36 &amp; 69738,69738)</f>
        <v>69738</v>
      </c>
      <c r="D798" t="s">
        <v>2710</v>
      </c>
      <c r="E798" t="s">
        <v>2002</v>
      </c>
      <c r="F798" t="s">
        <v>305</v>
      </c>
      <c r="G798" t="s">
        <v>304</v>
      </c>
      <c r="H798" t="s">
        <v>30</v>
      </c>
      <c r="I798" t="s">
        <v>31</v>
      </c>
      <c r="J798" t="s">
        <v>32</v>
      </c>
      <c r="K798" t="s">
        <v>44</v>
      </c>
      <c r="L798" t="s">
        <v>34</v>
      </c>
      <c r="M798" t="s">
        <v>1853</v>
      </c>
      <c r="N798" t="s">
        <v>46</v>
      </c>
      <c r="P798" t="s">
        <v>2679</v>
      </c>
      <c r="R798">
        <v>42271.751273148147</v>
      </c>
      <c r="S798">
        <v>43332.414571759262</v>
      </c>
      <c r="T798" t="s">
        <v>39</v>
      </c>
      <c r="U798" t="s">
        <v>35</v>
      </c>
      <c r="V798" t="s">
        <v>321</v>
      </c>
      <c r="W798" t="s">
        <v>4148</v>
      </c>
    </row>
    <row r="799" spans="1:23" x14ac:dyDescent="0.25">
      <c r="A799" t="s">
        <v>665</v>
      </c>
      <c r="B799" s="19">
        <v>8789</v>
      </c>
      <c r="C799" s="2">
        <f>HYPERLINK(URLs!B36 &amp; 66819,66819)</f>
        <v>66819</v>
      </c>
      <c r="D799" t="s">
        <v>2619</v>
      </c>
      <c r="E799" t="s">
        <v>39</v>
      </c>
      <c r="F799" t="s">
        <v>305</v>
      </c>
      <c r="G799" t="s">
        <v>353</v>
      </c>
      <c r="H799" t="s">
        <v>30</v>
      </c>
      <c r="I799" t="s">
        <v>2156</v>
      </c>
      <c r="J799" t="s">
        <v>32</v>
      </c>
      <c r="K799" t="s">
        <v>2156</v>
      </c>
      <c r="L799" t="s">
        <v>34</v>
      </c>
      <c r="M799" t="s">
        <v>258</v>
      </c>
      <c r="N799" t="s">
        <v>2508</v>
      </c>
      <c r="O799" t="s">
        <v>2620</v>
      </c>
      <c r="P799" t="s">
        <v>2216</v>
      </c>
      <c r="R799">
        <v>42226.486342592594</v>
      </c>
      <c r="S799">
        <v>42678.642002314817</v>
      </c>
      <c r="T799" t="s">
        <v>2509</v>
      </c>
      <c r="U799" t="s">
        <v>35</v>
      </c>
      <c r="V799" t="s">
        <v>321</v>
      </c>
      <c r="W799" t="s">
        <v>4126</v>
      </c>
    </row>
    <row r="800" spans="1:23" x14ac:dyDescent="0.25">
      <c r="A800" t="s">
        <v>665</v>
      </c>
      <c r="B800" s="19">
        <v>8824</v>
      </c>
      <c r="C800" s="2">
        <f>HYPERLINK(URLs!B36 &amp; 113462,113462)</f>
        <v>113462</v>
      </c>
      <c r="D800" t="s">
        <v>4430</v>
      </c>
      <c r="E800" t="s">
        <v>387</v>
      </c>
      <c r="F800" t="s">
        <v>305</v>
      </c>
      <c r="G800" t="s">
        <v>310</v>
      </c>
      <c r="H800" t="s">
        <v>116</v>
      </c>
      <c r="I800" t="s">
        <v>31</v>
      </c>
      <c r="J800" t="s">
        <v>32</v>
      </c>
      <c r="K800" t="s">
        <v>51</v>
      </c>
      <c r="L800" t="s">
        <v>73</v>
      </c>
      <c r="M800" t="s">
        <v>263</v>
      </c>
      <c r="N800" t="s">
        <v>60</v>
      </c>
      <c r="P800" t="s">
        <v>47</v>
      </c>
      <c r="Q800" t="s">
        <v>159</v>
      </c>
      <c r="R800">
        <v>43231.357361111113</v>
      </c>
      <c r="S800">
        <v>43307.617314814815</v>
      </c>
      <c r="T800" t="s">
        <v>171</v>
      </c>
      <c r="U800" t="s">
        <v>35</v>
      </c>
      <c r="V800" t="s">
        <v>321</v>
      </c>
      <c r="W800" t="s">
        <v>4171</v>
      </c>
    </row>
    <row r="801" spans="1:23" x14ac:dyDescent="0.25">
      <c r="A801" t="s">
        <v>665</v>
      </c>
      <c r="B801" s="19">
        <v>8824</v>
      </c>
      <c r="C801" s="2">
        <f>HYPERLINK(URLs!B36 &amp; 79784,79784)</f>
        <v>79784</v>
      </c>
      <c r="D801" t="s">
        <v>3064</v>
      </c>
      <c r="E801" t="s">
        <v>91</v>
      </c>
      <c r="F801" t="s">
        <v>305</v>
      </c>
      <c r="G801" t="s">
        <v>304</v>
      </c>
      <c r="H801" t="s">
        <v>54</v>
      </c>
      <c r="I801" t="s">
        <v>31</v>
      </c>
      <c r="J801" t="s">
        <v>32</v>
      </c>
      <c r="K801" t="s">
        <v>51</v>
      </c>
      <c r="L801" t="s">
        <v>73</v>
      </c>
      <c r="M801" t="s">
        <v>263</v>
      </c>
      <c r="N801" t="s">
        <v>518</v>
      </c>
      <c r="P801" t="s">
        <v>47</v>
      </c>
      <c r="Q801" t="s">
        <v>159</v>
      </c>
      <c r="R801">
        <v>42459.281458333331</v>
      </c>
      <c r="S801">
        <v>42948.938587962963</v>
      </c>
      <c r="T801" t="s">
        <v>361</v>
      </c>
      <c r="U801" t="s">
        <v>35</v>
      </c>
      <c r="V801" t="s">
        <v>321</v>
      </c>
      <c r="W801" t="s">
        <v>69</v>
      </c>
    </row>
    <row r="802" spans="1:23" x14ac:dyDescent="0.25">
      <c r="A802" t="s">
        <v>665</v>
      </c>
      <c r="B802" s="19">
        <v>8824</v>
      </c>
      <c r="C802" s="2">
        <f>HYPERLINK(URLs!B36 &amp; 76257,76257)</f>
        <v>76257</v>
      </c>
      <c r="D802" t="s">
        <v>2923</v>
      </c>
      <c r="E802" t="s">
        <v>131</v>
      </c>
      <c r="F802" t="s">
        <v>305</v>
      </c>
      <c r="G802" t="s">
        <v>337</v>
      </c>
      <c r="H802" t="s">
        <v>30</v>
      </c>
      <c r="I802" t="s">
        <v>31</v>
      </c>
      <c r="J802" t="s">
        <v>32</v>
      </c>
      <c r="K802" t="s">
        <v>51</v>
      </c>
      <c r="L802" t="s">
        <v>73</v>
      </c>
      <c r="M802" t="s">
        <v>263</v>
      </c>
      <c r="N802" t="s">
        <v>46</v>
      </c>
      <c r="P802" t="s">
        <v>47</v>
      </c>
      <c r="Q802" t="s">
        <v>159</v>
      </c>
      <c r="R802">
        <v>42397.822905092595</v>
      </c>
      <c r="S802">
        <v>42745.156643518516</v>
      </c>
      <c r="T802" t="s">
        <v>317</v>
      </c>
      <c r="U802" t="s">
        <v>35</v>
      </c>
      <c r="V802" t="s">
        <v>321</v>
      </c>
      <c r="W802" t="s">
        <v>4156</v>
      </c>
    </row>
    <row r="803" spans="1:23" x14ac:dyDescent="0.25">
      <c r="A803" t="s">
        <v>665</v>
      </c>
      <c r="B803" s="19">
        <v>8824</v>
      </c>
      <c r="C803" s="2">
        <f>HYPERLINK(URLs!B36 &amp; 75649,75649)</f>
        <v>75649</v>
      </c>
      <c r="D803" t="s">
        <v>2891</v>
      </c>
      <c r="E803" t="s">
        <v>91</v>
      </c>
      <c r="F803" t="s">
        <v>305</v>
      </c>
      <c r="G803" t="s">
        <v>337</v>
      </c>
      <c r="H803" t="s">
        <v>54</v>
      </c>
      <c r="I803" t="s">
        <v>31</v>
      </c>
      <c r="J803" t="s">
        <v>32</v>
      </c>
      <c r="K803" t="s">
        <v>51</v>
      </c>
      <c r="L803" t="s">
        <v>73</v>
      </c>
      <c r="M803" t="s">
        <v>263</v>
      </c>
      <c r="N803" t="s">
        <v>518</v>
      </c>
      <c r="O803" t="s">
        <v>132</v>
      </c>
      <c r="P803" t="s">
        <v>47</v>
      </c>
      <c r="Q803" t="s">
        <v>159</v>
      </c>
      <c r="R803">
        <v>42390.811759259261</v>
      </c>
      <c r="S803">
        <v>42830.709560185183</v>
      </c>
      <c r="T803" t="s">
        <v>317</v>
      </c>
      <c r="U803" t="s">
        <v>35</v>
      </c>
      <c r="V803" t="s">
        <v>321</v>
      </c>
      <c r="W803" t="s">
        <v>133</v>
      </c>
    </row>
    <row r="804" spans="1:23" x14ac:dyDescent="0.25">
      <c r="A804" t="s">
        <v>665</v>
      </c>
      <c r="B804" s="19">
        <v>8824</v>
      </c>
      <c r="C804" s="2">
        <f>HYPERLINK(URLs!B36 &amp; 67218,67218)</f>
        <v>67218</v>
      </c>
      <c r="D804" t="s">
        <v>2633</v>
      </c>
      <c r="E804" t="s">
        <v>387</v>
      </c>
      <c r="F804" t="s">
        <v>305</v>
      </c>
      <c r="G804" t="s">
        <v>310</v>
      </c>
      <c r="H804" t="s">
        <v>30</v>
      </c>
      <c r="I804" t="s">
        <v>31</v>
      </c>
      <c r="J804" t="s">
        <v>32</v>
      </c>
      <c r="K804" t="s">
        <v>33</v>
      </c>
      <c r="L804" t="s">
        <v>73</v>
      </c>
      <c r="M804" t="s">
        <v>263</v>
      </c>
      <c r="N804" t="s">
        <v>46</v>
      </c>
      <c r="P804" t="s">
        <v>47</v>
      </c>
      <c r="R804">
        <v>42233.769629629627</v>
      </c>
      <c r="S804">
        <v>42473.52753472222</v>
      </c>
      <c r="T804" t="s">
        <v>317</v>
      </c>
      <c r="U804" t="s">
        <v>35</v>
      </c>
      <c r="V804" t="s">
        <v>321</v>
      </c>
      <c r="W804" t="s">
        <v>4145</v>
      </c>
    </row>
    <row r="805" spans="1:23" x14ac:dyDescent="0.25">
      <c r="A805" t="s">
        <v>665</v>
      </c>
      <c r="B805" s="19">
        <v>8824</v>
      </c>
      <c r="C805" s="2">
        <f>HYPERLINK(URLs!B36 &amp; 67217,67217)</f>
        <v>67217</v>
      </c>
      <c r="D805" t="s">
        <v>2632</v>
      </c>
      <c r="E805" t="s">
        <v>387</v>
      </c>
      <c r="F805" t="s">
        <v>305</v>
      </c>
      <c r="G805" t="s">
        <v>310</v>
      </c>
      <c r="H805" t="s">
        <v>30</v>
      </c>
      <c r="I805" t="s">
        <v>31</v>
      </c>
      <c r="J805" t="s">
        <v>32</v>
      </c>
      <c r="K805" t="s">
        <v>33</v>
      </c>
      <c r="L805" t="s">
        <v>73</v>
      </c>
      <c r="M805" t="s">
        <v>263</v>
      </c>
      <c r="N805" t="s">
        <v>46</v>
      </c>
      <c r="P805" t="s">
        <v>47</v>
      </c>
      <c r="R805">
        <v>42233.769560185188</v>
      </c>
      <c r="S805">
        <v>42473.527453703704</v>
      </c>
      <c r="T805" t="s">
        <v>317</v>
      </c>
      <c r="U805" t="s">
        <v>35</v>
      </c>
      <c r="V805" t="s">
        <v>321</v>
      </c>
      <c r="W805" t="s">
        <v>2708</v>
      </c>
    </row>
    <row r="806" spans="1:23" x14ac:dyDescent="0.25">
      <c r="A806" t="s">
        <v>665</v>
      </c>
      <c r="B806" s="19">
        <v>8824</v>
      </c>
      <c r="C806" s="2">
        <f>HYPERLINK(URLs!B36 &amp; 67216,67216)</f>
        <v>67216</v>
      </c>
      <c r="D806" t="s">
        <v>2631</v>
      </c>
      <c r="E806" t="s">
        <v>387</v>
      </c>
      <c r="F806" t="s">
        <v>305</v>
      </c>
      <c r="G806" t="s">
        <v>310</v>
      </c>
      <c r="H806" t="s">
        <v>30</v>
      </c>
      <c r="I806" t="s">
        <v>31</v>
      </c>
      <c r="J806" t="s">
        <v>32</v>
      </c>
      <c r="K806" t="s">
        <v>33</v>
      </c>
      <c r="L806" t="s">
        <v>73</v>
      </c>
      <c r="M806" t="s">
        <v>263</v>
      </c>
      <c r="N806" t="s">
        <v>46</v>
      </c>
      <c r="P806" t="s">
        <v>47</v>
      </c>
      <c r="R806">
        <v>42233.769502314812</v>
      </c>
      <c r="S806">
        <v>42473.527349537035</v>
      </c>
      <c r="T806" t="s">
        <v>317</v>
      </c>
      <c r="U806" t="s">
        <v>35</v>
      </c>
      <c r="V806" t="s">
        <v>321</v>
      </c>
      <c r="W806" t="s">
        <v>491</v>
      </c>
    </row>
    <row r="807" spans="1:23" x14ac:dyDescent="0.25">
      <c r="A807" t="s">
        <v>665</v>
      </c>
      <c r="B807" s="19">
        <v>8824</v>
      </c>
      <c r="C807" s="2">
        <f>HYPERLINK(URLs!B36 &amp; 67215,67215)</f>
        <v>67215</v>
      </c>
      <c r="D807" t="s">
        <v>2630</v>
      </c>
      <c r="E807" t="s">
        <v>387</v>
      </c>
      <c r="F807" t="s">
        <v>305</v>
      </c>
      <c r="G807" t="s">
        <v>337</v>
      </c>
      <c r="H807" t="s">
        <v>30</v>
      </c>
      <c r="I807" t="s">
        <v>31</v>
      </c>
      <c r="J807" t="s">
        <v>32</v>
      </c>
      <c r="K807" t="s">
        <v>33</v>
      </c>
      <c r="L807" t="s">
        <v>73</v>
      </c>
      <c r="M807" t="s">
        <v>263</v>
      </c>
      <c r="N807" t="s">
        <v>60</v>
      </c>
      <c r="P807" t="s">
        <v>47</v>
      </c>
      <c r="Q807" t="s">
        <v>394</v>
      </c>
      <c r="R807">
        <v>42233.769444444442</v>
      </c>
      <c r="S807">
        <v>42678.651412037034</v>
      </c>
      <c r="T807" t="s">
        <v>317</v>
      </c>
      <c r="U807" t="s">
        <v>35</v>
      </c>
      <c r="V807" t="s">
        <v>321</v>
      </c>
      <c r="W807" t="s">
        <v>65</v>
      </c>
    </row>
    <row r="808" spans="1:23" x14ac:dyDescent="0.25">
      <c r="A808" t="s">
        <v>665</v>
      </c>
      <c r="B808" s="19">
        <v>8824</v>
      </c>
      <c r="C808" s="2">
        <f>HYPERLINK(URLs!B36 &amp; 67214,67214)</f>
        <v>67214</v>
      </c>
      <c r="D808" t="s">
        <v>2629</v>
      </c>
      <c r="E808" t="s">
        <v>94</v>
      </c>
      <c r="F808" t="s">
        <v>305</v>
      </c>
      <c r="G808" t="s">
        <v>304</v>
      </c>
      <c r="H808" t="s">
        <v>30</v>
      </c>
      <c r="I808" t="s">
        <v>31</v>
      </c>
      <c r="J808" t="s">
        <v>32</v>
      </c>
      <c r="K808" t="s">
        <v>33</v>
      </c>
      <c r="L808" t="s">
        <v>73</v>
      </c>
      <c r="M808" t="s">
        <v>263</v>
      </c>
      <c r="N808" t="s">
        <v>46</v>
      </c>
      <c r="P808" t="s">
        <v>47</v>
      </c>
      <c r="R808">
        <v>42233.769375000003</v>
      </c>
      <c r="S808">
        <v>42648.762638888889</v>
      </c>
      <c r="T808" t="s">
        <v>317</v>
      </c>
      <c r="U808" t="s">
        <v>3946</v>
      </c>
      <c r="V808" t="s">
        <v>321</v>
      </c>
      <c r="W808" t="s">
        <v>61</v>
      </c>
    </row>
    <row r="809" spans="1:23" x14ac:dyDescent="0.25">
      <c r="A809" t="s">
        <v>665</v>
      </c>
      <c r="B809" s="19">
        <v>8824</v>
      </c>
      <c r="C809" s="2">
        <f>HYPERLINK(URLs!B36 &amp; 67213,67213)</f>
        <v>67213</v>
      </c>
      <c r="D809" t="s">
        <v>2628</v>
      </c>
      <c r="E809" t="s">
        <v>387</v>
      </c>
      <c r="F809" t="s">
        <v>305</v>
      </c>
      <c r="G809" t="s">
        <v>337</v>
      </c>
      <c r="H809" t="s">
        <v>30</v>
      </c>
      <c r="I809" t="s">
        <v>31</v>
      </c>
      <c r="J809" t="s">
        <v>32</v>
      </c>
      <c r="K809" t="s">
        <v>33</v>
      </c>
      <c r="L809" t="s">
        <v>73</v>
      </c>
      <c r="M809" t="s">
        <v>263</v>
      </c>
      <c r="N809" t="s">
        <v>46</v>
      </c>
      <c r="P809" t="s">
        <v>47</v>
      </c>
      <c r="R809">
        <v>42233.769317129627</v>
      </c>
      <c r="S809">
        <v>42678.65185185185</v>
      </c>
      <c r="T809" t="s">
        <v>317</v>
      </c>
      <c r="U809" t="s">
        <v>35</v>
      </c>
      <c r="V809" t="s">
        <v>321</v>
      </c>
      <c r="W809" t="s">
        <v>4147</v>
      </c>
    </row>
    <row r="810" spans="1:23" x14ac:dyDescent="0.25">
      <c r="A810" t="s">
        <v>665</v>
      </c>
      <c r="B810" s="19">
        <v>8824</v>
      </c>
      <c r="C810" s="2">
        <f>HYPERLINK(URLs!B36 &amp; 67212,67212)</f>
        <v>67212</v>
      </c>
      <c r="D810" t="s">
        <v>2627</v>
      </c>
      <c r="E810" t="s">
        <v>72</v>
      </c>
      <c r="F810" t="s">
        <v>305</v>
      </c>
      <c r="G810" t="s">
        <v>337</v>
      </c>
      <c r="H810" t="s">
        <v>30</v>
      </c>
      <c r="I810" t="s">
        <v>31</v>
      </c>
      <c r="J810" t="s">
        <v>32</v>
      </c>
      <c r="K810" t="s">
        <v>33</v>
      </c>
      <c r="L810" t="s">
        <v>73</v>
      </c>
      <c r="M810" t="s">
        <v>263</v>
      </c>
      <c r="N810" t="s">
        <v>46</v>
      </c>
      <c r="P810" t="s">
        <v>47</v>
      </c>
      <c r="Q810" t="s">
        <v>47</v>
      </c>
      <c r="R810">
        <v>42233.769247685188</v>
      </c>
      <c r="S810">
        <v>42759.723240740743</v>
      </c>
      <c r="T810" t="s">
        <v>317</v>
      </c>
      <c r="U810" t="s">
        <v>35</v>
      </c>
      <c r="V810" t="s">
        <v>321</v>
      </c>
      <c r="W810" t="s">
        <v>3028</v>
      </c>
    </row>
    <row r="811" spans="1:23" x14ac:dyDescent="0.25">
      <c r="A811" t="s">
        <v>665</v>
      </c>
      <c r="B811" s="19">
        <v>8824</v>
      </c>
      <c r="C811" s="2">
        <f>HYPERLINK(URLs!B36 &amp; 67211,67211)</f>
        <v>67211</v>
      </c>
      <c r="D811" t="s">
        <v>2625</v>
      </c>
      <c r="E811" t="s">
        <v>387</v>
      </c>
      <c r="F811" t="s">
        <v>305</v>
      </c>
      <c r="G811" t="s">
        <v>310</v>
      </c>
      <c r="H811" t="s">
        <v>30</v>
      </c>
      <c r="I811" t="s">
        <v>31</v>
      </c>
      <c r="J811" t="s">
        <v>32</v>
      </c>
      <c r="K811" t="s">
        <v>33</v>
      </c>
      <c r="L811" t="s">
        <v>73</v>
      </c>
      <c r="M811" t="s">
        <v>263</v>
      </c>
      <c r="N811" t="s">
        <v>46</v>
      </c>
      <c r="P811" t="s">
        <v>47</v>
      </c>
      <c r="R811">
        <v>42233.769189814811</v>
      </c>
      <c r="S811">
        <v>42473.525902777779</v>
      </c>
      <c r="T811" t="s">
        <v>317</v>
      </c>
      <c r="U811" t="s">
        <v>35</v>
      </c>
      <c r="V811" t="s">
        <v>321</v>
      </c>
      <c r="W811" t="s">
        <v>3039</v>
      </c>
    </row>
    <row r="812" spans="1:23" x14ac:dyDescent="0.25">
      <c r="A812" t="s">
        <v>665</v>
      </c>
      <c r="B812" s="19">
        <v>8824</v>
      </c>
      <c r="C812" s="2">
        <f>HYPERLINK(URLs!B36 &amp; 67205,67205)</f>
        <v>67205</v>
      </c>
      <c r="D812" t="s">
        <v>507</v>
      </c>
      <c r="E812" t="s">
        <v>91</v>
      </c>
      <c r="F812" t="s">
        <v>29</v>
      </c>
      <c r="H812" t="s">
        <v>30</v>
      </c>
      <c r="I812" t="s">
        <v>31</v>
      </c>
      <c r="J812" t="s">
        <v>32</v>
      </c>
      <c r="K812" t="s">
        <v>51</v>
      </c>
      <c r="L812" t="s">
        <v>73</v>
      </c>
      <c r="M812" t="s">
        <v>263</v>
      </c>
      <c r="N812" t="s">
        <v>60</v>
      </c>
      <c r="O812" t="s">
        <v>132</v>
      </c>
      <c r="P812" t="s">
        <v>47</v>
      </c>
      <c r="Q812" t="s">
        <v>159</v>
      </c>
      <c r="R812">
        <v>42233.738043981481</v>
      </c>
      <c r="S812">
        <v>43382.661238425928</v>
      </c>
      <c r="T812" t="s">
        <v>1</v>
      </c>
      <c r="U812" t="s">
        <v>35</v>
      </c>
      <c r="V812" t="s">
        <v>321</v>
      </c>
      <c r="W812" t="s">
        <v>4098</v>
      </c>
    </row>
    <row r="813" spans="1:23" x14ac:dyDescent="0.25">
      <c r="B813" s="19">
        <v>8827</v>
      </c>
      <c r="C813" s="2">
        <f>HYPERLINK(URLs!B36 &amp; 67256,67256)</f>
        <v>67256</v>
      </c>
      <c r="D813" t="s">
        <v>2643</v>
      </c>
      <c r="E813" t="s">
        <v>131</v>
      </c>
      <c r="F813" t="s">
        <v>305</v>
      </c>
      <c r="G813" t="s">
        <v>310</v>
      </c>
      <c r="H813" t="s">
        <v>30</v>
      </c>
      <c r="I813" t="s">
        <v>31</v>
      </c>
      <c r="J813" t="s">
        <v>32</v>
      </c>
      <c r="K813" t="s">
        <v>33</v>
      </c>
      <c r="L813" t="s">
        <v>73</v>
      </c>
      <c r="M813" t="s">
        <v>273</v>
      </c>
      <c r="N813" t="s">
        <v>46</v>
      </c>
      <c r="O813" t="s">
        <v>2644</v>
      </c>
      <c r="P813" t="s">
        <v>2552</v>
      </c>
      <c r="R813">
        <v>42234.269699074073</v>
      </c>
      <c r="S813">
        <v>43007.38685185185</v>
      </c>
      <c r="T813" t="s">
        <v>317</v>
      </c>
      <c r="U813" t="s">
        <v>35</v>
      </c>
      <c r="V813" t="s">
        <v>321</v>
      </c>
      <c r="W813" t="s">
        <v>4145</v>
      </c>
    </row>
    <row r="814" spans="1:23" x14ac:dyDescent="0.25">
      <c r="B814" s="19">
        <v>8827</v>
      </c>
      <c r="C814" s="2">
        <f>HYPERLINK(URLs!B36 &amp; 67254,67254)</f>
        <v>67254</v>
      </c>
      <c r="D814" t="s">
        <v>2642</v>
      </c>
      <c r="E814" t="s">
        <v>2194</v>
      </c>
      <c r="F814" t="s">
        <v>305</v>
      </c>
      <c r="G814" t="s">
        <v>337</v>
      </c>
      <c r="H814" t="s">
        <v>30</v>
      </c>
      <c r="I814" t="s">
        <v>31</v>
      </c>
      <c r="J814" t="s">
        <v>32</v>
      </c>
      <c r="K814" t="s">
        <v>33</v>
      </c>
      <c r="L814" t="s">
        <v>73</v>
      </c>
      <c r="M814" t="s">
        <v>273</v>
      </c>
      <c r="N814" t="s">
        <v>46</v>
      </c>
      <c r="P814" t="s">
        <v>2552</v>
      </c>
      <c r="R814">
        <v>42234.269652777781</v>
      </c>
      <c r="S814">
        <v>43007.38685185185</v>
      </c>
      <c r="T814" t="s">
        <v>317</v>
      </c>
      <c r="U814" t="s">
        <v>35</v>
      </c>
      <c r="V814" t="s">
        <v>321</v>
      </c>
      <c r="W814" t="s">
        <v>4144</v>
      </c>
    </row>
    <row r="815" spans="1:23" x14ac:dyDescent="0.25">
      <c r="B815" s="19">
        <v>8827</v>
      </c>
      <c r="C815" s="2">
        <f>HYPERLINK(URLs!B36 &amp; 67253,67253)</f>
        <v>67253</v>
      </c>
      <c r="D815" t="s">
        <v>2641</v>
      </c>
      <c r="E815" t="s">
        <v>131</v>
      </c>
      <c r="F815" t="s">
        <v>305</v>
      </c>
      <c r="G815" t="s">
        <v>337</v>
      </c>
      <c r="H815" t="s">
        <v>30</v>
      </c>
      <c r="I815" t="s">
        <v>31</v>
      </c>
      <c r="J815" t="s">
        <v>32</v>
      </c>
      <c r="K815" t="s">
        <v>33</v>
      </c>
      <c r="L815" t="s">
        <v>73</v>
      </c>
      <c r="M815" t="s">
        <v>273</v>
      </c>
      <c r="N815" t="s">
        <v>46</v>
      </c>
      <c r="P815" t="s">
        <v>2552</v>
      </c>
      <c r="R815">
        <v>42234.269594907404</v>
      </c>
      <c r="S815">
        <v>43007.38685185185</v>
      </c>
      <c r="T815" t="s">
        <v>317</v>
      </c>
      <c r="U815" t="s">
        <v>35</v>
      </c>
      <c r="V815" t="s">
        <v>321</v>
      </c>
      <c r="W815" t="s">
        <v>491</v>
      </c>
    </row>
    <row r="816" spans="1:23" x14ac:dyDescent="0.25">
      <c r="B816" s="19">
        <v>8827</v>
      </c>
      <c r="C816" s="2">
        <f>HYPERLINK(URLs!B36 &amp; 67251,67251)</f>
        <v>67251</v>
      </c>
      <c r="D816" t="s">
        <v>2640</v>
      </c>
      <c r="E816" t="s">
        <v>131</v>
      </c>
      <c r="F816" t="s">
        <v>305</v>
      </c>
      <c r="G816" t="s">
        <v>310</v>
      </c>
      <c r="H816" t="s">
        <v>30</v>
      </c>
      <c r="I816" t="s">
        <v>31</v>
      </c>
      <c r="J816" t="s">
        <v>32</v>
      </c>
      <c r="K816" t="s">
        <v>33</v>
      </c>
      <c r="L816" t="s">
        <v>73</v>
      </c>
      <c r="M816" t="s">
        <v>263</v>
      </c>
      <c r="N816" t="s">
        <v>518</v>
      </c>
      <c r="P816" t="s">
        <v>2552</v>
      </c>
      <c r="R816">
        <v>42234.269525462965</v>
      </c>
      <c r="S816">
        <v>42678.636608796296</v>
      </c>
      <c r="T816" t="s">
        <v>317</v>
      </c>
      <c r="U816" t="s">
        <v>35</v>
      </c>
      <c r="V816" t="s">
        <v>321</v>
      </c>
      <c r="W816" t="s">
        <v>65</v>
      </c>
    </row>
    <row r="817" spans="1:23" x14ac:dyDescent="0.25">
      <c r="B817" s="19">
        <v>8827</v>
      </c>
      <c r="C817" s="2">
        <f>HYPERLINK(URLs!B36 &amp; 67250,67250)</f>
        <v>67250</v>
      </c>
      <c r="D817" t="s">
        <v>2639</v>
      </c>
      <c r="E817" t="s">
        <v>131</v>
      </c>
      <c r="F817" t="s">
        <v>305</v>
      </c>
      <c r="G817" t="s">
        <v>310</v>
      </c>
      <c r="H817" t="s">
        <v>30</v>
      </c>
      <c r="I817" t="s">
        <v>31</v>
      </c>
      <c r="J817" t="s">
        <v>32</v>
      </c>
      <c r="K817" t="s">
        <v>33</v>
      </c>
      <c r="L817" t="s">
        <v>73</v>
      </c>
      <c r="M817" t="s">
        <v>273</v>
      </c>
      <c r="N817" t="s">
        <v>46</v>
      </c>
      <c r="P817" t="s">
        <v>2552</v>
      </c>
      <c r="R817">
        <v>42234.269467592596</v>
      </c>
      <c r="S817">
        <v>42717.707824074074</v>
      </c>
      <c r="T817" t="s">
        <v>317</v>
      </c>
      <c r="U817" t="s">
        <v>35</v>
      </c>
      <c r="V817" t="s">
        <v>321</v>
      </c>
      <c r="W817" t="s">
        <v>61</v>
      </c>
    </row>
    <row r="818" spans="1:23" x14ac:dyDescent="0.25">
      <c r="B818" s="19">
        <v>8827</v>
      </c>
      <c r="C818" s="2">
        <f>HYPERLINK(URLs!B36 &amp; 67249,67249)</f>
        <v>67249</v>
      </c>
      <c r="D818" t="s">
        <v>2638</v>
      </c>
      <c r="E818" t="s">
        <v>131</v>
      </c>
      <c r="F818" t="s">
        <v>305</v>
      </c>
      <c r="G818" t="s">
        <v>337</v>
      </c>
      <c r="H818" t="s">
        <v>30</v>
      </c>
      <c r="I818" t="s">
        <v>31</v>
      </c>
      <c r="J818" t="s">
        <v>32</v>
      </c>
      <c r="K818" t="s">
        <v>33</v>
      </c>
      <c r="L818" t="s">
        <v>73</v>
      </c>
      <c r="M818" t="s">
        <v>273</v>
      </c>
      <c r="N818" t="s">
        <v>46</v>
      </c>
      <c r="P818" t="s">
        <v>2552</v>
      </c>
      <c r="R818">
        <v>42234.269409722219</v>
      </c>
      <c r="S818">
        <v>42678.636076388888</v>
      </c>
      <c r="T818" t="s">
        <v>317</v>
      </c>
      <c r="U818" t="s">
        <v>35</v>
      </c>
      <c r="V818" t="s">
        <v>321</v>
      </c>
      <c r="W818" t="s">
        <v>4147</v>
      </c>
    </row>
    <row r="819" spans="1:23" x14ac:dyDescent="0.25">
      <c r="B819" s="19">
        <v>8827</v>
      </c>
      <c r="C819" s="2">
        <f>HYPERLINK(URLs!B36 &amp; 67248,67248)</f>
        <v>67248</v>
      </c>
      <c r="D819" t="s">
        <v>2637</v>
      </c>
      <c r="E819" t="s">
        <v>131</v>
      </c>
      <c r="F819" t="s">
        <v>305</v>
      </c>
      <c r="G819" t="s">
        <v>328</v>
      </c>
      <c r="H819" t="s">
        <v>30</v>
      </c>
      <c r="I819" t="s">
        <v>31</v>
      </c>
      <c r="J819" t="s">
        <v>32</v>
      </c>
      <c r="K819" t="s">
        <v>33</v>
      </c>
      <c r="L819" t="s">
        <v>73</v>
      </c>
      <c r="M819" t="s">
        <v>273</v>
      </c>
      <c r="N819" t="s">
        <v>46</v>
      </c>
      <c r="P819" t="s">
        <v>2552</v>
      </c>
      <c r="R819">
        <v>42234.269259259258</v>
      </c>
      <c r="S819">
        <v>42678.637384259258</v>
      </c>
      <c r="T819" t="s">
        <v>317</v>
      </c>
      <c r="U819" t="s">
        <v>35</v>
      </c>
      <c r="V819" t="s">
        <v>321</v>
      </c>
      <c r="W819" t="s">
        <v>3028</v>
      </c>
    </row>
    <row r="820" spans="1:23" x14ac:dyDescent="0.25">
      <c r="B820" s="19">
        <v>8827</v>
      </c>
      <c r="C820" s="2">
        <f>HYPERLINK(URLs!B36 &amp; 67247,67247)</f>
        <v>67247</v>
      </c>
      <c r="D820" t="s">
        <v>2636</v>
      </c>
      <c r="E820" t="s">
        <v>131</v>
      </c>
      <c r="F820" t="s">
        <v>305</v>
      </c>
      <c r="G820" t="s">
        <v>328</v>
      </c>
      <c r="H820" t="s">
        <v>30</v>
      </c>
      <c r="I820" t="s">
        <v>31</v>
      </c>
      <c r="J820" t="s">
        <v>32</v>
      </c>
      <c r="K820" t="s">
        <v>33</v>
      </c>
      <c r="L820" t="s">
        <v>73</v>
      </c>
      <c r="M820" t="s">
        <v>273</v>
      </c>
      <c r="N820" t="s">
        <v>46</v>
      </c>
      <c r="P820" t="s">
        <v>2552</v>
      </c>
      <c r="R820">
        <v>42234.269178240742</v>
      </c>
      <c r="S820">
        <v>42678.637604166666</v>
      </c>
      <c r="T820" t="s">
        <v>317</v>
      </c>
      <c r="U820" t="s">
        <v>35</v>
      </c>
      <c r="V820" t="s">
        <v>321</v>
      </c>
      <c r="W820" t="s">
        <v>3039</v>
      </c>
    </row>
    <row r="821" spans="1:23" x14ac:dyDescent="0.25">
      <c r="B821" s="19">
        <v>8827</v>
      </c>
      <c r="C821" s="2">
        <f>HYPERLINK(URLs!B36 &amp; 67242,67242)</f>
        <v>67242</v>
      </c>
      <c r="D821" t="s">
        <v>2635</v>
      </c>
      <c r="E821" t="s">
        <v>131</v>
      </c>
      <c r="F821" t="s">
        <v>305</v>
      </c>
      <c r="G821" t="s">
        <v>337</v>
      </c>
      <c r="H821" t="s">
        <v>30</v>
      </c>
      <c r="I821" t="s">
        <v>31</v>
      </c>
      <c r="J821" t="s">
        <v>32</v>
      </c>
      <c r="K821" t="s">
        <v>33</v>
      </c>
      <c r="L821" t="s">
        <v>73</v>
      </c>
      <c r="M821" t="s">
        <v>273</v>
      </c>
      <c r="N821" t="s">
        <v>46</v>
      </c>
      <c r="P821" t="s">
        <v>2552</v>
      </c>
      <c r="R821">
        <v>42234.091956018521</v>
      </c>
      <c r="S821">
        <v>42503.869386574072</v>
      </c>
      <c r="T821" t="s">
        <v>3</v>
      </c>
      <c r="U821" t="s">
        <v>35</v>
      </c>
      <c r="V821" t="s">
        <v>321</v>
      </c>
      <c r="W821" t="s">
        <v>4098</v>
      </c>
    </row>
    <row r="822" spans="1:23" x14ac:dyDescent="0.25">
      <c r="A822" t="s">
        <v>633</v>
      </c>
      <c r="B822" s="19">
        <v>8869</v>
      </c>
      <c r="C822" s="2">
        <f>HYPERLINK(URLs!B36 &amp; 68367,68367)</f>
        <v>68367</v>
      </c>
      <c r="D822" t="s">
        <v>2686</v>
      </c>
      <c r="E822" t="s">
        <v>139</v>
      </c>
      <c r="F822" t="s">
        <v>305</v>
      </c>
      <c r="G822" t="s">
        <v>337</v>
      </c>
      <c r="H822" t="s">
        <v>30</v>
      </c>
      <c r="I822" t="s">
        <v>31</v>
      </c>
      <c r="J822" t="s">
        <v>32</v>
      </c>
      <c r="K822" t="s">
        <v>44</v>
      </c>
      <c r="L822" t="s">
        <v>73</v>
      </c>
      <c r="M822" t="s">
        <v>263</v>
      </c>
      <c r="N822" t="s">
        <v>46</v>
      </c>
      <c r="P822" t="s">
        <v>47</v>
      </c>
      <c r="R822">
        <v>42249.802118055559</v>
      </c>
      <c r="S822">
        <v>42678.643125000002</v>
      </c>
      <c r="T822" t="s">
        <v>317</v>
      </c>
      <c r="U822" t="s">
        <v>35</v>
      </c>
      <c r="V822" t="s">
        <v>35</v>
      </c>
      <c r="W822" t="s">
        <v>4153</v>
      </c>
    </row>
    <row r="823" spans="1:23" x14ac:dyDescent="0.25">
      <c r="A823" t="s">
        <v>633</v>
      </c>
      <c r="B823" s="19">
        <v>8869</v>
      </c>
      <c r="C823" s="2">
        <f>HYPERLINK(URLs!B36 &amp; 67617,67617)</f>
        <v>67617</v>
      </c>
      <c r="D823" t="s">
        <v>2660</v>
      </c>
      <c r="E823" t="s">
        <v>139</v>
      </c>
      <c r="F823" t="s">
        <v>305</v>
      </c>
      <c r="G823" t="s">
        <v>310</v>
      </c>
      <c r="H823" t="s">
        <v>30</v>
      </c>
      <c r="I823" t="s">
        <v>31</v>
      </c>
      <c r="J823" t="s">
        <v>32</v>
      </c>
      <c r="K823" t="s">
        <v>33</v>
      </c>
      <c r="L823" t="s">
        <v>73</v>
      </c>
      <c r="M823" t="s">
        <v>273</v>
      </c>
      <c r="N823" t="s">
        <v>46</v>
      </c>
      <c r="P823" t="s">
        <v>47</v>
      </c>
      <c r="R823">
        <v>42238.269606481481</v>
      </c>
      <c r="S823">
        <v>42242.601979166669</v>
      </c>
      <c r="T823" t="s">
        <v>317</v>
      </c>
      <c r="U823" t="s">
        <v>35</v>
      </c>
      <c r="V823" t="s">
        <v>35</v>
      </c>
      <c r="W823" t="s">
        <v>4145</v>
      </c>
    </row>
    <row r="824" spans="1:23" x14ac:dyDescent="0.25">
      <c r="A824" t="s">
        <v>633</v>
      </c>
      <c r="B824" s="19">
        <v>8869</v>
      </c>
      <c r="C824" s="2">
        <f>HYPERLINK(URLs!B36 &amp; 67616,67616)</f>
        <v>67616</v>
      </c>
      <c r="D824" t="s">
        <v>2659</v>
      </c>
      <c r="E824" t="s">
        <v>139</v>
      </c>
      <c r="F824" t="s">
        <v>305</v>
      </c>
      <c r="G824" t="s">
        <v>310</v>
      </c>
      <c r="H824" t="s">
        <v>30</v>
      </c>
      <c r="I824" t="s">
        <v>31</v>
      </c>
      <c r="J824" t="s">
        <v>32</v>
      </c>
      <c r="K824" t="s">
        <v>33</v>
      </c>
      <c r="L824" t="s">
        <v>73</v>
      </c>
      <c r="M824" t="s">
        <v>273</v>
      </c>
      <c r="N824" t="s">
        <v>46</v>
      </c>
      <c r="P824" t="s">
        <v>47</v>
      </c>
      <c r="R824">
        <v>42238.269560185188</v>
      </c>
      <c r="S824">
        <v>42244.284930555557</v>
      </c>
      <c r="T824" t="s">
        <v>317</v>
      </c>
      <c r="U824" t="s">
        <v>35</v>
      </c>
      <c r="V824" t="s">
        <v>35</v>
      </c>
      <c r="W824" t="s">
        <v>2708</v>
      </c>
    </row>
    <row r="825" spans="1:23" x14ac:dyDescent="0.25">
      <c r="A825" t="s">
        <v>633</v>
      </c>
      <c r="B825" s="19">
        <v>8869</v>
      </c>
      <c r="C825" s="2">
        <f>HYPERLINK(URLs!B36 &amp; 67615,67615)</f>
        <v>67615</v>
      </c>
      <c r="D825" t="s">
        <v>2658</v>
      </c>
      <c r="E825" t="s">
        <v>139</v>
      </c>
      <c r="F825" t="s">
        <v>305</v>
      </c>
      <c r="G825" t="s">
        <v>310</v>
      </c>
      <c r="H825" t="s">
        <v>30</v>
      </c>
      <c r="I825" t="s">
        <v>31</v>
      </c>
      <c r="J825" t="s">
        <v>32</v>
      </c>
      <c r="K825" t="s">
        <v>33</v>
      </c>
      <c r="L825" t="s">
        <v>73</v>
      </c>
      <c r="M825" t="s">
        <v>273</v>
      </c>
      <c r="N825" t="s">
        <v>46</v>
      </c>
      <c r="P825" t="s">
        <v>47</v>
      </c>
      <c r="R825">
        <v>42238.269513888888</v>
      </c>
      <c r="S825">
        <v>42263.73159722222</v>
      </c>
      <c r="T825" t="s">
        <v>317</v>
      </c>
      <c r="U825" t="s">
        <v>35</v>
      </c>
      <c r="V825" t="s">
        <v>35</v>
      </c>
      <c r="W825" t="s">
        <v>491</v>
      </c>
    </row>
    <row r="826" spans="1:23" x14ac:dyDescent="0.25">
      <c r="A826" t="s">
        <v>633</v>
      </c>
      <c r="B826" s="19">
        <v>8869</v>
      </c>
      <c r="C826" s="2">
        <f>HYPERLINK(URLs!B36 &amp; 67614,67614)</f>
        <v>67614</v>
      </c>
      <c r="D826" t="s">
        <v>2656</v>
      </c>
      <c r="E826" t="s">
        <v>94</v>
      </c>
      <c r="F826" t="s">
        <v>305</v>
      </c>
      <c r="G826" t="s">
        <v>304</v>
      </c>
      <c r="H826" t="s">
        <v>30</v>
      </c>
      <c r="I826" t="s">
        <v>31</v>
      </c>
      <c r="J826" t="s">
        <v>32</v>
      </c>
      <c r="K826" t="s">
        <v>44</v>
      </c>
      <c r="L826" t="s">
        <v>73</v>
      </c>
      <c r="M826" t="s">
        <v>273</v>
      </c>
      <c r="N826" t="s">
        <v>518</v>
      </c>
      <c r="O826" t="s">
        <v>2657</v>
      </c>
      <c r="P826" t="s">
        <v>47</v>
      </c>
      <c r="R826">
        <v>42238.269467592596</v>
      </c>
      <c r="S826">
        <v>42648.84952546296</v>
      </c>
      <c r="T826" t="s">
        <v>317</v>
      </c>
      <c r="U826" t="s">
        <v>3955</v>
      </c>
      <c r="V826" t="s">
        <v>35</v>
      </c>
      <c r="W826" t="s">
        <v>65</v>
      </c>
    </row>
    <row r="827" spans="1:23" x14ac:dyDescent="0.25">
      <c r="A827" t="s">
        <v>633</v>
      </c>
      <c r="B827" s="19">
        <v>8869</v>
      </c>
      <c r="C827" s="2">
        <f>HYPERLINK(URLs!B36 &amp; 67613,67613)</f>
        <v>67613</v>
      </c>
      <c r="D827" t="s">
        <v>2655</v>
      </c>
      <c r="E827" t="s">
        <v>94</v>
      </c>
      <c r="F827" t="s">
        <v>305</v>
      </c>
      <c r="G827" t="s">
        <v>337</v>
      </c>
      <c r="H827" t="s">
        <v>30</v>
      </c>
      <c r="I827" t="s">
        <v>31</v>
      </c>
      <c r="J827" t="s">
        <v>32</v>
      </c>
      <c r="K827" t="s">
        <v>44</v>
      </c>
      <c r="L827" t="s">
        <v>73</v>
      </c>
      <c r="M827" t="s">
        <v>263</v>
      </c>
      <c r="N827" t="s">
        <v>46</v>
      </c>
      <c r="P827" t="s">
        <v>47</v>
      </c>
      <c r="R827">
        <v>42238.269421296296</v>
      </c>
      <c r="S827">
        <v>43007.436412037037</v>
      </c>
      <c r="T827" t="s">
        <v>317</v>
      </c>
      <c r="U827" t="s">
        <v>35</v>
      </c>
      <c r="V827" t="s">
        <v>321</v>
      </c>
      <c r="W827" t="s">
        <v>61</v>
      </c>
    </row>
    <row r="828" spans="1:23" x14ac:dyDescent="0.25">
      <c r="A828" t="s">
        <v>633</v>
      </c>
      <c r="B828" s="19">
        <v>8869</v>
      </c>
      <c r="C828" s="2">
        <f>HYPERLINK(URLs!B36 &amp; 67612,67612)</f>
        <v>67612</v>
      </c>
      <c r="D828" t="s">
        <v>2654</v>
      </c>
      <c r="E828" t="s">
        <v>139</v>
      </c>
      <c r="F828" t="s">
        <v>305</v>
      </c>
      <c r="G828" t="s">
        <v>337</v>
      </c>
      <c r="H828" t="s">
        <v>30</v>
      </c>
      <c r="I828" t="s">
        <v>31</v>
      </c>
      <c r="J828" t="s">
        <v>32</v>
      </c>
      <c r="K828" t="s">
        <v>33</v>
      </c>
      <c r="L828" t="s">
        <v>73</v>
      </c>
      <c r="M828" t="s">
        <v>273</v>
      </c>
      <c r="N828" t="s">
        <v>46</v>
      </c>
      <c r="P828" t="s">
        <v>47</v>
      </c>
      <c r="R828">
        <v>42238.269375000003</v>
      </c>
      <c r="S828">
        <v>42678.63585648148</v>
      </c>
      <c r="T828" t="s">
        <v>317</v>
      </c>
      <c r="U828" t="s">
        <v>35</v>
      </c>
      <c r="V828" t="s">
        <v>35</v>
      </c>
      <c r="W828" t="s">
        <v>4147</v>
      </c>
    </row>
    <row r="829" spans="1:23" x14ac:dyDescent="0.25">
      <c r="A829" t="s">
        <v>633</v>
      </c>
      <c r="B829" s="19">
        <v>8869</v>
      </c>
      <c r="C829" s="2">
        <f>HYPERLINK(URLs!B36 &amp; 67611,67611)</f>
        <v>67611</v>
      </c>
      <c r="D829" t="s">
        <v>2653</v>
      </c>
      <c r="E829" t="s">
        <v>139</v>
      </c>
      <c r="F829" t="s">
        <v>305</v>
      </c>
      <c r="G829" t="s">
        <v>310</v>
      </c>
      <c r="H829" t="s">
        <v>30</v>
      </c>
      <c r="I829" t="s">
        <v>31</v>
      </c>
      <c r="J829" t="s">
        <v>32</v>
      </c>
      <c r="K829" t="s">
        <v>44</v>
      </c>
      <c r="L829" t="s">
        <v>73</v>
      </c>
      <c r="M829" t="s">
        <v>273</v>
      </c>
      <c r="N829" t="s">
        <v>46</v>
      </c>
      <c r="P829" t="s">
        <v>47</v>
      </c>
      <c r="R829">
        <v>42238.269328703704</v>
      </c>
      <c r="S829">
        <v>42256.688622685186</v>
      </c>
      <c r="T829" t="s">
        <v>317</v>
      </c>
      <c r="U829" t="s">
        <v>35</v>
      </c>
      <c r="V829" t="s">
        <v>35</v>
      </c>
      <c r="W829" t="s">
        <v>3028</v>
      </c>
    </row>
    <row r="830" spans="1:23" x14ac:dyDescent="0.25">
      <c r="A830" t="s">
        <v>633</v>
      </c>
      <c r="B830" s="19">
        <v>8869</v>
      </c>
      <c r="C830" s="2">
        <f>HYPERLINK(URLs!B36 &amp; 67610,67610)</f>
        <v>67610</v>
      </c>
      <c r="D830" t="s">
        <v>2652</v>
      </c>
      <c r="E830" t="s">
        <v>139</v>
      </c>
      <c r="F830" t="s">
        <v>305</v>
      </c>
      <c r="G830" t="s">
        <v>310</v>
      </c>
      <c r="H830" t="s">
        <v>30</v>
      </c>
      <c r="I830" t="s">
        <v>31</v>
      </c>
      <c r="J830" t="s">
        <v>32</v>
      </c>
      <c r="K830" t="s">
        <v>44</v>
      </c>
      <c r="L830" t="s">
        <v>73</v>
      </c>
      <c r="M830" t="s">
        <v>273</v>
      </c>
      <c r="N830" t="s">
        <v>46</v>
      </c>
      <c r="P830" t="s">
        <v>47</v>
      </c>
      <c r="R830">
        <v>42238.269259259258</v>
      </c>
      <c r="S830">
        <v>42256.688483796293</v>
      </c>
      <c r="T830" t="s">
        <v>317</v>
      </c>
      <c r="U830" t="s">
        <v>35</v>
      </c>
      <c r="V830" t="s">
        <v>35</v>
      </c>
      <c r="W830" t="s">
        <v>3039</v>
      </c>
    </row>
    <row r="831" spans="1:23" x14ac:dyDescent="0.25">
      <c r="A831" t="s">
        <v>633</v>
      </c>
      <c r="B831" s="19">
        <v>8869</v>
      </c>
      <c r="C831" s="2">
        <f>HYPERLINK(URLs!B36 &amp; 67608,67608)</f>
        <v>67608</v>
      </c>
      <c r="D831" t="s">
        <v>393</v>
      </c>
      <c r="E831" t="s">
        <v>94</v>
      </c>
      <c r="F831" t="s">
        <v>305</v>
      </c>
      <c r="G831" t="s">
        <v>304</v>
      </c>
      <c r="H831" t="s">
        <v>30</v>
      </c>
      <c r="I831" t="s">
        <v>31</v>
      </c>
      <c r="J831" t="s">
        <v>32</v>
      </c>
      <c r="K831" t="s">
        <v>44</v>
      </c>
      <c r="L831" t="s">
        <v>73</v>
      </c>
      <c r="M831" t="s">
        <v>273</v>
      </c>
      <c r="N831" t="s">
        <v>46</v>
      </c>
      <c r="P831" t="s">
        <v>47</v>
      </c>
      <c r="R831">
        <v>42238.131064814814</v>
      </c>
      <c r="S831">
        <v>42832.253564814811</v>
      </c>
      <c r="T831" t="s">
        <v>3</v>
      </c>
      <c r="U831" t="s">
        <v>35</v>
      </c>
      <c r="V831" t="s">
        <v>35</v>
      </c>
      <c r="W831" t="s">
        <v>4098</v>
      </c>
    </row>
    <row r="832" spans="1:23" x14ac:dyDescent="0.25">
      <c r="A832" t="s">
        <v>633</v>
      </c>
      <c r="B832" s="19">
        <v>8888</v>
      </c>
      <c r="C832" s="2">
        <f>HYPERLINK(URLs!B36 &amp; 68363,68363)</f>
        <v>68363</v>
      </c>
      <c r="D832" t="s">
        <v>2682</v>
      </c>
      <c r="E832" t="s">
        <v>435</v>
      </c>
      <c r="F832" t="s">
        <v>305</v>
      </c>
      <c r="G832" t="s">
        <v>337</v>
      </c>
      <c r="H832" t="s">
        <v>30</v>
      </c>
      <c r="I832" t="s">
        <v>31</v>
      </c>
      <c r="J832" t="s">
        <v>32</v>
      </c>
      <c r="K832" t="s">
        <v>44</v>
      </c>
      <c r="L832" t="s">
        <v>380</v>
      </c>
      <c r="M832" t="s">
        <v>434</v>
      </c>
      <c r="N832" t="s">
        <v>46</v>
      </c>
      <c r="P832" t="s">
        <v>394</v>
      </c>
      <c r="R832">
        <v>42249.800856481481</v>
      </c>
      <c r="S832">
        <v>42293.73333333333</v>
      </c>
      <c r="T832" t="s">
        <v>317</v>
      </c>
      <c r="U832" t="s">
        <v>35</v>
      </c>
      <c r="V832" t="s">
        <v>35</v>
      </c>
      <c r="W832" t="s">
        <v>4153</v>
      </c>
    </row>
    <row r="833" spans="1:23" x14ac:dyDescent="0.25">
      <c r="A833" t="s">
        <v>633</v>
      </c>
      <c r="B833" s="19">
        <v>8888</v>
      </c>
      <c r="C833" s="2">
        <f>HYPERLINK(URLs!B36 &amp; 67875,67875)</f>
        <v>67875</v>
      </c>
      <c r="D833" t="s">
        <v>2668</v>
      </c>
      <c r="E833" t="s">
        <v>435</v>
      </c>
      <c r="F833" t="s">
        <v>305</v>
      </c>
      <c r="G833" t="s">
        <v>353</v>
      </c>
      <c r="H833" t="s">
        <v>30</v>
      </c>
      <c r="I833" t="s">
        <v>31</v>
      </c>
      <c r="J833" t="s">
        <v>32</v>
      </c>
      <c r="K833" t="s">
        <v>44</v>
      </c>
      <c r="L833" t="s">
        <v>380</v>
      </c>
      <c r="M833" t="s">
        <v>434</v>
      </c>
      <c r="N833" t="s">
        <v>46</v>
      </c>
      <c r="P833" t="s">
        <v>47</v>
      </c>
      <c r="R833">
        <v>42242.956342592595</v>
      </c>
      <c r="S833">
        <v>43007.417939814812</v>
      </c>
      <c r="T833" t="s">
        <v>317</v>
      </c>
      <c r="U833" t="s">
        <v>35</v>
      </c>
      <c r="V833" t="s">
        <v>35</v>
      </c>
      <c r="W833" t="s">
        <v>4147</v>
      </c>
    </row>
    <row r="834" spans="1:23" x14ac:dyDescent="0.25">
      <c r="A834" t="s">
        <v>633</v>
      </c>
      <c r="B834" s="19">
        <v>8888</v>
      </c>
      <c r="C834" s="2">
        <f>HYPERLINK(URLs!B36 &amp; 67848,67848)</f>
        <v>67848</v>
      </c>
      <c r="D834" t="s">
        <v>2667</v>
      </c>
      <c r="E834" t="s">
        <v>435</v>
      </c>
      <c r="F834" t="s">
        <v>305</v>
      </c>
      <c r="G834" t="s">
        <v>353</v>
      </c>
      <c r="H834" t="s">
        <v>30</v>
      </c>
      <c r="I834" t="s">
        <v>31</v>
      </c>
      <c r="J834" t="s">
        <v>32</v>
      </c>
      <c r="K834" t="s">
        <v>44</v>
      </c>
      <c r="L834" t="s">
        <v>380</v>
      </c>
      <c r="M834" t="s">
        <v>2588</v>
      </c>
      <c r="N834" t="s">
        <v>46</v>
      </c>
      <c r="P834" t="s">
        <v>47</v>
      </c>
      <c r="R834">
        <v>42242.611898148149</v>
      </c>
      <c r="S834">
        <v>43007.417939814812</v>
      </c>
      <c r="T834" t="s">
        <v>317</v>
      </c>
      <c r="U834" t="s">
        <v>35</v>
      </c>
      <c r="V834" t="s">
        <v>35</v>
      </c>
      <c r="W834" t="s">
        <v>65</v>
      </c>
    </row>
    <row r="835" spans="1:23" x14ac:dyDescent="0.25">
      <c r="A835" t="s">
        <v>633</v>
      </c>
      <c r="B835" s="19">
        <v>8888</v>
      </c>
      <c r="C835" s="2">
        <f>HYPERLINK(URLs!B36 &amp; 67847,67847)</f>
        <v>67847</v>
      </c>
      <c r="D835" t="s">
        <v>2666</v>
      </c>
      <c r="E835" t="s">
        <v>435</v>
      </c>
      <c r="F835" t="s">
        <v>305</v>
      </c>
      <c r="G835" t="s">
        <v>353</v>
      </c>
      <c r="H835" t="s">
        <v>30</v>
      </c>
      <c r="I835" t="s">
        <v>31</v>
      </c>
      <c r="J835" t="s">
        <v>32</v>
      </c>
      <c r="K835" t="s">
        <v>44</v>
      </c>
      <c r="L835" t="s">
        <v>380</v>
      </c>
      <c r="M835" t="s">
        <v>2588</v>
      </c>
      <c r="N835" t="s">
        <v>46</v>
      </c>
      <c r="P835" t="s">
        <v>47</v>
      </c>
      <c r="R835">
        <v>42242.611608796295</v>
      </c>
      <c r="S835">
        <v>43007.417939814812</v>
      </c>
      <c r="T835" t="s">
        <v>317</v>
      </c>
      <c r="U835" t="s">
        <v>35</v>
      </c>
      <c r="V835" t="s">
        <v>35</v>
      </c>
      <c r="W835" t="s">
        <v>61</v>
      </c>
    </row>
    <row r="836" spans="1:23" x14ac:dyDescent="0.25">
      <c r="A836" t="s">
        <v>633</v>
      </c>
      <c r="B836" s="19">
        <v>8888</v>
      </c>
      <c r="C836" s="2">
        <f>HYPERLINK(URLs!B36 &amp; 67816,67816)</f>
        <v>67816</v>
      </c>
      <c r="D836" t="s">
        <v>2665</v>
      </c>
      <c r="E836" t="s">
        <v>435</v>
      </c>
      <c r="F836" t="s">
        <v>305</v>
      </c>
      <c r="G836" t="s">
        <v>353</v>
      </c>
      <c r="H836" t="s">
        <v>30</v>
      </c>
      <c r="I836" t="s">
        <v>31</v>
      </c>
      <c r="J836" t="s">
        <v>32</v>
      </c>
      <c r="K836" t="s">
        <v>44</v>
      </c>
      <c r="L836" t="s">
        <v>380</v>
      </c>
      <c r="M836" t="s">
        <v>434</v>
      </c>
      <c r="N836" t="s">
        <v>46</v>
      </c>
      <c r="P836" t="s">
        <v>47</v>
      </c>
      <c r="R836">
        <v>42242.444224537037</v>
      </c>
      <c r="S836">
        <v>43007.417939814812</v>
      </c>
      <c r="T836" t="s">
        <v>4</v>
      </c>
      <c r="U836" t="s">
        <v>35</v>
      </c>
      <c r="V836" t="s">
        <v>35</v>
      </c>
      <c r="W836" t="s">
        <v>4098</v>
      </c>
    </row>
    <row r="837" spans="1:23" x14ac:dyDescent="0.25">
      <c r="A837" t="s">
        <v>633</v>
      </c>
      <c r="B837" s="19">
        <v>8888</v>
      </c>
      <c r="C837" s="2">
        <f>HYPERLINK(URLs!B36 &amp; 60559,60559)</f>
        <v>60559</v>
      </c>
      <c r="D837" t="s">
        <v>2425</v>
      </c>
      <c r="E837" t="s">
        <v>435</v>
      </c>
      <c r="F837" t="s">
        <v>305</v>
      </c>
      <c r="G837" t="s">
        <v>337</v>
      </c>
      <c r="H837" t="s">
        <v>30</v>
      </c>
      <c r="I837" t="s">
        <v>31</v>
      </c>
      <c r="J837" t="s">
        <v>32</v>
      </c>
      <c r="K837" t="s">
        <v>44</v>
      </c>
      <c r="L837" t="s">
        <v>380</v>
      </c>
      <c r="M837" t="s">
        <v>434</v>
      </c>
      <c r="N837" t="s">
        <v>46</v>
      </c>
      <c r="P837" t="s">
        <v>394</v>
      </c>
      <c r="R837">
        <v>42109.994675925926</v>
      </c>
      <c r="S837">
        <v>42709.810520833336</v>
      </c>
      <c r="T837" t="s">
        <v>317</v>
      </c>
      <c r="U837" t="s">
        <v>35</v>
      </c>
      <c r="V837" t="s">
        <v>321</v>
      </c>
      <c r="W837" t="s">
        <v>61</v>
      </c>
    </row>
    <row r="838" spans="1:23" x14ac:dyDescent="0.25">
      <c r="A838" t="s">
        <v>633</v>
      </c>
      <c r="B838" s="19">
        <v>8888</v>
      </c>
      <c r="C838" s="2">
        <f>HYPERLINK(URLs!B36 &amp; 57448,57448)</f>
        <v>57448</v>
      </c>
      <c r="D838" t="s">
        <v>2335</v>
      </c>
      <c r="E838" t="s">
        <v>435</v>
      </c>
      <c r="F838" t="s">
        <v>305</v>
      </c>
      <c r="G838" t="s">
        <v>337</v>
      </c>
      <c r="H838" t="s">
        <v>30</v>
      </c>
      <c r="I838" t="s">
        <v>31</v>
      </c>
      <c r="J838" t="s">
        <v>32</v>
      </c>
      <c r="K838" t="s">
        <v>44</v>
      </c>
      <c r="L838" t="s">
        <v>380</v>
      </c>
      <c r="M838" t="s">
        <v>434</v>
      </c>
      <c r="N838" t="s">
        <v>46</v>
      </c>
      <c r="O838" t="s">
        <v>2336</v>
      </c>
      <c r="P838" t="s">
        <v>394</v>
      </c>
      <c r="R838">
        <v>42054.688379629632</v>
      </c>
      <c r="S838">
        <v>42293.735567129632</v>
      </c>
      <c r="T838" t="s">
        <v>435</v>
      </c>
      <c r="U838" t="s">
        <v>35</v>
      </c>
      <c r="V838" t="s">
        <v>35</v>
      </c>
      <c r="W838" t="s">
        <v>4147</v>
      </c>
    </row>
    <row r="839" spans="1:23" x14ac:dyDescent="0.25">
      <c r="A839" t="s">
        <v>633</v>
      </c>
      <c r="B839" s="19">
        <v>8888</v>
      </c>
      <c r="C839" s="2">
        <f>HYPERLINK(URLs!B36 &amp; 55130,55130)</f>
        <v>55130</v>
      </c>
      <c r="D839" t="s">
        <v>2285</v>
      </c>
      <c r="E839" t="s">
        <v>435</v>
      </c>
      <c r="F839" t="s">
        <v>305</v>
      </c>
      <c r="G839" t="s">
        <v>304</v>
      </c>
      <c r="H839" t="s">
        <v>30</v>
      </c>
      <c r="I839" t="s">
        <v>31</v>
      </c>
      <c r="J839" t="s">
        <v>32</v>
      </c>
      <c r="K839" t="s">
        <v>44</v>
      </c>
      <c r="L839" t="s">
        <v>380</v>
      </c>
      <c r="M839" t="s">
        <v>434</v>
      </c>
      <c r="N839" t="s">
        <v>518</v>
      </c>
      <c r="P839" t="s">
        <v>394</v>
      </c>
      <c r="R839">
        <v>41996.825370370374</v>
      </c>
      <c r="S839">
        <v>42299.735000000001</v>
      </c>
      <c r="T839" t="s">
        <v>435</v>
      </c>
      <c r="U839" t="s">
        <v>3934</v>
      </c>
      <c r="V839" t="s">
        <v>35</v>
      </c>
      <c r="W839" t="s">
        <v>65</v>
      </c>
    </row>
    <row r="840" spans="1:23" x14ac:dyDescent="0.25">
      <c r="A840" t="s">
        <v>633</v>
      </c>
      <c r="B840" s="19">
        <v>8888</v>
      </c>
      <c r="C840" s="2">
        <f>HYPERLINK(URLs!B36 &amp; 55129,55129)</f>
        <v>55129</v>
      </c>
      <c r="D840" t="s">
        <v>2282</v>
      </c>
      <c r="E840" t="s">
        <v>2283</v>
      </c>
      <c r="F840" t="s">
        <v>305</v>
      </c>
      <c r="G840" t="s">
        <v>337</v>
      </c>
      <c r="H840" t="s">
        <v>30</v>
      </c>
      <c r="I840" t="s">
        <v>31</v>
      </c>
      <c r="J840" t="s">
        <v>32</v>
      </c>
      <c r="K840" t="s">
        <v>44</v>
      </c>
      <c r="L840" t="s">
        <v>380</v>
      </c>
      <c r="M840" t="s">
        <v>2284</v>
      </c>
      <c r="N840" t="s">
        <v>46</v>
      </c>
      <c r="P840" t="s">
        <v>394</v>
      </c>
      <c r="R840">
        <v>41996.823877314811</v>
      </c>
      <c r="S840">
        <v>42293.737083333333</v>
      </c>
      <c r="T840" t="s">
        <v>435</v>
      </c>
      <c r="U840" t="s">
        <v>35</v>
      </c>
      <c r="V840" t="s">
        <v>35</v>
      </c>
      <c r="W840" t="s">
        <v>394</v>
      </c>
    </row>
    <row r="841" spans="1:23" x14ac:dyDescent="0.25">
      <c r="A841" t="s">
        <v>633</v>
      </c>
      <c r="B841" s="19">
        <v>8888</v>
      </c>
      <c r="C841" s="2">
        <f>HYPERLINK(URLs!B36 &amp; 55128,55128)</f>
        <v>55128</v>
      </c>
      <c r="D841" t="s">
        <v>436</v>
      </c>
      <c r="E841" t="s">
        <v>435</v>
      </c>
      <c r="F841" t="s">
        <v>305</v>
      </c>
      <c r="G841" t="s">
        <v>304</v>
      </c>
      <c r="H841" t="s">
        <v>30</v>
      </c>
      <c r="I841" t="s">
        <v>31</v>
      </c>
      <c r="J841" t="s">
        <v>32</v>
      </c>
      <c r="K841" t="s">
        <v>44</v>
      </c>
      <c r="L841" t="s">
        <v>380</v>
      </c>
      <c r="M841" t="s">
        <v>434</v>
      </c>
      <c r="N841" t="s">
        <v>46</v>
      </c>
      <c r="P841" t="s">
        <v>394</v>
      </c>
      <c r="R841">
        <v>41996.821574074071</v>
      </c>
      <c r="S841">
        <v>42320.690046296295</v>
      </c>
      <c r="T841" t="s">
        <v>435</v>
      </c>
      <c r="U841" t="s">
        <v>35</v>
      </c>
      <c r="V841" t="s">
        <v>35</v>
      </c>
      <c r="W841" t="s">
        <v>4098</v>
      </c>
    </row>
    <row r="842" spans="1:23" x14ac:dyDescent="0.25">
      <c r="A842" t="s">
        <v>665</v>
      </c>
      <c r="B842" s="19">
        <v>8994</v>
      </c>
      <c r="C842" s="2">
        <f>HYPERLINK(URLs!B36 &amp; 68800,68800)</f>
        <v>68800</v>
      </c>
      <c r="D842" t="s">
        <v>2696</v>
      </c>
      <c r="E842" t="s">
        <v>2</v>
      </c>
      <c r="F842" t="s">
        <v>305</v>
      </c>
      <c r="G842" t="s">
        <v>1621</v>
      </c>
      <c r="H842" t="s">
        <v>30</v>
      </c>
      <c r="I842" t="s">
        <v>68</v>
      </c>
      <c r="J842" t="s">
        <v>43</v>
      </c>
      <c r="K842" t="s">
        <v>33</v>
      </c>
      <c r="L842" t="s">
        <v>195</v>
      </c>
      <c r="M842" t="s">
        <v>324</v>
      </c>
      <c r="N842" t="s">
        <v>46</v>
      </c>
      <c r="P842" t="s">
        <v>47</v>
      </c>
      <c r="R842">
        <v>42256.862002314818</v>
      </c>
      <c r="S842">
        <v>42774.956030092595</v>
      </c>
      <c r="T842" t="s">
        <v>2</v>
      </c>
      <c r="U842" t="s">
        <v>35</v>
      </c>
      <c r="V842" t="s">
        <v>35</v>
      </c>
      <c r="W842" t="s">
        <v>4126</v>
      </c>
    </row>
    <row r="843" spans="1:23" x14ac:dyDescent="0.25">
      <c r="A843" t="s">
        <v>633</v>
      </c>
      <c r="B843" s="19">
        <v>9005</v>
      </c>
      <c r="C843" s="2">
        <f>HYPERLINK(URLs!B36 &amp; 68492,68492)</f>
        <v>68492</v>
      </c>
      <c r="D843" t="s">
        <v>2693</v>
      </c>
      <c r="E843" t="s">
        <v>445</v>
      </c>
      <c r="F843" t="s">
        <v>305</v>
      </c>
      <c r="G843" t="s">
        <v>337</v>
      </c>
      <c r="H843" t="s">
        <v>30</v>
      </c>
      <c r="I843" t="s">
        <v>68</v>
      </c>
      <c r="J843" t="s">
        <v>43</v>
      </c>
      <c r="K843" t="s">
        <v>33</v>
      </c>
      <c r="L843" t="s">
        <v>73</v>
      </c>
      <c r="M843" t="s">
        <v>263</v>
      </c>
      <c r="N843" t="s">
        <v>46</v>
      </c>
      <c r="P843" t="s">
        <v>394</v>
      </c>
      <c r="R843">
        <v>42250.872129629628</v>
      </c>
      <c r="S843">
        <v>42678.643993055557</v>
      </c>
      <c r="T843" t="s">
        <v>317</v>
      </c>
      <c r="U843" t="s">
        <v>35</v>
      </c>
      <c r="V843" t="s">
        <v>35</v>
      </c>
      <c r="W843" t="s">
        <v>4153</v>
      </c>
    </row>
    <row r="844" spans="1:23" x14ac:dyDescent="0.25">
      <c r="A844" t="s">
        <v>633</v>
      </c>
      <c r="B844" s="19">
        <v>9005</v>
      </c>
      <c r="C844" s="2">
        <f>HYPERLINK(URLs!B36 &amp; 67753,67753)</f>
        <v>67753</v>
      </c>
      <c r="D844" t="s">
        <v>2664</v>
      </c>
      <c r="E844" t="s">
        <v>445</v>
      </c>
      <c r="F844" t="s">
        <v>305</v>
      </c>
      <c r="G844" t="s">
        <v>395</v>
      </c>
      <c r="H844" t="s">
        <v>30</v>
      </c>
      <c r="I844" t="s">
        <v>68</v>
      </c>
      <c r="J844" t="s">
        <v>43</v>
      </c>
      <c r="K844" t="s">
        <v>33</v>
      </c>
      <c r="L844" t="s">
        <v>73</v>
      </c>
      <c r="M844" t="s">
        <v>263</v>
      </c>
      <c r="N844" t="s">
        <v>518</v>
      </c>
      <c r="P844" t="s">
        <v>394</v>
      </c>
      <c r="R844">
        <v>42241.885844907411</v>
      </c>
      <c r="S844">
        <v>42716.79115740741</v>
      </c>
      <c r="T844" t="s">
        <v>317</v>
      </c>
      <c r="U844" t="s">
        <v>35</v>
      </c>
      <c r="V844" t="s">
        <v>35</v>
      </c>
      <c r="W844" t="s">
        <v>65</v>
      </c>
    </row>
    <row r="845" spans="1:23" x14ac:dyDescent="0.25">
      <c r="A845" t="s">
        <v>633</v>
      </c>
      <c r="B845" s="19">
        <v>9005</v>
      </c>
      <c r="C845" s="2">
        <f>HYPERLINK(URLs!B36 &amp; 67752,67752)</f>
        <v>67752</v>
      </c>
      <c r="D845" t="s">
        <v>2663</v>
      </c>
      <c r="E845" t="s">
        <v>387</v>
      </c>
      <c r="F845" t="s">
        <v>305</v>
      </c>
      <c r="G845" t="s">
        <v>395</v>
      </c>
      <c r="H845" t="s">
        <v>30</v>
      </c>
      <c r="I845" t="s">
        <v>68</v>
      </c>
      <c r="J845" t="s">
        <v>43</v>
      </c>
      <c r="K845" t="s">
        <v>33</v>
      </c>
      <c r="L845" t="s">
        <v>73</v>
      </c>
      <c r="M845" t="s">
        <v>263</v>
      </c>
      <c r="N845" t="s">
        <v>46</v>
      </c>
      <c r="P845" t="s">
        <v>394</v>
      </c>
      <c r="R845">
        <v>42241.885775462964</v>
      </c>
      <c r="S845">
        <v>42759.734039351853</v>
      </c>
      <c r="T845" t="s">
        <v>317</v>
      </c>
      <c r="U845" t="s">
        <v>35</v>
      </c>
      <c r="V845" t="s">
        <v>35</v>
      </c>
      <c r="W845" t="s">
        <v>61</v>
      </c>
    </row>
    <row r="846" spans="1:23" x14ac:dyDescent="0.25">
      <c r="A846" t="s">
        <v>633</v>
      </c>
      <c r="B846" s="19">
        <v>9005</v>
      </c>
      <c r="C846" s="2">
        <f>HYPERLINK(URLs!B36 &amp; 67747,67747)</f>
        <v>67747</v>
      </c>
      <c r="D846" t="s">
        <v>2662</v>
      </c>
      <c r="E846" t="s">
        <v>445</v>
      </c>
      <c r="F846" t="s">
        <v>305</v>
      </c>
      <c r="G846" t="s">
        <v>395</v>
      </c>
      <c r="H846" t="s">
        <v>30</v>
      </c>
      <c r="I846" t="s">
        <v>68</v>
      </c>
      <c r="J846" t="s">
        <v>43</v>
      </c>
      <c r="K846" t="s">
        <v>33</v>
      </c>
      <c r="L846" t="s">
        <v>73</v>
      </c>
      <c r="M846" t="s">
        <v>263</v>
      </c>
      <c r="N846" t="s">
        <v>46</v>
      </c>
      <c r="P846" t="s">
        <v>394</v>
      </c>
      <c r="R846">
        <v>42241.83353009259</v>
      </c>
      <c r="S846">
        <v>42759.67459490741</v>
      </c>
      <c r="T846" t="s">
        <v>98</v>
      </c>
      <c r="U846" t="s">
        <v>35</v>
      </c>
      <c r="V846" t="s">
        <v>35</v>
      </c>
      <c r="W846" t="s">
        <v>4098</v>
      </c>
    </row>
    <row r="847" spans="1:23" x14ac:dyDescent="0.25">
      <c r="B847" s="19">
        <v>9144</v>
      </c>
      <c r="C847" s="2">
        <f>HYPERLINK(URLs!B36 &amp; 71542,71542)</f>
        <v>71542</v>
      </c>
      <c r="D847" t="s">
        <v>2746</v>
      </c>
      <c r="E847" t="s">
        <v>361</v>
      </c>
      <c r="F847" t="s">
        <v>305</v>
      </c>
      <c r="G847" t="s">
        <v>328</v>
      </c>
      <c r="H847" t="s">
        <v>30</v>
      </c>
      <c r="I847" t="s">
        <v>31</v>
      </c>
      <c r="J847" t="s">
        <v>43</v>
      </c>
      <c r="K847" t="s">
        <v>44</v>
      </c>
      <c r="L847" t="s">
        <v>73</v>
      </c>
      <c r="M847" t="s">
        <v>263</v>
      </c>
      <c r="N847" t="s">
        <v>46</v>
      </c>
      <c r="P847" t="s">
        <v>2121</v>
      </c>
      <c r="Q847" t="s">
        <v>2722</v>
      </c>
      <c r="R847">
        <v>42303.819178240738</v>
      </c>
      <c r="S847">
        <v>42394.276053240741</v>
      </c>
      <c r="T847" t="s">
        <v>317</v>
      </c>
      <c r="U847" t="s">
        <v>35</v>
      </c>
      <c r="V847" t="s">
        <v>35</v>
      </c>
      <c r="W847" t="s">
        <v>3233</v>
      </c>
    </row>
    <row r="848" spans="1:23" x14ac:dyDescent="0.25">
      <c r="B848" s="19">
        <v>9144</v>
      </c>
      <c r="C848" s="2">
        <f>HYPERLINK(URLs!B36 &amp; 70112,70112)</f>
        <v>70112</v>
      </c>
      <c r="D848" t="s">
        <v>2726</v>
      </c>
      <c r="E848" t="s">
        <v>2225</v>
      </c>
      <c r="F848" t="s">
        <v>305</v>
      </c>
      <c r="G848" t="s">
        <v>337</v>
      </c>
      <c r="H848" t="s">
        <v>30</v>
      </c>
      <c r="I848" t="s">
        <v>68</v>
      </c>
      <c r="J848" t="s">
        <v>43</v>
      </c>
      <c r="K848" t="s">
        <v>33</v>
      </c>
      <c r="L848" t="s">
        <v>73</v>
      </c>
      <c r="M848" t="s">
        <v>263</v>
      </c>
      <c r="N848" t="s">
        <v>46</v>
      </c>
      <c r="P848" t="s">
        <v>2121</v>
      </c>
      <c r="Q848" t="s">
        <v>2722</v>
      </c>
      <c r="R848">
        <v>42278.696030092593</v>
      </c>
      <c r="S848">
        <v>42303.826747685183</v>
      </c>
      <c r="T848" t="s">
        <v>317</v>
      </c>
      <c r="U848" t="s">
        <v>35</v>
      </c>
      <c r="V848" t="s">
        <v>35</v>
      </c>
      <c r="W848" t="s">
        <v>85</v>
      </c>
    </row>
    <row r="849" spans="1:23" x14ac:dyDescent="0.25">
      <c r="B849" s="19">
        <v>9144</v>
      </c>
      <c r="C849" s="2">
        <f>HYPERLINK(URLs!B36 &amp; 70111,70111)</f>
        <v>70111</v>
      </c>
      <c r="D849" t="s">
        <v>2725</v>
      </c>
      <c r="E849" t="s">
        <v>2225</v>
      </c>
      <c r="F849" t="s">
        <v>305</v>
      </c>
      <c r="G849" t="s">
        <v>337</v>
      </c>
      <c r="H849" t="s">
        <v>30</v>
      </c>
      <c r="I849" t="s">
        <v>68</v>
      </c>
      <c r="J849" t="s">
        <v>43</v>
      </c>
      <c r="K849" t="s">
        <v>33</v>
      </c>
      <c r="L849" t="s">
        <v>73</v>
      </c>
      <c r="M849" t="s">
        <v>263</v>
      </c>
      <c r="N849" t="s">
        <v>46</v>
      </c>
      <c r="O849" t="s">
        <v>2440</v>
      </c>
      <c r="P849" t="s">
        <v>2121</v>
      </c>
      <c r="Q849" t="s">
        <v>2722</v>
      </c>
      <c r="R849">
        <v>42278.695937500001</v>
      </c>
      <c r="S849">
        <v>42293.896099537036</v>
      </c>
      <c r="T849" t="s">
        <v>317</v>
      </c>
      <c r="U849" t="s">
        <v>35</v>
      </c>
      <c r="V849" t="s">
        <v>35</v>
      </c>
      <c r="W849" t="s">
        <v>4144</v>
      </c>
    </row>
    <row r="850" spans="1:23" x14ac:dyDescent="0.25">
      <c r="B850" s="19">
        <v>9144</v>
      </c>
      <c r="C850" s="2">
        <f>HYPERLINK(URLs!B36 &amp; 70110,70110)</f>
        <v>70110</v>
      </c>
      <c r="D850" t="s">
        <v>2724</v>
      </c>
      <c r="E850" t="s">
        <v>2225</v>
      </c>
      <c r="F850" t="s">
        <v>305</v>
      </c>
      <c r="G850" t="s">
        <v>328</v>
      </c>
      <c r="H850" t="s">
        <v>30</v>
      </c>
      <c r="I850" t="s">
        <v>68</v>
      </c>
      <c r="J850" t="s">
        <v>43</v>
      </c>
      <c r="K850" t="s">
        <v>33</v>
      </c>
      <c r="L850" t="s">
        <v>73</v>
      </c>
      <c r="M850" t="s">
        <v>263</v>
      </c>
      <c r="N850" t="s">
        <v>46</v>
      </c>
      <c r="P850" t="s">
        <v>2121</v>
      </c>
      <c r="Q850" t="s">
        <v>2722</v>
      </c>
      <c r="R850">
        <v>42278.695844907408</v>
      </c>
      <c r="S850">
        <v>42678.64266203704</v>
      </c>
      <c r="T850" t="s">
        <v>317</v>
      </c>
      <c r="U850" t="s">
        <v>35</v>
      </c>
      <c r="V850" t="s">
        <v>35</v>
      </c>
      <c r="W850" t="s">
        <v>491</v>
      </c>
    </row>
    <row r="851" spans="1:23" x14ac:dyDescent="0.25">
      <c r="B851" s="19">
        <v>9144</v>
      </c>
      <c r="C851" s="2">
        <f>HYPERLINK(URLs!B36 &amp; 70109,70109)</f>
        <v>70109</v>
      </c>
      <c r="D851" t="s">
        <v>2723</v>
      </c>
      <c r="E851" t="s">
        <v>2225</v>
      </c>
      <c r="F851" t="s">
        <v>305</v>
      </c>
      <c r="G851" t="s">
        <v>328</v>
      </c>
      <c r="H851" t="s">
        <v>30</v>
      </c>
      <c r="I851" t="s">
        <v>31</v>
      </c>
      <c r="J851" t="s">
        <v>43</v>
      </c>
      <c r="K851" t="s">
        <v>44</v>
      </c>
      <c r="L851" t="s">
        <v>73</v>
      </c>
      <c r="M851" t="s">
        <v>263</v>
      </c>
      <c r="N851" t="s">
        <v>46</v>
      </c>
      <c r="P851" t="s">
        <v>2121</v>
      </c>
      <c r="Q851" t="s">
        <v>2722</v>
      </c>
      <c r="R851">
        <v>42278.695752314816</v>
      </c>
      <c r="S851">
        <v>42678.642638888887</v>
      </c>
      <c r="T851" t="s">
        <v>317</v>
      </c>
      <c r="U851" t="s">
        <v>35</v>
      </c>
      <c r="V851" t="s">
        <v>35</v>
      </c>
      <c r="W851" t="s">
        <v>3028</v>
      </c>
    </row>
    <row r="852" spans="1:23" x14ac:dyDescent="0.25">
      <c r="B852" s="19">
        <v>9144</v>
      </c>
      <c r="C852" s="2">
        <f>HYPERLINK(URLs!B36 &amp; 70081,70081)</f>
        <v>70081</v>
      </c>
      <c r="D852" t="s">
        <v>2721</v>
      </c>
      <c r="E852" t="s">
        <v>361</v>
      </c>
      <c r="F852" t="s">
        <v>305</v>
      </c>
      <c r="G852" t="s">
        <v>328</v>
      </c>
      <c r="H852" t="s">
        <v>30</v>
      </c>
      <c r="I852" t="s">
        <v>31</v>
      </c>
      <c r="J852" t="s">
        <v>43</v>
      </c>
      <c r="K852" t="s">
        <v>44</v>
      </c>
      <c r="L852" t="s">
        <v>73</v>
      </c>
      <c r="M852" t="s">
        <v>263</v>
      </c>
      <c r="N852" t="s">
        <v>46</v>
      </c>
      <c r="P852" t="s">
        <v>2121</v>
      </c>
      <c r="Q852" t="s">
        <v>2722</v>
      </c>
      <c r="R852">
        <v>42278.516747685186</v>
      </c>
      <c r="S852">
        <v>42678.642708333333</v>
      </c>
      <c r="T852" t="s">
        <v>300</v>
      </c>
      <c r="U852" t="s">
        <v>35</v>
      </c>
      <c r="V852" t="s">
        <v>35</v>
      </c>
      <c r="W852" t="s">
        <v>4098</v>
      </c>
    </row>
    <row r="853" spans="1:23" x14ac:dyDescent="0.25">
      <c r="A853" t="s">
        <v>633</v>
      </c>
      <c r="B853" s="19">
        <v>9418</v>
      </c>
      <c r="C853" s="2">
        <f>HYPERLINK(URLs!B36 &amp; 71909,71909)</f>
        <v>71909</v>
      </c>
      <c r="D853" t="s">
        <v>2757</v>
      </c>
      <c r="E853" t="s">
        <v>435</v>
      </c>
      <c r="F853" t="s">
        <v>305</v>
      </c>
      <c r="G853" t="s">
        <v>353</v>
      </c>
      <c r="H853" t="s">
        <v>30</v>
      </c>
      <c r="I853" t="s">
        <v>31</v>
      </c>
      <c r="J853" t="s">
        <v>43</v>
      </c>
      <c r="K853" t="s">
        <v>44</v>
      </c>
      <c r="L853" t="s">
        <v>380</v>
      </c>
      <c r="M853" t="s">
        <v>379</v>
      </c>
      <c r="N853" t="s">
        <v>46</v>
      </c>
      <c r="P853" t="s">
        <v>47</v>
      </c>
      <c r="R853">
        <v>42310.313078703701</v>
      </c>
      <c r="S853">
        <v>42678.641574074078</v>
      </c>
      <c r="T853" t="s">
        <v>317</v>
      </c>
      <c r="U853" t="s">
        <v>35</v>
      </c>
      <c r="V853" t="s">
        <v>35</v>
      </c>
      <c r="W853" t="s">
        <v>133</v>
      </c>
    </row>
    <row r="854" spans="1:23" x14ac:dyDescent="0.25">
      <c r="A854" t="s">
        <v>633</v>
      </c>
      <c r="B854" s="19">
        <v>9418</v>
      </c>
      <c r="C854" s="2">
        <f>HYPERLINK(URLs!B36 &amp; 71908,71908)</f>
        <v>71908</v>
      </c>
      <c r="D854" t="s">
        <v>2756</v>
      </c>
      <c r="E854" t="s">
        <v>435</v>
      </c>
      <c r="F854" t="s">
        <v>305</v>
      </c>
      <c r="G854" t="s">
        <v>353</v>
      </c>
      <c r="H854" t="s">
        <v>30</v>
      </c>
      <c r="I854" t="s">
        <v>31</v>
      </c>
      <c r="J854" t="s">
        <v>43</v>
      </c>
      <c r="K854" t="s">
        <v>44</v>
      </c>
      <c r="L854" t="s">
        <v>380</v>
      </c>
      <c r="M854" t="s">
        <v>379</v>
      </c>
      <c r="N854" t="s">
        <v>46</v>
      </c>
      <c r="P854" t="s">
        <v>47</v>
      </c>
      <c r="R854">
        <v>42310.312986111108</v>
      </c>
      <c r="S854">
        <v>42678.641817129632</v>
      </c>
      <c r="T854" t="s">
        <v>317</v>
      </c>
      <c r="U854" t="s">
        <v>35</v>
      </c>
      <c r="V854" t="s">
        <v>35</v>
      </c>
      <c r="W854" t="s">
        <v>65</v>
      </c>
    </row>
    <row r="855" spans="1:23" x14ac:dyDescent="0.25">
      <c r="A855" t="s">
        <v>633</v>
      </c>
      <c r="B855" s="19">
        <v>9418</v>
      </c>
      <c r="C855" s="2">
        <f>HYPERLINK(URLs!B36 &amp; 71907,71907)</f>
        <v>71907</v>
      </c>
      <c r="D855" t="s">
        <v>2755</v>
      </c>
      <c r="E855" t="s">
        <v>301</v>
      </c>
      <c r="F855" t="s">
        <v>305</v>
      </c>
      <c r="G855" t="s">
        <v>310</v>
      </c>
      <c r="H855" t="s">
        <v>30</v>
      </c>
      <c r="I855" t="s">
        <v>31</v>
      </c>
      <c r="J855" t="s">
        <v>43</v>
      </c>
      <c r="K855" t="s">
        <v>44</v>
      </c>
      <c r="L855" t="s">
        <v>380</v>
      </c>
      <c r="M855" t="s">
        <v>379</v>
      </c>
      <c r="N855" t="s">
        <v>46</v>
      </c>
      <c r="P855" t="s">
        <v>47</v>
      </c>
      <c r="R855">
        <v>42310.312893518516</v>
      </c>
      <c r="S855">
        <v>42678.641840277778</v>
      </c>
      <c r="T855" t="s">
        <v>317</v>
      </c>
      <c r="U855" t="s">
        <v>35</v>
      </c>
      <c r="V855" t="s">
        <v>35</v>
      </c>
      <c r="W855" t="s">
        <v>4153</v>
      </c>
    </row>
    <row r="856" spans="1:23" x14ac:dyDescent="0.25">
      <c r="A856" t="s">
        <v>633</v>
      </c>
      <c r="B856" s="19">
        <v>9418</v>
      </c>
      <c r="C856" s="2">
        <f>HYPERLINK(URLs!B36 &amp; 71898,71898)</f>
        <v>71898</v>
      </c>
      <c r="D856" t="s">
        <v>2754</v>
      </c>
      <c r="E856" t="s">
        <v>435</v>
      </c>
      <c r="F856" t="s">
        <v>305</v>
      </c>
      <c r="G856" t="s">
        <v>353</v>
      </c>
      <c r="H856" t="s">
        <v>30</v>
      </c>
      <c r="I856" t="s">
        <v>31</v>
      </c>
      <c r="J856" t="s">
        <v>43</v>
      </c>
      <c r="K856" t="s">
        <v>44</v>
      </c>
      <c r="L856" t="s">
        <v>380</v>
      </c>
      <c r="M856" t="s">
        <v>379</v>
      </c>
      <c r="N856" t="s">
        <v>46</v>
      </c>
      <c r="P856" t="s">
        <v>47</v>
      </c>
      <c r="R856">
        <v>42310.190335648149</v>
      </c>
      <c r="S856">
        <v>42678.641863425924</v>
      </c>
      <c r="T856" t="s">
        <v>4</v>
      </c>
      <c r="U856" t="s">
        <v>35</v>
      </c>
      <c r="V856" t="s">
        <v>35</v>
      </c>
      <c r="W856" t="s">
        <v>4098</v>
      </c>
    </row>
    <row r="857" spans="1:23" x14ac:dyDescent="0.25">
      <c r="A857" t="s">
        <v>633</v>
      </c>
      <c r="B857" s="19">
        <v>9418</v>
      </c>
      <c r="C857" s="2">
        <f>HYPERLINK(URLs!B36 &amp; 67390,67390)</f>
        <v>67390</v>
      </c>
      <c r="D857" t="s">
        <v>2647</v>
      </c>
      <c r="E857" t="s">
        <v>405</v>
      </c>
      <c r="F857" t="s">
        <v>305</v>
      </c>
      <c r="G857" t="s">
        <v>304</v>
      </c>
      <c r="H857" t="s">
        <v>30</v>
      </c>
      <c r="I857" t="s">
        <v>31</v>
      </c>
      <c r="J857" t="s">
        <v>32</v>
      </c>
      <c r="K857" t="s">
        <v>44</v>
      </c>
      <c r="L857" t="s">
        <v>34</v>
      </c>
      <c r="M857" t="s">
        <v>373</v>
      </c>
      <c r="N857" t="s">
        <v>46</v>
      </c>
      <c r="P857" t="s">
        <v>374</v>
      </c>
      <c r="R857">
        <v>42235.941319444442</v>
      </c>
      <c r="S857">
        <v>42649.655960648146</v>
      </c>
      <c r="T857" t="s">
        <v>53</v>
      </c>
      <c r="U857" t="s">
        <v>35</v>
      </c>
      <c r="V857" t="s">
        <v>35</v>
      </c>
      <c r="W857" t="s">
        <v>133</v>
      </c>
    </row>
    <row r="858" spans="1:23" x14ac:dyDescent="0.25">
      <c r="A858" t="s">
        <v>633</v>
      </c>
      <c r="B858" s="19">
        <v>9418</v>
      </c>
      <c r="C858" s="2">
        <f>HYPERLINK(URLs!B36 &amp; 66326,66326)</f>
        <v>66326</v>
      </c>
      <c r="D858" t="s">
        <v>2604</v>
      </c>
      <c r="E858" t="s">
        <v>80</v>
      </c>
      <c r="F858" t="s">
        <v>305</v>
      </c>
      <c r="G858" t="s">
        <v>353</v>
      </c>
      <c r="H858" t="s">
        <v>30</v>
      </c>
      <c r="I858" t="s">
        <v>31</v>
      </c>
      <c r="J858" t="s">
        <v>32</v>
      </c>
      <c r="K858" t="s">
        <v>44</v>
      </c>
      <c r="L858" t="s">
        <v>45</v>
      </c>
      <c r="M858" t="s">
        <v>106</v>
      </c>
      <c r="N858" t="s">
        <v>46</v>
      </c>
      <c r="P858" t="s">
        <v>61</v>
      </c>
      <c r="R858">
        <v>42215.524097222224</v>
      </c>
      <c r="S858">
        <v>42678.641597222224</v>
      </c>
      <c r="T858" t="s">
        <v>64</v>
      </c>
      <c r="U858" t="s">
        <v>35</v>
      </c>
      <c r="V858" t="s">
        <v>35</v>
      </c>
      <c r="W858" t="s">
        <v>61</v>
      </c>
    </row>
    <row r="859" spans="1:23" x14ac:dyDescent="0.25">
      <c r="A859" t="s">
        <v>633</v>
      </c>
      <c r="B859" s="19">
        <v>9418</v>
      </c>
      <c r="C859" s="2">
        <f>HYPERLINK(URLs!B36 &amp; 66265,66265)</f>
        <v>66265</v>
      </c>
      <c r="D859" t="s">
        <v>2591</v>
      </c>
      <c r="E859" t="s">
        <v>405</v>
      </c>
      <c r="F859" t="s">
        <v>305</v>
      </c>
      <c r="G859" t="s">
        <v>304</v>
      </c>
      <c r="H859" t="s">
        <v>30</v>
      </c>
      <c r="I859" t="s">
        <v>31</v>
      </c>
      <c r="J859" t="s">
        <v>32</v>
      </c>
      <c r="K859" t="s">
        <v>44</v>
      </c>
      <c r="L859" t="s">
        <v>34</v>
      </c>
      <c r="M859" t="s">
        <v>373</v>
      </c>
      <c r="N859" t="s">
        <v>518</v>
      </c>
      <c r="P859" t="s">
        <v>377</v>
      </c>
      <c r="R859">
        <v>42214.589178240742</v>
      </c>
      <c r="S859">
        <v>42478.699548611112</v>
      </c>
      <c r="T859" t="s">
        <v>53</v>
      </c>
      <c r="U859" t="s">
        <v>3953</v>
      </c>
      <c r="V859" t="s">
        <v>35</v>
      </c>
      <c r="W859" t="s">
        <v>118</v>
      </c>
    </row>
    <row r="860" spans="1:23" x14ac:dyDescent="0.25">
      <c r="A860" t="s">
        <v>633</v>
      </c>
      <c r="B860" s="19">
        <v>9418</v>
      </c>
      <c r="C860" s="2">
        <f>HYPERLINK(URLs!B36 &amp; 66264,66264)</f>
        <v>66264</v>
      </c>
      <c r="D860" t="s">
        <v>2590</v>
      </c>
      <c r="E860" t="s">
        <v>80</v>
      </c>
      <c r="F860" t="s">
        <v>305</v>
      </c>
      <c r="G860" t="s">
        <v>337</v>
      </c>
      <c r="H860" t="s">
        <v>30</v>
      </c>
      <c r="I860" t="s">
        <v>31</v>
      </c>
      <c r="J860" t="s">
        <v>32</v>
      </c>
      <c r="K860" t="s">
        <v>44</v>
      </c>
      <c r="L860" t="s">
        <v>45</v>
      </c>
      <c r="M860" t="s">
        <v>106</v>
      </c>
      <c r="N860" t="s">
        <v>46</v>
      </c>
      <c r="P860" t="s">
        <v>61</v>
      </c>
      <c r="R860">
        <v>42214.589085648149</v>
      </c>
      <c r="S860">
        <v>43007.403877314813</v>
      </c>
      <c r="T860" t="s">
        <v>53</v>
      </c>
      <c r="U860" t="s">
        <v>35</v>
      </c>
      <c r="V860" t="s">
        <v>35</v>
      </c>
      <c r="W860" t="s">
        <v>4147</v>
      </c>
    </row>
    <row r="861" spans="1:23" x14ac:dyDescent="0.25">
      <c r="A861" t="s">
        <v>633</v>
      </c>
      <c r="B861" s="19">
        <v>9418</v>
      </c>
      <c r="C861" s="2">
        <f>HYPERLINK(URLs!B36 &amp; 66189,66189)</f>
        <v>66189</v>
      </c>
      <c r="D861" t="s">
        <v>2584</v>
      </c>
      <c r="E861" t="s">
        <v>80</v>
      </c>
      <c r="F861" t="s">
        <v>305</v>
      </c>
      <c r="G861" t="s">
        <v>337</v>
      </c>
      <c r="H861" t="s">
        <v>30</v>
      </c>
      <c r="I861" t="s">
        <v>31</v>
      </c>
      <c r="J861" t="s">
        <v>32</v>
      </c>
      <c r="K861" t="s">
        <v>44</v>
      </c>
      <c r="L861" t="s">
        <v>52</v>
      </c>
      <c r="M861" t="s">
        <v>106</v>
      </c>
      <c r="N861" t="s">
        <v>46</v>
      </c>
      <c r="P861" t="s">
        <v>61</v>
      </c>
      <c r="R861">
        <v>42213.605104166665</v>
      </c>
      <c r="S861">
        <v>42709.80972222222</v>
      </c>
      <c r="T861" t="s">
        <v>2585</v>
      </c>
      <c r="U861" t="s">
        <v>35</v>
      </c>
      <c r="V861" t="s">
        <v>35</v>
      </c>
      <c r="W861" t="s">
        <v>61</v>
      </c>
    </row>
    <row r="862" spans="1:23" x14ac:dyDescent="0.25">
      <c r="A862" t="s">
        <v>633</v>
      </c>
      <c r="B862" s="19">
        <v>9418</v>
      </c>
      <c r="C862" s="2">
        <f>HYPERLINK(URLs!B36 &amp; 63140,63140)</f>
        <v>63140</v>
      </c>
      <c r="D862" t="s">
        <v>401</v>
      </c>
      <c r="E862" t="s">
        <v>80</v>
      </c>
      <c r="F862" t="s">
        <v>305</v>
      </c>
      <c r="G862" t="s">
        <v>304</v>
      </c>
      <c r="H862" t="s">
        <v>30</v>
      </c>
      <c r="I862" t="s">
        <v>31</v>
      </c>
      <c r="J862" t="s">
        <v>32</v>
      </c>
      <c r="K862" t="s">
        <v>44</v>
      </c>
      <c r="L862" t="s">
        <v>45</v>
      </c>
      <c r="M862" t="s">
        <v>106</v>
      </c>
      <c r="N862" t="s">
        <v>46</v>
      </c>
      <c r="P862" t="s">
        <v>61</v>
      </c>
      <c r="R862">
        <v>42153.40960648148</v>
      </c>
      <c r="S862">
        <v>42930.506168981483</v>
      </c>
      <c r="T862" t="s">
        <v>400</v>
      </c>
      <c r="U862" t="s">
        <v>35</v>
      </c>
      <c r="V862" t="s">
        <v>35</v>
      </c>
      <c r="W862" t="s">
        <v>4098</v>
      </c>
    </row>
    <row r="863" spans="1:23" x14ac:dyDescent="0.25">
      <c r="A863" t="s">
        <v>633</v>
      </c>
      <c r="B863" s="19">
        <v>9436</v>
      </c>
      <c r="C863" s="2">
        <f>HYPERLINK(URLs!B36 &amp; 76233,76233)</f>
        <v>76233</v>
      </c>
      <c r="D863" t="s">
        <v>3890</v>
      </c>
      <c r="E863" t="s">
        <v>2350</v>
      </c>
      <c r="F863" t="s">
        <v>305</v>
      </c>
      <c r="G863" t="s">
        <v>337</v>
      </c>
      <c r="H863" t="s">
        <v>426</v>
      </c>
      <c r="I863" t="s">
        <v>57</v>
      </c>
      <c r="J863" t="s">
        <v>2183</v>
      </c>
      <c r="K863" t="s">
        <v>44</v>
      </c>
      <c r="L863" t="s">
        <v>34</v>
      </c>
      <c r="M863" t="s">
        <v>368</v>
      </c>
      <c r="N863" t="s">
        <v>46</v>
      </c>
      <c r="P863" t="s">
        <v>2475</v>
      </c>
      <c r="R863">
        <v>42397.682141203702</v>
      </c>
      <c r="S863">
        <v>43332.662210648145</v>
      </c>
      <c r="T863" t="s">
        <v>171</v>
      </c>
      <c r="U863" t="s">
        <v>35</v>
      </c>
      <c r="V863" t="s">
        <v>35</v>
      </c>
      <c r="W863" t="s">
        <v>92</v>
      </c>
    </row>
    <row r="864" spans="1:23" x14ac:dyDescent="0.25">
      <c r="A864" t="s">
        <v>665</v>
      </c>
      <c r="B864" s="19">
        <v>9499</v>
      </c>
      <c r="C864" s="2">
        <f>HYPERLINK(URLs!B36 &amp; 73612,73612)</f>
        <v>73612</v>
      </c>
      <c r="D864" t="s">
        <v>2832</v>
      </c>
      <c r="E864" t="s">
        <v>387</v>
      </c>
      <c r="F864" t="s">
        <v>305</v>
      </c>
      <c r="G864" t="s">
        <v>337</v>
      </c>
      <c r="H864" t="s">
        <v>30</v>
      </c>
      <c r="I864" t="s">
        <v>31</v>
      </c>
      <c r="J864" t="s">
        <v>32</v>
      </c>
      <c r="K864" t="s">
        <v>44</v>
      </c>
      <c r="L864" t="s">
        <v>73</v>
      </c>
      <c r="M864" t="s">
        <v>263</v>
      </c>
      <c r="N864" t="s">
        <v>60</v>
      </c>
      <c r="P864" t="s">
        <v>65</v>
      </c>
      <c r="Q864" t="s">
        <v>2805</v>
      </c>
      <c r="R864">
        <v>42341.467118055552</v>
      </c>
      <c r="S864">
        <v>42678.64371527778</v>
      </c>
      <c r="T864" t="s">
        <v>72</v>
      </c>
      <c r="U864" t="s">
        <v>35</v>
      </c>
      <c r="V864" t="s">
        <v>321</v>
      </c>
      <c r="W864" t="s">
        <v>4153</v>
      </c>
    </row>
    <row r="865" spans="1:23" x14ac:dyDescent="0.25">
      <c r="A865" t="s">
        <v>665</v>
      </c>
      <c r="B865" s="19">
        <v>9499</v>
      </c>
      <c r="C865" s="2">
        <f>HYPERLINK(URLs!B36 &amp; 72554,72554)</f>
        <v>72554</v>
      </c>
      <c r="D865" t="s">
        <v>2807</v>
      </c>
      <c r="E865" t="s">
        <v>445</v>
      </c>
      <c r="F865" t="s">
        <v>305</v>
      </c>
      <c r="G865" t="s">
        <v>304</v>
      </c>
      <c r="H865" t="s">
        <v>30</v>
      </c>
      <c r="I865" t="s">
        <v>31</v>
      </c>
      <c r="J865" t="s">
        <v>32</v>
      </c>
      <c r="K865" t="s">
        <v>44</v>
      </c>
      <c r="L865" t="s">
        <v>73</v>
      </c>
      <c r="M865" t="s">
        <v>263</v>
      </c>
      <c r="N865" t="s">
        <v>46</v>
      </c>
      <c r="P865" t="s">
        <v>65</v>
      </c>
      <c r="Q865" t="s">
        <v>2805</v>
      </c>
      <c r="R865">
        <v>42320.313101851854</v>
      </c>
      <c r="S865">
        <v>42648.762499999997</v>
      </c>
      <c r="T865" t="s">
        <v>317</v>
      </c>
      <c r="U865" t="s">
        <v>35</v>
      </c>
      <c r="V865" t="s">
        <v>321</v>
      </c>
      <c r="W865" t="s">
        <v>133</v>
      </c>
    </row>
    <row r="866" spans="1:23" x14ac:dyDescent="0.25">
      <c r="A866" t="s">
        <v>665</v>
      </c>
      <c r="B866" s="19">
        <v>9499</v>
      </c>
      <c r="C866" s="2">
        <f>HYPERLINK(URLs!B36 &amp; 72553,72553)</f>
        <v>72553</v>
      </c>
      <c r="D866" t="s">
        <v>2806</v>
      </c>
      <c r="E866" t="s">
        <v>387</v>
      </c>
      <c r="F866" t="s">
        <v>305</v>
      </c>
      <c r="G866" t="s">
        <v>304</v>
      </c>
      <c r="H866" t="s">
        <v>30</v>
      </c>
      <c r="I866" t="s">
        <v>31</v>
      </c>
      <c r="J866" t="s">
        <v>32</v>
      </c>
      <c r="K866" t="s">
        <v>44</v>
      </c>
      <c r="L866" t="s">
        <v>73</v>
      </c>
      <c r="M866" t="s">
        <v>263</v>
      </c>
      <c r="N866" t="s">
        <v>60</v>
      </c>
      <c r="P866" t="s">
        <v>65</v>
      </c>
      <c r="Q866" t="s">
        <v>2805</v>
      </c>
      <c r="R866">
        <v>42320.313020833331</v>
      </c>
      <c r="S866">
        <v>42648.762395833335</v>
      </c>
      <c r="T866" t="s">
        <v>317</v>
      </c>
      <c r="U866" t="s">
        <v>3960</v>
      </c>
      <c r="V866" t="s">
        <v>321</v>
      </c>
      <c r="W866" t="s">
        <v>65</v>
      </c>
    </row>
    <row r="867" spans="1:23" x14ac:dyDescent="0.25">
      <c r="A867" t="s">
        <v>665</v>
      </c>
      <c r="B867" s="19">
        <v>9499</v>
      </c>
      <c r="C867" s="2">
        <f>HYPERLINK(URLs!B36 &amp; 72544,72544)</f>
        <v>72544</v>
      </c>
      <c r="D867" t="s">
        <v>386</v>
      </c>
      <c r="E867" t="s">
        <v>387</v>
      </c>
      <c r="F867" t="s">
        <v>305</v>
      </c>
      <c r="G867" t="s">
        <v>304</v>
      </c>
      <c r="H867" t="s">
        <v>30</v>
      </c>
      <c r="I867" t="s">
        <v>31</v>
      </c>
      <c r="J867" t="s">
        <v>32</v>
      </c>
      <c r="K867" t="s">
        <v>44</v>
      </c>
      <c r="L867" t="s">
        <v>73</v>
      </c>
      <c r="M867" t="s">
        <v>263</v>
      </c>
      <c r="N867" t="s">
        <v>46</v>
      </c>
      <c r="P867" t="s">
        <v>65</v>
      </c>
      <c r="Q867" t="s">
        <v>2805</v>
      </c>
      <c r="R867">
        <v>42319.914050925923</v>
      </c>
      <c r="S867">
        <v>42857.579131944447</v>
      </c>
      <c r="T867" t="s">
        <v>332</v>
      </c>
      <c r="U867" t="s">
        <v>35</v>
      </c>
      <c r="V867" t="s">
        <v>321</v>
      </c>
      <c r="W867" t="s">
        <v>4098</v>
      </c>
    </row>
    <row r="868" spans="1:23" x14ac:dyDescent="0.25">
      <c r="A868" t="s">
        <v>665</v>
      </c>
      <c r="B868" s="19">
        <v>9499</v>
      </c>
      <c r="C868" s="2">
        <f>HYPERLINK(URLs!B36 &amp; 72462,72462)</f>
        <v>72462</v>
      </c>
      <c r="D868" t="s">
        <v>2802</v>
      </c>
      <c r="E868" t="s">
        <v>445</v>
      </c>
      <c r="F868" t="s">
        <v>305</v>
      </c>
      <c r="G868" t="s">
        <v>353</v>
      </c>
      <c r="H868" t="s">
        <v>30</v>
      </c>
      <c r="I868" t="s">
        <v>31</v>
      </c>
      <c r="J868" t="s">
        <v>43</v>
      </c>
      <c r="K868" t="s">
        <v>44</v>
      </c>
      <c r="L868" t="s">
        <v>73</v>
      </c>
      <c r="M868" t="s">
        <v>263</v>
      </c>
      <c r="N868" t="s">
        <v>46</v>
      </c>
      <c r="P868" t="s">
        <v>61</v>
      </c>
      <c r="R868">
        <v>42319.478715277779</v>
      </c>
      <c r="S868">
        <v>42341.471701388888</v>
      </c>
      <c r="T868" t="s">
        <v>317</v>
      </c>
      <c r="U868" t="s">
        <v>35</v>
      </c>
      <c r="V868" t="s">
        <v>35</v>
      </c>
      <c r="W868" t="s">
        <v>4153</v>
      </c>
    </row>
    <row r="869" spans="1:23" x14ac:dyDescent="0.25">
      <c r="A869" t="s">
        <v>665</v>
      </c>
      <c r="B869" s="19">
        <v>9499</v>
      </c>
      <c r="C869" s="2">
        <f>HYPERLINK(URLs!B36 &amp; 72392,72392)</f>
        <v>72392</v>
      </c>
      <c r="D869" t="s">
        <v>2780</v>
      </c>
      <c r="E869" t="s">
        <v>445</v>
      </c>
      <c r="F869" t="s">
        <v>305</v>
      </c>
      <c r="G869" t="s">
        <v>310</v>
      </c>
      <c r="H869" t="s">
        <v>30</v>
      </c>
      <c r="I869" t="s">
        <v>68</v>
      </c>
      <c r="J869" t="s">
        <v>43</v>
      </c>
      <c r="K869" t="s">
        <v>33</v>
      </c>
      <c r="L869" t="s">
        <v>73</v>
      </c>
      <c r="M869" t="s">
        <v>263</v>
      </c>
      <c r="N869" t="s">
        <v>46</v>
      </c>
      <c r="P869" t="s">
        <v>61</v>
      </c>
      <c r="R869">
        <v>42318.313483796293</v>
      </c>
      <c r="S869">
        <v>42340.743981481479</v>
      </c>
      <c r="T869" t="s">
        <v>317</v>
      </c>
      <c r="U869" t="s">
        <v>35</v>
      </c>
      <c r="V869" t="s">
        <v>35</v>
      </c>
      <c r="W869" t="s">
        <v>85</v>
      </c>
    </row>
    <row r="870" spans="1:23" x14ac:dyDescent="0.25">
      <c r="A870" t="s">
        <v>665</v>
      </c>
      <c r="B870" s="19">
        <v>9499</v>
      </c>
      <c r="C870" s="2">
        <f>HYPERLINK(URLs!B36 &amp; 72391,72391)</f>
        <v>72391</v>
      </c>
      <c r="D870" t="s">
        <v>2779</v>
      </c>
      <c r="E870" t="s">
        <v>445</v>
      </c>
      <c r="F870" t="s">
        <v>305</v>
      </c>
      <c r="G870" t="s">
        <v>337</v>
      </c>
      <c r="H870" t="s">
        <v>30</v>
      </c>
      <c r="I870" t="s">
        <v>68</v>
      </c>
      <c r="J870" t="s">
        <v>43</v>
      </c>
      <c r="K870" t="s">
        <v>33</v>
      </c>
      <c r="L870" t="s">
        <v>73</v>
      </c>
      <c r="M870" t="s">
        <v>263</v>
      </c>
      <c r="N870" t="s">
        <v>46</v>
      </c>
      <c r="P870" t="s">
        <v>61</v>
      </c>
      <c r="R870">
        <v>42318.313379629632</v>
      </c>
      <c r="S870">
        <v>42341.74428240741</v>
      </c>
      <c r="T870" t="s">
        <v>317</v>
      </c>
      <c r="U870" t="s">
        <v>35</v>
      </c>
      <c r="V870" t="s">
        <v>35</v>
      </c>
      <c r="W870" t="s">
        <v>3120</v>
      </c>
    </row>
    <row r="871" spans="1:23" x14ac:dyDescent="0.25">
      <c r="A871" t="s">
        <v>665</v>
      </c>
      <c r="B871" s="19">
        <v>9499</v>
      </c>
      <c r="C871" s="2">
        <f>HYPERLINK(URLs!B36 &amp; 72390,72390)</f>
        <v>72390</v>
      </c>
      <c r="D871" t="s">
        <v>2778</v>
      </c>
      <c r="E871" t="s">
        <v>445</v>
      </c>
      <c r="F871" t="s">
        <v>305</v>
      </c>
      <c r="G871" t="s">
        <v>310</v>
      </c>
      <c r="H871" t="s">
        <v>30</v>
      </c>
      <c r="I871" t="s">
        <v>31</v>
      </c>
      <c r="J871" t="s">
        <v>43</v>
      </c>
      <c r="K871" t="s">
        <v>44</v>
      </c>
      <c r="L871" t="s">
        <v>73</v>
      </c>
      <c r="M871" t="s">
        <v>263</v>
      </c>
      <c r="N871" t="s">
        <v>46</v>
      </c>
      <c r="P871" t="s">
        <v>61</v>
      </c>
      <c r="R871">
        <v>42318.313287037039</v>
      </c>
      <c r="S871">
        <v>42678.642557870371</v>
      </c>
      <c r="T871" t="s">
        <v>317</v>
      </c>
      <c r="U871" t="s">
        <v>35</v>
      </c>
      <c r="V871" t="s">
        <v>35</v>
      </c>
      <c r="W871" t="s">
        <v>491</v>
      </c>
    </row>
    <row r="872" spans="1:23" x14ac:dyDescent="0.25">
      <c r="A872" t="s">
        <v>665</v>
      </c>
      <c r="B872" s="19">
        <v>9499</v>
      </c>
      <c r="C872" s="2">
        <f>HYPERLINK(URLs!B36 &amp; 72389,72389)</f>
        <v>72389</v>
      </c>
      <c r="D872" t="s">
        <v>2777</v>
      </c>
      <c r="E872" t="s">
        <v>445</v>
      </c>
      <c r="F872" t="s">
        <v>305</v>
      </c>
      <c r="G872" t="s">
        <v>353</v>
      </c>
      <c r="H872" t="s">
        <v>30</v>
      </c>
      <c r="I872" t="s">
        <v>31</v>
      </c>
      <c r="J872" t="s">
        <v>43</v>
      </c>
      <c r="K872" t="s">
        <v>44</v>
      </c>
      <c r="L872" t="s">
        <v>73</v>
      </c>
      <c r="M872" t="s">
        <v>263</v>
      </c>
      <c r="N872" t="s">
        <v>46</v>
      </c>
      <c r="P872" t="s">
        <v>61</v>
      </c>
      <c r="R872">
        <v>42318.31318287037</v>
      </c>
      <c r="S872">
        <v>42678.642326388886</v>
      </c>
      <c r="T872" t="s">
        <v>317</v>
      </c>
      <c r="U872" t="s">
        <v>35</v>
      </c>
      <c r="V872" t="s">
        <v>35</v>
      </c>
      <c r="W872" t="s">
        <v>133</v>
      </c>
    </row>
    <row r="873" spans="1:23" x14ac:dyDescent="0.25">
      <c r="A873" t="s">
        <v>665</v>
      </c>
      <c r="B873" s="19">
        <v>9499</v>
      </c>
      <c r="C873" s="2">
        <f>HYPERLINK(URLs!B36 &amp; 72388,72388)</f>
        <v>72388</v>
      </c>
      <c r="D873" t="s">
        <v>2776</v>
      </c>
      <c r="E873" t="s">
        <v>445</v>
      </c>
      <c r="F873" t="s">
        <v>305</v>
      </c>
      <c r="G873" t="s">
        <v>353</v>
      </c>
      <c r="H873" t="s">
        <v>30</v>
      </c>
      <c r="I873" t="s">
        <v>31</v>
      </c>
      <c r="J873" t="s">
        <v>43</v>
      </c>
      <c r="K873" t="s">
        <v>44</v>
      </c>
      <c r="L873" t="s">
        <v>73</v>
      </c>
      <c r="M873" t="s">
        <v>263</v>
      </c>
      <c r="N873" t="s">
        <v>60</v>
      </c>
      <c r="P873" t="s">
        <v>61</v>
      </c>
      <c r="R873">
        <v>42318.313078703701</v>
      </c>
      <c r="S873">
        <v>42678.642141203702</v>
      </c>
      <c r="T873" t="s">
        <v>317</v>
      </c>
      <c r="U873" t="s">
        <v>35</v>
      </c>
      <c r="V873" t="s">
        <v>35</v>
      </c>
      <c r="W873" t="s">
        <v>65</v>
      </c>
    </row>
    <row r="874" spans="1:23" x14ac:dyDescent="0.25">
      <c r="A874" t="s">
        <v>665</v>
      </c>
      <c r="B874" s="19">
        <v>9499</v>
      </c>
      <c r="C874" s="2">
        <f>HYPERLINK(URLs!B36 &amp; 72387,72387)</f>
        <v>72387</v>
      </c>
      <c r="D874" t="s">
        <v>2775</v>
      </c>
      <c r="E874" t="s">
        <v>445</v>
      </c>
      <c r="F874" t="s">
        <v>305</v>
      </c>
      <c r="G874" t="s">
        <v>310</v>
      </c>
      <c r="H874" t="s">
        <v>30</v>
      </c>
      <c r="I874" t="s">
        <v>31</v>
      </c>
      <c r="J874" t="s">
        <v>43</v>
      </c>
      <c r="K874" t="s">
        <v>44</v>
      </c>
      <c r="L874" t="s">
        <v>73</v>
      </c>
      <c r="M874" t="s">
        <v>263</v>
      </c>
      <c r="N874" t="s">
        <v>46</v>
      </c>
      <c r="P874" t="s">
        <v>61</v>
      </c>
      <c r="R874">
        <v>42318.312962962962</v>
      </c>
      <c r="S874">
        <v>42678.642256944448</v>
      </c>
      <c r="T874" t="s">
        <v>317</v>
      </c>
      <c r="U874" t="s">
        <v>35</v>
      </c>
      <c r="V874" t="s">
        <v>35</v>
      </c>
      <c r="W874" t="s">
        <v>3028</v>
      </c>
    </row>
    <row r="875" spans="1:23" x14ac:dyDescent="0.25">
      <c r="A875" t="s">
        <v>665</v>
      </c>
      <c r="B875" s="19">
        <v>9499</v>
      </c>
      <c r="C875" s="2">
        <f>HYPERLINK(URLs!B36 &amp; 72386,72386)</f>
        <v>72386</v>
      </c>
      <c r="D875" t="s">
        <v>2774</v>
      </c>
      <c r="E875" t="s">
        <v>445</v>
      </c>
      <c r="F875" t="s">
        <v>305</v>
      </c>
      <c r="G875" t="s">
        <v>310</v>
      </c>
      <c r="H875" t="s">
        <v>30</v>
      </c>
      <c r="I875" t="s">
        <v>31</v>
      </c>
      <c r="J875" t="s">
        <v>43</v>
      </c>
      <c r="K875" t="s">
        <v>44</v>
      </c>
      <c r="L875" t="s">
        <v>73</v>
      </c>
      <c r="M875" t="s">
        <v>263</v>
      </c>
      <c r="N875" t="s">
        <v>46</v>
      </c>
      <c r="P875" t="s">
        <v>61</v>
      </c>
      <c r="R875">
        <v>42318.312847222223</v>
      </c>
      <c r="S875">
        <v>42678.642083333332</v>
      </c>
      <c r="T875" t="s">
        <v>317</v>
      </c>
      <c r="U875" t="s">
        <v>35</v>
      </c>
      <c r="V875" t="s">
        <v>35</v>
      </c>
      <c r="W875" t="s">
        <v>3039</v>
      </c>
    </row>
    <row r="876" spans="1:23" x14ac:dyDescent="0.25">
      <c r="A876" t="s">
        <v>665</v>
      </c>
      <c r="B876" s="19">
        <v>9499</v>
      </c>
      <c r="C876" s="2">
        <f>HYPERLINK(URLs!B36 &amp; 72378,72378)</f>
        <v>72378</v>
      </c>
      <c r="D876" t="s">
        <v>2773</v>
      </c>
      <c r="E876" t="s">
        <v>445</v>
      </c>
      <c r="F876" t="s">
        <v>305</v>
      </c>
      <c r="G876" t="s">
        <v>353</v>
      </c>
      <c r="H876" t="s">
        <v>30</v>
      </c>
      <c r="I876" t="s">
        <v>31</v>
      </c>
      <c r="J876" t="s">
        <v>43</v>
      </c>
      <c r="K876" t="s">
        <v>44</v>
      </c>
      <c r="L876" t="s">
        <v>73</v>
      </c>
      <c r="M876" t="s">
        <v>263</v>
      </c>
      <c r="N876" t="s">
        <v>46</v>
      </c>
      <c r="P876" t="s">
        <v>61</v>
      </c>
      <c r="R876">
        <v>42317.916296296295</v>
      </c>
      <c r="S876">
        <v>42678.643101851849</v>
      </c>
      <c r="T876" t="s">
        <v>1</v>
      </c>
      <c r="U876" t="s">
        <v>35</v>
      </c>
      <c r="V876" t="s">
        <v>35</v>
      </c>
      <c r="W876" t="s">
        <v>4098</v>
      </c>
    </row>
    <row r="877" spans="1:23" x14ac:dyDescent="0.25">
      <c r="A877" t="s">
        <v>633</v>
      </c>
      <c r="B877" s="19">
        <v>9500</v>
      </c>
      <c r="C877" s="2">
        <f>HYPERLINK(URLs!B36 &amp; 73612,73612)</f>
        <v>73612</v>
      </c>
      <c r="D877" t="s">
        <v>2832</v>
      </c>
      <c r="E877" t="s">
        <v>387</v>
      </c>
      <c r="F877" t="s">
        <v>305</v>
      </c>
      <c r="G877" t="s">
        <v>337</v>
      </c>
      <c r="H877" t="s">
        <v>30</v>
      </c>
      <c r="I877" t="s">
        <v>31</v>
      </c>
      <c r="J877" t="s">
        <v>32</v>
      </c>
      <c r="K877" t="s">
        <v>44</v>
      </c>
      <c r="L877" t="s">
        <v>73</v>
      </c>
      <c r="M877" t="s">
        <v>263</v>
      </c>
      <c r="N877" t="s">
        <v>60</v>
      </c>
      <c r="P877" t="s">
        <v>65</v>
      </c>
      <c r="Q877" t="s">
        <v>2805</v>
      </c>
      <c r="R877">
        <v>42341.467118055552</v>
      </c>
      <c r="S877">
        <v>42678.64371527778</v>
      </c>
      <c r="T877" t="s">
        <v>72</v>
      </c>
      <c r="U877" t="s">
        <v>35</v>
      </c>
      <c r="V877" t="s">
        <v>321</v>
      </c>
      <c r="W877" t="s">
        <v>4153</v>
      </c>
    </row>
    <row r="878" spans="1:23" x14ac:dyDescent="0.25">
      <c r="A878" t="s">
        <v>633</v>
      </c>
      <c r="B878" s="19">
        <v>9500</v>
      </c>
      <c r="C878" s="2">
        <f>HYPERLINK(URLs!B36 &amp; 72554,72554)</f>
        <v>72554</v>
      </c>
      <c r="D878" t="s">
        <v>2807</v>
      </c>
      <c r="E878" t="s">
        <v>445</v>
      </c>
      <c r="F878" t="s">
        <v>305</v>
      </c>
      <c r="G878" t="s">
        <v>304</v>
      </c>
      <c r="H878" t="s">
        <v>30</v>
      </c>
      <c r="I878" t="s">
        <v>31</v>
      </c>
      <c r="J878" t="s">
        <v>32</v>
      </c>
      <c r="K878" t="s">
        <v>44</v>
      </c>
      <c r="L878" t="s">
        <v>73</v>
      </c>
      <c r="M878" t="s">
        <v>263</v>
      </c>
      <c r="N878" t="s">
        <v>46</v>
      </c>
      <c r="P878" t="s">
        <v>65</v>
      </c>
      <c r="Q878" t="s">
        <v>2805</v>
      </c>
      <c r="R878">
        <v>42320.313101851854</v>
      </c>
      <c r="S878">
        <v>42648.762499999997</v>
      </c>
      <c r="T878" t="s">
        <v>317</v>
      </c>
      <c r="U878" t="s">
        <v>35</v>
      </c>
      <c r="V878" t="s">
        <v>321</v>
      </c>
      <c r="W878" t="s">
        <v>133</v>
      </c>
    </row>
    <row r="879" spans="1:23" x14ac:dyDescent="0.25">
      <c r="A879" t="s">
        <v>633</v>
      </c>
      <c r="B879" s="19">
        <v>9500</v>
      </c>
      <c r="C879" s="2">
        <f>HYPERLINK(URLs!B36 &amp; 72553,72553)</f>
        <v>72553</v>
      </c>
      <c r="D879" t="s">
        <v>2806</v>
      </c>
      <c r="E879" t="s">
        <v>387</v>
      </c>
      <c r="F879" t="s">
        <v>305</v>
      </c>
      <c r="G879" t="s">
        <v>304</v>
      </c>
      <c r="H879" t="s">
        <v>30</v>
      </c>
      <c r="I879" t="s">
        <v>31</v>
      </c>
      <c r="J879" t="s">
        <v>32</v>
      </c>
      <c r="K879" t="s">
        <v>44</v>
      </c>
      <c r="L879" t="s">
        <v>73</v>
      </c>
      <c r="M879" t="s">
        <v>263</v>
      </c>
      <c r="N879" t="s">
        <v>60</v>
      </c>
      <c r="P879" t="s">
        <v>65</v>
      </c>
      <c r="Q879" t="s">
        <v>2805</v>
      </c>
      <c r="R879">
        <v>42320.313020833331</v>
      </c>
      <c r="S879">
        <v>42648.762395833335</v>
      </c>
      <c r="T879" t="s">
        <v>317</v>
      </c>
      <c r="U879" t="s">
        <v>3960</v>
      </c>
      <c r="V879" t="s">
        <v>321</v>
      </c>
      <c r="W879" t="s">
        <v>65</v>
      </c>
    </row>
    <row r="880" spans="1:23" x14ac:dyDescent="0.25">
      <c r="A880" t="s">
        <v>633</v>
      </c>
      <c r="B880" s="19">
        <v>9500</v>
      </c>
      <c r="C880" s="2">
        <f>HYPERLINK(URLs!B36 &amp; 72544,72544)</f>
        <v>72544</v>
      </c>
      <c r="D880" t="s">
        <v>386</v>
      </c>
      <c r="E880" t="s">
        <v>387</v>
      </c>
      <c r="F880" t="s">
        <v>305</v>
      </c>
      <c r="G880" t="s">
        <v>304</v>
      </c>
      <c r="H880" t="s">
        <v>30</v>
      </c>
      <c r="I880" t="s">
        <v>31</v>
      </c>
      <c r="J880" t="s">
        <v>32</v>
      </c>
      <c r="K880" t="s">
        <v>44</v>
      </c>
      <c r="L880" t="s">
        <v>73</v>
      </c>
      <c r="M880" t="s">
        <v>263</v>
      </c>
      <c r="N880" t="s">
        <v>46</v>
      </c>
      <c r="P880" t="s">
        <v>65</v>
      </c>
      <c r="Q880" t="s">
        <v>2805</v>
      </c>
      <c r="R880">
        <v>42319.914050925923</v>
      </c>
      <c r="S880">
        <v>42857.579131944447</v>
      </c>
      <c r="T880" t="s">
        <v>332</v>
      </c>
      <c r="U880" t="s">
        <v>35</v>
      </c>
      <c r="V880" t="s">
        <v>321</v>
      </c>
      <c r="W880" t="s">
        <v>4098</v>
      </c>
    </row>
    <row r="881" spans="1:23" x14ac:dyDescent="0.25">
      <c r="A881" t="s">
        <v>633</v>
      </c>
      <c r="B881" s="19">
        <v>9500</v>
      </c>
      <c r="C881" s="2">
        <f>HYPERLINK(URLs!B36 &amp; 72461,72461)</f>
        <v>72461</v>
      </c>
      <c r="D881" t="s">
        <v>2801</v>
      </c>
      <c r="E881" t="s">
        <v>72</v>
      </c>
      <c r="F881" t="s">
        <v>305</v>
      </c>
      <c r="G881" t="s">
        <v>353</v>
      </c>
      <c r="H881" t="s">
        <v>30</v>
      </c>
      <c r="I881" t="s">
        <v>31</v>
      </c>
      <c r="J881" t="s">
        <v>43</v>
      </c>
      <c r="K881" t="s">
        <v>44</v>
      </c>
      <c r="L881" t="s">
        <v>73</v>
      </c>
      <c r="M881" t="s">
        <v>263</v>
      </c>
      <c r="N881" t="s">
        <v>46</v>
      </c>
      <c r="P881" t="s">
        <v>61</v>
      </c>
      <c r="R881">
        <v>42319.478391203702</v>
      </c>
      <c r="S881">
        <v>42373.843738425923</v>
      </c>
      <c r="T881" t="s">
        <v>317</v>
      </c>
      <c r="U881" t="s">
        <v>35</v>
      </c>
      <c r="V881" t="s">
        <v>35</v>
      </c>
      <c r="W881" t="s">
        <v>4153</v>
      </c>
    </row>
    <row r="882" spans="1:23" x14ac:dyDescent="0.25">
      <c r="A882" t="s">
        <v>633</v>
      </c>
      <c r="B882" s="19">
        <v>9500</v>
      </c>
      <c r="C882" s="2">
        <f>HYPERLINK(URLs!B36 &amp; 72399,72399)</f>
        <v>72399</v>
      </c>
      <c r="D882" t="s">
        <v>2787</v>
      </c>
      <c r="E882" t="s">
        <v>72</v>
      </c>
      <c r="F882" t="s">
        <v>305</v>
      </c>
      <c r="G882" t="s">
        <v>310</v>
      </c>
      <c r="H882" t="s">
        <v>30</v>
      </c>
      <c r="I882" t="s">
        <v>68</v>
      </c>
      <c r="J882" t="s">
        <v>43</v>
      </c>
      <c r="K882" t="s">
        <v>33</v>
      </c>
      <c r="L882" t="s">
        <v>73</v>
      </c>
      <c r="M882" t="s">
        <v>263</v>
      </c>
      <c r="N882" t="s">
        <v>46</v>
      </c>
      <c r="P882" t="s">
        <v>61</v>
      </c>
      <c r="R882">
        <v>42318.314525462964</v>
      </c>
      <c r="S882">
        <v>42340.744791666664</v>
      </c>
      <c r="T882" t="s">
        <v>317</v>
      </c>
      <c r="U882" t="s">
        <v>35</v>
      </c>
      <c r="V882" t="s">
        <v>35</v>
      </c>
      <c r="W882" t="s">
        <v>85</v>
      </c>
    </row>
    <row r="883" spans="1:23" x14ac:dyDescent="0.25">
      <c r="A883" t="s">
        <v>633</v>
      </c>
      <c r="B883" s="19">
        <v>9500</v>
      </c>
      <c r="C883" s="2">
        <f>HYPERLINK(URLs!B36 &amp; 72398,72398)</f>
        <v>72398</v>
      </c>
      <c r="D883" t="s">
        <v>2786</v>
      </c>
      <c r="E883" t="s">
        <v>72</v>
      </c>
      <c r="F883" t="s">
        <v>305</v>
      </c>
      <c r="G883" t="s">
        <v>310</v>
      </c>
      <c r="H883" t="s">
        <v>30</v>
      </c>
      <c r="I883" t="s">
        <v>68</v>
      </c>
      <c r="J883" t="s">
        <v>43</v>
      </c>
      <c r="K883" t="s">
        <v>33</v>
      </c>
      <c r="L883" t="s">
        <v>73</v>
      </c>
      <c r="M883" t="s">
        <v>263</v>
      </c>
      <c r="N883" t="s">
        <v>46</v>
      </c>
      <c r="P883" t="s">
        <v>61</v>
      </c>
      <c r="R883">
        <v>42318.314432870371</v>
      </c>
      <c r="S883">
        <v>42341.726388888892</v>
      </c>
      <c r="T883" t="s">
        <v>317</v>
      </c>
      <c r="U883" t="s">
        <v>35</v>
      </c>
      <c r="V883" t="s">
        <v>35</v>
      </c>
      <c r="W883" t="s">
        <v>3120</v>
      </c>
    </row>
    <row r="884" spans="1:23" x14ac:dyDescent="0.25">
      <c r="A884" t="s">
        <v>633</v>
      </c>
      <c r="B884" s="19">
        <v>9500</v>
      </c>
      <c r="C884" s="2">
        <f>HYPERLINK(URLs!B36 &amp; 72397,72397)</f>
        <v>72397</v>
      </c>
      <c r="D884" t="s">
        <v>2785</v>
      </c>
      <c r="E884" t="s">
        <v>72</v>
      </c>
      <c r="F884" t="s">
        <v>305</v>
      </c>
      <c r="G884" t="s">
        <v>310</v>
      </c>
      <c r="H884" t="s">
        <v>30</v>
      </c>
      <c r="I884" t="s">
        <v>31</v>
      </c>
      <c r="J884" t="s">
        <v>43</v>
      </c>
      <c r="K884" t="s">
        <v>44</v>
      </c>
      <c r="L884" t="s">
        <v>73</v>
      </c>
      <c r="M884" t="s">
        <v>263</v>
      </c>
      <c r="N884" t="s">
        <v>46</v>
      </c>
      <c r="P884" t="s">
        <v>61</v>
      </c>
      <c r="R884">
        <v>42318.314328703702</v>
      </c>
      <c r="S884">
        <v>42678.64203703704</v>
      </c>
      <c r="T884" t="s">
        <v>317</v>
      </c>
      <c r="U884" t="s">
        <v>35</v>
      </c>
      <c r="V884" t="s">
        <v>35</v>
      </c>
      <c r="W884" t="s">
        <v>491</v>
      </c>
    </row>
    <row r="885" spans="1:23" x14ac:dyDescent="0.25">
      <c r="A885" t="s">
        <v>633</v>
      </c>
      <c r="B885" s="19">
        <v>9500</v>
      </c>
      <c r="C885" s="2">
        <f>HYPERLINK(URLs!B36 &amp; 72396,72396)</f>
        <v>72396</v>
      </c>
      <c r="D885" t="s">
        <v>2784</v>
      </c>
      <c r="E885" t="s">
        <v>72</v>
      </c>
      <c r="F885" t="s">
        <v>305</v>
      </c>
      <c r="G885" t="s">
        <v>353</v>
      </c>
      <c r="H885" t="s">
        <v>30</v>
      </c>
      <c r="I885" t="s">
        <v>31</v>
      </c>
      <c r="J885" t="s">
        <v>43</v>
      </c>
      <c r="K885" t="s">
        <v>44</v>
      </c>
      <c r="L885" t="s">
        <v>73</v>
      </c>
      <c r="M885" t="s">
        <v>263</v>
      </c>
      <c r="N885" t="s">
        <v>46</v>
      </c>
      <c r="P885" t="s">
        <v>61</v>
      </c>
      <c r="R885">
        <v>42318.31422453704</v>
      </c>
      <c r="S885">
        <v>42341.730497685188</v>
      </c>
      <c r="T885" t="s">
        <v>317</v>
      </c>
      <c r="U885" t="s">
        <v>35</v>
      </c>
      <c r="V885" t="s">
        <v>35</v>
      </c>
      <c r="W885" t="s">
        <v>133</v>
      </c>
    </row>
    <row r="886" spans="1:23" x14ac:dyDescent="0.25">
      <c r="A886" t="s">
        <v>633</v>
      </c>
      <c r="B886" s="19">
        <v>9500</v>
      </c>
      <c r="C886" s="2">
        <f>HYPERLINK(URLs!B36 &amp; 72395,72395)</f>
        <v>72395</v>
      </c>
      <c r="D886" t="s">
        <v>2783</v>
      </c>
      <c r="E886" t="s">
        <v>72</v>
      </c>
      <c r="F886" t="s">
        <v>305</v>
      </c>
      <c r="G886" t="s">
        <v>353</v>
      </c>
      <c r="H886" t="s">
        <v>30</v>
      </c>
      <c r="I886" t="s">
        <v>31</v>
      </c>
      <c r="J886" t="s">
        <v>43</v>
      </c>
      <c r="K886" t="s">
        <v>44</v>
      </c>
      <c r="L886" t="s">
        <v>73</v>
      </c>
      <c r="M886" t="s">
        <v>263</v>
      </c>
      <c r="N886" t="s">
        <v>60</v>
      </c>
      <c r="P886" t="s">
        <v>61</v>
      </c>
      <c r="R886">
        <v>42318.314131944448</v>
      </c>
      <c r="S886">
        <v>42341.728807870371</v>
      </c>
      <c r="T886" t="s">
        <v>317</v>
      </c>
      <c r="U886" t="s">
        <v>35</v>
      </c>
      <c r="V886" t="s">
        <v>35</v>
      </c>
      <c r="W886" t="s">
        <v>65</v>
      </c>
    </row>
    <row r="887" spans="1:23" x14ac:dyDescent="0.25">
      <c r="A887" t="s">
        <v>633</v>
      </c>
      <c r="B887" s="19">
        <v>9500</v>
      </c>
      <c r="C887" s="2">
        <f>HYPERLINK(URLs!B36 &amp; 72394,72394)</f>
        <v>72394</v>
      </c>
      <c r="D887" t="s">
        <v>2782</v>
      </c>
      <c r="E887" t="s">
        <v>72</v>
      </c>
      <c r="F887" t="s">
        <v>305</v>
      </c>
      <c r="G887" t="s">
        <v>310</v>
      </c>
      <c r="H887" t="s">
        <v>30</v>
      </c>
      <c r="I887" t="s">
        <v>31</v>
      </c>
      <c r="J887" t="s">
        <v>43</v>
      </c>
      <c r="K887" t="s">
        <v>44</v>
      </c>
      <c r="L887" t="s">
        <v>73</v>
      </c>
      <c r="M887" t="s">
        <v>263</v>
      </c>
      <c r="N887" t="s">
        <v>46</v>
      </c>
      <c r="P887" t="s">
        <v>61</v>
      </c>
      <c r="R887">
        <v>42318.314016203702</v>
      </c>
      <c r="S887">
        <v>42341.727847222224</v>
      </c>
      <c r="T887" t="s">
        <v>317</v>
      </c>
      <c r="U887" t="s">
        <v>35</v>
      </c>
      <c r="V887" t="s">
        <v>35</v>
      </c>
      <c r="W887" t="s">
        <v>3028</v>
      </c>
    </row>
    <row r="888" spans="1:23" x14ac:dyDescent="0.25">
      <c r="A888" t="s">
        <v>633</v>
      </c>
      <c r="B888" s="19">
        <v>9500</v>
      </c>
      <c r="C888" s="2">
        <f>HYPERLINK(URLs!B36 &amp; 72393,72393)</f>
        <v>72393</v>
      </c>
      <c r="D888" t="s">
        <v>2781</v>
      </c>
      <c r="E888" t="s">
        <v>72</v>
      </c>
      <c r="F888" t="s">
        <v>305</v>
      </c>
      <c r="G888" t="s">
        <v>310</v>
      </c>
      <c r="H888" t="s">
        <v>30</v>
      </c>
      <c r="I888" t="s">
        <v>31</v>
      </c>
      <c r="J888" t="s">
        <v>43</v>
      </c>
      <c r="K888" t="s">
        <v>44</v>
      </c>
      <c r="L888" t="s">
        <v>73</v>
      </c>
      <c r="M888" t="s">
        <v>263</v>
      </c>
      <c r="N888" t="s">
        <v>46</v>
      </c>
      <c r="P888" t="s">
        <v>61</v>
      </c>
      <c r="R888">
        <v>42318.313900462963</v>
      </c>
      <c r="S888">
        <v>42341.727256944447</v>
      </c>
      <c r="T888" t="s">
        <v>317</v>
      </c>
      <c r="U888" t="s">
        <v>35</v>
      </c>
      <c r="V888" t="s">
        <v>35</v>
      </c>
      <c r="W888" t="s">
        <v>3039</v>
      </c>
    </row>
    <row r="889" spans="1:23" x14ac:dyDescent="0.25">
      <c r="A889" t="s">
        <v>633</v>
      </c>
      <c r="B889" s="19">
        <v>9500</v>
      </c>
      <c r="C889" s="2">
        <f>HYPERLINK(URLs!B36 &amp; 72371,72371)</f>
        <v>72371</v>
      </c>
      <c r="D889" t="s">
        <v>2771</v>
      </c>
      <c r="E889" t="s">
        <v>72</v>
      </c>
      <c r="F889" t="s">
        <v>305</v>
      </c>
      <c r="G889" t="s">
        <v>353</v>
      </c>
      <c r="H889" t="s">
        <v>30</v>
      </c>
      <c r="I889" t="s">
        <v>31</v>
      </c>
      <c r="J889" t="s">
        <v>43</v>
      </c>
      <c r="K889" t="s">
        <v>44</v>
      </c>
      <c r="L889" t="s">
        <v>73</v>
      </c>
      <c r="M889" t="s">
        <v>263</v>
      </c>
      <c r="N889" t="s">
        <v>46</v>
      </c>
      <c r="P889" t="s">
        <v>61</v>
      </c>
      <c r="R889">
        <v>42317.831342592595</v>
      </c>
      <c r="S889">
        <v>42678.642824074072</v>
      </c>
      <c r="T889" t="s">
        <v>1</v>
      </c>
      <c r="U889" t="s">
        <v>35</v>
      </c>
      <c r="V889" t="s">
        <v>35</v>
      </c>
      <c r="W889" t="s">
        <v>4098</v>
      </c>
    </row>
    <row r="890" spans="1:23" x14ac:dyDescent="0.25">
      <c r="A890" t="s">
        <v>633</v>
      </c>
      <c r="B890" s="19">
        <v>9501</v>
      </c>
      <c r="C890" s="2">
        <f>HYPERLINK(URLs!B36 &amp; 72460,72460)</f>
        <v>72460</v>
      </c>
      <c r="D890" t="s">
        <v>2799</v>
      </c>
      <c r="E890" t="s">
        <v>94</v>
      </c>
      <c r="F890" t="s">
        <v>305</v>
      </c>
      <c r="G890" t="s">
        <v>337</v>
      </c>
      <c r="H890" t="s">
        <v>30</v>
      </c>
      <c r="I890" t="s">
        <v>31</v>
      </c>
      <c r="J890" t="s">
        <v>43</v>
      </c>
      <c r="K890" t="s">
        <v>44</v>
      </c>
      <c r="L890" t="s">
        <v>73</v>
      </c>
      <c r="M890" t="s">
        <v>263</v>
      </c>
      <c r="N890" t="s">
        <v>60</v>
      </c>
      <c r="P890" t="s">
        <v>61</v>
      </c>
      <c r="Q890" t="s">
        <v>2800</v>
      </c>
      <c r="R890">
        <v>42319.478055555555</v>
      </c>
      <c r="S890">
        <v>42346.681203703702</v>
      </c>
      <c r="T890" t="s">
        <v>317</v>
      </c>
      <c r="U890" t="s">
        <v>35</v>
      </c>
      <c r="V890" t="s">
        <v>35</v>
      </c>
      <c r="W890" t="s">
        <v>4153</v>
      </c>
    </row>
    <row r="891" spans="1:23" x14ac:dyDescent="0.25">
      <c r="A891" t="s">
        <v>633</v>
      </c>
      <c r="B891" s="19">
        <v>9501</v>
      </c>
      <c r="C891" s="2">
        <f>HYPERLINK(URLs!B36 &amp; 72288,72288)</f>
        <v>72288</v>
      </c>
      <c r="D891" t="s">
        <v>2767</v>
      </c>
      <c r="E891" t="s">
        <v>139</v>
      </c>
      <c r="F891" t="s">
        <v>305</v>
      </c>
      <c r="G891" t="s">
        <v>310</v>
      </c>
      <c r="H891" t="s">
        <v>30</v>
      </c>
      <c r="I891" t="s">
        <v>68</v>
      </c>
      <c r="J891" t="s">
        <v>43</v>
      </c>
      <c r="K891" t="s">
        <v>33</v>
      </c>
      <c r="L891" t="s">
        <v>73</v>
      </c>
      <c r="M891" t="s">
        <v>263</v>
      </c>
      <c r="N891" t="s">
        <v>46</v>
      </c>
      <c r="P891" t="s">
        <v>1634</v>
      </c>
      <c r="R891">
        <v>42315.313368055555</v>
      </c>
      <c r="S891">
        <v>42348.904722222222</v>
      </c>
      <c r="T891" t="s">
        <v>317</v>
      </c>
      <c r="U891" t="s">
        <v>35</v>
      </c>
      <c r="V891" t="s">
        <v>35</v>
      </c>
      <c r="W891" t="s">
        <v>85</v>
      </c>
    </row>
    <row r="892" spans="1:23" x14ac:dyDescent="0.25">
      <c r="A892" t="s">
        <v>633</v>
      </c>
      <c r="B892" s="19">
        <v>9501</v>
      </c>
      <c r="C892" s="2">
        <f>HYPERLINK(URLs!B36 &amp; 72287,72287)</f>
        <v>72287</v>
      </c>
      <c r="D892" t="s">
        <v>2766</v>
      </c>
      <c r="E892" t="s">
        <v>387</v>
      </c>
      <c r="F892" t="s">
        <v>305</v>
      </c>
      <c r="G892" t="s">
        <v>337</v>
      </c>
      <c r="H892" t="s">
        <v>30</v>
      </c>
      <c r="I892" t="s">
        <v>68</v>
      </c>
      <c r="J892" t="s">
        <v>43</v>
      </c>
      <c r="K892" t="s">
        <v>33</v>
      </c>
      <c r="L892" t="s">
        <v>73</v>
      </c>
      <c r="M892" t="s">
        <v>263</v>
      </c>
      <c r="N892" t="s">
        <v>46</v>
      </c>
      <c r="P892" t="s">
        <v>1634</v>
      </c>
      <c r="R892">
        <v>42315.313263888886</v>
      </c>
      <c r="S892">
        <v>42341.743645833332</v>
      </c>
      <c r="T892" t="s">
        <v>317</v>
      </c>
      <c r="U892" t="s">
        <v>35</v>
      </c>
      <c r="V892" t="s">
        <v>35</v>
      </c>
      <c r="W892" t="s">
        <v>3120</v>
      </c>
    </row>
    <row r="893" spans="1:23" x14ac:dyDescent="0.25">
      <c r="A893" t="s">
        <v>633</v>
      </c>
      <c r="B893" s="19">
        <v>9501</v>
      </c>
      <c r="C893" s="2">
        <f>HYPERLINK(URLs!B36 &amp; 72286,72286)</f>
        <v>72286</v>
      </c>
      <c r="D893" t="s">
        <v>2765</v>
      </c>
      <c r="E893" t="s">
        <v>387</v>
      </c>
      <c r="F893" t="s">
        <v>305</v>
      </c>
      <c r="G893" t="s">
        <v>310</v>
      </c>
      <c r="H893" t="s">
        <v>30</v>
      </c>
      <c r="I893" t="s">
        <v>31</v>
      </c>
      <c r="J893" t="s">
        <v>43</v>
      </c>
      <c r="K893" t="s">
        <v>44</v>
      </c>
      <c r="L893" t="s">
        <v>73</v>
      </c>
      <c r="M893" t="s">
        <v>263</v>
      </c>
      <c r="N893" t="s">
        <v>46</v>
      </c>
      <c r="P893" t="s">
        <v>1634</v>
      </c>
      <c r="R893">
        <v>42315.31318287037</v>
      </c>
      <c r="S893">
        <v>42678.644837962966</v>
      </c>
      <c r="T893" t="s">
        <v>317</v>
      </c>
      <c r="U893" t="s">
        <v>35</v>
      </c>
      <c r="V893" t="s">
        <v>35</v>
      </c>
      <c r="W893" t="s">
        <v>491</v>
      </c>
    </row>
    <row r="894" spans="1:23" x14ac:dyDescent="0.25">
      <c r="A894" t="s">
        <v>633</v>
      </c>
      <c r="B894" s="19">
        <v>9501</v>
      </c>
      <c r="C894" s="2">
        <f>HYPERLINK(URLs!B36 &amp; 72285,72285)</f>
        <v>72285</v>
      </c>
      <c r="D894" t="s">
        <v>2764</v>
      </c>
      <c r="E894" t="s">
        <v>139</v>
      </c>
      <c r="F894" t="s">
        <v>305</v>
      </c>
      <c r="G894" t="s">
        <v>304</v>
      </c>
      <c r="H894" t="s">
        <v>30</v>
      </c>
      <c r="I894" t="s">
        <v>31</v>
      </c>
      <c r="J894" t="s">
        <v>43</v>
      </c>
      <c r="K894" t="s">
        <v>44</v>
      </c>
      <c r="L894" t="s">
        <v>73</v>
      </c>
      <c r="M894" t="s">
        <v>263</v>
      </c>
      <c r="N894" t="s">
        <v>46</v>
      </c>
      <c r="P894" t="s">
        <v>1634</v>
      </c>
      <c r="R894">
        <v>42315.313090277778</v>
      </c>
      <c r="S894">
        <v>42648.772013888891</v>
      </c>
      <c r="T894" t="s">
        <v>317</v>
      </c>
      <c r="U894" t="s">
        <v>35</v>
      </c>
      <c r="V894" t="s">
        <v>35</v>
      </c>
      <c r="W894" t="s">
        <v>133</v>
      </c>
    </row>
    <row r="895" spans="1:23" x14ac:dyDescent="0.25">
      <c r="A895" t="s">
        <v>633</v>
      </c>
      <c r="B895" s="19">
        <v>9501</v>
      </c>
      <c r="C895" s="2">
        <f>HYPERLINK(URLs!B36 &amp; 72284,72284)</f>
        <v>72284</v>
      </c>
      <c r="D895" t="s">
        <v>2763</v>
      </c>
      <c r="E895" t="s">
        <v>139</v>
      </c>
      <c r="F895" t="s">
        <v>305</v>
      </c>
      <c r="G895" t="s">
        <v>304</v>
      </c>
      <c r="H895" t="s">
        <v>30</v>
      </c>
      <c r="I895" t="s">
        <v>31</v>
      </c>
      <c r="J895" t="s">
        <v>43</v>
      </c>
      <c r="K895" t="s">
        <v>44</v>
      </c>
      <c r="L895" t="s">
        <v>73</v>
      </c>
      <c r="M895" t="s">
        <v>263</v>
      </c>
      <c r="N895" t="s">
        <v>60</v>
      </c>
      <c r="P895" t="s">
        <v>1634</v>
      </c>
      <c r="R895">
        <v>42315.312986111108</v>
      </c>
      <c r="S895">
        <v>42871.69258101852</v>
      </c>
      <c r="T895" t="s">
        <v>317</v>
      </c>
      <c r="U895" t="s">
        <v>3959</v>
      </c>
      <c r="V895" t="s">
        <v>35</v>
      </c>
      <c r="W895" t="s">
        <v>65</v>
      </c>
    </row>
    <row r="896" spans="1:23" x14ac:dyDescent="0.25">
      <c r="A896" t="s">
        <v>633</v>
      </c>
      <c r="B896" s="19">
        <v>9501</v>
      </c>
      <c r="C896" s="2">
        <f>HYPERLINK(URLs!B36 &amp; 72283,72283)</f>
        <v>72283</v>
      </c>
      <c r="D896" t="s">
        <v>2762</v>
      </c>
      <c r="E896" t="s">
        <v>387</v>
      </c>
      <c r="F896" t="s">
        <v>305</v>
      </c>
      <c r="G896" t="s">
        <v>353</v>
      </c>
      <c r="H896" t="s">
        <v>30</v>
      </c>
      <c r="I896" t="s">
        <v>31</v>
      </c>
      <c r="J896" t="s">
        <v>43</v>
      </c>
      <c r="K896" t="s">
        <v>44</v>
      </c>
      <c r="L896" t="s">
        <v>73</v>
      </c>
      <c r="M896" t="s">
        <v>263</v>
      </c>
      <c r="N896" t="s">
        <v>46</v>
      </c>
      <c r="P896" t="s">
        <v>61</v>
      </c>
      <c r="R896">
        <v>42315.31287037037</v>
      </c>
      <c r="S896">
        <v>42678.643240740741</v>
      </c>
      <c r="T896" t="s">
        <v>317</v>
      </c>
      <c r="U896" t="s">
        <v>35</v>
      </c>
      <c r="V896" t="s">
        <v>35</v>
      </c>
      <c r="W896" t="s">
        <v>3028</v>
      </c>
    </row>
    <row r="897" spans="1:23" x14ac:dyDescent="0.25">
      <c r="A897" t="s">
        <v>633</v>
      </c>
      <c r="B897" s="19">
        <v>9501</v>
      </c>
      <c r="C897" s="2">
        <f>HYPERLINK(URLs!B36 &amp; 72282,72282)</f>
        <v>72282</v>
      </c>
      <c r="D897" t="s">
        <v>2761</v>
      </c>
      <c r="E897" t="s">
        <v>387</v>
      </c>
      <c r="F897" t="s">
        <v>305</v>
      </c>
      <c r="G897" t="s">
        <v>353</v>
      </c>
      <c r="H897" t="s">
        <v>30</v>
      </c>
      <c r="I897" t="s">
        <v>31</v>
      </c>
      <c r="J897" t="s">
        <v>43</v>
      </c>
      <c r="K897" t="s">
        <v>44</v>
      </c>
      <c r="L897" t="s">
        <v>73</v>
      </c>
      <c r="M897" t="s">
        <v>263</v>
      </c>
      <c r="N897" t="s">
        <v>46</v>
      </c>
      <c r="P897" t="s">
        <v>61</v>
      </c>
      <c r="R897">
        <v>42315.3127662037</v>
      </c>
      <c r="S897">
        <v>42678.643495370372</v>
      </c>
      <c r="T897" t="s">
        <v>317</v>
      </c>
      <c r="U897" t="s">
        <v>35</v>
      </c>
      <c r="V897" t="s">
        <v>35</v>
      </c>
      <c r="W897" t="s">
        <v>3039</v>
      </c>
    </row>
    <row r="898" spans="1:23" x14ac:dyDescent="0.25">
      <c r="A898" t="s">
        <v>633</v>
      </c>
      <c r="B898" s="19">
        <v>9501</v>
      </c>
      <c r="C898" s="2">
        <f>HYPERLINK(URLs!B36 &amp; 72280,72280)</f>
        <v>72280</v>
      </c>
      <c r="D898" t="s">
        <v>389</v>
      </c>
      <c r="E898" t="s">
        <v>139</v>
      </c>
      <c r="F898" t="s">
        <v>305</v>
      </c>
      <c r="G898" t="s">
        <v>304</v>
      </c>
      <c r="H898" t="s">
        <v>30</v>
      </c>
      <c r="I898" t="s">
        <v>31</v>
      </c>
      <c r="J898" t="s">
        <v>43</v>
      </c>
      <c r="K898" t="s">
        <v>44</v>
      </c>
      <c r="L898" t="s">
        <v>73</v>
      </c>
      <c r="M898" t="s">
        <v>263</v>
      </c>
      <c r="N898" t="s">
        <v>46</v>
      </c>
      <c r="P898" t="s">
        <v>61</v>
      </c>
      <c r="R898">
        <v>42314.939386574071</v>
      </c>
      <c r="S898">
        <v>42871.69971064815</v>
      </c>
      <c r="T898" t="s">
        <v>1</v>
      </c>
      <c r="U898" t="s">
        <v>35</v>
      </c>
      <c r="V898" t="s">
        <v>35</v>
      </c>
      <c r="W898" t="s">
        <v>4098</v>
      </c>
    </row>
    <row r="899" spans="1:23" x14ac:dyDescent="0.25">
      <c r="B899" s="19">
        <v>9520</v>
      </c>
      <c r="C899" s="2">
        <f>HYPERLINK(URLs!B36 &amp; 82246,82246)</f>
        <v>82246</v>
      </c>
      <c r="D899" t="s">
        <v>3114</v>
      </c>
      <c r="E899" t="s">
        <v>2790</v>
      </c>
      <c r="F899" t="s">
        <v>305</v>
      </c>
      <c r="G899" t="s">
        <v>353</v>
      </c>
      <c r="H899" t="s">
        <v>30</v>
      </c>
      <c r="I899" t="s">
        <v>31</v>
      </c>
      <c r="J899" t="s">
        <v>32</v>
      </c>
      <c r="K899" t="s">
        <v>51</v>
      </c>
      <c r="L899" t="s">
        <v>73</v>
      </c>
      <c r="M899" t="s">
        <v>263</v>
      </c>
      <c r="N899" t="s">
        <v>46</v>
      </c>
      <c r="P899" t="s">
        <v>61</v>
      </c>
      <c r="Q899" t="s">
        <v>61</v>
      </c>
      <c r="R899">
        <v>42494.547291666669</v>
      </c>
      <c r="S899">
        <v>42535.690729166665</v>
      </c>
      <c r="T899" t="s">
        <v>110</v>
      </c>
      <c r="U899" t="s">
        <v>35</v>
      </c>
      <c r="V899" t="s">
        <v>35</v>
      </c>
      <c r="W899" t="s">
        <v>4156</v>
      </c>
    </row>
    <row r="900" spans="1:23" x14ac:dyDescent="0.25">
      <c r="B900" s="19">
        <v>9520</v>
      </c>
      <c r="C900" s="2">
        <f>HYPERLINK(URLs!B36 &amp; 82245,82245)</f>
        <v>82245</v>
      </c>
      <c r="D900" t="s">
        <v>3113</v>
      </c>
      <c r="E900" t="s">
        <v>2790</v>
      </c>
      <c r="F900" t="s">
        <v>305</v>
      </c>
      <c r="G900" t="s">
        <v>353</v>
      </c>
      <c r="H900" t="s">
        <v>30</v>
      </c>
      <c r="I900" t="s">
        <v>31</v>
      </c>
      <c r="J900" t="s">
        <v>32</v>
      </c>
      <c r="K900" t="s">
        <v>51</v>
      </c>
      <c r="L900" t="s">
        <v>73</v>
      </c>
      <c r="M900" t="s">
        <v>263</v>
      </c>
      <c r="N900" t="s">
        <v>46</v>
      </c>
      <c r="P900" t="s">
        <v>61</v>
      </c>
      <c r="Q900" t="s">
        <v>61</v>
      </c>
      <c r="R900">
        <v>42494.542488425926</v>
      </c>
      <c r="S900">
        <v>42759.635092592594</v>
      </c>
      <c r="T900" t="s">
        <v>110</v>
      </c>
      <c r="U900" t="s">
        <v>35</v>
      </c>
      <c r="V900" t="s">
        <v>35</v>
      </c>
      <c r="W900" t="s">
        <v>69</v>
      </c>
    </row>
    <row r="901" spans="1:23" x14ac:dyDescent="0.25">
      <c r="B901" s="19">
        <v>9520</v>
      </c>
      <c r="C901" s="2">
        <f>HYPERLINK(URLs!B36 &amp; 73612,73612)</f>
        <v>73612</v>
      </c>
      <c r="D901" t="s">
        <v>2832</v>
      </c>
      <c r="E901" t="s">
        <v>387</v>
      </c>
      <c r="F901" t="s">
        <v>305</v>
      </c>
      <c r="G901" t="s">
        <v>337</v>
      </c>
      <c r="H901" t="s">
        <v>30</v>
      </c>
      <c r="I901" t="s">
        <v>31</v>
      </c>
      <c r="J901" t="s">
        <v>32</v>
      </c>
      <c r="K901" t="s">
        <v>44</v>
      </c>
      <c r="L901" t="s">
        <v>73</v>
      </c>
      <c r="M901" t="s">
        <v>263</v>
      </c>
      <c r="N901" t="s">
        <v>60</v>
      </c>
      <c r="P901" t="s">
        <v>65</v>
      </c>
      <c r="Q901" t="s">
        <v>2805</v>
      </c>
      <c r="R901">
        <v>42341.467118055552</v>
      </c>
      <c r="S901">
        <v>42678.64371527778</v>
      </c>
      <c r="T901" t="s">
        <v>72</v>
      </c>
      <c r="U901" t="s">
        <v>35</v>
      </c>
      <c r="V901" t="s">
        <v>321</v>
      </c>
      <c r="W901" t="s">
        <v>4153</v>
      </c>
    </row>
    <row r="902" spans="1:23" x14ac:dyDescent="0.25">
      <c r="B902" s="19">
        <v>9520</v>
      </c>
      <c r="C902" s="2">
        <f>HYPERLINK(URLs!B36 &amp; 72554,72554)</f>
        <v>72554</v>
      </c>
      <c r="D902" t="s">
        <v>2807</v>
      </c>
      <c r="E902" t="s">
        <v>445</v>
      </c>
      <c r="F902" t="s">
        <v>305</v>
      </c>
      <c r="G902" t="s">
        <v>304</v>
      </c>
      <c r="H902" t="s">
        <v>30</v>
      </c>
      <c r="I902" t="s">
        <v>31</v>
      </c>
      <c r="J902" t="s">
        <v>32</v>
      </c>
      <c r="K902" t="s">
        <v>44</v>
      </c>
      <c r="L902" t="s">
        <v>73</v>
      </c>
      <c r="M902" t="s">
        <v>263</v>
      </c>
      <c r="N902" t="s">
        <v>46</v>
      </c>
      <c r="P902" t="s">
        <v>65</v>
      </c>
      <c r="Q902" t="s">
        <v>2805</v>
      </c>
      <c r="R902">
        <v>42320.313101851854</v>
      </c>
      <c r="S902">
        <v>42648.762499999997</v>
      </c>
      <c r="T902" t="s">
        <v>317</v>
      </c>
      <c r="U902" t="s">
        <v>35</v>
      </c>
      <c r="V902" t="s">
        <v>321</v>
      </c>
      <c r="W902" t="s">
        <v>133</v>
      </c>
    </row>
    <row r="903" spans="1:23" x14ac:dyDescent="0.25">
      <c r="B903" s="19">
        <v>9520</v>
      </c>
      <c r="C903" s="2">
        <f>HYPERLINK(URLs!B36 &amp; 72553,72553)</f>
        <v>72553</v>
      </c>
      <c r="D903" t="s">
        <v>2806</v>
      </c>
      <c r="E903" t="s">
        <v>387</v>
      </c>
      <c r="F903" t="s">
        <v>305</v>
      </c>
      <c r="G903" t="s">
        <v>304</v>
      </c>
      <c r="H903" t="s">
        <v>30</v>
      </c>
      <c r="I903" t="s">
        <v>31</v>
      </c>
      <c r="J903" t="s">
        <v>32</v>
      </c>
      <c r="K903" t="s">
        <v>44</v>
      </c>
      <c r="L903" t="s">
        <v>73</v>
      </c>
      <c r="M903" t="s">
        <v>263</v>
      </c>
      <c r="N903" t="s">
        <v>60</v>
      </c>
      <c r="P903" t="s">
        <v>65</v>
      </c>
      <c r="Q903" t="s">
        <v>2805</v>
      </c>
      <c r="R903">
        <v>42320.313020833331</v>
      </c>
      <c r="S903">
        <v>42648.762395833335</v>
      </c>
      <c r="T903" t="s">
        <v>317</v>
      </c>
      <c r="U903" t="s">
        <v>3960</v>
      </c>
      <c r="V903" t="s">
        <v>321</v>
      </c>
      <c r="W903" t="s">
        <v>65</v>
      </c>
    </row>
    <row r="904" spans="1:23" x14ac:dyDescent="0.25">
      <c r="B904" s="19">
        <v>9520</v>
      </c>
      <c r="C904" s="2">
        <f>HYPERLINK(URLs!B36 &amp; 72544,72544)</f>
        <v>72544</v>
      </c>
      <c r="D904" t="s">
        <v>386</v>
      </c>
      <c r="E904" t="s">
        <v>387</v>
      </c>
      <c r="F904" t="s">
        <v>305</v>
      </c>
      <c r="G904" t="s">
        <v>304</v>
      </c>
      <c r="H904" t="s">
        <v>30</v>
      </c>
      <c r="I904" t="s">
        <v>31</v>
      </c>
      <c r="J904" t="s">
        <v>32</v>
      </c>
      <c r="K904" t="s">
        <v>44</v>
      </c>
      <c r="L904" t="s">
        <v>73</v>
      </c>
      <c r="M904" t="s">
        <v>263</v>
      </c>
      <c r="N904" t="s">
        <v>46</v>
      </c>
      <c r="P904" t="s">
        <v>65</v>
      </c>
      <c r="Q904" t="s">
        <v>2805</v>
      </c>
      <c r="R904">
        <v>42319.914050925923</v>
      </c>
      <c r="S904">
        <v>42857.579131944447</v>
      </c>
      <c r="T904" t="s">
        <v>332</v>
      </c>
      <c r="U904" t="s">
        <v>35</v>
      </c>
      <c r="V904" t="s">
        <v>321</v>
      </c>
      <c r="W904" t="s">
        <v>4098</v>
      </c>
    </row>
    <row r="905" spans="1:23" x14ac:dyDescent="0.25">
      <c r="B905" s="19">
        <v>9520</v>
      </c>
      <c r="C905" s="2">
        <f>HYPERLINK(URLs!B36 &amp; 72463,72463)</f>
        <v>72463</v>
      </c>
      <c r="D905" t="s">
        <v>2803</v>
      </c>
      <c r="E905" t="s">
        <v>110</v>
      </c>
      <c r="F905" t="s">
        <v>305</v>
      </c>
      <c r="G905" t="s">
        <v>353</v>
      </c>
      <c r="H905" t="s">
        <v>30</v>
      </c>
      <c r="I905" t="s">
        <v>31</v>
      </c>
      <c r="J905" t="s">
        <v>43</v>
      </c>
      <c r="K905" t="s">
        <v>44</v>
      </c>
      <c r="L905" t="s">
        <v>73</v>
      </c>
      <c r="M905" t="s">
        <v>263</v>
      </c>
      <c r="N905" t="s">
        <v>46</v>
      </c>
      <c r="P905" t="s">
        <v>61</v>
      </c>
      <c r="R905">
        <v>42319.479050925926</v>
      </c>
      <c r="S905">
        <v>42395.593229166669</v>
      </c>
      <c r="T905" t="s">
        <v>317</v>
      </c>
      <c r="U905" t="s">
        <v>35</v>
      </c>
      <c r="V905" t="s">
        <v>35</v>
      </c>
      <c r="W905" t="s">
        <v>4153</v>
      </c>
    </row>
    <row r="906" spans="1:23" x14ac:dyDescent="0.25">
      <c r="B906" s="19">
        <v>9520</v>
      </c>
      <c r="C906" s="2">
        <f>HYPERLINK(URLs!B36 &amp; 72451,72451)</f>
        <v>72451</v>
      </c>
      <c r="D906" t="s">
        <v>2797</v>
      </c>
      <c r="E906" t="s">
        <v>110</v>
      </c>
      <c r="F906" t="s">
        <v>305</v>
      </c>
      <c r="G906" t="s">
        <v>310</v>
      </c>
      <c r="H906" t="s">
        <v>30</v>
      </c>
      <c r="I906" t="s">
        <v>68</v>
      </c>
      <c r="J906" t="s">
        <v>43</v>
      </c>
      <c r="K906" t="s">
        <v>33</v>
      </c>
      <c r="L906" t="s">
        <v>73</v>
      </c>
      <c r="M906" t="s">
        <v>263</v>
      </c>
      <c r="N906" t="s">
        <v>46</v>
      </c>
      <c r="P906" t="s">
        <v>61</v>
      </c>
      <c r="R906">
        <v>42319.313518518517</v>
      </c>
      <c r="S906">
        <v>42340.750092592592</v>
      </c>
      <c r="T906" t="s">
        <v>317</v>
      </c>
      <c r="U906" t="s">
        <v>35</v>
      </c>
      <c r="V906" t="s">
        <v>35</v>
      </c>
      <c r="W906" t="s">
        <v>85</v>
      </c>
    </row>
    <row r="907" spans="1:23" x14ac:dyDescent="0.25">
      <c r="B907" s="19">
        <v>9520</v>
      </c>
      <c r="C907" s="2">
        <f>HYPERLINK(URLs!B36 &amp; 72450,72450)</f>
        <v>72450</v>
      </c>
      <c r="D907" t="s">
        <v>2796</v>
      </c>
      <c r="E907" t="s">
        <v>110</v>
      </c>
      <c r="F907" t="s">
        <v>305</v>
      </c>
      <c r="G907" t="s">
        <v>337</v>
      </c>
      <c r="H907" t="s">
        <v>30</v>
      </c>
      <c r="I907" t="s">
        <v>68</v>
      </c>
      <c r="J907" t="s">
        <v>43</v>
      </c>
      <c r="K907" t="s">
        <v>33</v>
      </c>
      <c r="L907" t="s">
        <v>73</v>
      </c>
      <c r="M907" t="s">
        <v>263</v>
      </c>
      <c r="N907" t="s">
        <v>46</v>
      </c>
      <c r="P907" t="s">
        <v>61</v>
      </c>
      <c r="R907">
        <v>42319.313425925924</v>
      </c>
      <c r="S907">
        <v>42341.7424537037</v>
      </c>
      <c r="T907" t="s">
        <v>317</v>
      </c>
      <c r="U907" t="s">
        <v>35</v>
      </c>
      <c r="V907" t="s">
        <v>35</v>
      </c>
      <c r="W907" t="s">
        <v>3120</v>
      </c>
    </row>
    <row r="908" spans="1:23" x14ac:dyDescent="0.25">
      <c r="B908" s="19">
        <v>9520</v>
      </c>
      <c r="C908" s="2">
        <f>HYPERLINK(URLs!B36 &amp; 72449,72449)</f>
        <v>72449</v>
      </c>
      <c r="D908" t="s">
        <v>2795</v>
      </c>
      <c r="E908" t="s">
        <v>110</v>
      </c>
      <c r="F908" t="s">
        <v>305</v>
      </c>
      <c r="G908" t="s">
        <v>310</v>
      </c>
      <c r="H908" t="s">
        <v>30</v>
      </c>
      <c r="I908" t="s">
        <v>31</v>
      </c>
      <c r="J908" t="s">
        <v>43</v>
      </c>
      <c r="K908" t="s">
        <v>44</v>
      </c>
      <c r="L908" t="s">
        <v>73</v>
      </c>
      <c r="M908" t="s">
        <v>263</v>
      </c>
      <c r="N908" t="s">
        <v>46</v>
      </c>
      <c r="P908" t="s">
        <v>61</v>
      </c>
      <c r="R908">
        <v>42319.313321759262</v>
      </c>
      <c r="S908">
        <v>42678.642361111109</v>
      </c>
      <c r="T908" t="s">
        <v>317</v>
      </c>
      <c r="U908" t="s">
        <v>35</v>
      </c>
      <c r="V908" t="s">
        <v>35</v>
      </c>
      <c r="W908" t="s">
        <v>491</v>
      </c>
    </row>
    <row r="909" spans="1:23" x14ac:dyDescent="0.25">
      <c r="B909" s="19">
        <v>9520</v>
      </c>
      <c r="C909" s="2">
        <f>HYPERLINK(URLs!B36 &amp; 72448,72448)</f>
        <v>72448</v>
      </c>
      <c r="D909" t="s">
        <v>2794</v>
      </c>
      <c r="E909" t="s">
        <v>2790</v>
      </c>
      <c r="F909" t="s">
        <v>305</v>
      </c>
      <c r="G909" t="s">
        <v>353</v>
      </c>
      <c r="H909" t="s">
        <v>30</v>
      </c>
      <c r="I909" t="s">
        <v>31</v>
      </c>
      <c r="J909" t="s">
        <v>32</v>
      </c>
      <c r="K909" t="s">
        <v>51</v>
      </c>
      <c r="L909" t="s">
        <v>73</v>
      </c>
      <c r="M909" t="s">
        <v>263</v>
      </c>
      <c r="N909" t="s">
        <v>60</v>
      </c>
      <c r="P909" t="s">
        <v>61</v>
      </c>
      <c r="Q909" t="s">
        <v>61</v>
      </c>
      <c r="R909">
        <v>42319.313206018516</v>
      </c>
      <c r="S909">
        <v>42759.635312500002</v>
      </c>
      <c r="T909" t="s">
        <v>317</v>
      </c>
      <c r="U909" t="s">
        <v>35</v>
      </c>
      <c r="V909" t="s">
        <v>35</v>
      </c>
      <c r="W909" t="s">
        <v>133</v>
      </c>
    </row>
    <row r="910" spans="1:23" x14ac:dyDescent="0.25">
      <c r="B910" s="19">
        <v>9520</v>
      </c>
      <c r="C910" s="2">
        <f>HYPERLINK(URLs!B36 &amp; 72447,72447)</f>
        <v>72447</v>
      </c>
      <c r="D910" t="s">
        <v>2793</v>
      </c>
      <c r="E910" t="s">
        <v>110</v>
      </c>
      <c r="F910" t="s">
        <v>305</v>
      </c>
      <c r="G910" t="s">
        <v>353</v>
      </c>
      <c r="H910" t="s">
        <v>30</v>
      </c>
      <c r="I910" t="s">
        <v>31</v>
      </c>
      <c r="J910" t="s">
        <v>43</v>
      </c>
      <c r="K910" t="s">
        <v>44</v>
      </c>
      <c r="L910" t="s">
        <v>73</v>
      </c>
      <c r="M910" t="s">
        <v>263</v>
      </c>
      <c r="N910" t="s">
        <v>60</v>
      </c>
      <c r="P910" t="s">
        <v>61</v>
      </c>
      <c r="R910">
        <v>42319.313101851854</v>
      </c>
      <c r="S910">
        <v>42678.642118055555</v>
      </c>
      <c r="T910" t="s">
        <v>317</v>
      </c>
      <c r="U910" t="s">
        <v>35</v>
      </c>
      <c r="V910" t="s">
        <v>35</v>
      </c>
      <c r="W910" t="s">
        <v>65</v>
      </c>
    </row>
    <row r="911" spans="1:23" x14ac:dyDescent="0.25">
      <c r="B911" s="19">
        <v>9520</v>
      </c>
      <c r="C911" s="2">
        <f>HYPERLINK(URLs!B36 &amp; 72446,72446)</f>
        <v>72446</v>
      </c>
      <c r="D911" t="s">
        <v>2792</v>
      </c>
      <c r="E911" t="s">
        <v>110</v>
      </c>
      <c r="F911" t="s">
        <v>305</v>
      </c>
      <c r="G911" t="s">
        <v>310</v>
      </c>
      <c r="H911" t="s">
        <v>30</v>
      </c>
      <c r="I911" t="s">
        <v>31</v>
      </c>
      <c r="J911" t="s">
        <v>43</v>
      </c>
      <c r="K911" t="s">
        <v>44</v>
      </c>
      <c r="L911" t="s">
        <v>73</v>
      </c>
      <c r="M911" t="s">
        <v>263</v>
      </c>
      <c r="N911" t="s">
        <v>46</v>
      </c>
      <c r="P911" t="s">
        <v>61</v>
      </c>
      <c r="R911">
        <v>42319.312997685185</v>
      </c>
      <c r="S911">
        <v>42678.642280092594</v>
      </c>
      <c r="T911" t="s">
        <v>317</v>
      </c>
      <c r="U911" t="s">
        <v>35</v>
      </c>
      <c r="V911" t="s">
        <v>35</v>
      </c>
      <c r="W911" t="s">
        <v>3028</v>
      </c>
    </row>
    <row r="912" spans="1:23" x14ac:dyDescent="0.25">
      <c r="B912" s="19">
        <v>9520</v>
      </c>
      <c r="C912" s="2">
        <f>HYPERLINK(URLs!B36 &amp; 72445,72445)</f>
        <v>72445</v>
      </c>
      <c r="D912" t="s">
        <v>2791</v>
      </c>
      <c r="E912" t="s">
        <v>110</v>
      </c>
      <c r="F912" t="s">
        <v>305</v>
      </c>
      <c r="G912" t="s">
        <v>310</v>
      </c>
      <c r="H912" t="s">
        <v>30</v>
      </c>
      <c r="I912" t="s">
        <v>31</v>
      </c>
      <c r="J912" t="s">
        <v>43</v>
      </c>
      <c r="K912" t="s">
        <v>44</v>
      </c>
      <c r="L912" t="s">
        <v>73</v>
      </c>
      <c r="M912" t="s">
        <v>263</v>
      </c>
      <c r="N912" t="s">
        <v>46</v>
      </c>
      <c r="P912" t="s">
        <v>61</v>
      </c>
      <c r="R912">
        <v>42319.312893518516</v>
      </c>
      <c r="S912">
        <v>42678.642442129632</v>
      </c>
      <c r="T912" t="s">
        <v>317</v>
      </c>
      <c r="U912" t="s">
        <v>35</v>
      </c>
      <c r="V912" t="s">
        <v>35</v>
      </c>
      <c r="W912" t="s">
        <v>3039</v>
      </c>
    </row>
    <row r="913" spans="1:23" x14ac:dyDescent="0.25">
      <c r="B913" s="19">
        <v>9520</v>
      </c>
      <c r="C913" s="2">
        <f>HYPERLINK(URLs!B36 &amp; 72432,72432)</f>
        <v>72432</v>
      </c>
      <c r="D913" t="s">
        <v>2789</v>
      </c>
      <c r="E913" t="s">
        <v>2790</v>
      </c>
      <c r="F913" t="s">
        <v>305</v>
      </c>
      <c r="G913" t="s">
        <v>353</v>
      </c>
      <c r="H913" t="s">
        <v>30</v>
      </c>
      <c r="I913" t="s">
        <v>31</v>
      </c>
      <c r="J913" t="s">
        <v>32</v>
      </c>
      <c r="K913" t="s">
        <v>51</v>
      </c>
      <c r="L913" t="s">
        <v>73</v>
      </c>
      <c r="M913" t="s">
        <v>263</v>
      </c>
      <c r="N913" t="s">
        <v>46</v>
      </c>
      <c r="P913" t="s">
        <v>61</v>
      </c>
      <c r="Q913" t="s">
        <v>61</v>
      </c>
      <c r="R913">
        <v>42318.82366898148</v>
      </c>
      <c r="S913">
        <v>42759.635034722225</v>
      </c>
      <c r="T913" t="s">
        <v>1</v>
      </c>
      <c r="U913" t="s">
        <v>35</v>
      </c>
      <c r="V913" t="s">
        <v>35</v>
      </c>
      <c r="W913" t="s">
        <v>4098</v>
      </c>
    </row>
    <row r="914" spans="1:23" x14ac:dyDescent="0.25">
      <c r="A914" t="s">
        <v>633</v>
      </c>
      <c r="B914" s="19">
        <v>9539</v>
      </c>
      <c r="C914" s="2">
        <f>HYPERLINK(URLs!B36 &amp; 69448,69448)</f>
        <v>69448</v>
      </c>
      <c r="D914" t="s">
        <v>2704</v>
      </c>
      <c r="E914" t="s">
        <v>125</v>
      </c>
      <c r="F914" t="s">
        <v>305</v>
      </c>
      <c r="G914" t="s">
        <v>304</v>
      </c>
      <c r="H914" t="s">
        <v>30</v>
      </c>
      <c r="I914" t="s">
        <v>31</v>
      </c>
      <c r="J914" t="s">
        <v>32</v>
      </c>
      <c r="K914" t="s">
        <v>44</v>
      </c>
      <c r="L914" t="s">
        <v>34</v>
      </c>
      <c r="M914" t="s">
        <v>2691</v>
      </c>
      <c r="N914" t="s">
        <v>46</v>
      </c>
      <c r="P914" t="s">
        <v>377</v>
      </c>
      <c r="R914">
        <v>42268.826620370368</v>
      </c>
      <c r="S914">
        <v>42629.724398148152</v>
      </c>
      <c r="T914" t="s">
        <v>53</v>
      </c>
      <c r="U914" t="s">
        <v>35</v>
      </c>
      <c r="V914" t="s">
        <v>35</v>
      </c>
      <c r="W914" t="s">
        <v>133</v>
      </c>
    </row>
    <row r="915" spans="1:23" x14ac:dyDescent="0.25">
      <c r="A915" t="s">
        <v>633</v>
      </c>
      <c r="B915" s="19">
        <v>9539</v>
      </c>
      <c r="C915" s="2">
        <f>HYPERLINK(URLs!B36 &amp; 69447,69447)</f>
        <v>69447</v>
      </c>
      <c r="D915" t="s">
        <v>2703</v>
      </c>
      <c r="E915" t="s">
        <v>125</v>
      </c>
      <c r="F915" t="s">
        <v>305</v>
      </c>
      <c r="G915" t="s">
        <v>304</v>
      </c>
      <c r="H915" t="s">
        <v>30</v>
      </c>
      <c r="I915" t="s">
        <v>31</v>
      </c>
      <c r="J915" t="s">
        <v>32</v>
      </c>
      <c r="K915" t="s">
        <v>44</v>
      </c>
      <c r="L915" t="s">
        <v>34</v>
      </c>
      <c r="M915" t="s">
        <v>2691</v>
      </c>
      <c r="N915" t="s">
        <v>60</v>
      </c>
      <c r="P915" t="s">
        <v>377</v>
      </c>
      <c r="R915">
        <v>42268.826504629629</v>
      </c>
      <c r="S915">
        <v>42342.308379629627</v>
      </c>
      <c r="T915" t="s">
        <v>53</v>
      </c>
      <c r="U915" t="s">
        <v>3957</v>
      </c>
      <c r="V915" t="s">
        <v>35</v>
      </c>
      <c r="W915" t="s">
        <v>118</v>
      </c>
    </row>
    <row r="916" spans="1:23" x14ac:dyDescent="0.25">
      <c r="A916" t="s">
        <v>633</v>
      </c>
      <c r="B916" s="19">
        <v>9539</v>
      </c>
      <c r="C916" s="2">
        <f>HYPERLINK(URLs!B36 &amp; 69446,69446)</f>
        <v>69446</v>
      </c>
      <c r="D916" t="s">
        <v>2702</v>
      </c>
      <c r="E916" t="s">
        <v>125</v>
      </c>
      <c r="F916" t="s">
        <v>305</v>
      </c>
      <c r="G916" t="s">
        <v>337</v>
      </c>
      <c r="H916" t="s">
        <v>30</v>
      </c>
      <c r="I916" t="s">
        <v>31</v>
      </c>
      <c r="J916" t="s">
        <v>32</v>
      </c>
      <c r="K916" t="s">
        <v>44</v>
      </c>
      <c r="L916" t="s">
        <v>34</v>
      </c>
      <c r="M916" t="s">
        <v>2691</v>
      </c>
      <c r="N916" t="s">
        <v>46</v>
      </c>
      <c r="P916" t="s">
        <v>377</v>
      </c>
      <c r="R916">
        <v>42268.826354166667</v>
      </c>
      <c r="S916">
        <v>42356.849386574075</v>
      </c>
      <c r="T916" t="s">
        <v>53</v>
      </c>
      <c r="U916" t="s">
        <v>35</v>
      </c>
      <c r="V916" t="s">
        <v>35</v>
      </c>
      <c r="W916" t="s">
        <v>4154</v>
      </c>
    </row>
    <row r="917" spans="1:23" x14ac:dyDescent="0.25">
      <c r="A917" t="s">
        <v>633</v>
      </c>
      <c r="B917" s="19">
        <v>9539</v>
      </c>
      <c r="C917" s="2">
        <f>HYPERLINK(URLs!B36 &amp; 68487,68487)</f>
        <v>68487</v>
      </c>
      <c r="D917" t="s">
        <v>2690</v>
      </c>
      <c r="E917" t="s">
        <v>125</v>
      </c>
      <c r="F917" t="s">
        <v>305</v>
      </c>
      <c r="G917" t="s">
        <v>304</v>
      </c>
      <c r="H917" t="s">
        <v>30</v>
      </c>
      <c r="I917" t="s">
        <v>31</v>
      </c>
      <c r="J917" t="s">
        <v>32</v>
      </c>
      <c r="K917" t="s">
        <v>44</v>
      </c>
      <c r="L917" t="s">
        <v>34</v>
      </c>
      <c r="M917" t="s">
        <v>2691</v>
      </c>
      <c r="N917" t="s">
        <v>46</v>
      </c>
      <c r="P917" t="s">
        <v>377</v>
      </c>
      <c r="R917">
        <v>42250.860347222224</v>
      </c>
      <c r="S917">
        <v>42348.748055555552</v>
      </c>
      <c r="T917" t="s">
        <v>2417</v>
      </c>
      <c r="U917" t="s">
        <v>35</v>
      </c>
      <c r="V917" t="s">
        <v>35</v>
      </c>
      <c r="W917" t="s">
        <v>4098</v>
      </c>
    </row>
    <row r="918" spans="1:23" x14ac:dyDescent="0.25">
      <c r="A918" t="s">
        <v>665</v>
      </c>
      <c r="B918" s="19">
        <v>9558</v>
      </c>
      <c r="C918" s="2">
        <f>HYPERLINK(URLs!B36 &amp; 77906,77906)</f>
        <v>77906</v>
      </c>
      <c r="D918" t="s">
        <v>2967</v>
      </c>
      <c r="E918" t="s">
        <v>94</v>
      </c>
      <c r="F918" t="s">
        <v>305</v>
      </c>
      <c r="G918" t="s">
        <v>304</v>
      </c>
      <c r="H918" t="s">
        <v>30</v>
      </c>
      <c r="I918" t="s">
        <v>31</v>
      </c>
      <c r="J918" t="s">
        <v>32</v>
      </c>
      <c r="K918" t="s">
        <v>51</v>
      </c>
      <c r="L918" t="s">
        <v>73</v>
      </c>
      <c r="M918" t="s">
        <v>273</v>
      </c>
      <c r="N918" t="s">
        <v>46</v>
      </c>
      <c r="P918" t="s">
        <v>47</v>
      </c>
      <c r="Q918" t="s">
        <v>65</v>
      </c>
      <c r="R918">
        <v>42429.951249999998</v>
      </c>
      <c r="S918">
        <v>42949.037245370368</v>
      </c>
      <c r="T918" t="s">
        <v>317</v>
      </c>
      <c r="U918" t="s">
        <v>35</v>
      </c>
      <c r="V918" t="s">
        <v>321</v>
      </c>
      <c r="W918" t="s">
        <v>69</v>
      </c>
    </row>
    <row r="919" spans="1:23" x14ac:dyDescent="0.25">
      <c r="A919" t="s">
        <v>665</v>
      </c>
      <c r="B919" s="19">
        <v>9558</v>
      </c>
      <c r="C919" s="2">
        <f>HYPERLINK(URLs!B36 &amp; 75220,75220)</f>
        <v>75220</v>
      </c>
      <c r="D919" t="s">
        <v>2873</v>
      </c>
      <c r="E919" t="s">
        <v>94</v>
      </c>
      <c r="F919" t="s">
        <v>305</v>
      </c>
      <c r="G919" t="s">
        <v>304</v>
      </c>
      <c r="H919" t="s">
        <v>30</v>
      </c>
      <c r="I919" t="s">
        <v>31</v>
      </c>
      <c r="J919" t="s">
        <v>32</v>
      </c>
      <c r="K919" t="s">
        <v>51</v>
      </c>
      <c r="L919" t="s">
        <v>73</v>
      </c>
      <c r="M919" t="s">
        <v>273</v>
      </c>
      <c r="N919" t="s">
        <v>518</v>
      </c>
      <c r="P919" t="s">
        <v>47</v>
      </c>
      <c r="Q919" t="s">
        <v>528</v>
      </c>
      <c r="R919">
        <v>42384.608958333331</v>
      </c>
      <c r="S919">
        <v>42580.795115740744</v>
      </c>
      <c r="T919" t="s">
        <v>317</v>
      </c>
      <c r="U919" t="s">
        <v>3965</v>
      </c>
      <c r="V919" t="s">
        <v>321</v>
      </c>
      <c r="W919" t="s">
        <v>77</v>
      </c>
    </row>
    <row r="920" spans="1:23" x14ac:dyDescent="0.25">
      <c r="A920" t="s">
        <v>665</v>
      </c>
      <c r="B920" s="19">
        <v>9558</v>
      </c>
      <c r="C920" s="2">
        <f>HYPERLINK(URLs!B36 &amp; 72459,72459)</f>
        <v>72459</v>
      </c>
      <c r="D920" t="s">
        <v>2798</v>
      </c>
      <c r="E920" t="s">
        <v>94</v>
      </c>
      <c r="F920" t="s">
        <v>305</v>
      </c>
      <c r="G920" t="s">
        <v>337</v>
      </c>
      <c r="H920" t="s">
        <v>30</v>
      </c>
      <c r="I920" t="s">
        <v>31</v>
      </c>
      <c r="J920" t="s">
        <v>32</v>
      </c>
      <c r="K920" t="s">
        <v>51</v>
      </c>
      <c r="L920" t="s">
        <v>73</v>
      </c>
      <c r="M920" t="s">
        <v>273</v>
      </c>
      <c r="N920" t="s">
        <v>46</v>
      </c>
      <c r="P920" t="s">
        <v>47</v>
      </c>
      <c r="R920">
        <v>42319.477743055555</v>
      </c>
      <c r="S920">
        <v>42678.643310185187</v>
      </c>
      <c r="T920" t="s">
        <v>317</v>
      </c>
      <c r="U920" t="s">
        <v>35</v>
      </c>
      <c r="V920" t="s">
        <v>321</v>
      </c>
      <c r="W920" t="s">
        <v>4153</v>
      </c>
    </row>
    <row r="921" spans="1:23" x14ac:dyDescent="0.25">
      <c r="A921" t="s">
        <v>665</v>
      </c>
      <c r="B921" s="19">
        <v>9558</v>
      </c>
      <c r="C921" s="2">
        <f>HYPERLINK(URLs!B36 &amp; 71343,71343)</f>
        <v>71343</v>
      </c>
      <c r="D921" t="s">
        <v>2745</v>
      </c>
      <c r="E921" t="s">
        <v>94</v>
      </c>
      <c r="F921" t="s">
        <v>305</v>
      </c>
      <c r="G921" t="s">
        <v>304</v>
      </c>
      <c r="H921" t="s">
        <v>30</v>
      </c>
      <c r="I921" t="s">
        <v>31</v>
      </c>
      <c r="J921" t="s">
        <v>32</v>
      </c>
      <c r="K921" t="s">
        <v>51</v>
      </c>
      <c r="L921" t="s">
        <v>73</v>
      </c>
      <c r="M921" t="s">
        <v>263</v>
      </c>
      <c r="N921" t="s">
        <v>518</v>
      </c>
      <c r="P921" t="s">
        <v>47</v>
      </c>
      <c r="Q921" t="s">
        <v>2481</v>
      </c>
      <c r="R921">
        <v>42298.771145833336</v>
      </c>
      <c r="S921">
        <v>42648.762685185182</v>
      </c>
      <c r="T921" t="s">
        <v>317</v>
      </c>
      <c r="U921" t="s">
        <v>3958</v>
      </c>
      <c r="V921" t="s">
        <v>321</v>
      </c>
      <c r="W921" t="s">
        <v>133</v>
      </c>
    </row>
    <row r="922" spans="1:23" x14ac:dyDescent="0.25">
      <c r="A922" t="s">
        <v>665</v>
      </c>
      <c r="B922" s="19">
        <v>9558</v>
      </c>
      <c r="C922" s="2">
        <f>HYPERLINK(URLs!B36 &amp; 71342,71342)</f>
        <v>71342</v>
      </c>
      <c r="D922" t="s">
        <v>2744</v>
      </c>
      <c r="E922" t="s">
        <v>94</v>
      </c>
      <c r="F922" t="s">
        <v>305</v>
      </c>
      <c r="G922" t="s">
        <v>337</v>
      </c>
      <c r="H922" t="s">
        <v>30</v>
      </c>
      <c r="I922" t="s">
        <v>31</v>
      </c>
      <c r="J922" t="s">
        <v>32</v>
      </c>
      <c r="K922" t="s">
        <v>51</v>
      </c>
      <c r="L922" t="s">
        <v>73</v>
      </c>
      <c r="M922" t="s">
        <v>263</v>
      </c>
      <c r="N922" t="s">
        <v>60</v>
      </c>
      <c r="P922" t="s">
        <v>47</v>
      </c>
      <c r="Q922" t="s">
        <v>394</v>
      </c>
      <c r="R922">
        <v>42298.771087962959</v>
      </c>
      <c r="S922">
        <v>42678.646238425928</v>
      </c>
      <c r="T922" t="s">
        <v>317</v>
      </c>
      <c r="U922" t="s">
        <v>35</v>
      </c>
      <c r="V922" t="s">
        <v>321</v>
      </c>
      <c r="W922" t="s">
        <v>65</v>
      </c>
    </row>
    <row r="923" spans="1:23" x14ac:dyDescent="0.25">
      <c r="A923" t="s">
        <v>665</v>
      </c>
      <c r="B923" s="19">
        <v>9558</v>
      </c>
      <c r="C923" s="2">
        <f>HYPERLINK(URLs!B36 &amp; 71325,71325)</f>
        <v>71325</v>
      </c>
      <c r="D923" t="s">
        <v>390</v>
      </c>
      <c r="E923" t="s">
        <v>94</v>
      </c>
      <c r="F923" t="s">
        <v>305</v>
      </c>
      <c r="G923" t="s">
        <v>304</v>
      </c>
      <c r="H923" t="s">
        <v>30</v>
      </c>
      <c r="I923" t="s">
        <v>31</v>
      </c>
      <c r="J923" t="s">
        <v>32</v>
      </c>
      <c r="K923" t="s">
        <v>51</v>
      </c>
      <c r="L923" t="s">
        <v>73</v>
      </c>
      <c r="M923" t="s">
        <v>273</v>
      </c>
      <c r="N923" t="s">
        <v>46</v>
      </c>
      <c r="P923" t="s">
        <v>47</v>
      </c>
      <c r="Q923" t="s">
        <v>65</v>
      </c>
      <c r="R923">
        <v>42298.649548611109</v>
      </c>
      <c r="S923">
        <v>42871.7</v>
      </c>
      <c r="T923" t="s">
        <v>48</v>
      </c>
      <c r="U923" t="s">
        <v>35</v>
      </c>
      <c r="V923" t="s">
        <v>321</v>
      </c>
      <c r="W923" t="s">
        <v>4098</v>
      </c>
    </row>
    <row r="924" spans="1:23" x14ac:dyDescent="0.25">
      <c r="B924" s="19">
        <v>9559</v>
      </c>
      <c r="C924" s="2">
        <f>HYPERLINK(URLs!B36 &amp; 72684,72684)</f>
        <v>72684</v>
      </c>
      <c r="D924" t="s">
        <v>2824</v>
      </c>
      <c r="E924" t="s">
        <v>82</v>
      </c>
      <c r="F924" t="s">
        <v>305</v>
      </c>
      <c r="G924" t="s">
        <v>328</v>
      </c>
      <c r="H924" t="s">
        <v>30</v>
      </c>
      <c r="I924" t="s">
        <v>68</v>
      </c>
      <c r="J924" t="s">
        <v>43</v>
      </c>
      <c r="K924" t="s">
        <v>33</v>
      </c>
      <c r="L924" t="s">
        <v>73</v>
      </c>
      <c r="M924" t="s">
        <v>263</v>
      </c>
      <c r="N924" t="s">
        <v>46</v>
      </c>
      <c r="P924" t="s">
        <v>1749</v>
      </c>
      <c r="R924">
        <v>42322.313668981478</v>
      </c>
      <c r="S924">
        <v>42402.233495370368</v>
      </c>
      <c r="T924" t="s">
        <v>317</v>
      </c>
      <c r="U924" t="s">
        <v>35</v>
      </c>
      <c r="V924" t="s">
        <v>35</v>
      </c>
      <c r="W924" t="s">
        <v>3233</v>
      </c>
    </row>
    <row r="925" spans="1:23" x14ac:dyDescent="0.25">
      <c r="B925" s="19">
        <v>9559</v>
      </c>
      <c r="C925" s="2">
        <f>HYPERLINK(URLs!B36 &amp; 72683,72683)</f>
        <v>72683</v>
      </c>
      <c r="D925" t="s">
        <v>2822</v>
      </c>
      <c r="E925" t="s">
        <v>82</v>
      </c>
      <c r="F925" t="s">
        <v>305</v>
      </c>
      <c r="G925" t="s">
        <v>328</v>
      </c>
      <c r="H925" t="s">
        <v>30</v>
      </c>
      <c r="I925" t="s">
        <v>68</v>
      </c>
      <c r="J925" t="s">
        <v>43</v>
      </c>
      <c r="K925" t="s">
        <v>33</v>
      </c>
      <c r="L925" t="s">
        <v>73</v>
      </c>
      <c r="M925" t="s">
        <v>263</v>
      </c>
      <c r="N925" t="s">
        <v>46</v>
      </c>
      <c r="O925" t="s">
        <v>2823</v>
      </c>
      <c r="P925" t="s">
        <v>1749</v>
      </c>
      <c r="R925">
        <v>42322.313599537039</v>
      </c>
      <c r="S925">
        <v>42678.643796296295</v>
      </c>
      <c r="T925" t="s">
        <v>317</v>
      </c>
      <c r="U925" t="s">
        <v>35</v>
      </c>
      <c r="V925" t="s">
        <v>35</v>
      </c>
      <c r="W925" t="s">
        <v>92</v>
      </c>
    </row>
    <row r="926" spans="1:23" x14ac:dyDescent="0.25">
      <c r="B926" s="19">
        <v>9559</v>
      </c>
      <c r="C926" s="2">
        <f>HYPERLINK(URLs!B36 &amp; 72682,72682)</f>
        <v>72682</v>
      </c>
      <c r="D926" t="s">
        <v>2821</v>
      </c>
      <c r="E926" t="s">
        <v>82</v>
      </c>
      <c r="F926" t="s">
        <v>305</v>
      </c>
      <c r="G926" t="s">
        <v>328</v>
      </c>
      <c r="H926" t="s">
        <v>30</v>
      </c>
      <c r="I926" t="s">
        <v>68</v>
      </c>
      <c r="J926" t="s">
        <v>43</v>
      </c>
      <c r="K926" t="s">
        <v>33</v>
      </c>
      <c r="L926" t="s">
        <v>73</v>
      </c>
      <c r="M926" t="s">
        <v>263</v>
      </c>
      <c r="N926" t="s">
        <v>46</v>
      </c>
      <c r="P926" t="s">
        <v>1749</v>
      </c>
      <c r="R926">
        <v>42322.313530092593</v>
      </c>
      <c r="S926">
        <v>42678.643622685187</v>
      </c>
      <c r="T926" t="s">
        <v>317</v>
      </c>
      <c r="U926" t="s">
        <v>35</v>
      </c>
      <c r="V926" t="s">
        <v>35</v>
      </c>
      <c r="W926" t="s">
        <v>491</v>
      </c>
    </row>
    <row r="927" spans="1:23" x14ac:dyDescent="0.25">
      <c r="B927" s="19">
        <v>9559</v>
      </c>
      <c r="C927" s="2">
        <f>HYPERLINK(URLs!B36 &amp; 72681,72681)</f>
        <v>72681</v>
      </c>
      <c r="D927" t="s">
        <v>2820</v>
      </c>
      <c r="E927" t="s">
        <v>82</v>
      </c>
      <c r="F927" t="s">
        <v>305</v>
      </c>
      <c r="G927" t="s">
        <v>328</v>
      </c>
      <c r="H927" t="s">
        <v>30</v>
      </c>
      <c r="I927" t="s">
        <v>68</v>
      </c>
      <c r="J927" t="s">
        <v>43</v>
      </c>
      <c r="K927" t="s">
        <v>33</v>
      </c>
      <c r="L927" t="s">
        <v>73</v>
      </c>
      <c r="M927" t="s">
        <v>263</v>
      </c>
      <c r="N927" t="s">
        <v>46</v>
      </c>
      <c r="P927" t="s">
        <v>1749</v>
      </c>
      <c r="R927">
        <v>42322.313472222224</v>
      </c>
      <c r="S927">
        <v>42678.643611111111</v>
      </c>
      <c r="T927" t="s">
        <v>317</v>
      </c>
      <c r="U927" t="s">
        <v>35</v>
      </c>
      <c r="V927" t="s">
        <v>35</v>
      </c>
      <c r="W927" t="s">
        <v>133</v>
      </c>
    </row>
    <row r="928" spans="1:23" x14ac:dyDescent="0.25">
      <c r="B928" s="19">
        <v>9559</v>
      </c>
      <c r="C928" s="2">
        <f>HYPERLINK(URLs!B36 &amp; 72680,72680)</f>
        <v>72680</v>
      </c>
      <c r="D928" t="s">
        <v>2819</v>
      </c>
      <c r="E928" t="s">
        <v>82</v>
      </c>
      <c r="F928" t="s">
        <v>305</v>
      </c>
      <c r="G928" t="s">
        <v>337</v>
      </c>
      <c r="H928" t="s">
        <v>426</v>
      </c>
      <c r="I928" t="s">
        <v>68</v>
      </c>
      <c r="J928" t="s">
        <v>43</v>
      </c>
      <c r="K928" t="s">
        <v>33</v>
      </c>
      <c r="L928" t="s">
        <v>73</v>
      </c>
      <c r="M928" t="s">
        <v>263</v>
      </c>
      <c r="N928" t="s">
        <v>46</v>
      </c>
      <c r="P928" t="s">
        <v>1749</v>
      </c>
      <c r="R928">
        <v>42322.313414351855</v>
      </c>
      <c r="S928">
        <v>42678.64203703704</v>
      </c>
      <c r="T928" t="s">
        <v>317</v>
      </c>
      <c r="U928" t="s">
        <v>35</v>
      </c>
      <c r="V928" t="s">
        <v>35</v>
      </c>
      <c r="W928" t="s">
        <v>65</v>
      </c>
    </row>
    <row r="929" spans="1:23" x14ac:dyDescent="0.25">
      <c r="B929" s="19">
        <v>9559</v>
      </c>
      <c r="C929" s="2">
        <f>HYPERLINK(URLs!B36 &amp; 72679,72679)</f>
        <v>72679</v>
      </c>
      <c r="D929" t="s">
        <v>2818</v>
      </c>
      <c r="E929" t="s">
        <v>82</v>
      </c>
      <c r="F929" t="s">
        <v>305</v>
      </c>
      <c r="G929" t="s">
        <v>328</v>
      </c>
      <c r="H929" t="s">
        <v>30</v>
      </c>
      <c r="I929" t="s">
        <v>68</v>
      </c>
      <c r="J929" t="s">
        <v>43</v>
      </c>
      <c r="K929" t="s">
        <v>33</v>
      </c>
      <c r="L929" t="s">
        <v>73</v>
      </c>
      <c r="M929" t="s">
        <v>263</v>
      </c>
      <c r="N929" t="s">
        <v>46</v>
      </c>
      <c r="P929" t="s">
        <v>1749</v>
      </c>
      <c r="R929">
        <v>42322.313356481478</v>
      </c>
      <c r="S929">
        <v>42678.643784722219</v>
      </c>
      <c r="T929" t="s">
        <v>317</v>
      </c>
      <c r="U929" t="s">
        <v>35</v>
      </c>
      <c r="V929" t="s">
        <v>35</v>
      </c>
      <c r="W929" t="s">
        <v>3028</v>
      </c>
    </row>
    <row r="930" spans="1:23" x14ac:dyDescent="0.25">
      <c r="B930" s="19">
        <v>9559</v>
      </c>
      <c r="C930" s="2">
        <f>HYPERLINK(URLs!B36 &amp; 72678,72678)</f>
        <v>72678</v>
      </c>
      <c r="D930" t="s">
        <v>2817</v>
      </c>
      <c r="E930" t="s">
        <v>82</v>
      </c>
      <c r="F930" t="s">
        <v>305</v>
      </c>
      <c r="G930" t="s">
        <v>328</v>
      </c>
      <c r="H930" t="s">
        <v>30</v>
      </c>
      <c r="I930" t="s">
        <v>68</v>
      </c>
      <c r="J930" t="s">
        <v>43</v>
      </c>
      <c r="K930" t="s">
        <v>33</v>
      </c>
      <c r="L930" t="s">
        <v>73</v>
      </c>
      <c r="M930" t="s">
        <v>263</v>
      </c>
      <c r="N930" t="s">
        <v>46</v>
      </c>
      <c r="P930" t="s">
        <v>1749</v>
      </c>
      <c r="R930">
        <v>42322.313020833331</v>
      </c>
      <c r="S930">
        <v>42678.643738425926</v>
      </c>
      <c r="T930" t="s">
        <v>317</v>
      </c>
      <c r="U930" t="s">
        <v>35</v>
      </c>
      <c r="V930" t="s">
        <v>35</v>
      </c>
      <c r="W930" t="s">
        <v>3039</v>
      </c>
    </row>
    <row r="931" spans="1:23" x14ac:dyDescent="0.25">
      <c r="B931" s="19">
        <v>9559</v>
      </c>
      <c r="C931" s="2">
        <f>HYPERLINK(URLs!B36 &amp; 72673,72673)</f>
        <v>72673</v>
      </c>
      <c r="D931" t="s">
        <v>2816</v>
      </c>
      <c r="E931" t="s">
        <v>82</v>
      </c>
      <c r="F931" t="s">
        <v>305</v>
      </c>
      <c r="G931" t="s">
        <v>328</v>
      </c>
      <c r="H931" t="s">
        <v>30</v>
      </c>
      <c r="I931" t="s">
        <v>68</v>
      </c>
      <c r="J931" t="s">
        <v>43</v>
      </c>
      <c r="K931" t="s">
        <v>33</v>
      </c>
      <c r="L931" t="s">
        <v>73</v>
      </c>
      <c r="M931" t="s">
        <v>263</v>
      </c>
      <c r="N931" t="s">
        <v>46</v>
      </c>
      <c r="P931" t="s">
        <v>1749</v>
      </c>
      <c r="R931">
        <v>42321.821851851855</v>
      </c>
      <c r="S931">
        <v>42678.643900462965</v>
      </c>
      <c r="T931" t="s">
        <v>1</v>
      </c>
      <c r="U931" t="s">
        <v>35</v>
      </c>
      <c r="V931" t="s">
        <v>35</v>
      </c>
      <c r="W931" t="s">
        <v>4098</v>
      </c>
    </row>
    <row r="932" spans="1:23" x14ac:dyDescent="0.25">
      <c r="A932" t="s">
        <v>633</v>
      </c>
      <c r="B932" s="19">
        <v>9576</v>
      </c>
      <c r="C932" s="2">
        <f>HYPERLINK(URLs!B36 &amp; 72634,72634)</f>
        <v>72634</v>
      </c>
      <c r="D932" t="s">
        <v>2814</v>
      </c>
      <c r="E932" t="s">
        <v>387</v>
      </c>
      <c r="F932" t="s">
        <v>305</v>
      </c>
      <c r="G932" t="s">
        <v>310</v>
      </c>
      <c r="H932" t="s">
        <v>30</v>
      </c>
      <c r="I932" t="s">
        <v>68</v>
      </c>
      <c r="J932" t="s">
        <v>43</v>
      </c>
      <c r="K932" t="s">
        <v>33</v>
      </c>
      <c r="L932" t="s">
        <v>73</v>
      </c>
      <c r="M932" t="s">
        <v>263</v>
      </c>
      <c r="N932" t="s">
        <v>46</v>
      </c>
      <c r="P932" t="s">
        <v>61</v>
      </c>
      <c r="R932">
        <v>42321.313483796293</v>
      </c>
      <c r="S932">
        <v>42326.645810185182</v>
      </c>
      <c r="T932" t="s">
        <v>317</v>
      </c>
      <c r="U932" t="s">
        <v>35</v>
      </c>
      <c r="V932" t="s">
        <v>35</v>
      </c>
      <c r="W932" t="s">
        <v>85</v>
      </c>
    </row>
    <row r="933" spans="1:23" x14ac:dyDescent="0.25">
      <c r="A933" t="s">
        <v>633</v>
      </c>
      <c r="B933" s="19">
        <v>9576</v>
      </c>
      <c r="C933" s="2">
        <f>HYPERLINK(URLs!B36 &amp; 72632,72632)</f>
        <v>72632</v>
      </c>
      <c r="D933" t="s">
        <v>2813</v>
      </c>
      <c r="E933" t="s">
        <v>387</v>
      </c>
      <c r="F933" t="s">
        <v>305</v>
      </c>
      <c r="G933" t="s">
        <v>310</v>
      </c>
      <c r="H933" t="s">
        <v>30</v>
      </c>
      <c r="I933" t="s">
        <v>68</v>
      </c>
      <c r="J933" t="s">
        <v>43</v>
      </c>
      <c r="K933" t="s">
        <v>33</v>
      </c>
      <c r="L933" t="s">
        <v>73</v>
      </c>
      <c r="M933" t="s">
        <v>263</v>
      </c>
      <c r="N933" t="s">
        <v>46</v>
      </c>
      <c r="P933" t="s">
        <v>61</v>
      </c>
      <c r="R933">
        <v>42321.313298611109</v>
      </c>
      <c r="S933">
        <v>42678.641805555555</v>
      </c>
      <c r="T933" t="s">
        <v>317</v>
      </c>
      <c r="U933" t="s">
        <v>35</v>
      </c>
      <c r="V933" t="s">
        <v>35</v>
      </c>
      <c r="W933" t="s">
        <v>491</v>
      </c>
    </row>
    <row r="934" spans="1:23" x14ac:dyDescent="0.25">
      <c r="A934" t="s">
        <v>633</v>
      </c>
      <c r="B934" s="19">
        <v>9576</v>
      </c>
      <c r="C934" s="2">
        <f>HYPERLINK(URLs!B36 &amp; 72631,72631)</f>
        <v>72631</v>
      </c>
      <c r="D934" t="s">
        <v>2812</v>
      </c>
      <c r="E934" t="s">
        <v>387</v>
      </c>
      <c r="F934" t="s">
        <v>305</v>
      </c>
      <c r="G934" t="s">
        <v>353</v>
      </c>
      <c r="H934" t="s">
        <v>30</v>
      </c>
      <c r="I934" t="s">
        <v>68</v>
      </c>
      <c r="J934" t="s">
        <v>43</v>
      </c>
      <c r="K934" t="s">
        <v>33</v>
      </c>
      <c r="L934" t="s">
        <v>73</v>
      </c>
      <c r="M934" t="s">
        <v>263</v>
      </c>
      <c r="N934" t="s">
        <v>46</v>
      </c>
      <c r="P934" t="s">
        <v>61</v>
      </c>
      <c r="R934">
        <v>42321.313217592593</v>
      </c>
      <c r="S934">
        <v>42678.641689814816</v>
      </c>
      <c r="T934" t="s">
        <v>317</v>
      </c>
      <c r="U934" t="s">
        <v>35</v>
      </c>
      <c r="V934" t="s">
        <v>35</v>
      </c>
      <c r="W934" t="s">
        <v>133</v>
      </c>
    </row>
    <row r="935" spans="1:23" x14ac:dyDescent="0.25">
      <c r="A935" t="s">
        <v>633</v>
      </c>
      <c r="B935" s="19">
        <v>9576</v>
      </c>
      <c r="C935" s="2">
        <f>HYPERLINK(URLs!B36 &amp; 72630,72630)</f>
        <v>72630</v>
      </c>
      <c r="D935" t="s">
        <v>2811</v>
      </c>
      <c r="E935" t="s">
        <v>387</v>
      </c>
      <c r="F935" t="s">
        <v>305</v>
      </c>
      <c r="G935" t="s">
        <v>353</v>
      </c>
      <c r="H935" t="s">
        <v>30</v>
      </c>
      <c r="I935" t="s">
        <v>68</v>
      </c>
      <c r="J935" t="s">
        <v>43</v>
      </c>
      <c r="K935" t="s">
        <v>33</v>
      </c>
      <c r="L935" t="s">
        <v>73</v>
      </c>
      <c r="M935" t="s">
        <v>263</v>
      </c>
      <c r="N935" t="s">
        <v>46</v>
      </c>
      <c r="P935" t="s">
        <v>61</v>
      </c>
      <c r="R935">
        <v>42321.313101851854</v>
      </c>
      <c r="S935">
        <v>42678.641979166663</v>
      </c>
      <c r="T935" t="s">
        <v>317</v>
      </c>
      <c r="U935" t="s">
        <v>35</v>
      </c>
      <c r="V935" t="s">
        <v>35</v>
      </c>
      <c r="W935" t="s">
        <v>65</v>
      </c>
    </row>
    <row r="936" spans="1:23" x14ac:dyDescent="0.25">
      <c r="A936" t="s">
        <v>633</v>
      </c>
      <c r="B936" s="19">
        <v>9576</v>
      </c>
      <c r="C936" s="2">
        <f>HYPERLINK(URLs!B36 &amp; 72629,72629)</f>
        <v>72629</v>
      </c>
      <c r="D936" t="s">
        <v>2810</v>
      </c>
      <c r="E936" t="s">
        <v>387</v>
      </c>
      <c r="F936" t="s">
        <v>305</v>
      </c>
      <c r="G936" t="s">
        <v>310</v>
      </c>
      <c r="H936" t="s">
        <v>30</v>
      </c>
      <c r="I936" t="s">
        <v>68</v>
      </c>
      <c r="J936" t="s">
        <v>43</v>
      </c>
      <c r="K936" t="s">
        <v>33</v>
      </c>
      <c r="L936" t="s">
        <v>73</v>
      </c>
      <c r="M936" t="s">
        <v>263</v>
      </c>
      <c r="N936" t="s">
        <v>46</v>
      </c>
      <c r="P936" t="s">
        <v>61</v>
      </c>
      <c r="R936">
        <v>42321.313020833331</v>
      </c>
      <c r="S936">
        <v>42678.641597222224</v>
      </c>
      <c r="T936" t="s">
        <v>317</v>
      </c>
      <c r="U936" t="s">
        <v>35</v>
      </c>
      <c r="V936" t="s">
        <v>35</v>
      </c>
      <c r="W936" t="s">
        <v>3028</v>
      </c>
    </row>
    <row r="937" spans="1:23" x14ac:dyDescent="0.25">
      <c r="A937" t="s">
        <v>633</v>
      </c>
      <c r="B937" s="19">
        <v>9576</v>
      </c>
      <c r="C937" s="2">
        <f>HYPERLINK(URLs!B36 &amp; 72628,72628)</f>
        <v>72628</v>
      </c>
      <c r="D937" t="s">
        <v>2809</v>
      </c>
      <c r="E937" t="s">
        <v>387</v>
      </c>
      <c r="F937" t="s">
        <v>305</v>
      </c>
      <c r="G937" t="s">
        <v>310</v>
      </c>
      <c r="H937" t="s">
        <v>30</v>
      </c>
      <c r="I937" t="s">
        <v>68</v>
      </c>
      <c r="J937" t="s">
        <v>43</v>
      </c>
      <c r="K937" t="s">
        <v>33</v>
      </c>
      <c r="L937" t="s">
        <v>73</v>
      </c>
      <c r="M937" t="s">
        <v>263</v>
      </c>
      <c r="N937" t="s">
        <v>46</v>
      </c>
      <c r="P937" t="s">
        <v>61</v>
      </c>
      <c r="R937">
        <v>42321.312939814816</v>
      </c>
      <c r="S937">
        <v>42678.641782407409</v>
      </c>
      <c r="T937" t="s">
        <v>317</v>
      </c>
      <c r="U937" t="s">
        <v>35</v>
      </c>
      <c r="V937" t="s">
        <v>35</v>
      </c>
      <c r="W937" t="s">
        <v>3039</v>
      </c>
    </row>
    <row r="938" spans="1:23" x14ac:dyDescent="0.25">
      <c r="A938" t="s">
        <v>633</v>
      </c>
      <c r="B938" s="19">
        <v>9576</v>
      </c>
      <c r="C938" s="2">
        <f>HYPERLINK(URLs!B36 &amp; 72606,72606)</f>
        <v>72606</v>
      </c>
      <c r="D938" t="s">
        <v>2808</v>
      </c>
      <c r="E938" t="s">
        <v>445</v>
      </c>
      <c r="F938" t="s">
        <v>305</v>
      </c>
      <c r="G938" t="s">
        <v>353</v>
      </c>
      <c r="H938" t="s">
        <v>30</v>
      </c>
      <c r="I938" t="s">
        <v>68</v>
      </c>
      <c r="J938" t="s">
        <v>43</v>
      </c>
      <c r="K938" t="s">
        <v>33</v>
      </c>
      <c r="L938" t="s">
        <v>73</v>
      </c>
      <c r="M938" t="s">
        <v>263</v>
      </c>
      <c r="N938" t="s">
        <v>46</v>
      </c>
      <c r="P938" t="s">
        <v>61</v>
      </c>
      <c r="R938">
        <v>42320.942835648151</v>
      </c>
      <c r="S938">
        <v>42345.909305555557</v>
      </c>
      <c r="T938" t="s">
        <v>1</v>
      </c>
      <c r="U938" t="s">
        <v>35</v>
      </c>
      <c r="V938" t="s">
        <v>35</v>
      </c>
      <c r="W938" t="s">
        <v>4098</v>
      </c>
    </row>
    <row r="939" spans="1:23" x14ac:dyDescent="0.25">
      <c r="A939" t="s">
        <v>633</v>
      </c>
      <c r="B939" s="19">
        <v>9576</v>
      </c>
      <c r="C939" s="2">
        <f>HYPERLINK(URLs!B36 &amp; 53553,53553)</f>
        <v>53553</v>
      </c>
      <c r="D939" t="s">
        <v>2266</v>
      </c>
      <c r="E939" t="s">
        <v>387</v>
      </c>
      <c r="F939" t="s">
        <v>305</v>
      </c>
      <c r="G939" t="s">
        <v>304</v>
      </c>
      <c r="H939" t="s">
        <v>56</v>
      </c>
      <c r="I939" t="s">
        <v>68</v>
      </c>
      <c r="J939" t="s">
        <v>43</v>
      </c>
      <c r="K939" t="s">
        <v>33</v>
      </c>
      <c r="L939" t="s">
        <v>73</v>
      </c>
      <c r="M939" t="s">
        <v>263</v>
      </c>
      <c r="N939" t="s">
        <v>46</v>
      </c>
      <c r="P939" t="s">
        <v>443</v>
      </c>
      <c r="R939">
        <v>41963.608680555553</v>
      </c>
      <c r="S939">
        <v>42759.713379629633</v>
      </c>
      <c r="T939" t="s">
        <v>2194</v>
      </c>
      <c r="U939" t="s">
        <v>35</v>
      </c>
      <c r="V939" t="s">
        <v>35</v>
      </c>
      <c r="W939" t="s">
        <v>428</v>
      </c>
    </row>
    <row r="940" spans="1:23" x14ac:dyDescent="0.25">
      <c r="A940" t="s">
        <v>633</v>
      </c>
      <c r="B940" s="19">
        <v>9576</v>
      </c>
      <c r="C940" s="2">
        <f>HYPERLINK(URLs!B36 &amp; 53552,53552)</f>
        <v>53552</v>
      </c>
      <c r="D940" t="s">
        <v>2265</v>
      </c>
      <c r="E940" t="s">
        <v>387</v>
      </c>
      <c r="F940" t="s">
        <v>305</v>
      </c>
      <c r="G940" t="s">
        <v>304</v>
      </c>
      <c r="H940" t="s">
        <v>56</v>
      </c>
      <c r="I940" t="s">
        <v>68</v>
      </c>
      <c r="J940" t="s">
        <v>43</v>
      </c>
      <c r="K940" t="s">
        <v>33</v>
      </c>
      <c r="L940" t="s">
        <v>73</v>
      </c>
      <c r="M940" t="s">
        <v>263</v>
      </c>
      <c r="N940" t="s">
        <v>46</v>
      </c>
      <c r="P940" t="s">
        <v>443</v>
      </c>
      <c r="R940">
        <v>41963.608611111114</v>
      </c>
      <c r="S940">
        <v>42648.768425925926</v>
      </c>
      <c r="T940" t="s">
        <v>2194</v>
      </c>
      <c r="U940" t="s">
        <v>35</v>
      </c>
      <c r="V940" t="s">
        <v>35</v>
      </c>
      <c r="W940" t="s">
        <v>65</v>
      </c>
    </row>
    <row r="941" spans="1:23" x14ac:dyDescent="0.25">
      <c r="A941" t="s">
        <v>633</v>
      </c>
      <c r="B941" s="19">
        <v>9576</v>
      </c>
      <c r="C941" s="2">
        <f>HYPERLINK(URLs!B36 &amp; 53551,53551)</f>
        <v>53551</v>
      </c>
      <c r="D941" t="s">
        <v>2264</v>
      </c>
      <c r="E941" t="s">
        <v>387</v>
      </c>
      <c r="F941" t="s">
        <v>305</v>
      </c>
      <c r="G941" t="s">
        <v>337</v>
      </c>
      <c r="H941" t="s">
        <v>56</v>
      </c>
      <c r="I941" t="s">
        <v>68</v>
      </c>
      <c r="J941" t="s">
        <v>43</v>
      </c>
      <c r="K941" t="s">
        <v>33</v>
      </c>
      <c r="L941" t="s">
        <v>73</v>
      </c>
      <c r="M941" t="s">
        <v>263</v>
      </c>
      <c r="N941" t="s">
        <v>46</v>
      </c>
      <c r="P941" t="s">
        <v>443</v>
      </c>
      <c r="R941">
        <v>41963.608564814815</v>
      </c>
      <c r="S941">
        <v>42678.642071759263</v>
      </c>
      <c r="T941" t="s">
        <v>2194</v>
      </c>
      <c r="U941" t="s">
        <v>35</v>
      </c>
      <c r="V941" t="s">
        <v>35</v>
      </c>
      <c r="W941" t="s">
        <v>394</v>
      </c>
    </row>
    <row r="942" spans="1:23" x14ac:dyDescent="0.25">
      <c r="A942" t="s">
        <v>633</v>
      </c>
      <c r="B942" s="19">
        <v>9576</v>
      </c>
      <c r="C942" s="2">
        <f>HYPERLINK(URLs!B36 &amp; 49413,49413)</f>
        <v>49413</v>
      </c>
      <c r="D942" t="s">
        <v>444</v>
      </c>
      <c r="E942" t="s">
        <v>445</v>
      </c>
      <c r="F942" t="s">
        <v>305</v>
      </c>
      <c r="G942" t="s">
        <v>304</v>
      </c>
      <c r="H942" t="s">
        <v>30</v>
      </c>
      <c r="I942" t="s">
        <v>68</v>
      </c>
      <c r="J942" t="s">
        <v>58</v>
      </c>
      <c r="K942" t="s">
        <v>44</v>
      </c>
      <c r="L942" t="s">
        <v>73</v>
      </c>
      <c r="M942" t="s">
        <v>263</v>
      </c>
      <c r="N942" t="s">
        <v>46</v>
      </c>
      <c r="P942" t="s">
        <v>443</v>
      </c>
      <c r="R942">
        <v>41883.832731481481</v>
      </c>
      <c r="S942">
        <v>42759.714016203703</v>
      </c>
      <c r="T942" t="s">
        <v>70</v>
      </c>
      <c r="U942" t="s">
        <v>35</v>
      </c>
      <c r="V942" t="s">
        <v>35</v>
      </c>
      <c r="W942" t="s">
        <v>4098</v>
      </c>
    </row>
    <row r="943" spans="1:23" x14ac:dyDescent="0.25">
      <c r="A943" t="s">
        <v>665</v>
      </c>
      <c r="B943" s="19">
        <v>9663</v>
      </c>
      <c r="C943" s="2">
        <f>HYPERLINK(URLs!B36 &amp; 75563,75563)</f>
        <v>75563</v>
      </c>
      <c r="D943" t="s">
        <v>2889</v>
      </c>
      <c r="E943" t="s">
        <v>376</v>
      </c>
      <c r="F943" t="s">
        <v>305</v>
      </c>
      <c r="G943" t="s">
        <v>304</v>
      </c>
      <c r="H943" t="s">
        <v>30</v>
      </c>
      <c r="I943" t="s">
        <v>31</v>
      </c>
      <c r="J943" t="s">
        <v>43</v>
      </c>
      <c r="K943" t="s">
        <v>51</v>
      </c>
      <c r="L943" t="s">
        <v>34</v>
      </c>
      <c r="M943" t="s">
        <v>373</v>
      </c>
      <c r="N943" t="s">
        <v>46</v>
      </c>
      <c r="P943" t="s">
        <v>374</v>
      </c>
      <c r="Q943" t="s">
        <v>2890</v>
      </c>
      <c r="R943">
        <v>42389.903356481482</v>
      </c>
      <c r="S943">
        <v>42629.723136574074</v>
      </c>
      <c r="T943" t="s">
        <v>149</v>
      </c>
      <c r="U943" t="s">
        <v>3967</v>
      </c>
      <c r="V943" t="s">
        <v>35</v>
      </c>
      <c r="W943" t="s">
        <v>77</v>
      </c>
    </row>
    <row r="944" spans="1:23" x14ac:dyDescent="0.25">
      <c r="A944" t="s">
        <v>665</v>
      </c>
      <c r="B944" s="19">
        <v>9663</v>
      </c>
      <c r="C944" s="2">
        <f>HYPERLINK(URLs!B36 &amp; 74769,74769)</f>
        <v>74769</v>
      </c>
      <c r="D944" t="s">
        <v>2863</v>
      </c>
      <c r="E944" t="s">
        <v>134</v>
      </c>
      <c r="F944" t="s">
        <v>305</v>
      </c>
      <c r="G944" t="s">
        <v>304</v>
      </c>
      <c r="H944" t="s">
        <v>30</v>
      </c>
      <c r="I944" t="s">
        <v>31</v>
      </c>
      <c r="J944" t="s">
        <v>43</v>
      </c>
      <c r="K944" t="s">
        <v>51</v>
      </c>
      <c r="L944" t="s">
        <v>34</v>
      </c>
      <c r="M944" t="s">
        <v>373</v>
      </c>
      <c r="N944" t="s">
        <v>46</v>
      </c>
      <c r="P944" t="s">
        <v>374</v>
      </c>
      <c r="Q944" t="s">
        <v>2416</v>
      </c>
      <c r="R944">
        <v>42374.308888888889</v>
      </c>
      <c r="S944">
        <v>42947.770925925928</v>
      </c>
      <c r="T944" t="s">
        <v>53</v>
      </c>
      <c r="U944" t="s">
        <v>35</v>
      </c>
      <c r="V944" t="s">
        <v>35</v>
      </c>
      <c r="W944" t="s">
        <v>69</v>
      </c>
    </row>
    <row r="945" spans="1:23" x14ac:dyDescent="0.25">
      <c r="A945" t="s">
        <v>665</v>
      </c>
      <c r="B945" s="19">
        <v>9663</v>
      </c>
      <c r="C945" s="2">
        <f>HYPERLINK(URLs!B36 &amp; 74768,74768)</f>
        <v>74768</v>
      </c>
      <c r="D945" t="s">
        <v>2862</v>
      </c>
      <c r="E945" t="s">
        <v>376</v>
      </c>
      <c r="F945" t="s">
        <v>305</v>
      </c>
      <c r="G945" t="s">
        <v>304</v>
      </c>
      <c r="H945" t="s">
        <v>30</v>
      </c>
      <c r="I945" t="s">
        <v>31</v>
      </c>
      <c r="J945" t="s">
        <v>43</v>
      </c>
      <c r="K945" t="s">
        <v>51</v>
      </c>
      <c r="L945" t="s">
        <v>34</v>
      </c>
      <c r="M945" t="s">
        <v>373</v>
      </c>
      <c r="N945" t="s">
        <v>518</v>
      </c>
      <c r="P945" t="s">
        <v>374</v>
      </c>
      <c r="R945">
        <v>42374.308761574073</v>
      </c>
      <c r="S945">
        <v>42629.723055555558</v>
      </c>
      <c r="T945" t="s">
        <v>53</v>
      </c>
      <c r="U945" t="s">
        <v>3964</v>
      </c>
      <c r="V945" t="s">
        <v>35</v>
      </c>
      <c r="W945" t="s">
        <v>133</v>
      </c>
    </row>
    <row r="946" spans="1:23" x14ac:dyDescent="0.25">
      <c r="A946" t="s">
        <v>665</v>
      </c>
      <c r="B946" s="19">
        <v>9663</v>
      </c>
      <c r="C946" s="2">
        <f>HYPERLINK(URLs!B36 &amp; 74767,74767)</f>
        <v>74767</v>
      </c>
      <c r="D946" t="s">
        <v>2861</v>
      </c>
      <c r="E946" t="s">
        <v>376</v>
      </c>
      <c r="F946" t="s">
        <v>305</v>
      </c>
      <c r="G946" t="s">
        <v>337</v>
      </c>
      <c r="H946" t="s">
        <v>30</v>
      </c>
      <c r="I946" t="s">
        <v>31</v>
      </c>
      <c r="J946" t="s">
        <v>43</v>
      </c>
      <c r="K946" t="s">
        <v>51</v>
      </c>
      <c r="L946" t="s">
        <v>34</v>
      </c>
      <c r="M946" t="s">
        <v>373</v>
      </c>
      <c r="N946" t="s">
        <v>60</v>
      </c>
      <c r="P946" t="s">
        <v>374</v>
      </c>
      <c r="R946">
        <v>42374.308622685188</v>
      </c>
      <c r="S946">
        <v>42411.856377314813</v>
      </c>
      <c r="T946" t="s">
        <v>53</v>
      </c>
      <c r="U946" t="s">
        <v>35</v>
      </c>
      <c r="V946" t="s">
        <v>35</v>
      </c>
      <c r="W946" t="s">
        <v>118</v>
      </c>
    </row>
    <row r="947" spans="1:23" x14ac:dyDescent="0.25">
      <c r="A947" t="s">
        <v>665</v>
      </c>
      <c r="B947" s="19">
        <v>9663</v>
      </c>
      <c r="C947" s="2">
        <f>HYPERLINK(URLs!B36 &amp; 74511,74511)</f>
        <v>74511</v>
      </c>
      <c r="D947" t="s">
        <v>375</v>
      </c>
      <c r="E947" t="s">
        <v>376</v>
      </c>
      <c r="F947" t="s">
        <v>305</v>
      </c>
      <c r="G947" t="s">
        <v>304</v>
      </c>
      <c r="H947" t="s">
        <v>30</v>
      </c>
      <c r="I947" t="s">
        <v>31</v>
      </c>
      <c r="J947" t="s">
        <v>43</v>
      </c>
      <c r="K947" t="s">
        <v>51</v>
      </c>
      <c r="L947" t="s">
        <v>34</v>
      </c>
      <c r="M947" t="s">
        <v>373</v>
      </c>
      <c r="N947" t="s">
        <v>46</v>
      </c>
      <c r="P947" t="s">
        <v>374</v>
      </c>
      <c r="Q947" t="s">
        <v>2416</v>
      </c>
      <c r="R947">
        <v>42359.912187499998</v>
      </c>
      <c r="S947">
        <v>43229.412951388891</v>
      </c>
      <c r="T947" t="s">
        <v>1</v>
      </c>
      <c r="U947" t="s">
        <v>35</v>
      </c>
      <c r="V947" t="s">
        <v>35</v>
      </c>
      <c r="W947" t="s">
        <v>4098</v>
      </c>
    </row>
    <row r="948" spans="1:23" x14ac:dyDescent="0.25">
      <c r="A948" t="s">
        <v>633</v>
      </c>
      <c r="B948" s="19">
        <v>9675</v>
      </c>
      <c r="C948" s="2">
        <f>HYPERLINK(URLs!B36 &amp; 76260,76260)</f>
        <v>76260</v>
      </c>
      <c r="D948" t="s">
        <v>2875</v>
      </c>
      <c r="E948" t="s">
        <v>139</v>
      </c>
      <c r="F948" t="s">
        <v>305</v>
      </c>
      <c r="G948" t="s">
        <v>310</v>
      </c>
      <c r="H948" t="s">
        <v>30</v>
      </c>
      <c r="I948" t="s">
        <v>31</v>
      </c>
      <c r="J948" t="s">
        <v>43</v>
      </c>
      <c r="K948" t="s">
        <v>44</v>
      </c>
      <c r="L948" t="s">
        <v>73</v>
      </c>
      <c r="M948" t="s">
        <v>263</v>
      </c>
      <c r="N948" t="s">
        <v>46</v>
      </c>
      <c r="P948" t="s">
        <v>61</v>
      </c>
      <c r="R948">
        <v>42397.823842592596</v>
      </c>
      <c r="S948">
        <v>42678.645243055558</v>
      </c>
      <c r="T948" t="s">
        <v>317</v>
      </c>
      <c r="U948" t="s">
        <v>35</v>
      </c>
      <c r="V948" t="s">
        <v>35</v>
      </c>
      <c r="W948" t="s">
        <v>4156</v>
      </c>
    </row>
    <row r="949" spans="1:23" x14ac:dyDescent="0.25">
      <c r="A949" t="s">
        <v>633</v>
      </c>
      <c r="B949" s="19">
        <v>9675</v>
      </c>
      <c r="C949" s="2">
        <f>HYPERLINK(URLs!B36 &amp; 75245,75245)</f>
        <v>75245</v>
      </c>
      <c r="D949" t="s">
        <v>2875</v>
      </c>
      <c r="E949" t="s">
        <v>139</v>
      </c>
      <c r="F949" t="s">
        <v>305</v>
      </c>
      <c r="G949" t="s">
        <v>304</v>
      </c>
      <c r="H949" t="s">
        <v>30</v>
      </c>
      <c r="I949" t="s">
        <v>31</v>
      </c>
      <c r="J949" t="s">
        <v>43</v>
      </c>
      <c r="K949" t="s">
        <v>44</v>
      </c>
      <c r="L949" t="s">
        <v>73</v>
      </c>
      <c r="M949" t="s">
        <v>263</v>
      </c>
      <c r="N949" t="s">
        <v>2876</v>
      </c>
      <c r="P949" t="s">
        <v>61</v>
      </c>
      <c r="R949">
        <v>42384.998923611114</v>
      </c>
      <c r="S949">
        <v>42709.766145833331</v>
      </c>
      <c r="T949" t="s">
        <v>53</v>
      </c>
      <c r="U949" t="s">
        <v>3966</v>
      </c>
      <c r="V949" t="s">
        <v>35</v>
      </c>
      <c r="W949" t="s">
        <v>75</v>
      </c>
    </row>
    <row r="950" spans="1:23" x14ac:dyDescent="0.25">
      <c r="A950" t="s">
        <v>633</v>
      </c>
      <c r="B950" s="19">
        <v>9675</v>
      </c>
      <c r="C950" s="2">
        <f>HYPERLINK(URLs!B36 &amp; 73600,73600)</f>
        <v>73600</v>
      </c>
      <c r="D950" t="s">
        <v>2831</v>
      </c>
      <c r="E950" t="s">
        <v>139</v>
      </c>
      <c r="F950" t="s">
        <v>305</v>
      </c>
      <c r="G950" t="s">
        <v>304</v>
      </c>
      <c r="H950" t="s">
        <v>30</v>
      </c>
      <c r="I950" t="s">
        <v>31</v>
      </c>
      <c r="J950" t="s">
        <v>43</v>
      </c>
      <c r="K950" t="s">
        <v>44</v>
      </c>
      <c r="L950" t="s">
        <v>73</v>
      </c>
      <c r="M950" t="s">
        <v>263</v>
      </c>
      <c r="N950" t="s">
        <v>518</v>
      </c>
      <c r="P950" t="s">
        <v>61</v>
      </c>
      <c r="R950">
        <v>42341.313668981478</v>
      </c>
      <c r="S950">
        <v>42648.772060185183</v>
      </c>
      <c r="T950" t="s">
        <v>317</v>
      </c>
      <c r="U950" t="s">
        <v>35</v>
      </c>
      <c r="V950" t="s">
        <v>35</v>
      </c>
      <c r="W950" t="s">
        <v>133</v>
      </c>
    </row>
    <row r="951" spans="1:23" x14ac:dyDescent="0.25">
      <c r="A951" t="s">
        <v>633</v>
      </c>
      <c r="B951" s="19">
        <v>9675</v>
      </c>
      <c r="C951" s="2">
        <f>HYPERLINK(URLs!B36 &amp; 73599,73599)</f>
        <v>73599</v>
      </c>
      <c r="D951" t="s">
        <v>2830</v>
      </c>
      <c r="E951" t="s">
        <v>139</v>
      </c>
      <c r="F951" t="s">
        <v>305</v>
      </c>
      <c r="G951" t="s">
        <v>337</v>
      </c>
      <c r="H951" t="s">
        <v>30</v>
      </c>
      <c r="I951" t="s">
        <v>31</v>
      </c>
      <c r="J951" t="s">
        <v>43</v>
      </c>
      <c r="K951" t="s">
        <v>44</v>
      </c>
      <c r="L951" t="s">
        <v>73</v>
      </c>
      <c r="M951" t="s">
        <v>263</v>
      </c>
      <c r="N951" t="s">
        <v>60</v>
      </c>
      <c r="P951" t="s">
        <v>61</v>
      </c>
      <c r="Q951" t="s">
        <v>394</v>
      </c>
      <c r="R951">
        <v>42341.313576388886</v>
      </c>
      <c r="S951">
        <v>42678.646354166667</v>
      </c>
      <c r="T951" t="s">
        <v>317</v>
      </c>
      <c r="U951" t="s">
        <v>35</v>
      </c>
      <c r="V951" t="s">
        <v>35</v>
      </c>
      <c r="W951" t="s">
        <v>65</v>
      </c>
    </row>
    <row r="952" spans="1:23" x14ac:dyDescent="0.25">
      <c r="A952" t="s">
        <v>633</v>
      </c>
      <c r="B952" s="19">
        <v>9675</v>
      </c>
      <c r="C952" s="2">
        <f>HYPERLINK(URLs!B36 &amp; 73572,73572)</f>
        <v>73572</v>
      </c>
      <c r="D952" t="s">
        <v>385</v>
      </c>
      <c r="E952" t="s">
        <v>139</v>
      </c>
      <c r="F952" t="s">
        <v>305</v>
      </c>
      <c r="G952" t="s">
        <v>304</v>
      </c>
      <c r="H952" t="s">
        <v>30</v>
      </c>
      <c r="I952" t="s">
        <v>31</v>
      </c>
      <c r="J952" t="s">
        <v>43</v>
      </c>
      <c r="K952" t="s">
        <v>44</v>
      </c>
      <c r="L952" t="s">
        <v>73</v>
      </c>
      <c r="M952" t="s">
        <v>263</v>
      </c>
      <c r="N952" t="s">
        <v>384</v>
      </c>
      <c r="P952" t="s">
        <v>61</v>
      </c>
      <c r="Q952" t="s">
        <v>394</v>
      </c>
      <c r="R952">
        <v>42340.826655092591</v>
      </c>
      <c r="S952">
        <v>42871.689189814817</v>
      </c>
      <c r="T952" t="s">
        <v>1</v>
      </c>
      <c r="U952" t="s">
        <v>35</v>
      </c>
      <c r="V952" t="s">
        <v>35</v>
      </c>
      <c r="W952" t="s">
        <v>4098</v>
      </c>
    </row>
    <row r="953" spans="1:23" x14ac:dyDescent="0.25">
      <c r="A953" t="s">
        <v>665</v>
      </c>
      <c r="B953" s="19">
        <v>9676</v>
      </c>
      <c r="C953" s="2">
        <f>HYPERLINK(URLs!B36 &amp; 75779,75779)</f>
        <v>75779</v>
      </c>
      <c r="D953" t="s">
        <v>2894</v>
      </c>
      <c r="E953" t="s">
        <v>139</v>
      </c>
      <c r="F953" t="s">
        <v>305</v>
      </c>
      <c r="G953" t="s">
        <v>304</v>
      </c>
      <c r="H953" t="s">
        <v>30</v>
      </c>
      <c r="I953" t="s">
        <v>31</v>
      </c>
      <c r="J953" t="s">
        <v>43</v>
      </c>
      <c r="K953" t="s">
        <v>44</v>
      </c>
      <c r="L953" t="s">
        <v>73</v>
      </c>
      <c r="M953" t="s">
        <v>263</v>
      </c>
      <c r="N953" t="s">
        <v>46</v>
      </c>
      <c r="O953" t="s">
        <v>2895</v>
      </c>
      <c r="P953" t="s">
        <v>92</v>
      </c>
      <c r="Q953" t="s">
        <v>92</v>
      </c>
      <c r="R953">
        <v>42393.554143518515</v>
      </c>
      <c r="S953">
        <v>42991.471192129633</v>
      </c>
      <c r="T953" t="s">
        <v>72</v>
      </c>
      <c r="U953" t="s">
        <v>35</v>
      </c>
      <c r="V953" t="s">
        <v>35</v>
      </c>
      <c r="W953" t="s">
        <v>3661</v>
      </c>
    </row>
    <row r="954" spans="1:23" x14ac:dyDescent="0.25">
      <c r="A954" t="s">
        <v>665</v>
      </c>
      <c r="B954" s="19">
        <v>9676</v>
      </c>
      <c r="C954" s="2">
        <f>HYPERLINK(URLs!B36 &amp; 75113,75113)</f>
        <v>75113</v>
      </c>
      <c r="D954" t="s">
        <v>489</v>
      </c>
      <c r="E954" t="s">
        <v>490</v>
      </c>
      <c r="F954" t="s">
        <v>305</v>
      </c>
      <c r="G954" t="s">
        <v>304</v>
      </c>
      <c r="H954" t="s">
        <v>30</v>
      </c>
      <c r="I954" t="s">
        <v>31</v>
      </c>
      <c r="J954" t="s">
        <v>43</v>
      </c>
      <c r="K954" t="s">
        <v>44</v>
      </c>
      <c r="L954" t="s">
        <v>73</v>
      </c>
      <c r="M954" t="s">
        <v>263</v>
      </c>
      <c r="N954" t="s">
        <v>595</v>
      </c>
      <c r="O954" t="s">
        <v>596</v>
      </c>
      <c r="P954" t="s">
        <v>491</v>
      </c>
      <c r="Q954" t="s">
        <v>491</v>
      </c>
      <c r="R954">
        <v>42382.467291666668</v>
      </c>
      <c r="S954">
        <v>43109.236493055556</v>
      </c>
      <c r="T954" t="s">
        <v>86</v>
      </c>
      <c r="U954" t="s">
        <v>35</v>
      </c>
      <c r="V954" t="s">
        <v>35</v>
      </c>
      <c r="W954" t="s">
        <v>4098</v>
      </c>
    </row>
    <row r="955" spans="1:23" x14ac:dyDescent="0.25">
      <c r="B955" s="19">
        <v>9700</v>
      </c>
      <c r="C955" s="2">
        <f>HYPERLINK(URLs!B36 &amp; 73717,73717)</f>
        <v>73717</v>
      </c>
      <c r="D955" t="s">
        <v>2835</v>
      </c>
      <c r="E955" t="s">
        <v>2378</v>
      </c>
      <c r="F955" t="s">
        <v>305</v>
      </c>
      <c r="G955" t="s">
        <v>304</v>
      </c>
      <c r="H955" t="s">
        <v>30</v>
      </c>
      <c r="I955" t="s">
        <v>68</v>
      </c>
      <c r="J955" t="s">
        <v>58</v>
      </c>
      <c r="K955" t="s">
        <v>51</v>
      </c>
      <c r="L955" t="s">
        <v>34</v>
      </c>
      <c r="M955" t="s">
        <v>2036</v>
      </c>
      <c r="N955" t="s">
        <v>46</v>
      </c>
      <c r="O955" t="s">
        <v>2836</v>
      </c>
      <c r="P955" t="s">
        <v>2679</v>
      </c>
      <c r="Q955" t="s">
        <v>2416</v>
      </c>
      <c r="R955">
        <v>42342.91946759259</v>
      </c>
      <c r="S955">
        <v>42801.457430555558</v>
      </c>
      <c r="T955" t="s">
        <v>2</v>
      </c>
      <c r="U955" t="s">
        <v>35</v>
      </c>
      <c r="V955" t="s">
        <v>35</v>
      </c>
      <c r="W955" t="s">
        <v>4133</v>
      </c>
    </row>
    <row r="956" spans="1:23" x14ac:dyDescent="0.25">
      <c r="A956" t="s">
        <v>633</v>
      </c>
      <c r="B956" s="19">
        <v>9701</v>
      </c>
      <c r="C956" s="2">
        <f>HYPERLINK(URLs!B36 &amp; 75254,75254)</f>
        <v>75254</v>
      </c>
      <c r="D956" t="s">
        <v>2877</v>
      </c>
      <c r="E956" t="s">
        <v>382</v>
      </c>
      <c r="F956" t="s">
        <v>305</v>
      </c>
      <c r="G956" t="s">
        <v>337</v>
      </c>
      <c r="H956" t="s">
        <v>30</v>
      </c>
      <c r="I956" t="s">
        <v>31</v>
      </c>
      <c r="J956" t="s">
        <v>32</v>
      </c>
      <c r="K956" t="s">
        <v>44</v>
      </c>
      <c r="L956" t="s">
        <v>380</v>
      </c>
      <c r="M956" t="s">
        <v>379</v>
      </c>
      <c r="N956" t="s">
        <v>518</v>
      </c>
      <c r="O956" t="s">
        <v>325</v>
      </c>
      <c r="P956" t="s">
        <v>61</v>
      </c>
      <c r="R956">
        <v>42385.645856481482</v>
      </c>
      <c r="S956">
        <v>42678.645567129628</v>
      </c>
      <c r="T956" t="s">
        <v>317</v>
      </c>
      <c r="U956" t="s">
        <v>35</v>
      </c>
      <c r="V956" t="s">
        <v>321</v>
      </c>
      <c r="W956" t="s">
        <v>4156</v>
      </c>
    </row>
    <row r="957" spans="1:23" x14ac:dyDescent="0.25">
      <c r="A957" t="s">
        <v>633</v>
      </c>
      <c r="B957" s="19">
        <v>9701</v>
      </c>
      <c r="C957" s="2">
        <f>HYPERLINK(URLs!B36 &amp; 74749,74749)</f>
        <v>74749</v>
      </c>
      <c r="D957" t="s">
        <v>2860</v>
      </c>
      <c r="E957" t="s">
        <v>382</v>
      </c>
      <c r="F957" t="s">
        <v>305</v>
      </c>
      <c r="G957" t="s">
        <v>328</v>
      </c>
      <c r="H957" t="s">
        <v>30</v>
      </c>
      <c r="I957" t="s">
        <v>31</v>
      </c>
      <c r="J957" t="s">
        <v>32</v>
      </c>
      <c r="K957" t="s">
        <v>44</v>
      </c>
      <c r="L957" t="s">
        <v>380</v>
      </c>
      <c r="M957" t="s">
        <v>379</v>
      </c>
      <c r="N957" t="s">
        <v>518</v>
      </c>
      <c r="O957" t="s">
        <v>325</v>
      </c>
      <c r="P957" t="s">
        <v>61</v>
      </c>
      <c r="R957">
        <v>42373.866597222222</v>
      </c>
      <c r="S957">
        <v>42678.64638888889</v>
      </c>
      <c r="T957" t="s">
        <v>317</v>
      </c>
      <c r="U957" t="s">
        <v>35</v>
      </c>
      <c r="V957" t="s">
        <v>321</v>
      </c>
      <c r="W957" t="s">
        <v>133</v>
      </c>
    </row>
    <row r="958" spans="1:23" x14ac:dyDescent="0.25">
      <c r="A958" t="s">
        <v>633</v>
      </c>
      <c r="B958" s="19">
        <v>9701</v>
      </c>
      <c r="C958" s="2">
        <f>HYPERLINK(URLs!B36 &amp; 74748,74748)</f>
        <v>74748</v>
      </c>
      <c r="D958" t="s">
        <v>2859</v>
      </c>
      <c r="E958" t="s">
        <v>382</v>
      </c>
      <c r="F958" t="s">
        <v>305</v>
      </c>
      <c r="G958" t="s">
        <v>328</v>
      </c>
      <c r="H958" t="s">
        <v>30</v>
      </c>
      <c r="I958" t="s">
        <v>31</v>
      </c>
      <c r="J958" t="s">
        <v>32</v>
      </c>
      <c r="K958" t="s">
        <v>44</v>
      </c>
      <c r="L958" t="s">
        <v>380</v>
      </c>
      <c r="M958" t="s">
        <v>379</v>
      </c>
      <c r="N958" t="s">
        <v>60</v>
      </c>
      <c r="O958" t="s">
        <v>325</v>
      </c>
      <c r="P958" t="s">
        <v>61</v>
      </c>
      <c r="R958">
        <v>42373.866493055553</v>
      </c>
      <c r="S958">
        <v>42678.646064814813</v>
      </c>
      <c r="T958" t="s">
        <v>317</v>
      </c>
      <c r="U958" t="s">
        <v>35</v>
      </c>
      <c r="V958" t="s">
        <v>321</v>
      </c>
      <c r="W958" t="s">
        <v>65</v>
      </c>
    </row>
    <row r="959" spans="1:23" x14ac:dyDescent="0.25">
      <c r="A959" t="s">
        <v>633</v>
      </c>
      <c r="B959" s="19">
        <v>9701</v>
      </c>
      <c r="C959" s="2">
        <f>HYPERLINK(URLs!B36 &amp; 73715,73715)</f>
        <v>73715</v>
      </c>
      <c r="D959" t="s">
        <v>381</v>
      </c>
      <c r="E959" t="s">
        <v>382</v>
      </c>
      <c r="F959" t="s">
        <v>305</v>
      </c>
      <c r="G959" t="s">
        <v>328</v>
      </c>
      <c r="H959" t="s">
        <v>30</v>
      </c>
      <c r="I959" t="s">
        <v>31</v>
      </c>
      <c r="J959" t="s">
        <v>32</v>
      </c>
      <c r="K959" t="s">
        <v>44</v>
      </c>
      <c r="L959" t="s">
        <v>380</v>
      </c>
      <c r="M959" t="s">
        <v>379</v>
      </c>
      <c r="N959" t="s">
        <v>60</v>
      </c>
      <c r="O959" t="s">
        <v>325</v>
      </c>
      <c r="P959" t="s">
        <v>61</v>
      </c>
      <c r="R959">
        <v>42342.909201388888</v>
      </c>
      <c r="S959">
        <v>42678.645787037036</v>
      </c>
      <c r="T959" t="s">
        <v>1</v>
      </c>
      <c r="U959" t="s">
        <v>35</v>
      </c>
      <c r="V959" t="s">
        <v>321</v>
      </c>
      <c r="W959" t="s">
        <v>4098</v>
      </c>
    </row>
    <row r="960" spans="1:23" x14ac:dyDescent="0.25">
      <c r="A960" t="s">
        <v>665</v>
      </c>
      <c r="B960" s="19">
        <v>9707</v>
      </c>
      <c r="C960" s="2">
        <f>HYPERLINK(URLs!B36 &amp; 73725,73725)</f>
        <v>73725</v>
      </c>
      <c r="D960" t="s">
        <v>2840</v>
      </c>
      <c r="E960" t="s">
        <v>139</v>
      </c>
      <c r="F960" t="s">
        <v>305</v>
      </c>
      <c r="G960" t="s">
        <v>310</v>
      </c>
      <c r="H960" t="s">
        <v>30</v>
      </c>
      <c r="I960" t="s">
        <v>31</v>
      </c>
      <c r="J960" t="s">
        <v>43</v>
      </c>
      <c r="K960" t="s">
        <v>44</v>
      </c>
      <c r="L960" t="s">
        <v>73</v>
      </c>
      <c r="M960" t="s">
        <v>263</v>
      </c>
      <c r="N960" t="s">
        <v>46</v>
      </c>
      <c r="P960" t="s">
        <v>61</v>
      </c>
      <c r="R960">
        <v>42343.313622685186</v>
      </c>
      <c r="S960">
        <v>42563.858969907407</v>
      </c>
      <c r="T960" t="s">
        <v>317</v>
      </c>
      <c r="U960" t="s">
        <v>35</v>
      </c>
      <c r="V960" t="s">
        <v>35</v>
      </c>
      <c r="W960" t="s">
        <v>133</v>
      </c>
    </row>
    <row r="961" spans="1:23" x14ac:dyDescent="0.25">
      <c r="A961" t="s">
        <v>665</v>
      </c>
      <c r="B961" s="19">
        <v>9707</v>
      </c>
      <c r="C961" s="2">
        <f>HYPERLINK(URLs!B36 &amp; 73724,73724)</f>
        <v>73724</v>
      </c>
      <c r="D961" t="s">
        <v>2839</v>
      </c>
      <c r="E961" t="s">
        <v>139</v>
      </c>
      <c r="F961" t="s">
        <v>305</v>
      </c>
      <c r="G961" t="s">
        <v>328</v>
      </c>
      <c r="H961" t="s">
        <v>30</v>
      </c>
      <c r="I961" t="s">
        <v>31</v>
      </c>
      <c r="J961" t="s">
        <v>32</v>
      </c>
      <c r="K961" t="s">
        <v>33</v>
      </c>
      <c r="L961" t="s">
        <v>73</v>
      </c>
      <c r="M961" t="s">
        <v>263</v>
      </c>
      <c r="N961" t="s">
        <v>60</v>
      </c>
      <c r="P961" t="s">
        <v>61</v>
      </c>
      <c r="R961">
        <v>42343.313564814816</v>
      </c>
      <c r="S961">
        <v>42716.917557870373</v>
      </c>
      <c r="T961" t="s">
        <v>317</v>
      </c>
      <c r="U961" t="s">
        <v>35</v>
      </c>
      <c r="V961" t="s">
        <v>321</v>
      </c>
      <c r="W961" t="s">
        <v>65</v>
      </c>
    </row>
    <row r="962" spans="1:23" x14ac:dyDescent="0.25">
      <c r="A962" t="s">
        <v>665</v>
      </c>
      <c r="B962" s="19">
        <v>9707</v>
      </c>
      <c r="C962" s="2">
        <f>HYPERLINK(URLs!B36 &amp; 73720,73720)</f>
        <v>73720</v>
      </c>
      <c r="D962" t="s">
        <v>2838</v>
      </c>
      <c r="E962" t="s">
        <v>435</v>
      </c>
      <c r="F962" t="s">
        <v>305</v>
      </c>
      <c r="G962" t="s">
        <v>328</v>
      </c>
      <c r="H962" t="s">
        <v>30</v>
      </c>
      <c r="I962" t="s">
        <v>31</v>
      </c>
      <c r="J962" t="s">
        <v>32</v>
      </c>
      <c r="K962" t="s">
        <v>33</v>
      </c>
      <c r="L962" t="s">
        <v>73</v>
      </c>
      <c r="M962" t="s">
        <v>273</v>
      </c>
      <c r="N962" t="s">
        <v>46</v>
      </c>
      <c r="O962" t="s">
        <v>325</v>
      </c>
      <c r="P962" t="s">
        <v>61</v>
      </c>
      <c r="R962">
        <v>42342.983715277776</v>
      </c>
      <c r="S962">
        <v>42678.645428240743</v>
      </c>
      <c r="T962" t="s">
        <v>1</v>
      </c>
      <c r="U962" t="s">
        <v>35</v>
      </c>
      <c r="V962" t="s">
        <v>321</v>
      </c>
      <c r="W962" t="s">
        <v>4098</v>
      </c>
    </row>
    <row r="963" spans="1:23" x14ac:dyDescent="0.25">
      <c r="A963" t="s">
        <v>665</v>
      </c>
      <c r="B963" s="19">
        <v>9783</v>
      </c>
      <c r="C963" s="2">
        <f>HYPERLINK(URLs!B36 &amp; 74059,74059)</f>
        <v>74059</v>
      </c>
      <c r="D963" t="s">
        <v>3885</v>
      </c>
      <c r="E963" t="s">
        <v>2212</v>
      </c>
      <c r="F963" t="s">
        <v>305</v>
      </c>
      <c r="G963" t="s">
        <v>304</v>
      </c>
      <c r="H963" t="s">
        <v>30</v>
      </c>
      <c r="I963" t="s">
        <v>31</v>
      </c>
      <c r="J963" t="s">
        <v>43</v>
      </c>
      <c r="K963" t="s">
        <v>44</v>
      </c>
      <c r="L963" t="s">
        <v>34</v>
      </c>
      <c r="M963" t="s">
        <v>3780</v>
      </c>
      <c r="N963" t="s">
        <v>46</v>
      </c>
      <c r="P963" t="s">
        <v>377</v>
      </c>
      <c r="R963">
        <v>42349.956990740742</v>
      </c>
      <c r="S963">
        <v>42947.637442129628</v>
      </c>
      <c r="T963" t="s">
        <v>53</v>
      </c>
      <c r="U963" t="s">
        <v>35</v>
      </c>
      <c r="V963" t="s">
        <v>35</v>
      </c>
      <c r="W963" t="s">
        <v>69</v>
      </c>
    </row>
    <row r="964" spans="1:23" x14ac:dyDescent="0.25">
      <c r="A964" t="s">
        <v>665</v>
      </c>
      <c r="B964" s="19">
        <v>9783</v>
      </c>
      <c r="C964" s="2">
        <f>HYPERLINK(URLs!B36 &amp; 74058,74058)</f>
        <v>74058</v>
      </c>
      <c r="D964" t="s">
        <v>3884</v>
      </c>
      <c r="E964" t="s">
        <v>2212</v>
      </c>
      <c r="F964" t="s">
        <v>305</v>
      </c>
      <c r="G964" t="s">
        <v>304</v>
      </c>
      <c r="H964" t="s">
        <v>30</v>
      </c>
      <c r="I964" t="s">
        <v>31</v>
      </c>
      <c r="J964" t="s">
        <v>43</v>
      </c>
      <c r="K964" t="s">
        <v>44</v>
      </c>
      <c r="L964" t="s">
        <v>34</v>
      </c>
      <c r="M964" t="s">
        <v>3780</v>
      </c>
      <c r="N964" t="s">
        <v>46</v>
      </c>
      <c r="P964" t="s">
        <v>377</v>
      </c>
      <c r="R964">
        <v>42349.95689814815</v>
      </c>
      <c r="S964">
        <v>42478.7030787037</v>
      </c>
      <c r="T964" t="s">
        <v>53</v>
      </c>
      <c r="U964" t="s">
        <v>3962</v>
      </c>
      <c r="V964" t="s">
        <v>35</v>
      </c>
      <c r="W964" t="s">
        <v>133</v>
      </c>
    </row>
    <row r="965" spans="1:23" x14ac:dyDescent="0.25">
      <c r="A965" t="s">
        <v>665</v>
      </c>
      <c r="B965" s="19">
        <v>9783</v>
      </c>
      <c r="C965" s="2">
        <f>HYPERLINK(URLs!B36 &amp; 74057,74057)</f>
        <v>74057</v>
      </c>
      <c r="D965" t="s">
        <v>3883</v>
      </c>
      <c r="E965" t="s">
        <v>2212</v>
      </c>
      <c r="F965" t="s">
        <v>305</v>
      </c>
      <c r="G965" t="s">
        <v>304</v>
      </c>
      <c r="H965" t="s">
        <v>30</v>
      </c>
      <c r="I965" t="s">
        <v>31</v>
      </c>
      <c r="J965" t="s">
        <v>43</v>
      </c>
      <c r="K965" t="s">
        <v>44</v>
      </c>
      <c r="L965" t="s">
        <v>34</v>
      </c>
      <c r="M965" t="s">
        <v>3780</v>
      </c>
      <c r="N965" t="s">
        <v>60</v>
      </c>
      <c r="P965" t="s">
        <v>377</v>
      </c>
      <c r="R965">
        <v>42349.956805555557</v>
      </c>
      <c r="S965">
        <v>42478.692939814813</v>
      </c>
      <c r="T965" t="s">
        <v>53</v>
      </c>
      <c r="U965" t="s">
        <v>3961</v>
      </c>
      <c r="V965" t="s">
        <v>35</v>
      </c>
      <c r="W965" t="s">
        <v>118</v>
      </c>
    </row>
    <row r="966" spans="1:23" x14ac:dyDescent="0.25">
      <c r="A966" t="s">
        <v>665</v>
      </c>
      <c r="B966" s="19">
        <v>9783</v>
      </c>
      <c r="C966" s="2">
        <f>HYPERLINK(URLs!B36 &amp; 74055,74055)</f>
        <v>74055</v>
      </c>
      <c r="D966" t="s">
        <v>378</v>
      </c>
      <c r="E966" t="s">
        <v>371</v>
      </c>
      <c r="F966" t="s">
        <v>305</v>
      </c>
      <c r="G966" t="s">
        <v>304</v>
      </c>
      <c r="H966" t="s">
        <v>30</v>
      </c>
      <c r="I966" t="s">
        <v>31</v>
      </c>
      <c r="J966" t="s">
        <v>43</v>
      </c>
      <c r="K966" t="s">
        <v>51</v>
      </c>
      <c r="L966" t="s">
        <v>34</v>
      </c>
      <c r="M966" t="s">
        <v>368</v>
      </c>
      <c r="N966" t="s">
        <v>331</v>
      </c>
      <c r="P966" t="s">
        <v>377</v>
      </c>
      <c r="R966">
        <v>42349.886608796296</v>
      </c>
      <c r="S966">
        <v>43177.166377314818</v>
      </c>
      <c r="T966" t="s">
        <v>1</v>
      </c>
      <c r="U966" t="s">
        <v>35</v>
      </c>
      <c r="V966" t="s">
        <v>35</v>
      </c>
      <c r="W966" t="s">
        <v>4098</v>
      </c>
    </row>
    <row r="967" spans="1:23" x14ac:dyDescent="0.25">
      <c r="B967" s="19">
        <v>9871</v>
      </c>
      <c r="C967" s="2">
        <f>HYPERLINK(URLs!B36 &amp; 77767,77767)</f>
        <v>77767</v>
      </c>
      <c r="D967" t="s">
        <v>2957</v>
      </c>
      <c r="E967" t="s">
        <v>82</v>
      </c>
      <c r="F967" t="s">
        <v>305</v>
      </c>
      <c r="G967" t="s">
        <v>304</v>
      </c>
      <c r="H967" t="s">
        <v>54</v>
      </c>
      <c r="I967" t="s">
        <v>31</v>
      </c>
      <c r="J967" t="s">
        <v>43</v>
      </c>
      <c r="K967" t="s">
        <v>44</v>
      </c>
      <c r="L967" t="s">
        <v>73</v>
      </c>
      <c r="M967" t="s">
        <v>263</v>
      </c>
      <c r="N967" t="s">
        <v>46</v>
      </c>
      <c r="P967" t="s">
        <v>2552</v>
      </c>
      <c r="Q967" t="s">
        <v>2552</v>
      </c>
      <c r="R967">
        <v>42426.28496527778</v>
      </c>
      <c r="S967">
        <v>42949.049351851849</v>
      </c>
      <c r="T967" t="s">
        <v>82</v>
      </c>
      <c r="U967" t="s">
        <v>35</v>
      </c>
      <c r="V967" t="s">
        <v>35</v>
      </c>
      <c r="W967" t="s">
        <v>69</v>
      </c>
    </row>
    <row r="968" spans="1:23" x14ac:dyDescent="0.25">
      <c r="B968" s="19">
        <v>9871</v>
      </c>
      <c r="C968" s="2">
        <f>HYPERLINK(URLs!B36 &amp; 76753,76753)</f>
        <v>76753</v>
      </c>
      <c r="D968" t="s">
        <v>2940</v>
      </c>
      <c r="E968" t="s">
        <v>84</v>
      </c>
      <c r="F968" t="s">
        <v>305</v>
      </c>
      <c r="G968" t="s">
        <v>304</v>
      </c>
      <c r="H968" t="s">
        <v>54</v>
      </c>
      <c r="I968" t="s">
        <v>31</v>
      </c>
      <c r="J968" t="s">
        <v>43</v>
      </c>
      <c r="K968" t="s">
        <v>44</v>
      </c>
      <c r="L968" t="s">
        <v>73</v>
      </c>
      <c r="M968" t="s">
        <v>263</v>
      </c>
      <c r="N968" t="s">
        <v>46</v>
      </c>
      <c r="O968" t="s">
        <v>2895</v>
      </c>
      <c r="P968" t="s">
        <v>2552</v>
      </c>
      <c r="Q968" t="s">
        <v>2854</v>
      </c>
      <c r="R968">
        <v>42409.430092592593</v>
      </c>
      <c r="S968">
        <v>42991.478321759256</v>
      </c>
      <c r="T968" t="s">
        <v>82</v>
      </c>
      <c r="U968" t="s">
        <v>35</v>
      </c>
      <c r="V968" t="s">
        <v>35</v>
      </c>
      <c r="W968" t="s">
        <v>3661</v>
      </c>
    </row>
    <row r="969" spans="1:23" x14ac:dyDescent="0.25">
      <c r="B969" s="19">
        <v>9871</v>
      </c>
      <c r="C969" s="2">
        <f>HYPERLINK(URLs!B36 &amp; 76752,76752)</f>
        <v>76752</v>
      </c>
      <c r="D969" t="s">
        <v>2939</v>
      </c>
      <c r="E969" t="s">
        <v>82</v>
      </c>
      <c r="F969" t="s">
        <v>305</v>
      </c>
      <c r="G969" t="s">
        <v>304</v>
      </c>
      <c r="H969" t="s">
        <v>54</v>
      </c>
      <c r="I969" t="s">
        <v>31</v>
      </c>
      <c r="J969" t="s">
        <v>43</v>
      </c>
      <c r="K969" t="s">
        <v>44</v>
      </c>
      <c r="L969" t="s">
        <v>73</v>
      </c>
      <c r="M969" t="s">
        <v>263</v>
      </c>
      <c r="N969" t="s">
        <v>46</v>
      </c>
      <c r="P969" t="s">
        <v>2552</v>
      </c>
      <c r="Q969" t="s">
        <v>2552</v>
      </c>
      <c r="R969">
        <v>42409.42900462963</v>
      </c>
      <c r="S969">
        <v>42529.345300925925</v>
      </c>
      <c r="T969" t="s">
        <v>82</v>
      </c>
      <c r="U969" t="s">
        <v>35</v>
      </c>
      <c r="V969" t="s">
        <v>35</v>
      </c>
      <c r="W969" t="s">
        <v>3233</v>
      </c>
    </row>
    <row r="970" spans="1:23" x14ac:dyDescent="0.25">
      <c r="B970" s="19">
        <v>9871</v>
      </c>
      <c r="C970" s="2">
        <f>HYPERLINK(URLs!B36 &amp; 76262,76262)</f>
        <v>76262</v>
      </c>
      <c r="D970" t="s">
        <v>2924</v>
      </c>
      <c r="E970" t="s">
        <v>82</v>
      </c>
      <c r="F970" t="s">
        <v>305</v>
      </c>
      <c r="G970" t="s">
        <v>304</v>
      </c>
      <c r="H970" t="s">
        <v>54</v>
      </c>
      <c r="I970" t="s">
        <v>31</v>
      </c>
      <c r="J970" t="s">
        <v>43</v>
      </c>
      <c r="K970" t="s">
        <v>44</v>
      </c>
      <c r="L970" t="s">
        <v>73</v>
      </c>
      <c r="M970" t="s">
        <v>263</v>
      </c>
      <c r="N970" t="s">
        <v>46</v>
      </c>
      <c r="P970" t="s">
        <v>2552</v>
      </c>
      <c r="Q970" t="s">
        <v>2552</v>
      </c>
      <c r="R970">
        <v>42397.824490740742</v>
      </c>
      <c r="S970">
        <v>42580.791967592595</v>
      </c>
      <c r="T970" t="s">
        <v>317</v>
      </c>
      <c r="U970" t="s">
        <v>3965</v>
      </c>
      <c r="V970" t="s">
        <v>35</v>
      </c>
      <c r="W970" t="s">
        <v>77</v>
      </c>
    </row>
    <row r="971" spans="1:23" x14ac:dyDescent="0.25">
      <c r="B971" s="19">
        <v>9871</v>
      </c>
      <c r="C971" s="2">
        <f>HYPERLINK(URLs!B36 &amp; 74670,74670)</f>
        <v>74670</v>
      </c>
      <c r="D971" t="s">
        <v>2855</v>
      </c>
      <c r="E971" t="s">
        <v>82</v>
      </c>
      <c r="F971" t="s">
        <v>305</v>
      </c>
      <c r="G971" t="s">
        <v>328</v>
      </c>
      <c r="H971" t="s">
        <v>54</v>
      </c>
      <c r="I971" t="s">
        <v>31</v>
      </c>
      <c r="J971" t="s">
        <v>43</v>
      </c>
      <c r="K971" t="s">
        <v>44</v>
      </c>
      <c r="L971" t="s">
        <v>73</v>
      </c>
      <c r="M971" t="s">
        <v>263</v>
      </c>
      <c r="N971" t="s">
        <v>46</v>
      </c>
      <c r="P971" t="s">
        <v>2552</v>
      </c>
      <c r="Q971" t="s">
        <v>2854</v>
      </c>
      <c r="R971">
        <v>42367.545960648145</v>
      </c>
      <c r="S971">
        <v>42786.455312500002</v>
      </c>
      <c r="T971" t="s">
        <v>82</v>
      </c>
      <c r="U971" t="s">
        <v>35</v>
      </c>
      <c r="V971" t="s">
        <v>35</v>
      </c>
      <c r="W971" t="s">
        <v>3028</v>
      </c>
    </row>
    <row r="972" spans="1:23" x14ac:dyDescent="0.25">
      <c r="B972" s="19">
        <v>9871</v>
      </c>
      <c r="C972" s="2">
        <f>HYPERLINK(URLs!B36 &amp; 74669,74669)</f>
        <v>74669</v>
      </c>
      <c r="D972" t="s">
        <v>2853</v>
      </c>
      <c r="E972" t="s">
        <v>82</v>
      </c>
      <c r="F972" t="s">
        <v>305</v>
      </c>
      <c r="G972" t="s">
        <v>337</v>
      </c>
      <c r="H972" t="s">
        <v>54</v>
      </c>
      <c r="I972" t="s">
        <v>31</v>
      </c>
      <c r="J972" t="s">
        <v>43</v>
      </c>
      <c r="K972" t="s">
        <v>44</v>
      </c>
      <c r="L972" t="s">
        <v>73</v>
      </c>
      <c r="M972" t="s">
        <v>263</v>
      </c>
      <c r="N972" t="s">
        <v>46</v>
      </c>
      <c r="P972" t="s">
        <v>2552</v>
      </c>
      <c r="Q972" t="s">
        <v>2854</v>
      </c>
      <c r="R972">
        <v>42367.54483796296</v>
      </c>
      <c r="S972">
        <v>42678.648622685185</v>
      </c>
      <c r="T972" t="s">
        <v>82</v>
      </c>
      <c r="U972" t="s">
        <v>35</v>
      </c>
      <c r="V972" t="s">
        <v>35</v>
      </c>
      <c r="W972" t="s">
        <v>3039</v>
      </c>
    </row>
    <row r="973" spans="1:23" x14ac:dyDescent="0.25">
      <c r="B973" s="19">
        <v>9871</v>
      </c>
      <c r="C973" s="2">
        <f>HYPERLINK(URLs!B36 &amp; 74630,74630)</f>
        <v>74630</v>
      </c>
      <c r="D973" t="s">
        <v>2852</v>
      </c>
      <c r="E973" t="s">
        <v>82</v>
      </c>
      <c r="F973" t="s">
        <v>305</v>
      </c>
      <c r="G973" t="s">
        <v>304</v>
      </c>
      <c r="H973" t="s">
        <v>54</v>
      </c>
      <c r="I973" t="s">
        <v>68</v>
      </c>
      <c r="J973" t="s">
        <v>43</v>
      </c>
      <c r="K973" t="s">
        <v>33</v>
      </c>
      <c r="L973" t="s">
        <v>73</v>
      </c>
      <c r="M973" t="s">
        <v>263</v>
      </c>
      <c r="N973" t="s">
        <v>46</v>
      </c>
      <c r="P973" t="s">
        <v>2552</v>
      </c>
      <c r="Q973" t="s">
        <v>2552</v>
      </c>
      <c r="R973">
        <v>42362.814398148148</v>
      </c>
      <c r="S973">
        <v>42648.772222222222</v>
      </c>
      <c r="T973" t="s">
        <v>317</v>
      </c>
      <c r="U973" t="s">
        <v>3958</v>
      </c>
      <c r="V973" t="s">
        <v>35</v>
      </c>
      <c r="W973" t="s">
        <v>133</v>
      </c>
    </row>
    <row r="974" spans="1:23" x14ac:dyDescent="0.25">
      <c r="B974" s="19">
        <v>9871</v>
      </c>
      <c r="C974" s="2">
        <f>HYPERLINK(URLs!B36 &amp; 74629,74629)</f>
        <v>74629</v>
      </c>
      <c r="D974" t="s">
        <v>2851</v>
      </c>
      <c r="E974" t="s">
        <v>82</v>
      </c>
      <c r="F974" t="s">
        <v>305</v>
      </c>
      <c r="G974" t="s">
        <v>337</v>
      </c>
      <c r="H974" t="s">
        <v>54</v>
      </c>
      <c r="I974" t="s">
        <v>68</v>
      </c>
      <c r="J974" t="s">
        <v>43</v>
      </c>
      <c r="K974" t="s">
        <v>33</v>
      </c>
      <c r="L974" t="s">
        <v>73</v>
      </c>
      <c r="M974" t="s">
        <v>263</v>
      </c>
      <c r="N974" t="s">
        <v>60</v>
      </c>
      <c r="P974" t="s">
        <v>2552</v>
      </c>
      <c r="R974">
        <v>42362.814282407409</v>
      </c>
      <c r="S974">
        <v>42403.139409722222</v>
      </c>
      <c r="T974" t="s">
        <v>317</v>
      </c>
      <c r="U974" t="s">
        <v>35</v>
      </c>
      <c r="V974" t="s">
        <v>35</v>
      </c>
      <c r="W974" t="s">
        <v>65</v>
      </c>
    </row>
    <row r="975" spans="1:23" x14ac:dyDescent="0.25">
      <c r="B975" s="19">
        <v>9871</v>
      </c>
      <c r="C975" s="2">
        <f>HYPERLINK(URLs!B36 &amp; 74611,74611)</f>
        <v>74611</v>
      </c>
      <c r="D975" t="s">
        <v>2849</v>
      </c>
      <c r="E975" t="s">
        <v>82</v>
      </c>
      <c r="F975" t="s">
        <v>305</v>
      </c>
      <c r="G975" t="s">
        <v>304</v>
      </c>
      <c r="H975" t="s">
        <v>54</v>
      </c>
      <c r="I975" t="s">
        <v>31</v>
      </c>
      <c r="J975" t="s">
        <v>43</v>
      </c>
      <c r="K975" t="s">
        <v>44</v>
      </c>
      <c r="L975" t="s">
        <v>73</v>
      </c>
      <c r="M975" t="s">
        <v>263</v>
      </c>
      <c r="N975" t="s">
        <v>46</v>
      </c>
      <c r="P975" t="s">
        <v>2552</v>
      </c>
      <c r="Q975" t="s">
        <v>2552</v>
      </c>
      <c r="R975">
        <v>42362.319733796299</v>
      </c>
      <c r="S975">
        <v>42871.700092592589</v>
      </c>
      <c r="T975" t="s">
        <v>2850</v>
      </c>
      <c r="U975" t="s">
        <v>35</v>
      </c>
      <c r="V975" t="s">
        <v>35</v>
      </c>
      <c r="W975" t="s">
        <v>4098</v>
      </c>
    </row>
    <row r="976" spans="1:23" x14ac:dyDescent="0.25">
      <c r="A976" t="s">
        <v>633</v>
      </c>
      <c r="B976" s="19">
        <v>9886</v>
      </c>
      <c r="C976" s="2">
        <f>HYPERLINK(URLs!B36 &amp; 75082,75082)</f>
        <v>75082</v>
      </c>
      <c r="D976" t="s">
        <v>2871</v>
      </c>
      <c r="E976" t="s">
        <v>94</v>
      </c>
      <c r="F976" t="s">
        <v>305</v>
      </c>
      <c r="G976" t="s">
        <v>337</v>
      </c>
      <c r="H976" t="s">
        <v>30</v>
      </c>
      <c r="I976" t="s">
        <v>31</v>
      </c>
      <c r="J976" t="s">
        <v>32</v>
      </c>
      <c r="K976" t="s">
        <v>44</v>
      </c>
      <c r="L976" t="s">
        <v>73</v>
      </c>
      <c r="M976" t="s">
        <v>263</v>
      </c>
      <c r="N976" t="s">
        <v>46</v>
      </c>
      <c r="P976" t="s">
        <v>61</v>
      </c>
      <c r="R976">
        <v>42381.678344907406</v>
      </c>
      <c r="S976">
        <v>42678.643842592595</v>
      </c>
      <c r="T976" t="s">
        <v>317</v>
      </c>
      <c r="U976" t="s">
        <v>35</v>
      </c>
      <c r="V976" t="s">
        <v>321</v>
      </c>
      <c r="W976" t="s">
        <v>4153</v>
      </c>
    </row>
    <row r="977" spans="1:23" x14ac:dyDescent="0.25">
      <c r="A977" t="s">
        <v>633</v>
      </c>
      <c r="B977" s="19">
        <v>9886</v>
      </c>
      <c r="C977" s="2">
        <f>HYPERLINK(URLs!B36 &amp; 74771,74771)</f>
        <v>74771</v>
      </c>
      <c r="D977" t="s">
        <v>2865</v>
      </c>
      <c r="E977" t="s">
        <v>387</v>
      </c>
      <c r="F977" t="s">
        <v>305</v>
      </c>
      <c r="G977" t="s">
        <v>304</v>
      </c>
      <c r="H977" t="s">
        <v>30</v>
      </c>
      <c r="I977" t="s">
        <v>31</v>
      </c>
      <c r="J977" t="s">
        <v>32</v>
      </c>
      <c r="K977" t="s">
        <v>44</v>
      </c>
      <c r="L977" t="s">
        <v>73</v>
      </c>
      <c r="M977" t="s">
        <v>263</v>
      </c>
      <c r="N977" t="s">
        <v>46</v>
      </c>
      <c r="P977" t="s">
        <v>61</v>
      </c>
      <c r="R977">
        <v>42374.314641203702</v>
      </c>
      <c r="S977">
        <v>42648.764687499999</v>
      </c>
      <c r="T977" t="s">
        <v>317</v>
      </c>
      <c r="U977" t="s">
        <v>35</v>
      </c>
      <c r="V977" t="s">
        <v>321</v>
      </c>
      <c r="W977" t="s">
        <v>133</v>
      </c>
    </row>
    <row r="978" spans="1:23" x14ac:dyDescent="0.25">
      <c r="A978" t="s">
        <v>633</v>
      </c>
      <c r="B978" s="19">
        <v>9886</v>
      </c>
      <c r="C978" s="2">
        <f>HYPERLINK(URLs!B36 &amp; 74770,74770)</f>
        <v>74770</v>
      </c>
      <c r="D978" t="s">
        <v>2864</v>
      </c>
      <c r="E978" t="s">
        <v>94</v>
      </c>
      <c r="F978" t="s">
        <v>305</v>
      </c>
      <c r="G978" t="s">
        <v>304</v>
      </c>
      <c r="H978" t="s">
        <v>30</v>
      </c>
      <c r="I978" t="s">
        <v>31</v>
      </c>
      <c r="J978" t="s">
        <v>32</v>
      </c>
      <c r="K978" t="s">
        <v>44</v>
      </c>
      <c r="L978" t="s">
        <v>73</v>
      </c>
      <c r="M978" t="s">
        <v>263</v>
      </c>
      <c r="N978" t="s">
        <v>60</v>
      </c>
      <c r="P978" t="s">
        <v>61</v>
      </c>
      <c r="R978">
        <v>42374.314513888887</v>
      </c>
      <c r="S978">
        <v>42709.766469907408</v>
      </c>
      <c r="T978" t="s">
        <v>317</v>
      </c>
      <c r="U978" t="s">
        <v>3961</v>
      </c>
      <c r="V978" t="s">
        <v>321</v>
      </c>
      <c r="W978" t="s">
        <v>65</v>
      </c>
    </row>
    <row r="979" spans="1:23" x14ac:dyDescent="0.25">
      <c r="A979" t="s">
        <v>633</v>
      </c>
      <c r="B979" s="19">
        <v>9886</v>
      </c>
      <c r="C979" s="2">
        <f>HYPERLINK(URLs!B36 &amp; 74747,74747)</f>
        <v>74747</v>
      </c>
      <c r="D979" t="s">
        <v>372</v>
      </c>
      <c r="E979" t="s">
        <v>94</v>
      </c>
      <c r="F979" t="s">
        <v>305</v>
      </c>
      <c r="G979" t="s">
        <v>304</v>
      </c>
      <c r="H979" t="s">
        <v>30</v>
      </c>
      <c r="I979" t="s">
        <v>31</v>
      </c>
      <c r="J979" t="s">
        <v>32</v>
      </c>
      <c r="K979" t="s">
        <v>44</v>
      </c>
      <c r="L979" t="s">
        <v>73</v>
      </c>
      <c r="M979" t="s">
        <v>263</v>
      </c>
      <c r="N979" t="s">
        <v>46</v>
      </c>
      <c r="P979" t="s">
        <v>61</v>
      </c>
      <c r="R979">
        <v>42373.85738425926</v>
      </c>
      <c r="S979">
        <v>42871.689120370371</v>
      </c>
      <c r="T979" t="s">
        <v>1</v>
      </c>
      <c r="U979" t="s">
        <v>35</v>
      </c>
      <c r="V979" t="s">
        <v>321</v>
      </c>
      <c r="W979" t="s">
        <v>4098</v>
      </c>
    </row>
    <row r="980" spans="1:23" x14ac:dyDescent="0.25">
      <c r="A980" t="s">
        <v>633</v>
      </c>
      <c r="B980" s="19">
        <v>10004</v>
      </c>
      <c r="C980" s="2">
        <f>HYPERLINK(URLs!B36 &amp; 75308,75308)</f>
        <v>75308</v>
      </c>
      <c r="D980" t="s">
        <v>2884</v>
      </c>
      <c r="E980" t="s">
        <v>387</v>
      </c>
      <c r="F980" t="s">
        <v>305</v>
      </c>
      <c r="G980" t="s">
        <v>310</v>
      </c>
      <c r="H980" t="s">
        <v>30</v>
      </c>
      <c r="I980" t="s">
        <v>31</v>
      </c>
      <c r="J980" t="s">
        <v>32</v>
      </c>
      <c r="K980" t="s">
        <v>33</v>
      </c>
      <c r="L980" t="s">
        <v>73</v>
      </c>
      <c r="M980" t="s">
        <v>263</v>
      </c>
      <c r="N980" t="s">
        <v>2885</v>
      </c>
      <c r="P980" t="s">
        <v>47</v>
      </c>
      <c r="R980">
        <v>42387.814930555556</v>
      </c>
      <c r="S980">
        <v>42563.856435185182</v>
      </c>
      <c r="T980" t="s">
        <v>317</v>
      </c>
      <c r="U980" t="s">
        <v>35</v>
      </c>
      <c r="V980" t="s">
        <v>321</v>
      </c>
      <c r="W980" t="s">
        <v>133</v>
      </c>
    </row>
    <row r="981" spans="1:23" x14ac:dyDescent="0.25">
      <c r="A981" t="s">
        <v>633</v>
      </c>
      <c r="B981" s="19">
        <v>10004</v>
      </c>
      <c r="C981" s="2">
        <f>HYPERLINK(URLs!B36 &amp; 75307,75307)</f>
        <v>75307</v>
      </c>
      <c r="D981" t="s">
        <v>2883</v>
      </c>
      <c r="E981" t="s">
        <v>139</v>
      </c>
      <c r="F981" t="s">
        <v>305</v>
      </c>
      <c r="G981" t="s">
        <v>310</v>
      </c>
      <c r="H981" t="s">
        <v>30</v>
      </c>
      <c r="I981" t="s">
        <v>31</v>
      </c>
      <c r="J981" t="s">
        <v>32</v>
      </c>
      <c r="K981" t="s">
        <v>33</v>
      </c>
      <c r="L981" t="s">
        <v>73</v>
      </c>
      <c r="M981" t="s">
        <v>263</v>
      </c>
      <c r="N981" t="s">
        <v>60</v>
      </c>
      <c r="P981" t="s">
        <v>47</v>
      </c>
      <c r="R981">
        <v>42387.81486111111</v>
      </c>
      <c r="S981">
        <v>42716.914560185185</v>
      </c>
      <c r="T981" t="s">
        <v>317</v>
      </c>
      <c r="U981" t="s">
        <v>35</v>
      </c>
      <c r="V981" t="s">
        <v>321</v>
      </c>
      <c r="W981" t="s">
        <v>65</v>
      </c>
    </row>
    <row r="982" spans="1:23" x14ac:dyDescent="0.25">
      <c r="A982" t="s">
        <v>633</v>
      </c>
      <c r="B982" s="19">
        <v>10004</v>
      </c>
      <c r="C982" s="2">
        <f>HYPERLINK(URLs!B36 &amp; 75306,75306)</f>
        <v>75306</v>
      </c>
      <c r="D982" t="s">
        <v>2882</v>
      </c>
      <c r="E982" t="s">
        <v>139</v>
      </c>
      <c r="F982" t="s">
        <v>305</v>
      </c>
      <c r="G982" t="s">
        <v>310</v>
      </c>
      <c r="H982" t="s">
        <v>30</v>
      </c>
      <c r="I982" t="s">
        <v>31</v>
      </c>
      <c r="J982" t="s">
        <v>32</v>
      </c>
      <c r="K982" t="s">
        <v>33</v>
      </c>
      <c r="L982" t="s">
        <v>73</v>
      </c>
      <c r="M982" t="s">
        <v>263</v>
      </c>
      <c r="N982" t="s">
        <v>46</v>
      </c>
      <c r="P982" t="s">
        <v>47</v>
      </c>
      <c r="R982">
        <v>42387.814803240741</v>
      </c>
      <c r="S982">
        <v>42678.645219907405</v>
      </c>
      <c r="T982" t="s">
        <v>317</v>
      </c>
      <c r="U982" t="s">
        <v>35</v>
      </c>
      <c r="V982" t="s">
        <v>321</v>
      </c>
      <c r="W982" t="s">
        <v>4156</v>
      </c>
    </row>
    <row r="983" spans="1:23" x14ac:dyDescent="0.25">
      <c r="A983" t="s">
        <v>633</v>
      </c>
      <c r="B983" s="19">
        <v>10004</v>
      </c>
      <c r="C983" s="2">
        <f>HYPERLINK(URLs!B36 &amp; 75304,75304)</f>
        <v>75304</v>
      </c>
      <c r="D983" t="s">
        <v>2881</v>
      </c>
      <c r="E983" t="s">
        <v>139</v>
      </c>
      <c r="F983" t="s">
        <v>305</v>
      </c>
      <c r="G983" t="s">
        <v>310</v>
      </c>
      <c r="H983" t="s">
        <v>30</v>
      </c>
      <c r="I983" t="s">
        <v>31</v>
      </c>
      <c r="J983" t="s">
        <v>32</v>
      </c>
      <c r="K983" t="s">
        <v>33</v>
      </c>
      <c r="L983" t="s">
        <v>73</v>
      </c>
      <c r="M983" t="s">
        <v>263</v>
      </c>
      <c r="N983" t="s">
        <v>46</v>
      </c>
      <c r="P983" t="s">
        <v>47</v>
      </c>
      <c r="R983">
        <v>42387.706828703704</v>
      </c>
      <c r="S983">
        <v>42678.644942129627</v>
      </c>
      <c r="T983" t="s">
        <v>1</v>
      </c>
      <c r="U983" t="s">
        <v>35</v>
      </c>
      <c r="V983" t="s">
        <v>321</v>
      </c>
      <c r="W983" t="s">
        <v>4098</v>
      </c>
    </row>
    <row r="984" spans="1:23" x14ac:dyDescent="0.25">
      <c r="A984" t="s">
        <v>633</v>
      </c>
      <c r="B984" s="19">
        <v>10008</v>
      </c>
      <c r="C984" s="2">
        <f>HYPERLINK(URLs!B36 &amp; 75402,75402)</f>
        <v>75402</v>
      </c>
      <c r="D984" t="s">
        <v>2887</v>
      </c>
      <c r="E984" t="s">
        <v>1</v>
      </c>
      <c r="F984" t="s">
        <v>305</v>
      </c>
      <c r="G984" t="s">
        <v>1621</v>
      </c>
      <c r="H984" t="s">
        <v>30</v>
      </c>
      <c r="I984" t="s">
        <v>31</v>
      </c>
      <c r="J984" t="s">
        <v>32</v>
      </c>
      <c r="K984" t="s">
        <v>33</v>
      </c>
      <c r="L984" t="s">
        <v>34</v>
      </c>
      <c r="M984" t="s">
        <v>2888</v>
      </c>
      <c r="N984" t="s">
        <v>46</v>
      </c>
      <c r="P984" t="s">
        <v>377</v>
      </c>
      <c r="R984">
        <v>42388.925185185188</v>
      </c>
      <c r="S984">
        <v>43171.783483796295</v>
      </c>
      <c r="T984" t="s">
        <v>1</v>
      </c>
      <c r="U984" t="s">
        <v>35</v>
      </c>
      <c r="V984" t="s">
        <v>35</v>
      </c>
      <c r="W984" t="s">
        <v>4126</v>
      </c>
    </row>
    <row r="985" spans="1:23" x14ac:dyDescent="0.25">
      <c r="A985" t="s">
        <v>633</v>
      </c>
      <c r="B985" s="19">
        <v>10049</v>
      </c>
      <c r="C985" s="2">
        <f>HYPERLINK(URLs!B36 &amp; 76834,76834)</f>
        <v>76834</v>
      </c>
      <c r="D985" t="s">
        <v>2941</v>
      </c>
      <c r="E985" t="s">
        <v>301</v>
      </c>
      <c r="F985" t="s">
        <v>305</v>
      </c>
      <c r="G985" t="s">
        <v>328</v>
      </c>
      <c r="H985" t="s">
        <v>30</v>
      </c>
      <c r="I985" t="s">
        <v>31</v>
      </c>
      <c r="J985" t="s">
        <v>32</v>
      </c>
      <c r="K985" t="s">
        <v>33</v>
      </c>
      <c r="L985" t="s">
        <v>73</v>
      </c>
      <c r="M985" t="s">
        <v>263</v>
      </c>
      <c r="N985" t="s">
        <v>46</v>
      </c>
      <c r="P985" t="s">
        <v>47</v>
      </c>
      <c r="Q985" t="s">
        <v>2481</v>
      </c>
      <c r="R985">
        <v>42409.866574074076</v>
      </c>
      <c r="S985">
        <v>42678.652048611111</v>
      </c>
      <c r="T985" t="s">
        <v>317</v>
      </c>
      <c r="U985" t="s">
        <v>35</v>
      </c>
      <c r="V985" t="s">
        <v>321</v>
      </c>
      <c r="W985" t="s">
        <v>69</v>
      </c>
    </row>
    <row r="986" spans="1:23" x14ac:dyDescent="0.25">
      <c r="A986" t="s">
        <v>633</v>
      </c>
      <c r="B986" s="19">
        <v>10049</v>
      </c>
      <c r="C986" s="2">
        <f>HYPERLINK(URLs!B36 &amp; 76017,76017)</f>
        <v>76017</v>
      </c>
      <c r="D986" t="s">
        <v>2915</v>
      </c>
      <c r="E986" t="s">
        <v>167</v>
      </c>
      <c r="F986" t="s">
        <v>305</v>
      </c>
      <c r="G986" t="s">
        <v>337</v>
      </c>
      <c r="H986" t="s">
        <v>30</v>
      </c>
      <c r="I986" t="s">
        <v>31</v>
      </c>
      <c r="J986" t="s">
        <v>32</v>
      </c>
      <c r="K986" t="s">
        <v>33</v>
      </c>
      <c r="L986" t="s">
        <v>34</v>
      </c>
      <c r="M986" t="s">
        <v>2916</v>
      </c>
      <c r="N986" t="s">
        <v>60</v>
      </c>
      <c r="P986" t="s">
        <v>369</v>
      </c>
      <c r="R986">
        <v>42396.660277777781</v>
      </c>
      <c r="S986">
        <v>42412.607881944445</v>
      </c>
      <c r="T986" t="s">
        <v>317</v>
      </c>
      <c r="U986" t="s">
        <v>35</v>
      </c>
      <c r="V986" t="s">
        <v>321</v>
      </c>
      <c r="W986" t="s">
        <v>118</v>
      </c>
    </row>
    <row r="987" spans="1:23" x14ac:dyDescent="0.25">
      <c r="A987" t="s">
        <v>633</v>
      </c>
      <c r="B987" s="19">
        <v>10049</v>
      </c>
      <c r="C987" s="2">
        <f>HYPERLINK(URLs!B36 &amp; 75899,75899)</f>
        <v>75899</v>
      </c>
      <c r="D987" t="s">
        <v>2905</v>
      </c>
      <c r="E987" t="s">
        <v>301</v>
      </c>
      <c r="F987" t="s">
        <v>305</v>
      </c>
      <c r="G987" t="s">
        <v>328</v>
      </c>
      <c r="H987" t="s">
        <v>30</v>
      </c>
      <c r="I987" t="s">
        <v>31</v>
      </c>
      <c r="J987" t="s">
        <v>32</v>
      </c>
      <c r="K987" t="s">
        <v>33</v>
      </c>
      <c r="L987" t="s">
        <v>73</v>
      </c>
      <c r="M987" t="s">
        <v>263</v>
      </c>
      <c r="N987" t="s">
        <v>518</v>
      </c>
      <c r="P987" t="s">
        <v>47</v>
      </c>
      <c r="Q987" t="s">
        <v>2481</v>
      </c>
      <c r="R987">
        <v>42395.597719907404</v>
      </c>
      <c r="S987">
        <v>42678.651956018519</v>
      </c>
      <c r="T987" t="s">
        <v>317</v>
      </c>
      <c r="U987" t="s">
        <v>35</v>
      </c>
      <c r="V987" t="s">
        <v>321</v>
      </c>
      <c r="W987" t="s">
        <v>133</v>
      </c>
    </row>
    <row r="988" spans="1:23" x14ac:dyDescent="0.25">
      <c r="A988" t="s">
        <v>633</v>
      </c>
      <c r="B988" s="19">
        <v>10049</v>
      </c>
      <c r="C988" s="2">
        <f>HYPERLINK(URLs!B36 &amp; 75898,75898)</f>
        <v>75898</v>
      </c>
      <c r="D988" t="s">
        <v>2904</v>
      </c>
      <c r="E988" t="s">
        <v>301</v>
      </c>
      <c r="F988" t="s">
        <v>305</v>
      </c>
      <c r="G988" t="s">
        <v>328</v>
      </c>
      <c r="H988" t="s">
        <v>30</v>
      </c>
      <c r="I988" t="s">
        <v>31</v>
      </c>
      <c r="J988" t="s">
        <v>32</v>
      </c>
      <c r="K988" t="s">
        <v>33</v>
      </c>
      <c r="L988" t="s">
        <v>73</v>
      </c>
      <c r="M988" t="s">
        <v>263</v>
      </c>
      <c r="N988" t="s">
        <v>46</v>
      </c>
      <c r="P988" t="s">
        <v>47</v>
      </c>
      <c r="Q988" t="s">
        <v>2481</v>
      </c>
      <c r="R988">
        <v>42395.597673611112</v>
      </c>
      <c r="S988">
        <v>42678.651886574073</v>
      </c>
      <c r="T988" t="s">
        <v>317</v>
      </c>
      <c r="U988" t="s">
        <v>35</v>
      </c>
      <c r="V988" t="s">
        <v>321</v>
      </c>
      <c r="W988" t="s">
        <v>4156</v>
      </c>
    </row>
    <row r="989" spans="1:23" x14ac:dyDescent="0.25">
      <c r="A989" t="s">
        <v>633</v>
      </c>
      <c r="B989" s="19">
        <v>10049</v>
      </c>
      <c r="C989" s="2">
        <f>HYPERLINK(URLs!B36 &amp; 75885,75885)</f>
        <v>75885</v>
      </c>
      <c r="D989" t="s">
        <v>2893</v>
      </c>
      <c r="E989" t="s">
        <v>387</v>
      </c>
      <c r="F989" t="s">
        <v>305</v>
      </c>
      <c r="G989" t="s">
        <v>310</v>
      </c>
      <c r="H989" t="s">
        <v>30</v>
      </c>
      <c r="I989" t="s">
        <v>31</v>
      </c>
      <c r="J989" t="s">
        <v>32</v>
      </c>
      <c r="K989" t="s">
        <v>33</v>
      </c>
      <c r="L989" t="s">
        <v>73</v>
      </c>
      <c r="M989" t="s">
        <v>263</v>
      </c>
      <c r="N989" t="s">
        <v>46</v>
      </c>
      <c r="P989" t="s">
        <v>47</v>
      </c>
      <c r="R989">
        <v>42395.58666666667</v>
      </c>
      <c r="S989">
        <v>42678.644756944443</v>
      </c>
      <c r="T989" t="s">
        <v>317</v>
      </c>
      <c r="U989" t="s">
        <v>35</v>
      </c>
      <c r="V989" t="s">
        <v>321</v>
      </c>
      <c r="W989" t="s">
        <v>4098</v>
      </c>
    </row>
    <row r="990" spans="1:23" x14ac:dyDescent="0.25">
      <c r="A990" t="s">
        <v>633</v>
      </c>
      <c r="B990" s="19">
        <v>10049</v>
      </c>
      <c r="C990" s="2">
        <f>HYPERLINK(URLs!B36 &amp; 75884,75884)</f>
        <v>75884</v>
      </c>
      <c r="D990" t="s">
        <v>2900</v>
      </c>
      <c r="E990" t="s">
        <v>387</v>
      </c>
      <c r="F990" t="s">
        <v>305</v>
      </c>
      <c r="G990" t="s">
        <v>310</v>
      </c>
      <c r="H990" t="s">
        <v>30</v>
      </c>
      <c r="I990" t="s">
        <v>31</v>
      </c>
      <c r="J990" t="s">
        <v>32</v>
      </c>
      <c r="K990" t="s">
        <v>33</v>
      </c>
      <c r="L990" t="s">
        <v>73</v>
      </c>
      <c r="M990" t="s">
        <v>263</v>
      </c>
      <c r="N990" t="s">
        <v>46</v>
      </c>
      <c r="P990" t="s">
        <v>47</v>
      </c>
      <c r="R990">
        <v>42395.586655092593</v>
      </c>
      <c r="S990">
        <v>42678.644837962966</v>
      </c>
      <c r="T990" t="s">
        <v>317</v>
      </c>
      <c r="U990" t="s">
        <v>35</v>
      </c>
      <c r="V990" t="s">
        <v>321</v>
      </c>
      <c r="W990" t="s">
        <v>4156</v>
      </c>
    </row>
    <row r="991" spans="1:23" x14ac:dyDescent="0.25">
      <c r="A991" t="s">
        <v>633</v>
      </c>
      <c r="B991" s="19">
        <v>10049</v>
      </c>
      <c r="C991" s="2">
        <f>HYPERLINK(URLs!B36 &amp; 75758,75758)</f>
        <v>75758</v>
      </c>
      <c r="D991" t="s">
        <v>2893</v>
      </c>
      <c r="E991" t="s">
        <v>301</v>
      </c>
      <c r="F991" t="s">
        <v>305</v>
      </c>
      <c r="G991" t="s">
        <v>328</v>
      </c>
      <c r="H991" t="s">
        <v>30</v>
      </c>
      <c r="I991" t="s">
        <v>31</v>
      </c>
      <c r="J991" t="s">
        <v>32</v>
      </c>
      <c r="K991" t="s">
        <v>33</v>
      </c>
      <c r="L991" t="s">
        <v>73</v>
      </c>
      <c r="M991" t="s">
        <v>263</v>
      </c>
      <c r="N991" t="s">
        <v>46</v>
      </c>
      <c r="P991" t="s">
        <v>47</v>
      </c>
      <c r="Q991" t="s">
        <v>2481</v>
      </c>
      <c r="R991">
        <v>42391.842893518522</v>
      </c>
      <c r="S991">
        <v>42678.651967592596</v>
      </c>
      <c r="T991" t="s">
        <v>1</v>
      </c>
      <c r="U991" t="s">
        <v>35</v>
      </c>
      <c r="V991" t="s">
        <v>321</v>
      </c>
      <c r="W991" t="s">
        <v>4098</v>
      </c>
    </row>
    <row r="992" spans="1:23" x14ac:dyDescent="0.25">
      <c r="A992" t="s">
        <v>633</v>
      </c>
      <c r="B992" s="19">
        <v>10061</v>
      </c>
      <c r="C992" s="2">
        <f>HYPERLINK(URLs!B36 &amp; 75939,75939)</f>
        <v>75939</v>
      </c>
      <c r="D992" t="s">
        <v>2907</v>
      </c>
      <c r="E992" t="s">
        <v>387</v>
      </c>
      <c r="F992" t="s">
        <v>305</v>
      </c>
      <c r="G992" t="s">
        <v>310</v>
      </c>
      <c r="H992" t="s">
        <v>30</v>
      </c>
      <c r="I992" t="s">
        <v>68</v>
      </c>
      <c r="J992" t="s">
        <v>43</v>
      </c>
      <c r="K992" t="s">
        <v>33</v>
      </c>
      <c r="L992" t="s">
        <v>73</v>
      </c>
      <c r="M992" t="s">
        <v>263</v>
      </c>
      <c r="N992" t="s">
        <v>46</v>
      </c>
      <c r="P992" t="s">
        <v>47</v>
      </c>
      <c r="R992">
        <v>42395.815266203703</v>
      </c>
      <c r="S992">
        <v>43333.450925925928</v>
      </c>
      <c r="T992" t="s">
        <v>317</v>
      </c>
      <c r="U992" t="s">
        <v>35</v>
      </c>
      <c r="V992" t="s">
        <v>35</v>
      </c>
      <c r="W992" t="s">
        <v>133</v>
      </c>
    </row>
    <row r="993" spans="1:23" x14ac:dyDescent="0.25">
      <c r="A993" t="s">
        <v>633</v>
      </c>
      <c r="B993" s="19">
        <v>10061</v>
      </c>
      <c r="C993" s="2">
        <f>HYPERLINK(URLs!B36 &amp; 75938,75938)</f>
        <v>75938</v>
      </c>
      <c r="D993" t="s">
        <v>2906</v>
      </c>
      <c r="E993" t="s">
        <v>387</v>
      </c>
      <c r="F993" t="s">
        <v>305</v>
      </c>
      <c r="G993" t="s">
        <v>353</v>
      </c>
      <c r="H993" t="s">
        <v>30</v>
      </c>
      <c r="I993" t="s">
        <v>68</v>
      </c>
      <c r="J993" t="s">
        <v>43</v>
      </c>
      <c r="K993" t="s">
        <v>33</v>
      </c>
      <c r="L993" t="s">
        <v>73</v>
      </c>
      <c r="M993" t="s">
        <v>263</v>
      </c>
      <c r="N993" t="s">
        <v>46</v>
      </c>
      <c r="P993" t="s">
        <v>47</v>
      </c>
      <c r="R993">
        <v>42395.815196759257</v>
      </c>
      <c r="S993">
        <v>42678.645358796297</v>
      </c>
      <c r="T993" t="s">
        <v>317</v>
      </c>
      <c r="U993" t="s">
        <v>35</v>
      </c>
      <c r="V993" t="s">
        <v>35</v>
      </c>
      <c r="W993" t="s">
        <v>65</v>
      </c>
    </row>
    <row r="994" spans="1:23" x14ac:dyDescent="0.25">
      <c r="A994" t="s">
        <v>633</v>
      </c>
      <c r="B994" s="19">
        <v>10061</v>
      </c>
      <c r="C994" s="2">
        <f>HYPERLINK(URLs!B36 &amp; 75877,75877)</f>
        <v>75877</v>
      </c>
      <c r="D994" t="s">
        <v>2899</v>
      </c>
      <c r="E994" t="s">
        <v>139</v>
      </c>
      <c r="F994" t="s">
        <v>305</v>
      </c>
      <c r="G994" t="s">
        <v>353</v>
      </c>
      <c r="H994" t="s">
        <v>30</v>
      </c>
      <c r="I994" t="s">
        <v>68</v>
      </c>
      <c r="J994" t="s">
        <v>43</v>
      </c>
      <c r="K994" t="s">
        <v>33</v>
      </c>
      <c r="L994" t="s">
        <v>73</v>
      </c>
      <c r="M994" t="s">
        <v>263</v>
      </c>
      <c r="N994" t="s">
        <v>46</v>
      </c>
      <c r="P994" t="s">
        <v>47</v>
      </c>
      <c r="R994">
        <v>42395.586157407408</v>
      </c>
      <c r="S994">
        <v>42678.648078703707</v>
      </c>
      <c r="T994" t="s">
        <v>317</v>
      </c>
      <c r="U994" t="s">
        <v>35</v>
      </c>
      <c r="V994" t="s">
        <v>35</v>
      </c>
      <c r="W994" t="s">
        <v>4098</v>
      </c>
    </row>
    <row r="995" spans="1:23" x14ac:dyDescent="0.25">
      <c r="A995" t="s">
        <v>633</v>
      </c>
      <c r="B995" s="19">
        <v>10061</v>
      </c>
      <c r="C995" s="2">
        <f>HYPERLINK(URLs!B36 &amp; 75876,75876)</f>
        <v>75876</v>
      </c>
      <c r="D995" t="s">
        <v>2898</v>
      </c>
      <c r="E995" t="s">
        <v>387</v>
      </c>
      <c r="F995" t="s">
        <v>305</v>
      </c>
      <c r="G995" t="s">
        <v>310</v>
      </c>
      <c r="H995" t="s">
        <v>30</v>
      </c>
      <c r="I995" t="s">
        <v>68</v>
      </c>
      <c r="J995" t="s">
        <v>43</v>
      </c>
      <c r="K995" t="s">
        <v>33</v>
      </c>
      <c r="L995" t="s">
        <v>73</v>
      </c>
      <c r="M995" t="s">
        <v>263</v>
      </c>
      <c r="N995" t="s">
        <v>46</v>
      </c>
      <c r="P995" t="s">
        <v>47</v>
      </c>
      <c r="R995">
        <v>42395.586145833331</v>
      </c>
      <c r="S995">
        <v>42678.645428240743</v>
      </c>
      <c r="T995" t="s">
        <v>317</v>
      </c>
      <c r="U995" t="s">
        <v>35</v>
      </c>
      <c r="V995" t="s">
        <v>35</v>
      </c>
      <c r="W995" t="s">
        <v>4156</v>
      </c>
    </row>
    <row r="996" spans="1:23" x14ac:dyDescent="0.25">
      <c r="A996" t="s">
        <v>633</v>
      </c>
      <c r="B996" s="19">
        <v>10061</v>
      </c>
      <c r="C996" s="2">
        <f>HYPERLINK(URLs!B36 &amp; 75848,75848)</f>
        <v>75848</v>
      </c>
      <c r="D996" t="s">
        <v>2897</v>
      </c>
      <c r="E996" t="s">
        <v>387</v>
      </c>
      <c r="F996" t="s">
        <v>305</v>
      </c>
      <c r="G996" t="s">
        <v>353</v>
      </c>
      <c r="H996" t="s">
        <v>30</v>
      </c>
      <c r="I996" t="s">
        <v>68</v>
      </c>
      <c r="J996" t="s">
        <v>43</v>
      </c>
      <c r="K996" t="s">
        <v>33</v>
      </c>
      <c r="L996" t="s">
        <v>73</v>
      </c>
      <c r="M996" t="s">
        <v>263</v>
      </c>
      <c r="N996" t="s">
        <v>46</v>
      </c>
      <c r="P996" t="s">
        <v>47</v>
      </c>
      <c r="R996">
        <v>42394.785081018519</v>
      </c>
      <c r="S996">
        <v>42678.645543981482</v>
      </c>
      <c r="T996" t="s">
        <v>1</v>
      </c>
      <c r="U996" t="s">
        <v>35</v>
      </c>
      <c r="V996" t="s">
        <v>35</v>
      </c>
      <c r="W996" t="s">
        <v>133</v>
      </c>
    </row>
    <row r="997" spans="1:23" x14ac:dyDescent="0.25">
      <c r="A997" t="s">
        <v>633</v>
      </c>
      <c r="B997" s="19">
        <v>10061</v>
      </c>
      <c r="C997" s="2">
        <f>HYPERLINK(URLs!B36 &amp; 72285,72285)</f>
        <v>72285</v>
      </c>
      <c r="D997" t="s">
        <v>2764</v>
      </c>
      <c r="E997" t="s">
        <v>139</v>
      </c>
      <c r="F997" t="s">
        <v>305</v>
      </c>
      <c r="G997" t="s">
        <v>304</v>
      </c>
      <c r="H997" t="s">
        <v>30</v>
      </c>
      <c r="I997" t="s">
        <v>31</v>
      </c>
      <c r="J997" t="s">
        <v>43</v>
      </c>
      <c r="K997" t="s">
        <v>44</v>
      </c>
      <c r="L997" t="s">
        <v>73</v>
      </c>
      <c r="M997" t="s">
        <v>263</v>
      </c>
      <c r="N997" t="s">
        <v>46</v>
      </c>
      <c r="P997" t="s">
        <v>1634</v>
      </c>
      <c r="R997">
        <v>42315.313090277778</v>
      </c>
      <c r="S997">
        <v>42648.772013888891</v>
      </c>
      <c r="T997" t="s">
        <v>317</v>
      </c>
      <c r="U997" t="s">
        <v>35</v>
      </c>
      <c r="V997" t="s">
        <v>35</v>
      </c>
      <c r="W997" t="s">
        <v>133</v>
      </c>
    </row>
    <row r="998" spans="1:23" x14ac:dyDescent="0.25">
      <c r="A998" t="s">
        <v>633</v>
      </c>
      <c r="B998" s="19">
        <v>10061</v>
      </c>
      <c r="C998" s="2">
        <f>HYPERLINK(URLs!B36 &amp; 72284,72284)</f>
        <v>72284</v>
      </c>
      <c r="D998" t="s">
        <v>2763</v>
      </c>
      <c r="E998" t="s">
        <v>139</v>
      </c>
      <c r="F998" t="s">
        <v>305</v>
      </c>
      <c r="G998" t="s">
        <v>304</v>
      </c>
      <c r="H998" t="s">
        <v>30</v>
      </c>
      <c r="I998" t="s">
        <v>31</v>
      </c>
      <c r="J998" t="s">
        <v>43</v>
      </c>
      <c r="K998" t="s">
        <v>44</v>
      </c>
      <c r="L998" t="s">
        <v>73</v>
      </c>
      <c r="M998" t="s">
        <v>263</v>
      </c>
      <c r="N998" t="s">
        <v>60</v>
      </c>
      <c r="P998" t="s">
        <v>1634</v>
      </c>
      <c r="R998">
        <v>42315.312986111108</v>
      </c>
      <c r="S998">
        <v>42871.69258101852</v>
      </c>
      <c r="T998" t="s">
        <v>317</v>
      </c>
      <c r="U998" t="s">
        <v>3959</v>
      </c>
      <c r="V998" t="s">
        <v>35</v>
      </c>
      <c r="W998" t="s">
        <v>65</v>
      </c>
    </row>
    <row r="999" spans="1:23" x14ac:dyDescent="0.25">
      <c r="A999" t="s">
        <v>633</v>
      </c>
      <c r="B999" s="19">
        <v>10061</v>
      </c>
      <c r="C999" s="2">
        <f>HYPERLINK(URLs!B36 &amp; 72280,72280)</f>
        <v>72280</v>
      </c>
      <c r="D999" t="s">
        <v>389</v>
      </c>
      <c r="E999" t="s">
        <v>139</v>
      </c>
      <c r="F999" t="s">
        <v>305</v>
      </c>
      <c r="G999" t="s">
        <v>304</v>
      </c>
      <c r="H999" t="s">
        <v>30</v>
      </c>
      <c r="I999" t="s">
        <v>31</v>
      </c>
      <c r="J999" t="s">
        <v>43</v>
      </c>
      <c r="K999" t="s">
        <v>44</v>
      </c>
      <c r="L999" t="s">
        <v>73</v>
      </c>
      <c r="M999" t="s">
        <v>263</v>
      </c>
      <c r="N999" t="s">
        <v>46</v>
      </c>
      <c r="P999" t="s">
        <v>61</v>
      </c>
      <c r="R999">
        <v>42314.939386574071</v>
      </c>
      <c r="S999">
        <v>42871.69971064815</v>
      </c>
      <c r="T999" t="s">
        <v>1</v>
      </c>
      <c r="U999" t="s">
        <v>35</v>
      </c>
      <c r="V999" t="s">
        <v>35</v>
      </c>
      <c r="W999" t="s">
        <v>4098</v>
      </c>
    </row>
    <row r="1000" spans="1:23" x14ac:dyDescent="0.25">
      <c r="A1000" t="s">
        <v>633</v>
      </c>
      <c r="B1000" s="19">
        <v>10083</v>
      </c>
      <c r="C1000" s="2">
        <f>HYPERLINK(URLs!B36 &amp; 76214,76214)</f>
        <v>76214</v>
      </c>
      <c r="D1000" t="s">
        <v>2921</v>
      </c>
      <c r="E1000" t="s">
        <v>417</v>
      </c>
      <c r="F1000" t="s">
        <v>305</v>
      </c>
      <c r="G1000" t="s">
        <v>310</v>
      </c>
      <c r="H1000" t="s">
        <v>30</v>
      </c>
      <c r="I1000" t="s">
        <v>31</v>
      </c>
      <c r="J1000" t="s">
        <v>43</v>
      </c>
      <c r="K1000" t="s">
        <v>44</v>
      </c>
      <c r="L1000" t="s">
        <v>45</v>
      </c>
      <c r="M1000" t="s">
        <v>261</v>
      </c>
      <c r="N1000" t="s">
        <v>60</v>
      </c>
      <c r="P1000" t="s">
        <v>61</v>
      </c>
      <c r="Q1000" t="s">
        <v>2922</v>
      </c>
      <c r="R1000">
        <v>42397.594305555554</v>
      </c>
      <c r="S1000">
        <v>43025.125289351854</v>
      </c>
      <c r="T1000" t="s">
        <v>62</v>
      </c>
      <c r="U1000" t="s">
        <v>35</v>
      </c>
      <c r="V1000" t="s">
        <v>35</v>
      </c>
      <c r="W1000" t="s">
        <v>428</v>
      </c>
    </row>
    <row r="1001" spans="1:23" x14ac:dyDescent="0.25">
      <c r="A1001" t="s">
        <v>633</v>
      </c>
      <c r="B1001" s="19">
        <v>10083</v>
      </c>
      <c r="C1001" s="2">
        <f>HYPERLINK(URLs!B36 &amp; 76213,76213)</f>
        <v>76213</v>
      </c>
      <c r="D1001" t="s">
        <v>2919</v>
      </c>
      <c r="E1001" t="s">
        <v>417</v>
      </c>
      <c r="F1001" t="s">
        <v>305</v>
      </c>
      <c r="G1001" t="s">
        <v>304</v>
      </c>
      <c r="H1001" t="s">
        <v>30</v>
      </c>
      <c r="I1001" t="s">
        <v>31</v>
      </c>
      <c r="J1001" t="s">
        <v>43</v>
      </c>
      <c r="K1001" t="s">
        <v>44</v>
      </c>
      <c r="L1001" t="s">
        <v>45</v>
      </c>
      <c r="M1001" t="s">
        <v>261</v>
      </c>
      <c r="N1001" t="s">
        <v>518</v>
      </c>
      <c r="P1001" t="s">
        <v>61</v>
      </c>
      <c r="Q1001" t="s">
        <v>2920</v>
      </c>
      <c r="R1001">
        <v>42397.590960648151</v>
      </c>
      <c r="S1001">
        <v>42941.834722222222</v>
      </c>
      <c r="T1001" t="s">
        <v>62</v>
      </c>
      <c r="U1001" t="s">
        <v>3969</v>
      </c>
      <c r="V1001" t="s">
        <v>35</v>
      </c>
      <c r="W1001" t="s">
        <v>133</v>
      </c>
    </row>
    <row r="1002" spans="1:23" x14ac:dyDescent="0.25">
      <c r="A1002" t="s">
        <v>633</v>
      </c>
      <c r="B1002" s="19">
        <v>10083</v>
      </c>
      <c r="C1002" s="2">
        <f>HYPERLINK(URLs!B36 &amp; 76211,76211)</f>
        <v>76211</v>
      </c>
      <c r="D1002" t="s">
        <v>59</v>
      </c>
      <c r="E1002" t="s">
        <v>3</v>
      </c>
      <c r="F1002" t="s">
        <v>305</v>
      </c>
      <c r="G1002" t="s">
        <v>304</v>
      </c>
      <c r="H1002" t="s">
        <v>30</v>
      </c>
      <c r="I1002" t="s">
        <v>31</v>
      </c>
      <c r="J1002" t="s">
        <v>43</v>
      </c>
      <c r="K1002" t="s">
        <v>44</v>
      </c>
      <c r="L1002" t="s">
        <v>45</v>
      </c>
      <c r="M1002" t="s">
        <v>261</v>
      </c>
      <c r="N1002" t="s">
        <v>60</v>
      </c>
      <c r="O1002" t="s">
        <v>492</v>
      </c>
      <c r="P1002" t="s">
        <v>61</v>
      </c>
      <c r="Q1002" t="s">
        <v>2481</v>
      </c>
      <c r="R1002">
        <v>42397.588148148148</v>
      </c>
      <c r="S1002">
        <v>43187.157812500001</v>
      </c>
      <c r="T1002" t="s">
        <v>62</v>
      </c>
      <c r="U1002" t="s">
        <v>35</v>
      </c>
      <c r="V1002" t="s">
        <v>35</v>
      </c>
      <c r="W1002" t="s">
        <v>4098</v>
      </c>
    </row>
    <row r="1003" spans="1:23" x14ac:dyDescent="0.25">
      <c r="A1003" t="s">
        <v>633</v>
      </c>
      <c r="B1003" s="19">
        <v>10083</v>
      </c>
      <c r="C1003" s="2">
        <f>HYPERLINK(URLs!B36 &amp; 76210,76210)</f>
        <v>76210</v>
      </c>
      <c r="D1003" t="s">
        <v>2918</v>
      </c>
      <c r="E1003" t="s">
        <v>417</v>
      </c>
      <c r="F1003" t="s">
        <v>305</v>
      </c>
      <c r="G1003" t="s">
        <v>337</v>
      </c>
      <c r="H1003" t="s">
        <v>30</v>
      </c>
      <c r="I1003" t="s">
        <v>31</v>
      </c>
      <c r="J1003" t="s">
        <v>43</v>
      </c>
      <c r="K1003" t="s">
        <v>44</v>
      </c>
      <c r="L1003" t="s">
        <v>45</v>
      </c>
      <c r="M1003" t="s">
        <v>261</v>
      </c>
      <c r="N1003" t="s">
        <v>60</v>
      </c>
      <c r="P1003" t="s">
        <v>61</v>
      </c>
      <c r="Q1003" t="s">
        <v>2769</v>
      </c>
      <c r="R1003">
        <v>42397.588125000002</v>
      </c>
      <c r="S1003">
        <v>42678.648564814815</v>
      </c>
      <c r="T1003" t="s">
        <v>62</v>
      </c>
      <c r="U1003" t="s">
        <v>35</v>
      </c>
      <c r="V1003" t="s">
        <v>35</v>
      </c>
      <c r="W1003" t="s">
        <v>65</v>
      </c>
    </row>
    <row r="1004" spans="1:23" x14ac:dyDescent="0.25">
      <c r="A1004" t="s">
        <v>633</v>
      </c>
      <c r="B1004" s="19">
        <v>10083</v>
      </c>
      <c r="C1004" s="2">
        <f>HYPERLINK(URLs!B36 &amp; 75946,75946)</f>
        <v>75946</v>
      </c>
      <c r="D1004" t="s">
        <v>2911</v>
      </c>
      <c r="E1004" t="s">
        <v>417</v>
      </c>
      <c r="F1004" t="s">
        <v>305</v>
      </c>
      <c r="G1004" t="s">
        <v>337</v>
      </c>
      <c r="H1004" t="s">
        <v>30</v>
      </c>
      <c r="I1004" t="s">
        <v>31</v>
      </c>
      <c r="J1004" t="s">
        <v>43</v>
      </c>
      <c r="K1004" t="s">
        <v>44</v>
      </c>
      <c r="L1004" t="s">
        <v>45</v>
      </c>
      <c r="M1004" t="s">
        <v>261</v>
      </c>
      <c r="N1004" t="s">
        <v>60</v>
      </c>
      <c r="P1004" t="s">
        <v>61</v>
      </c>
      <c r="R1004">
        <v>42395.961747685185</v>
      </c>
      <c r="S1004">
        <v>42416.750601851854</v>
      </c>
      <c r="T1004" t="s">
        <v>3</v>
      </c>
      <c r="U1004" t="s">
        <v>35</v>
      </c>
      <c r="V1004" t="s">
        <v>35</v>
      </c>
      <c r="W1004" t="s">
        <v>4156</v>
      </c>
    </row>
    <row r="1005" spans="1:23" x14ac:dyDescent="0.25">
      <c r="A1005" t="s">
        <v>633</v>
      </c>
      <c r="B1005" s="19">
        <v>10136</v>
      </c>
      <c r="C1005" s="2">
        <f>HYPERLINK(URLs!B36 &amp; 78345,78345)</f>
        <v>78345</v>
      </c>
      <c r="D1005" t="s">
        <v>3902</v>
      </c>
      <c r="E1005" t="s">
        <v>3872</v>
      </c>
      <c r="F1005" t="s">
        <v>305</v>
      </c>
      <c r="G1005" t="s">
        <v>304</v>
      </c>
      <c r="H1005" t="s">
        <v>30</v>
      </c>
      <c r="I1005" t="s">
        <v>31</v>
      </c>
      <c r="J1005" t="s">
        <v>43</v>
      </c>
      <c r="K1005" t="s">
        <v>51</v>
      </c>
      <c r="L1005" t="s">
        <v>34</v>
      </c>
      <c r="M1005" t="s">
        <v>368</v>
      </c>
      <c r="N1005" t="s">
        <v>60</v>
      </c>
      <c r="O1005" t="s">
        <v>3903</v>
      </c>
      <c r="P1005" t="s">
        <v>369</v>
      </c>
      <c r="Q1005" t="s">
        <v>133</v>
      </c>
      <c r="R1005">
        <v>42436.9141087963</v>
      </c>
      <c r="S1005">
        <v>42479.159062500003</v>
      </c>
      <c r="T1005" t="s">
        <v>53</v>
      </c>
      <c r="U1005" t="s">
        <v>35</v>
      </c>
      <c r="V1005" t="s">
        <v>35</v>
      </c>
      <c r="W1005" t="s">
        <v>4152</v>
      </c>
    </row>
    <row r="1006" spans="1:23" x14ac:dyDescent="0.25">
      <c r="A1006" t="s">
        <v>633</v>
      </c>
      <c r="B1006" s="19">
        <v>10136</v>
      </c>
      <c r="C1006" s="2">
        <f>HYPERLINK(URLs!B36 &amp; 78344,78344)</f>
        <v>78344</v>
      </c>
      <c r="D1006" t="s">
        <v>3900</v>
      </c>
      <c r="E1006" t="s">
        <v>3872</v>
      </c>
      <c r="F1006" t="s">
        <v>305</v>
      </c>
      <c r="G1006" t="s">
        <v>304</v>
      </c>
      <c r="H1006" t="s">
        <v>30</v>
      </c>
      <c r="I1006" t="s">
        <v>68</v>
      </c>
      <c r="J1006" t="s">
        <v>43</v>
      </c>
      <c r="K1006" t="s">
        <v>33</v>
      </c>
      <c r="L1006" t="s">
        <v>34</v>
      </c>
      <c r="M1006" t="s">
        <v>368</v>
      </c>
      <c r="N1006" t="s">
        <v>60</v>
      </c>
      <c r="O1006" t="s">
        <v>3901</v>
      </c>
      <c r="P1006" t="s">
        <v>369</v>
      </c>
      <c r="Q1006" t="s">
        <v>133</v>
      </c>
      <c r="R1006">
        <v>42436.914039351854</v>
      </c>
      <c r="S1006">
        <v>42480.59615740741</v>
      </c>
      <c r="T1006" t="s">
        <v>53</v>
      </c>
      <c r="U1006" t="s">
        <v>35</v>
      </c>
      <c r="V1006" t="s">
        <v>35</v>
      </c>
      <c r="W1006" t="s">
        <v>3233</v>
      </c>
    </row>
    <row r="1007" spans="1:23" x14ac:dyDescent="0.25">
      <c r="A1007" t="s">
        <v>633</v>
      </c>
      <c r="B1007" s="19">
        <v>10136</v>
      </c>
      <c r="C1007" s="2">
        <f>HYPERLINK(URLs!B36 &amp; 76431,76431)</f>
        <v>76431</v>
      </c>
      <c r="D1007" t="s">
        <v>3896</v>
      </c>
      <c r="E1007" t="s">
        <v>3872</v>
      </c>
      <c r="F1007" t="s">
        <v>305</v>
      </c>
      <c r="G1007" t="s">
        <v>304</v>
      </c>
      <c r="H1007" t="s">
        <v>30</v>
      </c>
      <c r="I1007" t="s">
        <v>31</v>
      </c>
      <c r="J1007" t="s">
        <v>43</v>
      </c>
      <c r="K1007" t="s">
        <v>51</v>
      </c>
      <c r="L1007" t="s">
        <v>34</v>
      </c>
      <c r="M1007" t="s">
        <v>368</v>
      </c>
      <c r="N1007" t="s">
        <v>60</v>
      </c>
      <c r="P1007" t="s">
        <v>369</v>
      </c>
      <c r="Q1007" t="s">
        <v>133</v>
      </c>
      <c r="R1007">
        <v>42402.607083333336</v>
      </c>
      <c r="S1007">
        <v>42947.645578703705</v>
      </c>
      <c r="T1007" t="s">
        <v>53</v>
      </c>
      <c r="U1007" t="s">
        <v>35</v>
      </c>
      <c r="V1007" t="s">
        <v>35</v>
      </c>
      <c r="W1007" t="s">
        <v>69</v>
      </c>
    </row>
    <row r="1008" spans="1:23" x14ac:dyDescent="0.25">
      <c r="A1008" t="s">
        <v>633</v>
      </c>
      <c r="B1008" s="19">
        <v>10136</v>
      </c>
      <c r="C1008" s="2">
        <f>HYPERLINK(URLs!B36 &amp; 76430,76430)</f>
        <v>76430</v>
      </c>
      <c r="D1008" t="s">
        <v>3895</v>
      </c>
      <c r="E1008" t="s">
        <v>3872</v>
      </c>
      <c r="F1008" t="s">
        <v>305</v>
      </c>
      <c r="G1008" t="s">
        <v>304</v>
      </c>
      <c r="H1008" t="s">
        <v>30</v>
      </c>
      <c r="I1008" t="s">
        <v>31</v>
      </c>
      <c r="J1008" t="s">
        <v>43</v>
      </c>
      <c r="K1008" t="s">
        <v>51</v>
      </c>
      <c r="L1008" t="s">
        <v>34</v>
      </c>
      <c r="M1008" t="s">
        <v>368</v>
      </c>
      <c r="N1008" t="s">
        <v>60</v>
      </c>
      <c r="P1008" t="s">
        <v>369</v>
      </c>
      <c r="Q1008" t="s">
        <v>133</v>
      </c>
      <c r="R1008">
        <v>42402.605567129627</v>
      </c>
      <c r="S1008">
        <v>42478.700752314813</v>
      </c>
      <c r="T1008" t="s">
        <v>53</v>
      </c>
      <c r="U1008" t="s">
        <v>3970</v>
      </c>
      <c r="V1008" t="s">
        <v>35</v>
      </c>
      <c r="W1008" t="s">
        <v>133</v>
      </c>
    </row>
    <row r="1009" spans="1:23" x14ac:dyDescent="0.25">
      <c r="A1009" t="s">
        <v>633</v>
      </c>
      <c r="B1009" s="19">
        <v>10136</v>
      </c>
      <c r="C1009" s="2">
        <f>HYPERLINK(URLs!B36 &amp; 76429,76429)</f>
        <v>76429</v>
      </c>
      <c r="D1009" t="s">
        <v>3893</v>
      </c>
      <c r="E1009" t="s">
        <v>3894</v>
      </c>
      <c r="F1009" t="s">
        <v>305</v>
      </c>
      <c r="G1009" t="s">
        <v>304</v>
      </c>
      <c r="H1009" t="s">
        <v>30</v>
      </c>
      <c r="I1009" t="s">
        <v>31</v>
      </c>
      <c r="J1009" t="s">
        <v>43</v>
      </c>
      <c r="K1009" t="s">
        <v>51</v>
      </c>
      <c r="L1009" t="s">
        <v>34</v>
      </c>
      <c r="M1009" t="s">
        <v>3780</v>
      </c>
      <c r="N1009" t="s">
        <v>60</v>
      </c>
      <c r="P1009" t="s">
        <v>369</v>
      </c>
      <c r="Q1009" t="s">
        <v>133</v>
      </c>
      <c r="R1009">
        <v>42402.603564814817</v>
      </c>
      <c r="S1009">
        <v>42709.764143518521</v>
      </c>
      <c r="T1009" t="s">
        <v>53</v>
      </c>
      <c r="U1009" t="s">
        <v>3965</v>
      </c>
      <c r="V1009" t="s">
        <v>35</v>
      </c>
      <c r="W1009" t="s">
        <v>77</v>
      </c>
    </row>
    <row r="1010" spans="1:23" x14ac:dyDescent="0.25">
      <c r="A1010" t="s">
        <v>633</v>
      </c>
      <c r="B1010" s="19">
        <v>10136</v>
      </c>
      <c r="C1010" s="2">
        <f>HYPERLINK(URLs!B36 &amp; 76375,76375)</f>
        <v>76375</v>
      </c>
      <c r="D1010" t="s">
        <v>370</v>
      </c>
      <c r="E1010" t="s">
        <v>371</v>
      </c>
      <c r="F1010" t="s">
        <v>305</v>
      </c>
      <c r="G1010" t="s">
        <v>304</v>
      </c>
      <c r="H1010" t="s">
        <v>30</v>
      </c>
      <c r="I1010" t="s">
        <v>31</v>
      </c>
      <c r="J1010" t="s">
        <v>43</v>
      </c>
      <c r="K1010" t="s">
        <v>51</v>
      </c>
      <c r="L1010" t="s">
        <v>34</v>
      </c>
      <c r="M1010" t="s">
        <v>368</v>
      </c>
      <c r="N1010" t="s">
        <v>60</v>
      </c>
      <c r="P1010" t="s">
        <v>369</v>
      </c>
      <c r="Q1010" t="s">
        <v>3892</v>
      </c>
      <c r="R1010">
        <v>42401.816168981481</v>
      </c>
      <c r="S1010">
        <v>43177.167453703703</v>
      </c>
      <c r="T1010" t="s">
        <v>3</v>
      </c>
      <c r="U1010" t="s">
        <v>35</v>
      </c>
      <c r="V1010" t="s">
        <v>35</v>
      </c>
      <c r="W1010" t="s">
        <v>4098</v>
      </c>
    </row>
    <row r="1011" spans="1:23" x14ac:dyDescent="0.25">
      <c r="A1011" t="s">
        <v>633</v>
      </c>
      <c r="B1011" s="19">
        <v>10139</v>
      </c>
      <c r="C1011" s="2">
        <f>HYPERLINK(URLs!B36 &amp; 76395,76395)</f>
        <v>76395</v>
      </c>
      <c r="D1011" t="s">
        <v>2930</v>
      </c>
      <c r="E1011" t="s">
        <v>94</v>
      </c>
      <c r="F1011" t="s">
        <v>305</v>
      </c>
      <c r="G1011" t="s">
        <v>304</v>
      </c>
      <c r="H1011" t="s">
        <v>30</v>
      </c>
      <c r="I1011" t="s">
        <v>31</v>
      </c>
      <c r="J1011" t="s">
        <v>32</v>
      </c>
      <c r="K1011" t="s">
        <v>51</v>
      </c>
      <c r="L1011" t="s">
        <v>73</v>
      </c>
      <c r="M1011" t="s">
        <v>263</v>
      </c>
      <c r="N1011" t="s">
        <v>60</v>
      </c>
      <c r="P1011" t="s">
        <v>47</v>
      </c>
      <c r="Q1011" t="s">
        <v>562</v>
      </c>
      <c r="R1011">
        <v>42402.315694444442</v>
      </c>
      <c r="S1011">
        <v>42779.804386574076</v>
      </c>
      <c r="T1011" t="s">
        <v>317</v>
      </c>
      <c r="U1011" t="s">
        <v>3958</v>
      </c>
      <c r="V1011" t="s">
        <v>321</v>
      </c>
      <c r="W1011" t="s">
        <v>133</v>
      </c>
    </row>
    <row r="1012" spans="1:23" x14ac:dyDescent="0.25">
      <c r="A1012" t="s">
        <v>633</v>
      </c>
      <c r="B1012" s="19">
        <v>10139</v>
      </c>
      <c r="C1012" s="2">
        <f>HYPERLINK(URLs!B36 &amp; 76394,76394)</f>
        <v>76394</v>
      </c>
      <c r="D1012" t="s">
        <v>2929</v>
      </c>
      <c r="E1012" t="s">
        <v>94</v>
      </c>
      <c r="F1012" t="s">
        <v>305</v>
      </c>
      <c r="G1012" t="s">
        <v>304</v>
      </c>
      <c r="H1012" t="s">
        <v>30</v>
      </c>
      <c r="I1012" t="s">
        <v>31</v>
      </c>
      <c r="J1012" t="s">
        <v>32</v>
      </c>
      <c r="K1012" t="s">
        <v>51</v>
      </c>
      <c r="L1012" t="s">
        <v>73</v>
      </c>
      <c r="M1012" t="s">
        <v>273</v>
      </c>
      <c r="N1012" t="s">
        <v>60</v>
      </c>
      <c r="P1012" t="s">
        <v>47</v>
      </c>
      <c r="Q1012" t="s">
        <v>562</v>
      </c>
      <c r="R1012">
        <v>42402.315648148149</v>
      </c>
      <c r="S1012">
        <v>42709.766006944446</v>
      </c>
      <c r="T1012" t="s">
        <v>317</v>
      </c>
      <c r="U1012" t="s">
        <v>3967</v>
      </c>
      <c r="V1012" t="s">
        <v>321</v>
      </c>
      <c r="W1012" t="s">
        <v>77</v>
      </c>
    </row>
    <row r="1013" spans="1:23" x14ac:dyDescent="0.25">
      <c r="A1013" t="s">
        <v>633</v>
      </c>
      <c r="B1013" s="19">
        <v>10139</v>
      </c>
      <c r="C1013" s="2">
        <f>HYPERLINK(URLs!B36 &amp; 76380,76380)</f>
        <v>76380</v>
      </c>
      <c r="D1013" t="s">
        <v>367</v>
      </c>
      <c r="E1013" t="s">
        <v>94</v>
      </c>
      <c r="F1013" t="s">
        <v>305</v>
      </c>
      <c r="G1013" t="s">
        <v>304</v>
      </c>
      <c r="H1013" t="s">
        <v>30</v>
      </c>
      <c r="I1013" t="s">
        <v>31</v>
      </c>
      <c r="J1013" t="s">
        <v>32</v>
      </c>
      <c r="K1013" t="s">
        <v>51</v>
      </c>
      <c r="L1013" t="s">
        <v>73</v>
      </c>
      <c r="M1013" t="s">
        <v>273</v>
      </c>
      <c r="N1013" t="s">
        <v>46</v>
      </c>
      <c r="P1013" t="s">
        <v>47</v>
      </c>
      <c r="Q1013" t="s">
        <v>159</v>
      </c>
      <c r="R1013">
        <v>42401.940729166665</v>
      </c>
      <c r="S1013">
        <v>42871.700231481482</v>
      </c>
      <c r="T1013" t="s">
        <v>3</v>
      </c>
      <c r="U1013" t="s">
        <v>35</v>
      </c>
      <c r="V1013" t="s">
        <v>321</v>
      </c>
      <c r="W1013" t="s">
        <v>4098</v>
      </c>
    </row>
    <row r="1014" spans="1:23" x14ac:dyDescent="0.25">
      <c r="A1014" t="s">
        <v>665</v>
      </c>
      <c r="B1014" s="19">
        <v>10211</v>
      </c>
      <c r="C1014" s="2">
        <f>HYPERLINK(URLs!B36 &amp; 85377,85377)</f>
        <v>85377</v>
      </c>
      <c r="D1014" t="s">
        <v>3173</v>
      </c>
      <c r="E1014" t="s">
        <v>110</v>
      </c>
      <c r="F1014" t="s">
        <v>305</v>
      </c>
      <c r="G1014" t="s">
        <v>304</v>
      </c>
      <c r="H1014" t="s">
        <v>30</v>
      </c>
      <c r="I1014" t="s">
        <v>31</v>
      </c>
      <c r="J1014" t="s">
        <v>43</v>
      </c>
      <c r="K1014" t="s">
        <v>44</v>
      </c>
      <c r="L1014" t="s">
        <v>73</v>
      </c>
      <c r="M1014" t="s">
        <v>273</v>
      </c>
      <c r="N1014" t="s">
        <v>582</v>
      </c>
      <c r="P1014" t="s">
        <v>61</v>
      </c>
      <c r="Q1014" t="s">
        <v>2944</v>
      </c>
      <c r="R1014">
        <v>42550.501122685186</v>
      </c>
      <c r="S1014">
        <v>42948.900300925925</v>
      </c>
      <c r="T1014" t="s">
        <v>82</v>
      </c>
      <c r="U1014" t="s">
        <v>3983</v>
      </c>
      <c r="V1014" t="s">
        <v>321</v>
      </c>
      <c r="W1014" t="s">
        <v>69</v>
      </c>
    </row>
    <row r="1015" spans="1:23" x14ac:dyDescent="0.25">
      <c r="A1015" t="s">
        <v>665</v>
      </c>
      <c r="B1015" s="19">
        <v>10211</v>
      </c>
      <c r="C1015" s="2">
        <f>HYPERLINK(URLs!B36 &amp; 76875,76875)</f>
        <v>76875</v>
      </c>
      <c r="D1015" t="s">
        <v>2945</v>
      </c>
      <c r="E1015" t="s">
        <v>82</v>
      </c>
      <c r="F1015" t="s">
        <v>305</v>
      </c>
      <c r="G1015" t="s">
        <v>304</v>
      </c>
      <c r="H1015" t="s">
        <v>30</v>
      </c>
      <c r="I1015" t="s">
        <v>31</v>
      </c>
      <c r="J1015" t="s">
        <v>43</v>
      </c>
      <c r="K1015" t="s">
        <v>44</v>
      </c>
      <c r="L1015" t="s">
        <v>73</v>
      </c>
      <c r="M1015" t="s">
        <v>273</v>
      </c>
      <c r="N1015" t="s">
        <v>523</v>
      </c>
      <c r="P1015" t="s">
        <v>61</v>
      </c>
      <c r="Q1015" t="s">
        <v>2946</v>
      </c>
      <c r="R1015">
        <v>42410.612824074073</v>
      </c>
      <c r="S1015">
        <v>42922.679606481484</v>
      </c>
      <c r="T1015" t="s">
        <v>317</v>
      </c>
      <c r="U1015" t="s">
        <v>35</v>
      </c>
      <c r="V1015" t="s">
        <v>35</v>
      </c>
      <c r="W1015" t="s">
        <v>190</v>
      </c>
    </row>
    <row r="1016" spans="1:23" x14ac:dyDescent="0.25">
      <c r="A1016" t="s">
        <v>665</v>
      </c>
      <c r="B1016" s="19">
        <v>10211</v>
      </c>
      <c r="C1016" s="2">
        <f>HYPERLINK(URLs!B36 &amp; 76846,76846)</f>
        <v>76846</v>
      </c>
      <c r="D1016" t="s">
        <v>2942</v>
      </c>
      <c r="E1016" t="s">
        <v>110</v>
      </c>
      <c r="F1016" t="s">
        <v>305</v>
      </c>
      <c r="G1016" t="s">
        <v>304</v>
      </c>
      <c r="H1016" t="s">
        <v>54</v>
      </c>
      <c r="I1016" t="s">
        <v>31</v>
      </c>
      <c r="J1016" t="s">
        <v>43</v>
      </c>
      <c r="K1016" t="s">
        <v>44</v>
      </c>
      <c r="L1016" t="s">
        <v>73</v>
      </c>
      <c r="M1016" t="s">
        <v>263</v>
      </c>
      <c r="N1016" t="s">
        <v>60</v>
      </c>
      <c r="O1016" t="s">
        <v>2943</v>
      </c>
      <c r="P1016" t="s">
        <v>61</v>
      </c>
      <c r="Q1016" t="s">
        <v>2944</v>
      </c>
      <c r="R1016">
        <v>42410.315358796295</v>
      </c>
      <c r="S1016">
        <v>42840.084374999999</v>
      </c>
      <c r="T1016" t="s">
        <v>317</v>
      </c>
      <c r="U1016" t="s">
        <v>3971</v>
      </c>
      <c r="V1016" t="s">
        <v>321</v>
      </c>
      <c r="W1016" t="s">
        <v>133</v>
      </c>
    </row>
    <row r="1017" spans="1:23" x14ac:dyDescent="0.25">
      <c r="A1017" t="s">
        <v>665</v>
      </c>
      <c r="B1017" s="19">
        <v>10211</v>
      </c>
      <c r="C1017" s="2">
        <f>HYPERLINK(URLs!B36 &amp; 76841,76841)</f>
        <v>76841</v>
      </c>
      <c r="D1017" t="s">
        <v>365</v>
      </c>
      <c r="E1017" t="s">
        <v>110</v>
      </c>
      <c r="F1017" t="s">
        <v>305</v>
      </c>
      <c r="G1017" t="s">
        <v>304</v>
      </c>
      <c r="H1017" t="s">
        <v>30</v>
      </c>
      <c r="I1017" t="s">
        <v>31</v>
      </c>
      <c r="J1017" t="s">
        <v>43</v>
      </c>
      <c r="K1017" t="s">
        <v>51</v>
      </c>
      <c r="L1017" t="s">
        <v>73</v>
      </c>
      <c r="M1017" t="s">
        <v>273</v>
      </c>
      <c r="N1017" t="s">
        <v>60</v>
      </c>
      <c r="P1017" t="s">
        <v>61</v>
      </c>
      <c r="Q1017" t="s">
        <v>159</v>
      </c>
      <c r="R1017">
        <v>42410.268078703702</v>
      </c>
      <c r="S1017">
        <v>43187.158055555556</v>
      </c>
      <c r="T1017" t="s">
        <v>4</v>
      </c>
      <c r="U1017" t="s">
        <v>35</v>
      </c>
      <c r="V1017" t="s">
        <v>35</v>
      </c>
      <c r="W1017" t="s">
        <v>4098</v>
      </c>
    </row>
    <row r="1018" spans="1:23" x14ac:dyDescent="0.25">
      <c r="A1018" t="s">
        <v>665</v>
      </c>
      <c r="B1018" s="19">
        <v>10216</v>
      </c>
      <c r="C1018" s="2">
        <f>HYPERLINK(URLs!B36 &amp; 78745,78745)</f>
        <v>78745</v>
      </c>
      <c r="D1018" t="s">
        <v>3012</v>
      </c>
      <c r="E1018" t="s">
        <v>2603</v>
      </c>
      <c r="F1018" t="s">
        <v>305</v>
      </c>
      <c r="G1018" t="s">
        <v>304</v>
      </c>
      <c r="H1018" t="s">
        <v>30</v>
      </c>
      <c r="I1018" t="s">
        <v>68</v>
      </c>
      <c r="J1018" t="s">
        <v>43</v>
      </c>
      <c r="K1018" t="s">
        <v>33</v>
      </c>
      <c r="L1018" t="s">
        <v>45</v>
      </c>
      <c r="M1018" t="s">
        <v>3013</v>
      </c>
      <c r="N1018" t="s">
        <v>46</v>
      </c>
      <c r="P1018" t="s">
        <v>428</v>
      </c>
      <c r="Q1018" t="s">
        <v>3014</v>
      </c>
      <c r="R1018">
        <v>42443.710462962961</v>
      </c>
      <c r="S1018">
        <v>43177.168136574073</v>
      </c>
      <c r="T1018" t="s">
        <v>2603</v>
      </c>
      <c r="U1018" t="s">
        <v>35</v>
      </c>
      <c r="V1018" t="s">
        <v>35</v>
      </c>
      <c r="W1018" t="s">
        <v>428</v>
      </c>
    </row>
    <row r="1019" spans="1:23" x14ac:dyDescent="0.25">
      <c r="A1019" t="s">
        <v>633</v>
      </c>
      <c r="B1019" s="19">
        <v>10225</v>
      </c>
      <c r="C1019" s="2">
        <f>HYPERLINK(URLs!B36 &amp; 77143,77143)</f>
        <v>77143</v>
      </c>
      <c r="D1019" t="s">
        <v>2950</v>
      </c>
      <c r="E1019" t="s">
        <v>387</v>
      </c>
      <c r="F1019" t="s">
        <v>305</v>
      </c>
      <c r="G1019" t="s">
        <v>337</v>
      </c>
      <c r="H1019" t="s">
        <v>30</v>
      </c>
      <c r="I1019" t="s">
        <v>68</v>
      </c>
      <c r="J1019" t="s">
        <v>43</v>
      </c>
      <c r="K1019" t="s">
        <v>33</v>
      </c>
      <c r="L1019" t="s">
        <v>73</v>
      </c>
      <c r="M1019" t="s">
        <v>263</v>
      </c>
      <c r="N1019" t="s">
        <v>46</v>
      </c>
      <c r="P1019" t="s">
        <v>47</v>
      </c>
      <c r="Q1019" t="s">
        <v>47</v>
      </c>
      <c r="R1019">
        <v>42416.614386574074</v>
      </c>
      <c r="S1019">
        <v>42444.877997685187</v>
      </c>
      <c r="T1019" t="s">
        <v>317</v>
      </c>
      <c r="U1019" t="s">
        <v>35</v>
      </c>
      <c r="V1019" t="s">
        <v>35</v>
      </c>
      <c r="W1019" t="s">
        <v>4156</v>
      </c>
    </row>
    <row r="1020" spans="1:23" x14ac:dyDescent="0.25">
      <c r="A1020" t="s">
        <v>633</v>
      </c>
      <c r="B1020" s="19">
        <v>10225</v>
      </c>
      <c r="C1020" s="2">
        <f>HYPERLINK(URLs!B36 &amp; 76924,76924)</f>
        <v>76924</v>
      </c>
      <c r="D1020" t="s">
        <v>2949</v>
      </c>
      <c r="E1020" t="s">
        <v>387</v>
      </c>
      <c r="F1020" t="s">
        <v>305</v>
      </c>
      <c r="G1020" t="s">
        <v>328</v>
      </c>
      <c r="H1020" t="s">
        <v>30</v>
      </c>
      <c r="I1020" t="s">
        <v>68</v>
      </c>
      <c r="J1020" t="s">
        <v>43</v>
      </c>
      <c r="K1020" t="s">
        <v>33</v>
      </c>
      <c r="L1020" t="s">
        <v>73</v>
      </c>
      <c r="M1020" t="s">
        <v>263</v>
      </c>
      <c r="N1020" t="s">
        <v>46</v>
      </c>
      <c r="P1020" t="s">
        <v>47</v>
      </c>
      <c r="Q1020" t="s">
        <v>2481</v>
      </c>
      <c r="R1020">
        <v>42411.315416666665</v>
      </c>
      <c r="S1020">
        <v>42678.651724537034</v>
      </c>
      <c r="T1020" t="s">
        <v>317</v>
      </c>
      <c r="U1020" t="s">
        <v>35</v>
      </c>
      <c r="V1020" t="s">
        <v>35</v>
      </c>
      <c r="W1020" t="s">
        <v>133</v>
      </c>
    </row>
    <row r="1021" spans="1:23" x14ac:dyDescent="0.25">
      <c r="A1021" t="s">
        <v>633</v>
      </c>
      <c r="B1021" s="19">
        <v>10225</v>
      </c>
      <c r="C1021" s="2">
        <f>HYPERLINK(URLs!B36 &amp; 76907,76907)</f>
        <v>76907</v>
      </c>
      <c r="D1021" t="s">
        <v>2948</v>
      </c>
      <c r="E1021" t="s">
        <v>131</v>
      </c>
      <c r="F1021" t="s">
        <v>305</v>
      </c>
      <c r="G1021" t="s">
        <v>328</v>
      </c>
      <c r="H1021" t="s">
        <v>30</v>
      </c>
      <c r="I1021" t="s">
        <v>68</v>
      </c>
      <c r="J1021" t="s">
        <v>43</v>
      </c>
      <c r="K1021" t="s">
        <v>33</v>
      </c>
      <c r="L1021" t="s">
        <v>73</v>
      </c>
      <c r="M1021" t="s">
        <v>263</v>
      </c>
      <c r="N1021" t="s">
        <v>46</v>
      </c>
      <c r="P1021" t="s">
        <v>47</v>
      </c>
      <c r="Q1021" t="s">
        <v>2481</v>
      </c>
      <c r="R1021">
        <v>42410.910914351851</v>
      </c>
      <c r="S1021">
        <v>42678.651990740742</v>
      </c>
      <c r="T1021" t="s">
        <v>1</v>
      </c>
      <c r="U1021" t="s">
        <v>35</v>
      </c>
      <c r="V1021" t="s">
        <v>35</v>
      </c>
      <c r="W1021" t="s">
        <v>4098</v>
      </c>
    </row>
    <row r="1022" spans="1:23" x14ac:dyDescent="0.25">
      <c r="A1022" t="s">
        <v>633</v>
      </c>
      <c r="B1022" s="19">
        <v>10248</v>
      </c>
      <c r="C1022" s="2">
        <f>HYPERLINK(URLs!B36 &amp; 77425,77425)</f>
        <v>77425</v>
      </c>
      <c r="D1022" t="s">
        <v>2954</v>
      </c>
      <c r="E1022" t="s">
        <v>335</v>
      </c>
      <c r="F1022" t="s">
        <v>305</v>
      </c>
      <c r="G1022" t="s">
        <v>304</v>
      </c>
      <c r="H1022" t="s">
        <v>30</v>
      </c>
      <c r="I1022" t="s">
        <v>31</v>
      </c>
      <c r="J1022" t="s">
        <v>32</v>
      </c>
      <c r="K1022" t="s">
        <v>33</v>
      </c>
      <c r="L1022" t="s">
        <v>195</v>
      </c>
      <c r="M1022" t="s">
        <v>362</v>
      </c>
      <c r="N1022" t="s">
        <v>46</v>
      </c>
      <c r="P1022" t="s">
        <v>61</v>
      </c>
      <c r="Q1022" t="s">
        <v>394</v>
      </c>
      <c r="R1022">
        <v>42422.300694444442</v>
      </c>
      <c r="S1022">
        <v>42941.659131944441</v>
      </c>
      <c r="T1022" t="s">
        <v>53</v>
      </c>
      <c r="U1022" t="s">
        <v>35</v>
      </c>
      <c r="V1022" t="s">
        <v>321</v>
      </c>
      <c r="W1022" t="s">
        <v>69</v>
      </c>
    </row>
    <row r="1023" spans="1:23" x14ac:dyDescent="0.25">
      <c r="A1023" t="s">
        <v>633</v>
      </c>
      <c r="B1023" s="19">
        <v>10248</v>
      </c>
      <c r="C1023" s="2">
        <f>HYPERLINK(URLs!B36 &amp; 77424,77424)</f>
        <v>77424</v>
      </c>
      <c r="D1023" t="s">
        <v>2953</v>
      </c>
      <c r="E1023" t="s">
        <v>335</v>
      </c>
      <c r="F1023" t="s">
        <v>305</v>
      </c>
      <c r="G1023" t="s">
        <v>304</v>
      </c>
      <c r="H1023" t="s">
        <v>30</v>
      </c>
      <c r="I1023" t="s">
        <v>31</v>
      </c>
      <c r="J1023" t="s">
        <v>32</v>
      </c>
      <c r="K1023" t="s">
        <v>33</v>
      </c>
      <c r="L1023" t="s">
        <v>195</v>
      </c>
      <c r="M1023" t="s">
        <v>362</v>
      </c>
      <c r="N1023" t="s">
        <v>60</v>
      </c>
      <c r="P1023" t="s">
        <v>61</v>
      </c>
      <c r="Q1023" t="s">
        <v>394</v>
      </c>
      <c r="R1023">
        <v>42422.300625000003</v>
      </c>
      <c r="S1023">
        <v>42648.940532407411</v>
      </c>
      <c r="T1023" t="s">
        <v>53</v>
      </c>
      <c r="U1023" t="s">
        <v>3972</v>
      </c>
      <c r="V1023" t="s">
        <v>321</v>
      </c>
      <c r="W1023" t="s">
        <v>133</v>
      </c>
    </row>
    <row r="1024" spans="1:23" x14ac:dyDescent="0.25">
      <c r="A1024" t="s">
        <v>633</v>
      </c>
      <c r="B1024" s="19">
        <v>10248</v>
      </c>
      <c r="C1024" s="2">
        <f>HYPERLINK(URLs!B36 &amp; 77423,77423)</f>
        <v>77423</v>
      </c>
      <c r="D1024" t="s">
        <v>2952</v>
      </c>
      <c r="E1024" t="s">
        <v>335</v>
      </c>
      <c r="F1024" t="s">
        <v>305</v>
      </c>
      <c r="G1024" t="s">
        <v>304</v>
      </c>
      <c r="H1024" t="s">
        <v>30</v>
      </c>
      <c r="I1024" t="s">
        <v>31</v>
      </c>
      <c r="J1024" t="s">
        <v>32</v>
      </c>
      <c r="K1024" t="s">
        <v>33</v>
      </c>
      <c r="L1024" t="s">
        <v>195</v>
      </c>
      <c r="M1024" t="s">
        <v>362</v>
      </c>
      <c r="N1024" t="s">
        <v>46</v>
      </c>
      <c r="P1024" t="s">
        <v>61</v>
      </c>
      <c r="Q1024" t="s">
        <v>2951</v>
      </c>
      <c r="R1024">
        <v>42422.300543981481</v>
      </c>
      <c r="S1024">
        <v>42709.766134259262</v>
      </c>
      <c r="T1024" t="s">
        <v>53</v>
      </c>
      <c r="U1024" t="s">
        <v>3967</v>
      </c>
      <c r="V1024" t="s">
        <v>321</v>
      </c>
      <c r="W1024" t="s">
        <v>77</v>
      </c>
    </row>
    <row r="1025" spans="1:23" x14ac:dyDescent="0.25">
      <c r="A1025" t="s">
        <v>633</v>
      </c>
      <c r="B1025" s="19">
        <v>10248</v>
      </c>
      <c r="C1025" s="2">
        <f>HYPERLINK(URLs!B36 &amp; 77248,77248)</f>
        <v>77248</v>
      </c>
      <c r="D1025" t="s">
        <v>363</v>
      </c>
      <c r="E1025" t="s">
        <v>335</v>
      </c>
      <c r="F1025" t="s">
        <v>305</v>
      </c>
      <c r="G1025" t="s">
        <v>304</v>
      </c>
      <c r="H1025" t="s">
        <v>30</v>
      </c>
      <c r="I1025" t="s">
        <v>31</v>
      </c>
      <c r="J1025" t="s">
        <v>32</v>
      </c>
      <c r="K1025" t="s">
        <v>33</v>
      </c>
      <c r="L1025" t="s">
        <v>195</v>
      </c>
      <c r="M1025" t="s">
        <v>362</v>
      </c>
      <c r="N1025" t="s">
        <v>46</v>
      </c>
      <c r="P1025" t="s">
        <v>61</v>
      </c>
      <c r="Q1025" t="s">
        <v>2951</v>
      </c>
      <c r="R1025">
        <v>42417.793124999997</v>
      </c>
      <c r="S1025">
        <v>42941.581631944442</v>
      </c>
      <c r="T1025" t="s">
        <v>2</v>
      </c>
      <c r="U1025" t="s">
        <v>35</v>
      </c>
      <c r="V1025" t="s">
        <v>321</v>
      </c>
      <c r="W1025" t="s">
        <v>4098</v>
      </c>
    </row>
    <row r="1026" spans="1:23" x14ac:dyDescent="0.25">
      <c r="A1026" t="s">
        <v>633</v>
      </c>
      <c r="B1026" s="19">
        <v>10248</v>
      </c>
      <c r="C1026" s="2">
        <f>HYPERLINK(URLs!B36 &amp; 68162,68162)</f>
        <v>68162</v>
      </c>
      <c r="D1026" t="s">
        <v>2674</v>
      </c>
      <c r="E1026" t="s">
        <v>2325</v>
      </c>
      <c r="F1026" t="s">
        <v>305</v>
      </c>
      <c r="G1026" t="s">
        <v>304</v>
      </c>
      <c r="H1026" t="s">
        <v>30</v>
      </c>
      <c r="I1026" t="s">
        <v>31</v>
      </c>
      <c r="J1026" t="s">
        <v>43</v>
      </c>
      <c r="K1026" t="s">
        <v>44</v>
      </c>
      <c r="L1026" t="s">
        <v>195</v>
      </c>
      <c r="M1026" t="s">
        <v>362</v>
      </c>
      <c r="N1026" t="s">
        <v>46</v>
      </c>
      <c r="P1026" t="s">
        <v>61</v>
      </c>
      <c r="R1026">
        <v>42248.272476851853</v>
      </c>
      <c r="S1026">
        <v>42648.938518518517</v>
      </c>
      <c r="T1026" t="s">
        <v>2675</v>
      </c>
      <c r="U1026" t="s">
        <v>3949</v>
      </c>
      <c r="V1026" t="s">
        <v>35</v>
      </c>
      <c r="W1026" t="s">
        <v>65</v>
      </c>
    </row>
    <row r="1027" spans="1:23" x14ac:dyDescent="0.25">
      <c r="A1027" t="s">
        <v>633</v>
      </c>
      <c r="B1027" s="19">
        <v>10248</v>
      </c>
      <c r="C1027" s="2">
        <f>HYPERLINK(URLs!B36 &amp; 68132,68132)</f>
        <v>68132</v>
      </c>
      <c r="D1027" t="s">
        <v>2672</v>
      </c>
      <c r="E1027" t="s">
        <v>194</v>
      </c>
      <c r="F1027" t="s">
        <v>305</v>
      </c>
      <c r="G1027" t="s">
        <v>304</v>
      </c>
      <c r="H1027" t="s">
        <v>30</v>
      </c>
      <c r="I1027" t="s">
        <v>31</v>
      </c>
      <c r="J1027" t="s">
        <v>43</v>
      </c>
      <c r="K1027" t="s">
        <v>44</v>
      </c>
      <c r="L1027" t="s">
        <v>195</v>
      </c>
      <c r="M1027" t="s">
        <v>362</v>
      </c>
      <c r="N1027" t="s">
        <v>46</v>
      </c>
      <c r="P1027" t="s">
        <v>61</v>
      </c>
      <c r="R1027">
        <v>42247.72042824074</v>
      </c>
      <c r="S1027">
        <v>43007.435474537036</v>
      </c>
      <c r="T1027" t="s">
        <v>2673</v>
      </c>
      <c r="U1027" t="s">
        <v>35</v>
      </c>
      <c r="V1027" t="s">
        <v>35</v>
      </c>
      <c r="W1027" t="s">
        <v>4098</v>
      </c>
    </row>
    <row r="1028" spans="1:23" x14ac:dyDescent="0.25">
      <c r="A1028" t="s">
        <v>633</v>
      </c>
      <c r="B1028" s="19">
        <v>10260</v>
      </c>
      <c r="C1028" s="2">
        <f>HYPERLINK(URLs!B36 &amp; 76676,76676)</f>
        <v>76676</v>
      </c>
      <c r="D1028" t="s">
        <v>2937</v>
      </c>
      <c r="E1028" t="s">
        <v>5</v>
      </c>
      <c r="F1028" t="s">
        <v>305</v>
      </c>
      <c r="G1028" t="s">
        <v>328</v>
      </c>
      <c r="H1028" t="s">
        <v>30</v>
      </c>
      <c r="I1028" t="s">
        <v>31</v>
      </c>
      <c r="J1028" t="s">
        <v>32</v>
      </c>
      <c r="K1028" t="s">
        <v>33</v>
      </c>
      <c r="L1028" t="s">
        <v>73</v>
      </c>
      <c r="M1028" t="s">
        <v>273</v>
      </c>
      <c r="N1028" t="s">
        <v>60</v>
      </c>
      <c r="P1028" t="s">
        <v>61</v>
      </c>
      <c r="Q1028" t="s">
        <v>519</v>
      </c>
      <c r="R1028">
        <v>42406.025173611109</v>
      </c>
      <c r="S1028">
        <v>42534.841168981482</v>
      </c>
      <c r="T1028" t="s">
        <v>317</v>
      </c>
      <c r="U1028" t="s">
        <v>35</v>
      </c>
      <c r="V1028" t="s">
        <v>321</v>
      </c>
      <c r="W1028" t="s">
        <v>4156</v>
      </c>
    </row>
    <row r="1029" spans="1:23" x14ac:dyDescent="0.25">
      <c r="A1029" t="s">
        <v>633</v>
      </c>
      <c r="B1029" s="19">
        <v>10260</v>
      </c>
      <c r="C1029" s="2">
        <f>HYPERLINK(URLs!B36 &amp; 76447,76447)</f>
        <v>76447</v>
      </c>
      <c r="D1029" t="s">
        <v>2933</v>
      </c>
      <c r="E1029" t="s">
        <v>139</v>
      </c>
      <c r="F1029" t="s">
        <v>305</v>
      </c>
      <c r="G1029" t="s">
        <v>328</v>
      </c>
      <c r="H1029" t="s">
        <v>30</v>
      </c>
      <c r="I1029" t="s">
        <v>31</v>
      </c>
      <c r="J1029" t="s">
        <v>32</v>
      </c>
      <c r="K1029" t="s">
        <v>33</v>
      </c>
      <c r="L1029" t="s">
        <v>73</v>
      </c>
      <c r="M1029" t="s">
        <v>263</v>
      </c>
      <c r="N1029" t="s">
        <v>60</v>
      </c>
      <c r="O1029" t="s">
        <v>358</v>
      </c>
      <c r="P1029" t="s">
        <v>61</v>
      </c>
      <c r="Q1029" t="s">
        <v>2934</v>
      </c>
      <c r="R1029">
        <v>42402.815312500003</v>
      </c>
      <c r="S1029">
        <v>42534.844456018516</v>
      </c>
      <c r="T1029" t="s">
        <v>317</v>
      </c>
      <c r="U1029" t="s">
        <v>35</v>
      </c>
      <c r="V1029" t="s">
        <v>321</v>
      </c>
      <c r="W1029" t="s">
        <v>133</v>
      </c>
    </row>
    <row r="1030" spans="1:23" x14ac:dyDescent="0.25">
      <c r="A1030" t="s">
        <v>633</v>
      </c>
      <c r="B1030" s="19">
        <v>10260</v>
      </c>
      <c r="C1030" s="2">
        <f>HYPERLINK(URLs!B36 &amp; 76402,76402)</f>
        <v>76402</v>
      </c>
      <c r="D1030" t="s">
        <v>2932</v>
      </c>
      <c r="E1030" t="s">
        <v>5</v>
      </c>
      <c r="F1030" t="s">
        <v>305</v>
      </c>
      <c r="G1030" t="s">
        <v>328</v>
      </c>
      <c r="H1030" t="s">
        <v>30</v>
      </c>
      <c r="I1030" t="s">
        <v>31</v>
      </c>
      <c r="J1030" t="s">
        <v>32</v>
      </c>
      <c r="K1030" t="s">
        <v>33</v>
      </c>
      <c r="L1030" t="s">
        <v>73</v>
      </c>
      <c r="M1030" t="s">
        <v>273</v>
      </c>
      <c r="N1030" t="s">
        <v>46</v>
      </c>
      <c r="P1030" t="s">
        <v>61</v>
      </c>
      <c r="Q1030" t="s">
        <v>519</v>
      </c>
      <c r="R1030">
        <v>42402.402962962966</v>
      </c>
      <c r="S1030">
        <v>42534.843553240738</v>
      </c>
      <c r="T1030" t="s">
        <v>5</v>
      </c>
      <c r="U1030" t="s">
        <v>35</v>
      </c>
      <c r="V1030" t="s">
        <v>321</v>
      </c>
      <c r="W1030" t="s">
        <v>4098</v>
      </c>
    </row>
    <row r="1031" spans="1:23" x14ac:dyDescent="0.25">
      <c r="A1031" t="s">
        <v>633</v>
      </c>
      <c r="B1031" s="19">
        <v>10281</v>
      </c>
      <c r="C1031" s="2">
        <f>HYPERLINK(URLs!B36 &amp; 76743,76743)</f>
        <v>76743</v>
      </c>
      <c r="D1031" t="s">
        <v>2938</v>
      </c>
      <c r="E1031" t="s">
        <v>341</v>
      </c>
      <c r="F1031" t="s">
        <v>305</v>
      </c>
      <c r="G1031" t="s">
        <v>304</v>
      </c>
      <c r="H1031" t="s">
        <v>30</v>
      </c>
      <c r="I1031" t="s">
        <v>31</v>
      </c>
      <c r="J1031" t="s">
        <v>32</v>
      </c>
      <c r="K1031" t="s">
        <v>33</v>
      </c>
      <c r="L1031" t="s">
        <v>52</v>
      </c>
      <c r="M1031" t="s">
        <v>106</v>
      </c>
      <c r="N1031" t="s">
        <v>55</v>
      </c>
      <c r="P1031" t="s">
        <v>65</v>
      </c>
      <c r="Q1031" t="s">
        <v>2936</v>
      </c>
      <c r="R1031">
        <v>42409.397303240738</v>
      </c>
      <c r="S1031">
        <v>42648.940682870372</v>
      </c>
      <c r="T1031" t="s">
        <v>341</v>
      </c>
      <c r="U1031" t="s">
        <v>35</v>
      </c>
      <c r="V1031" t="s">
        <v>321</v>
      </c>
      <c r="W1031" t="s">
        <v>133</v>
      </c>
    </row>
    <row r="1032" spans="1:23" x14ac:dyDescent="0.25">
      <c r="A1032" t="s">
        <v>633</v>
      </c>
      <c r="B1032" s="19">
        <v>10281</v>
      </c>
      <c r="C1032" s="2">
        <f>HYPERLINK(URLs!B36 &amp; 76497,76497)</f>
        <v>76497</v>
      </c>
      <c r="D1032" t="s">
        <v>366</v>
      </c>
      <c r="E1032" t="s">
        <v>332</v>
      </c>
      <c r="F1032" t="s">
        <v>305</v>
      </c>
      <c r="G1032" t="s">
        <v>304</v>
      </c>
      <c r="H1032" t="s">
        <v>30</v>
      </c>
      <c r="I1032" t="s">
        <v>31</v>
      </c>
      <c r="J1032" t="s">
        <v>32</v>
      </c>
      <c r="K1032" t="s">
        <v>33</v>
      </c>
      <c r="L1032" t="s">
        <v>52</v>
      </c>
      <c r="M1032" t="s">
        <v>106</v>
      </c>
      <c r="N1032" t="s">
        <v>55</v>
      </c>
      <c r="P1032" t="s">
        <v>65</v>
      </c>
      <c r="Q1032" t="s">
        <v>2936</v>
      </c>
      <c r="R1032">
        <v>42403.666747685187</v>
      </c>
      <c r="S1032">
        <v>42930.308472222219</v>
      </c>
      <c r="T1032" t="s">
        <v>332</v>
      </c>
      <c r="U1032" t="s">
        <v>35</v>
      </c>
      <c r="V1032" t="s">
        <v>321</v>
      </c>
      <c r="W1032" t="s">
        <v>4098</v>
      </c>
    </row>
    <row r="1033" spans="1:23" x14ac:dyDescent="0.25">
      <c r="A1033" t="s">
        <v>633</v>
      </c>
      <c r="B1033" s="19">
        <v>10297</v>
      </c>
      <c r="C1033" s="2">
        <f>HYPERLINK(URLs!B36 &amp; 106024,106024)</f>
        <v>106024</v>
      </c>
      <c r="D1033" t="s">
        <v>584</v>
      </c>
      <c r="E1033" t="s">
        <v>288</v>
      </c>
      <c r="F1033" t="s">
        <v>305</v>
      </c>
      <c r="G1033" t="s">
        <v>337</v>
      </c>
      <c r="H1033" t="s">
        <v>54</v>
      </c>
      <c r="I1033" t="s">
        <v>31</v>
      </c>
      <c r="J1033" t="s">
        <v>32</v>
      </c>
      <c r="K1033" t="s">
        <v>33</v>
      </c>
      <c r="L1033" t="s">
        <v>96</v>
      </c>
      <c r="M1033" t="s">
        <v>275</v>
      </c>
      <c r="N1033" t="s">
        <v>518</v>
      </c>
      <c r="P1033" t="s">
        <v>133</v>
      </c>
      <c r="Q1033" t="s">
        <v>3708</v>
      </c>
      <c r="R1033">
        <v>43021.763449074075</v>
      </c>
      <c r="S1033">
        <v>43423.872418981482</v>
      </c>
      <c r="T1033" t="s">
        <v>53</v>
      </c>
      <c r="U1033" t="s">
        <v>35</v>
      </c>
      <c r="V1033" t="s">
        <v>35</v>
      </c>
      <c r="W1033" t="s">
        <v>4158</v>
      </c>
    </row>
    <row r="1034" spans="1:23" x14ac:dyDescent="0.25">
      <c r="A1034" t="s">
        <v>633</v>
      </c>
      <c r="B1034" s="19">
        <v>10297</v>
      </c>
      <c r="C1034" s="2">
        <f>HYPERLINK(URLs!B36 &amp; 97644,97644)</f>
        <v>97644</v>
      </c>
      <c r="D1034" t="s">
        <v>3476</v>
      </c>
      <c r="E1034" t="s">
        <v>2996</v>
      </c>
      <c r="F1034" t="s">
        <v>305</v>
      </c>
      <c r="G1034" t="s">
        <v>304</v>
      </c>
      <c r="H1034" t="s">
        <v>54</v>
      </c>
      <c r="I1034" t="s">
        <v>31</v>
      </c>
      <c r="J1034" t="s">
        <v>32</v>
      </c>
      <c r="K1034" t="s">
        <v>33</v>
      </c>
      <c r="L1034" t="s">
        <v>96</v>
      </c>
      <c r="M1034" t="s">
        <v>269</v>
      </c>
      <c r="N1034" t="s">
        <v>518</v>
      </c>
      <c r="P1034" t="s">
        <v>133</v>
      </c>
      <c r="Q1034" t="s">
        <v>3260</v>
      </c>
      <c r="R1034">
        <v>42823.84275462963</v>
      </c>
      <c r="S1034">
        <v>43206.798819444448</v>
      </c>
      <c r="T1034" t="s">
        <v>301</v>
      </c>
      <c r="U1034" t="s">
        <v>4009</v>
      </c>
      <c r="V1034" t="s">
        <v>35</v>
      </c>
      <c r="W1034" t="s">
        <v>307</v>
      </c>
    </row>
    <row r="1035" spans="1:23" x14ac:dyDescent="0.25">
      <c r="A1035" t="s">
        <v>633</v>
      </c>
      <c r="B1035" s="19">
        <v>10297</v>
      </c>
      <c r="C1035" s="2">
        <f>HYPERLINK(URLs!B36 &amp; 97480,97480)</f>
        <v>97480</v>
      </c>
      <c r="D1035" t="s">
        <v>138</v>
      </c>
      <c r="E1035" t="s">
        <v>2996</v>
      </c>
      <c r="F1035" t="s">
        <v>305</v>
      </c>
      <c r="G1035" t="s">
        <v>304</v>
      </c>
      <c r="H1035" t="s">
        <v>56</v>
      </c>
      <c r="I1035" t="s">
        <v>31</v>
      </c>
      <c r="J1035" t="s">
        <v>32</v>
      </c>
      <c r="K1035" t="s">
        <v>33</v>
      </c>
      <c r="L1035" t="s">
        <v>96</v>
      </c>
      <c r="M1035" t="s">
        <v>275</v>
      </c>
      <c r="N1035" t="s">
        <v>140</v>
      </c>
      <c r="P1035" t="s">
        <v>133</v>
      </c>
      <c r="Q1035" t="s">
        <v>3708</v>
      </c>
      <c r="R1035">
        <v>42818.626030092593</v>
      </c>
      <c r="S1035">
        <v>43423.919733796298</v>
      </c>
      <c r="T1035" t="s">
        <v>141</v>
      </c>
      <c r="U1035" t="s">
        <v>35</v>
      </c>
      <c r="V1035" t="s">
        <v>35</v>
      </c>
      <c r="W1035" t="s">
        <v>4098</v>
      </c>
    </row>
    <row r="1036" spans="1:23" x14ac:dyDescent="0.25">
      <c r="A1036" t="s">
        <v>633</v>
      </c>
      <c r="B1036" s="19">
        <v>10297</v>
      </c>
      <c r="C1036" s="2">
        <f>HYPERLINK(URLs!B36 &amp; 95833,95833)</f>
        <v>95833</v>
      </c>
      <c r="D1036" t="s">
        <v>3435</v>
      </c>
      <c r="E1036" t="s">
        <v>53</v>
      </c>
      <c r="F1036" t="s">
        <v>305</v>
      </c>
      <c r="G1036" t="s">
        <v>337</v>
      </c>
      <c r="H1036" t="s">
        <v>30</v>
      </c>
      <c r="I1036" t="s">
        <v>68</v>
      </c>
      <c r="J1036" t="s">
        <v>43</v>
      </c>
      <c r="K1036" t="s">
        <v>33</v>
      </c>
      <c r="L1036" t="s">
        <v>34</v>
      </c>
      <c r="M1036" t="s">
        <v>266</v>
      </c>
      <c r="N1036" t="s">
        <v>46</v>
      </c>
      <c r="O1036" t="s">
        <v>533</v>
      </c>
      <c r="P1036" t="s">
        <v>75</v>
      </c>
      <c r="Q1036" t="s">
        <v>65</v>
      </c>
      <c r="R1036">
        <v>42779.978009259263</v>
      </c>
      <c r="S1036">
        <v>42885.59574074074</v>
      </c>
      <c r="T1036" t="s">
        <v>53</v>
      </c>
      <c r="U1036" t="s">
        <v>35</v>
      </c>
      <c r="V1036" t="s">
        <v>35</v>
      </c>
      <c r="W1036" t="s">
        <v>4167</v>
      </c>
    </row>
    <row r="1037" spans="1:23" x14ac:dyDescent="0.25">
      <c r="A1037" t="s">
        <v>633</v>
      </c>
      <c r="B1037" s="19">
        <v>10297</v>
      </c>
      <c r="C1037" s="2">
        <f>HYPERLINK(URLs!B36 &amp; 95392,95392)</f>
        <v>95392</v>
      </c>
      <c r="D1037" t="s">
        <v>3418</v>
      </c>
      <c r="E1037" t="s">
        <v>53</v>
      </c>
      <c r="F1037" t="s">
        <v>305</v>
      </c>
      <c r="G1037" t="s">
        <v>353</v>
      </c>
      <c r="H1037" t="s">
        <v>30</v>
      </c>
      <c r="I1037" t="s">
        <v>68</v>
      </c>
      <c r="J1037" t="s">
        <v>43</v>
      </c>
      <c r="K1037" t="s">
        <v>33</v>
      </c>
      <c r="L1037" t="s">
        <v>34</v>
      </c>
      <c r="M1037" t="s">
        <v>266</v>
      </c>
      <c r="N1037" t="s">
        <v>46</v>
      </c>
      <c r="O1037" t="s">
        <v>3419</v>
      </c>
      <c r="P1037" t="s">
        <v>75</v>
      </c>
      <c r="Q1037" t="s">
        <v>65</v>
      </c>
      <c r="R1037">
        <v>42768.707245370373</v>
      </c>
      <c r="S1037">
        <v>42930.587777777779</v>
      </c>
      <c r="T1037" t="s">
        <v>53</v>
      </c>
      <c r="U1037" t="s">
        <v>35</v>
      </c>
      <c r="V1037" t="s">
        <v>35</v>
      </c>
      <c r="W1037" t="s">
        <v>4143</v>
      </c>
    </row>
    <row r="1038" spans="1:23" x14ac:dyDescent="0.25">
      <c r="A1038" t="s">
        <v>633</v>
      </c>
      <c r="B1038" s="19">
        <v>10297</v>
      </c>
      <c r="C1038" s="2">
        <f>HYPERLINK(URLs!B36 &amp; 79213,79213)</f>
        <v>79213</v>
      </c>
      <c r="D1038" t="s">
        <v>3055</v>
      </c>
      <c r="E1038" t="s">
        <v>288</v>
      </c>
      <c r="F1038" t="s">
        <v>305</v>
      </c>
      <c r="G1038" t="s">
        <v>337</v>
      </c>
      <c r="H1038" t="s">
        <v>30</v>
      </c>
      <c r="I1038" t="s">
        <v>68</v>
      </c>
      <c r="J1038" t="s">
        <v>43</v>
      </c>
      <c r="K1038" t="s">
        <v>33</v>
      </c>
      <c r="L1038" t="s">
        <v>2529</v>
      </c>
      <c r="M1038" t="s">
        <v>266</v>
      </c>
      <c r="N1038" t="s">
        <v>46</v>
      </c>
      <c r="P1038" t="s">
        <v>65</v>
      </c>
      <c r="Q1038" t="s">
        <v>2769</v>
      </c>
      <c r="R1038">
        <v>42450.926168981481</v>
      </c>
      <c r="S1038">
        <v>42746.909895833334</v>
      </c>
      <c r="T1038" t="s">
        <v>288</v>
      </c>
      <c r="U1038" t="s">
        <v>35</v>
      </c>
      <c r="V1038" t="s">
        <v>35</v>
      </c>
      <c r="W1038" t="s">
        <v>4156</v>
      </c>
    </row>
    <row r="1039" spans="1:23" x14ac:dyDescent="0.25">
      <c r="A1039" t="s">
        <v>633</v>
      </c>
      <c r="B1039" s="19">
        <v>10297</v>
      </c>
      <c r="C1039" s="2">
        <f>HYPERLINK(URLs!B36 &amp; 79212,79212)</f>
        <v>79212</v>
      </c>
      <c r="D1039" t="s">
        <v>3053</v>
      </c>
      <c r="E1039" t="s">
        <v>175</v>
      </c>
      <c r="F1039" t="s">
        <v>305</v>
      </c>
      <c r="G1039" t="s">
        <v>337</v>
      </c>
      <c r="H1039" t="s">
        <v>54</v>
      </c>
      <c r="I1039" t="s">
        <v>68</v>
      </c>
      <c r="J1039" t="s">
        <v>43</v>
      </c>
      <c r="K1039" t="s">
        <v>33</v>
      </c>
      <c r="L1039" t="s">
        <v>2529</v>
      </c>
      <c r="M1039" t="s">
        <v>266</v>
      </c>
      <c r="N1039" t="s">
        <v>60</v>
      </c>
      <c r="O1039" t="s">
        <v>3054</v>
      </c>
      <c r="P1039" t="s">
        <v>65</v>
      </c>
      <c r="Q1039" t="s">
        <v>65</v>
      </c>
      <c r="R1039">
        <v>42450.923252314817</v>
      </c>
      <c r="S1039">
        <v>42941.957314814812</v>
      </c>
      <c r="T1039" t="s">
        <v>288</v>
      </c>
      <c r="U1039" t="s">
        <v>35</v>
      </c>
      <c r="V1039" t="s">
        <v>35</v>
      </c>
      <c r="W1039" t="s">
        <v>133</v>
      </c>
    </row>
    <row r="1040" spans="1:23" x14ac:dyDescent="0.25">
      <c r="A1040" t="s">
        <v>633</v>
      </c>
      <c r="B1040" s="19">
        <v>10297</v>
      </c>
      <c r="C1040" s="2">
        <f>HYPERLINK(URLs!B36 &amp; 79210,79210)</f>
        <v>79210</v>
      </c>
      <c r="D1040" t="s">
        <v>3052</v>
      </c>
      <c r="E1040" t="s">
        <v>433</v>
      </c>
      <c r="F1040" t="s">
        <v>305</v>
      </c>
      <c r="G1040" t="s">
        <v>337</v>
      </c>
      <c r="H1040" t="s">
        <v>30</v>
      </c>
      <c r="I1040" t="s">
        <v>68</v>
      </c>
      <c r="J1040" t="s">
        <v>43</v>
      </c>
      <c r="K1040" t="s">
        <v>33</v>
      </c>
      <c r="L1040" t="s">
        <v>2529</v>
      </c>
      <c r="M1040" t="s">
        <v>266</v>
      </c>
      <c r="N1040" t="s">
        <v>46</v>
      </c>
      <c r="P1040" t="s">
        <v>65</v>
      </c>
      <c r="Q1040" t="s">
        <v>65</v>
      </c>
      <c r="R1040">
        <v>42450.923229166663</v>
      </c>
      <c r="S1040">
        <v>42929.391863425924</v>
      </c>
      <c r="T1040" t="s">
        <v>288</v>
      </c>
      <c r="U1040" t="s">
        <v>35</v>
      </c>
      <c r="V1040" t="s">
        <v>35</v>
      </c>
      <c r="W1040" t="s">
        <v>4155</v>
      </c>
    </row>
    <row r="1041" spans="1:23" x14ac:dyDescent="0.25">
      <c r="A1041" t="s">
        <v>633</v>
      </c>
      <c r="B1041" s="19">
        <v>10297</v>
      </c>
      <c r="C1041" s="2">
        <f>HYPERLINK(URLs!B36 &amp; 78742,78742)</f>
        <v>78742</v>
      </c>
      <c r="D1041" t="s">
        <v>3009</v>
      </c>
      <c r="E1041" t="s">
        <v>53</v>
      </c>
      <c r="F1041" t="s">
        <v>305</v>
      </c>
      <c r="G1041" t="s">
        <v>353</v>
      </c>
      <c r="H1041" t="s">
        <v>30</v>
      </c>
      <c r="I1041" t="s">
        <v>68</v>
      </c>
      <c r="J1041" t="s">
        <v>43</v>
      </c>
      <c r="K1041" t="s">
        <v>33</v>
      </c>
      <c r="L1041" t="s">
        <v>34</v>
      </c>
      <c r="M1041" t="s">
        <v>266</v>
      </c>
      <c r="N1041" t="s">
        <v>46</v>
      </c>
      <c r="O1041" t="s">
        <v>3010</v>
      </c>
      <c r="P1041" t="s">
        <v>75</v>
      </c>
      <c r="Q1041" t="s">
        <v>65</v>
      </c>
      <c r="R1041">
        <v>42443.64775462963</v>
      </c>
      <c r="S1041">
        <v>43009.125081018516</v>
      </c>
      <c r="T1041" t="s">
        <v>1</v>
      </c>
      <c r="U1041" t="s">
        <v>35</v>
      </c>
      <c r="V1041" t="s">
        <v>35</v>
      </c>
      <c r="W1041" t="s">
        <v>4098</v>
      </c>
    </row>
    <row r="1042" spans="1:23" x14ac:dyDescent="0.25">
      <c r="A1042" t="s">
        <v>633</v>
      </c>
      <c r="B1042" s="19">
        <v>10354</v>
      </c>
      <c r="C1042" s="2">
        <f>HYPERLINK(URLs!B36 &amp; 80589,80589)</f>
        <v>80589</v>
      </c>
      <c r="D1042" t="s">
        <v>2964</v>
      </c>
      <c r="E1042" t="s">
        <v>136</v>
      </c>
      <c r="F1042" t="s">
        <v>305</v>
      </c>
      <c r="G1042" t="s">
        <v>353</v>
      </c>
      <c r="H1042" t="s">
        <v>30</v>
      </c>
      <c r="I1042" t="s">
        <v>31</v>
      </c>
      <c r="J1042" t="s">
        <v>32</v>
      </c>
      <c r="K1042" t="s">
        <v>44</v>
      </c>
      <c r="L1042" t="s">
        <v>106</v>
      </c>
      <c r="M1042" t="s">
        <v>270</v>
      </c>
      <c r="N1042" t="s">
        <v>46</v>
      </c>
      <c r="P1042" t="s">
        <v>65</v>
      </c>
      <c r="Q1042" t="s">
        <v>394</v>
      </c>
      <c r="R1042">
        <v>42471.664340277777</v>
      </c>
      <c r="S1042">
        <v>42678.648564814815</v>
      </c>
      <c r="T1042" t="s">
        <v>288</v>
      </c>
      <c r="U1042" t="s">
        <v>35</v>
      </c>
      <c r="V1042" t="s">
        <v>35</v>
      </c>
      <c r="W1042" t="s">
        <v>4156</v>
      </c>
    </row>
    <row r="1043" spans="1:23" x14ac:dyDescent="0.25">
      <c r="A1043" t="s">
        <v>633</v>
      </c>
      <c r="B1043" s="19">
        <v>10354</v>
      </c>
      <c r="C1043" s="2">
        <f>HYPERLINK(URLs!B36 &amp; 77807,77807)</f>
        <v>77807</v>
      </c>
      <c r="D1043" t="s">
        <v>2964</v>
      </c>
      <c r="E1043" t="s">
        <v>136</v>
      </c>
      <c r="F1043" t="s">
        <v>305</v>
      </c>
      <c r="G1043" t="s">
        <v>304</v>
      </c>
      <c r="H1043" t="s">
        <v>30</v>
      </c>
      <c r="I1043" t="s">
        <v>31</v>
      </c>
      <c r="J1043" t="s">
        <v>32</v>
      </c>
      <c r="K1043" t="s">
        <v>44</v>
      </c>
      <c r="L1043" t="s">
        <v>106</v>
      </c>
      <c r="M1043" t="s">
        <v>270</v>
      </c>
      <c r="N1043" t="s">
        <v>46</v>
      </c>
      <c r="P1043" t="s">
        <v>65</v>
      </c>
      <c r="Q1043" t="s">
        <v>1503</v>
      </c>
      <c r="R1043">
        <v>42426.65587962963</v>
      </c>
      <c r="S1043">
        <v>42580.782453703701</v>
      </c>
      <c r="T1043" t="s">
        <v>288</v>
      </c>
      <c r="U1043" t="s">
        <v>3965</v>
      </c>
      <c r="V1043" t="s">
        <v>35</v>
      </c>
      <c r="W1043" t="s">
        <v>77</v>
      </c>
    </row>
    <row r="1044" spans="1:23" x14ac:dyDescent="0.25">
      <c r="A1044" t="s">
        <v>633</v>
      </c>
      <c r="B1044" s="19">
        <v>10354</v>
      </c>
      <c r="C1044" s="2">
        <f>HYPERLINK(URLs!B36 &amp; 77806,77806)</f>
        <v>77806</v>
      </c>
      <c r="D1044" t="s">
        <v>2963</v>
      </c>
      <c r="E1044" t="s">
        <v>136</v>
      </c>
      <c r="F1044" t="s">
        <v>305</v>
      </c>
      <c r="G1044" t="s">
        <v>304</v>
      </c>
      <c r="H1044" t="s">
        <v>30</v>
      </c>
      <c r="I1044" t="s">
        <v>31</v>
      </c>
      <c r="J1044" t="s">
        <v>32</v>
      </c>
      <c r="K1044" t="s">
        <v>44</v>
      </c>
      <c r="L1044" t="s">
        <v>106</v>
      </c>
      <c r="M1044" t="s">
        <v>270</v>
      </c>
      <c r="N1044" t="s">
        <v>60</v>
      </c>
      <c r="P1044" t="s">
        <v>65</v>
      </c>
      <c r="Q1044" t="s">
        <v>1503</v>
      </c>
      <c r="R1044">
        <v>42426.655868055554</v>
      </c>
      <c r="S1044">
        <v>42674.761203703703</v>
      </c>
      <c r="T1044" t="s">
        <v>288</v>
      </c>
      <c r="U1044" t="s">
        <v>3969</v>
      </c>
      <c r="V1044" t="s">
        <v>35</v>
      </c>
      <c r="W1044" t="s">
        <v>133</v>
      </c>
    </row>
    <row r="1045" spans="1:23" x14ac:dyDescent="0.25">
      <c r="A1045" t="s">
        <v>633</v>
      </c>
      <c r="B1045" s="19">
        <v>10354</v>
      </c>
      <c r="C1045" s="2">
        <f>HYPERLINK(URLs!B36 &amp; 77745,77745)</f>
        <v>77745</v>
      </c>
      <c r="D1045" t="s">
        <v>357</v>
      </c>
      <c r="E1045" t="s">
        <v>136</v>
      </c>
      <c r="F1045" t="s">
        <v>305</v>
      </c>
      <c r="G1045" t="s">
        <v>304</v>
      </c>
      <c r="H1045" t="s">
        <v>30</v>
      </c>
      <c r="I1045" t="s">
        <v>31</v>
      </c>
      <c r="J1045" t="s">
        <v>32</v>
      </c>
      <c r="K1045" t="s">
        <v>44</v>
      </c>
      <c r="L1045" t="s">
        <v>106</v>
      </c>
      <c r="M1045" t="s">
        <v>270</v>
      </c>
      <c r="N1045" t="s">
        <v>46</v>
      </c>
      <c r="P1045" t="s">
        <v>65</v>
      </c>
      <c r="Q1045" t="s">
        <v>65</v>
      </c>
      <c r="R1045">
        <v>42425.69736111111</v>
      </c>
      <c r="S1045">
        <v>43187.158414351848</v>
      </c>
      <c r="T1045" t="s">
        <v>1</v>
      </c>
      <c r="U1045" t="s">
        <v>35</v>
      </c>
      <c r="V1045" t="s">
        <v>35</v>
      </c>
      <c r="W1045" t="s">
        <v>4098</v>
      </c>
    </row>
    <row r="1046" spans="1:23" x14ac:dyDescent="0.25">
      <c r="A1046" t="s">
        <v>633</v>
      </c>
      <c r="B1046" s="19">
        <v>10375</v>
      </c>
      <c r="C1046" s="2">
        <f>HYPERLINK(URLs!B36 &amp; 78779,78779)</f>
        <v>78779</v>
      </c>
      <c r="D1046" t="s">
        <v>3024</v>
      </c>
      <c r="E1046" t="s">
        <v>2960</v>
      </c>
      <c r="F1046" t="s">
        <v>305</v>
      </c>
      <c r="G1046" t="s">
        <v>337</v>
      </c>
      <c r="H1046" t="s">
        <v>30</v>
      </c>
      <c r="I1046" t="s">
        <v>31</v>
      </c>
      <c r="J1046" t="s">
        <v>32</v>
      </c>
      <c r="K1046" t="s">
        <v>33</v>
      </c>
      <c r="L1046" t="s">
        <v>73</v>
      </c>
      <c r="M1046" t="s">
        <v>273</v>
      </c>
      <c r="N1046" t="s">
        <v>46</v>
      </c>
      <c r="P1046" t="s">
        <v>61</v>
      </c>
      <c r="Q1046" t="s">
        <v>61</v>
      </c>
      <c r="R1046">
        <v>42444.201226851852</v>
      </c>
      <c r="S1046">
        <v>42709.761886574073</v>
      </c>
      <c r="T1046" t="s">
        <v>317</v>
      </c>
      <c r="U1046" t="s">
        <v>35</v>
      </c>
      <c r="V1046" t="s">
        <v>321</v>
      </c>
      <c r="W1046" t="s">
        <v>4156</v>
      </c>
    </row>
    <row r="1047" spans="1:23" x14ac:dyDescent="0.25">
      <c r="A1047" t="s">
        <v>633</v>
      </c>
      <c r="B1047" s="19">
        <v>10375</v>
      </c>
      <c r="C1047" s="2">
        <f>HYPERLINK(URLs!B36 &amp; 77773,77773)</f>
        <v>77773</v>
      </c>
      <c r="D1047" t="s">
        <v>2959</v>
      </c>
      <c r="E1047" t="s">
        <v>2960</v>
      </c>
      <c r="F1047" t="s">
        <v>305</v>
      </c>
      <c r="G1047" t="s">
        <v>337</v>
      </c>
      <c r="H1047" t="s">
        <v>54</v>
      </c>
      <c r="I1047" t="s">
        <v>31</v>
      </c>
      <c r="J1047" t="s">
        <v>32</v>
      </c>
      <c r="K1047" t="s">
        <v>33</v>
      </c>
      <c r="L1047" t="s">
        <v>73</v>
      </c>
      <c r="M1047" t="s">
        <v>263</v>
      </c>
      <c r="N1047" t="s">
        <v>60</v>
      </c>
      <c r="O1047" t="s">
        <v>2961</v>
      </c>
      <c r="P1047" t="s">
        <v>61</v>
      </c>
      <c r="Q1047" t="s">
        <v>2481</v>
      </c>
      <c r="R1047">
        <v>42426.315775462965</v>
      </c>
      <c r="S1047">
        <v>42941.867928240739</v>
      </c>
      <c r="T1047" t="s">
        <v>317</v>
      </c>
      <c r="U1047" t="s">
        <v>35</v>
      </c>
      <c r="V1047" t="s">
        <v>321</v>
      </c>
      <c r="W1047" t="s">
        <v>133</v>
      </c>
    </row>
    <row r="1048" spans="1:23" x14ac:dyDescent="0.25">
      <c r="A1048" t="s">
        <v>633</v>
      </c>
      <c r="B1048" s="19">
        <v>10404</v>
      </c>
      <c r="C1048" s="2">
        <f>HYPERLINK(URLs!B36 &amp; 78773,78773)</f>
        <v>78773</v>
      </c>
      <c r="D1048" t="s">
        <v>3019</v>
      </c>
      <c r="E1048" t="s">
        <v>2972</v>
      </c>
      <c r="F1048" t="s">
        <v>305</v>
      </c>
      <c r="G1048" t="s">
        <v>337</v>
      </c>
      <c r="H1048" t="s">
        <v>54</v>
      </c>
      <c r="I1048" t="s">
        <v>31</v>
      </c>
      <c r="J1048" t="s">
        <v>32</v>
      </c>
      <c r="K1048" t="s">
        <v>44</v>
      </c>
      <c r="L1048" t="s">
        <v>73</v>
      </c>
      <c r="M1048" t="s">
        <v>273</v>
      </c>
      <c r="N1048" t="s">
        <v>60</v>
      </c>
      <c r="P1048" t="s">
        <v>65</v>
      </c>
      <c r="Q1048" t="s">
        <v>65</v>
      </c>
      <c r="R1048">
        <v>42444.178761574076</v>
      </c>
      <c r="S1048">
        <v>42612.789212962962</v>
      </c>
      <c r="T1048" t="s">
        <v>317</v>
      </c>
      <c r="U1048" t="s">
        <v>35</v>
      </c>
      <c r="V1048" t="s">
        <v>35</v>
      </c>
      <c r="W1048" t="s">
        <v>4156</v>
      </c>
    </row>
    <row r="1049" spans="1:23" x14ac:dyDescent="0.25">
      <c r="A1049" t="s">
        <v>633</v>
      </c>
      <c r="B1049" s="19">
        <v>10404</v>
      </c>
      <c r="C1049" s="2">
        <f>HYPERLINK(URLs!B36 &amp; 78079,78079)</f>
        <v>78079</v>
      </c>
      <c r="D1049" t="s">
        <v>2974</v>
      </c>
      <c r="E1049" t="s">
        <v>2972</v>
      </c>
      <c r="F1049" t="s">
        <v>305</v>
      </c>
      <c r="G1049" t="s">
        <v>304</v>
      </c>
      <c r="H1049" t="s">
        <v>30</v>
      </c>
      <c r="I1049" t="s">
        <v>31</v>
      </c>
      <c r="J1049" t="s">
        <v>32</v>
      </c>
      <c r="K1049" t="s">
        <v>44</v>
      </c>
      <c r="L1049" t="s">
        <v>73</v>
      </c>
      <c r="M1049" t="s">
        <v>273</v>
      </c>
      <c r="N1049" t="s">
        <v>60</v>
      </c>
      <c r="P1049" t="s">
        <v>65</v>
      </c>
      <c r="Q1049" t="s">
        <v>1503</v>
      </c>
      <c r="R1049">
        <v>42431.816828703704</v>
      </c>
      <c r="S1049">
        <v>42949.019814814812</v>
      </c>
      <c r="T1049" t="s">
        <v>317</v>
      </c>
      <c r="U1049" t="s">
        <v>35</v>
      </c>
      <c r="V1049" t="s">
        <v>35</v>
      </c>
      <c r="W1049" t="s">
        <v>69</v>
      </c>
    </row>
    <row r="1050" spans="1:23" x14ac:dyDescent="0.25">
      <c r="A1050" t="s">
        <v>633</v>
      </c>
      <c r="B1050" s="19">
        <v>10404</v>
      </c>
      <c r="C1050" s="2">
        <f>HYPERLINK(URLs!B36 &amp; 78078,78078)</f>
        <v>78078</v>
      </c>
      <c r="D1050" t="s">
        <v>2971</v>
      </c>
      <c r="E1050" t="s">
        <v>2972</v>
      </c>
      <c r="F1050" t="s">
        <v>305</v>
      </c>
      <c r="G1050" t="s">
        <v>304</v>
      </c>
      <c r="H1050" t="s">
        <v>30</v>
      </c>
      <c r="I1050" t="s">
        <v>31</v>
      </c>
      <c r="J1050" t="s">
        <v>32</v>
      </c>
      <c r="K1050" t="s">
        <v>44</v>
      </c>
      <c r="L1050" t="s">
        <v>73</v>
      </c>
      <c r="M1050" t="s">
        <v>273</v>
      </c>
      <c r="N1050" t="s">
        <v>60</v>
      </c>
      <c r="P1050" t="s">
        <v>65</v>
      </c>
      <c r="Q1050" t="s">
        <v>2973</v>
      </c>
      <c r="R1050">
        <v>42431.816712962966</v>
      </c>
      <c r="S1050">
        <v>42839.940381944441</v>
      </c>
      <c r="T1050" t="s">
        <v>317</v>
      </c>
      <c r="U1050" t="s">
        <v>3975</v>
      </c>
      <c r="V1050" t="s">
        <v>35</v>
      </c>
      <c r="W1050" t="s">
        <v>133</v>
      </c>
    </row>
    <row r="1051" spans="1:23" x14ac:dyDescent="0.25">
      <c r="A1051" t="s">
        <v>633</v>
      </c>
      <c r="B1051" s="19">
        <v>10404</v>
      </c>
      <c r="C1051" s="2">
        <f>HYPERLINK(URLs!B36 &amp; 77990,77990)</f>
        <v>77990</v>
      </c>
      <c r="D1051" t="s">
        <v>356</v>
      </c>
      <c r="E1051" t="s">
        <v>330</v>
      </c>
      <c r="F1051" t="s">
        <v>305</v>
      </c>
      <c r="G1051" t="s">
        <v>304</v>
      </c>
      <c r="H1051" t="s">
        <v>30</v>
      </c>
      <c r="I1051" t="s">
        <v>31</v>
      </c>
      <c r="J1051" t="s">
        <v>32</v>
      </c>
      <c r="K1051" t="s">
        <v>44</v>
      </c>
      <c r="L1051" t="s">
        <v>73</v>
      </c>
      <c r="M1051" t="s">
        <v>273</v>
      </c>
      <c r="N1051" t="s">
        <v>60</v>
      </c>
      <c r="O1051" t="s">
        <v>355</v>
      </c>
      <c r="P1051" t="s">
        <v>65</v>
      </c>
      <c r="Q1051" t="s">
        <v>2481</v>
      </c>
      <c r="R1051">
        <v>42430.725231481483</v>
      </c>
      <c r="S1051">
        <v>42871.700069444443</v>
      </c>
      <c r="T1051" t="s">
        <v>1</v>
      </c>
      <c r="U1051" t="s">
        <v>35</v>
      </c>
      <c r="V1051" t="s">
        <v>35</v>
      </c>
      <c r="W1051" t="s">
        <v>4098</v>
      </c>
    </row>
    <row r="1052" spans="1:23" x14ac:dyDescent="0.25">
      <c r="A1052" t="s">
        <v>633</v>
      </c>
      <c r="B1052" s="19">
        <v>10408</v>
      </c>
      <c r="C1052" s="2">
        <f>HYPERLINK(URLs!B36 &amp; 78320,78320)</f>
        <v>78320</v>
      </c>
      <c r="D1052" t="s">
        <v>2980</v>
      </c>
      <c r="E1052" t="s">
        <v>1</v>
      </c>
      <c r="F1052" t="s">
        <v>305</v>
      </c>
      <c r="G1052" t="s">
        <v>328</v>
      </c>
      <c r="H1052" t="s">
        <v>30</v>
      </c>
      <c r="I1052" t="s">
        <v>31</v>
      </c>
      <c r="J1052" t="s">
        <v>32</v>
      </c>
      <c r="K1052" t="s">
        <v>33</v>
      </c>
      <c r="L1052" t="s">
        <v>73</v>
      </c>
      <c r="M1052" t="s">
        <v>263</v>
      </c>
      <c r="N1052" t="s">
        <v>60</v>
      </c>
      <c r="O1052" t="s">
        <v>2981</v>
      </c>
      <c r="P1052" t="s">
        <v>65</v>
      </c>
      <c r="Q1052" t="s">
        <v>65</v>
      </c>
      <c r="R1052">
        <v>42436.653553240743</v>
      </c>
      <c r="S1052">
        <v>42759.631076388891</v>
      </c>
      <c r="T1052" t="s">
        <v>53</v>
      </c>
      <c r="U1052" t="s">
        <v>35</v>
      </c>
      <c r="V1052" t="s">
        <v>35</v>
      </c>
      <c r="W1052" t="s">
        <v>69</v>
      </c>
    </row>
    <row r="1053" spans="1:23" x14ac:dyDescent="0.25">
      <c r="A1053" t="s">
        <v>633</v>
      </c>
      <c r="B1053" s="19">
        <v>10408</v>
      </c>
      <c r="C1053" s="2">
        <f>HYPERLINK(URLs!B36 &amp; 78319,78319)</f>
        <v>78319</v>
      </c>
      <c r="D1053" t="s">
        <v>2979</v>
      </c>
      <c r="E1053" t="s">
        <v>1</v>
      </c>
      <c r="F1053" t="s">
        <v>305</v>
      </c>
      <c r="G1053" t="s">
        <v>328</v>
      </c>
      <c r="H1053" t="s">
        <v>30</v>
      </c>
      <c r="I1053" t="s">
        <v>31</v>
      </c>
      <c r="J1053" t="s">
        <v>32</v>
      </c>
      <c r="K1053" t="s">
        <v>33</v>
      </c>
      <c r="L1053" t="s">
        <v>73</v>
      </c>
      <c r="M1053" t="s">
        <v>263</v>
      </c>
      <c r="N1053" t="s">
        <v>60</v>
      </c>
      <c r="P1053" t="s">
        <v>65</v>
      </c>
      <c r="Q1053" t="s">
        <v>65</v>
      </c>
      <c r="R1053">
        <v>42436.653483796297</v>
      </c>
      <c r="S1053">
        <v>42759.631342592591</v>
      </c>
      <c r="T1053" t="s">
        <v>53</v>
      </c>
      <c r="U1053" t="s">
        <v>35</v>
      </c>
      <c r="V1053" t="s">
        <v>35</v>
      </c>
      <c r="W1053" t="s">
        <v>133</v>
      </c>
    </row>
    <row r="1054" spans="1:23" x14ac:dyDescent="0.25">
      <c r="A1054" t="s">
        <v>633</v>
      </c>
      <c r="B1054" s="19">
        <v>10408</v>
      </c>
      <c r="C1054" s="2">
        <f>HYPERLINK(URLs!B36 &amp; 78318,78318)</f>
        <v>78318</v>
      </c>
      <c r="D1054" t="s">
        <v>2978</v>
      </c>
      <c r="E1054" t="s">
        <v>1</v>
      </c>
      <c r="F1054" t="s">
        <v>305</v>
      </c>
      <c r="G1054" t="s">
        <v>328</v>
      </c>
      <c r="H1054" t="s">
        <v>54</v>
      </c>
      <c r="I1054" t="s">
        <v>31</v>
      </c>
      <c r="J1054" t="s">
        <v>32</v>
      </c>
      <c r="K1054" t="s">
        <v>33</v>
      </c>
      <c r="L1054" t="s">
        <v>73</v>
      </c>
      <c r="M1054" t="s">
        <v>263</v>
      </c>
      <c r="N1054" t="s">
        <v>60</v>
      </c>
      <c r="P1054" t="s">
        <v>65</v>
      </c>
      <c r="Q1054" t="s">
        <v>65</v>
      </c>
      <c r="R1054">
        <v>42436.653414351851</v>
      </c>
      <c r="S1054">
        <v>42535.676655092589</v>
      </c>
      <c r="T1054" t="s">
        <v>53</v>
      </c>
      <c r="U1054" t="s">
        <v>35</v>
      </c>
      <c r="V1054" t="s">
        <v>35</v>
      </c>
      <c r="W1054" t="s">
        <v>4156</v>
      </c>
    </row>
    <row r="1055" spans="1:23" x14ac:dyDescent="0.25">
      <c r="A1055" t="s">
        <v>633</v>
      </c>
      <c r="B1055" s="19">
        <v>10408</v>
      </c>
      <c r="C1055" s="2">
        <f>HYPERLINK(URLs!B36 &amp; 78012,78012)</f>
        <v>78012</v>
      </c>
      <c r="D1055" t="s">
        <v>2970</v>
      </c>
      <c r="E1055" t="s">
        <v>1</v>
      </c>
      <c r="F1055" t="s">
        <v>305</v>
      </c>
      <c r="G1055" t="s">
        <v>328</v>
      </c>
      <c r="H1055" t="s">
        <v>30</v>
      </c>
      <c r="I1055" t="s">
        <v>31</v>
      </c>
      <c r="J1055" t="s">
        <v>32</v>
      </c>
      <c r="K1055" t="s">
        <v>33</v>
      </c>
      <c r="L1055" t="s">
        <v>73</v>
      </c>
      <c r="M1055" t="s">
        <v>263</v>
      </c>
      <c r="N1055" t="s">
        <v>60</v>
      </c>
      <c r="P1055" t="s">
        <v>65</v>
      </c>
      <c r="Q1055" t="s">
        <v>65</v>
      </c>
      <c r="R1055">
        <v>42430.8362037037</v>
      </c>
      <c r="S1055">
        <v>42759.630960648145</v>
      </c>
      <c r="T1055" t="s">
        <v>1</v>
      </c>
      <c r="U1055" t="s">
        <v>35</v>
      </c>
      <c r="V1055" t="s">
        <v>35</v>
      </c>
      <c r="W1055" t="s">
        <v>4098</v>
      </c>
    </row>
    <row r="1056" spans="1:23" x14ac:dyDescent="0.25">
      <c r="A1056" t="s">
        <v>633</v>
      </c>
      <c r="B1056" s="19">
        <v>10408</v>
      </c>
      <c r="C1056" s="2">
        <f>HYPERLINK(URLs!B36 &amp; 67212,67212)</f>
        <v>67212</v>
      </c>
      <c r="D1056" t="s">
        <v>2627</v>
      </c>
      <c r="E1056" t="s">
        <v>72</v>
      </c>
      <c r="F1056" t="s">
        <v>305</v>
      </c>
      <c r="G1056" t="s">
        <v>337</v>
      </c>
      <c r="H1056" t="s">
        <v>30</v>
      </c>
      <c r="I1056" t="s">
        <v>31</v>
      </c>
      <c r="J1056" t="s">
        <v>32</v>
      </c>
      <c r="K1056" t="s">
        <v>33</v>
      </c>
      <c r="L1056" t="s">
        <v>73</v>
      </c>
      <c r="M1056" t="s">
        <v>263</v>
      </c>
      <c r="N1056" t="s">
        <v>46</v>
      </c>
      <c r="P1056" t="s">
        <v>47</v>
      </c>
      <c r="Q1056" t="s">
        <v>47</v>
      </c>
      <c r="R1056">
        <v>42233.769247685188</v>
      </c>
      <c r="S1056">
        <v>42759.723240740743</v>
      </c>
      <c r="T1056" t="s">
        <v>317</v>
      </c>
      <c r="U1056" t="s">
        <v>35</v>
      </c>
      <c r="V1056" t="s">
        <v>321</v>
      </c>
      <c r="W1056" t="s">
        <v>3028</v>
      </c>
    </row>
    <row r="1057" spans="1:23" x14ac:dyDescent="0.25">
      <c r="B1057" s="19">
        <v>10414</v>
      </c>
      <c r="C1057" s="2">
        <f>HYPERLINK(URLs!B36 &amp; 78022,78022)</f>
        <v>78022</v>
      </c>
      <c r="D1057" t="s">
        <v>3898</v>
      </c>
      <c r="E1057" t="s">
        <v>3899</v>
      </c>
      <c r="F1057" t="s">
        <v>305</v>
      </c>
      <c r="G1057" t="s">
        <v>310</v>
      </c>
      <c r="H1057" t="s">
        <v>30</v>
      </c>
      <c r="I1057" t="s">
        <v>57</v>
      </c>
      <c r="J1057" t="s">
        <v>58</v>
      </c>
      <c r="K1057" t="s">
        <v>33</v>
      </c>
      <c r="L1057" t="s">
        <v>34</v>
      </c>
      <c r="M1057" t="s">
        <v>3780</v>
      </c>
      <c r="N1057" t="s">
        <v>46</v>
      </c>
      <c r="P1057" t="s">
        <v>3000</v>
      </c>
      <c r="Q1057" t="s">
        <v>3000</v>
      </c>
      <c r="R1057">
        <v>42431.203576388885</v>
      </c>
      <c r="S1057">
        <v>42678.651597222219</v>
      </c>
      <c r="T1057" t="s">
        <v>4</v>
      </c>
      <c r="U1057" t="s">
        <v>35</v>
      </c>
      <c r="V1057" t="s">
        <v>35</v>
      </c>
      <c r="W1057" t="s">
        <v>3028</v>
      </c>
    </row>
    <row r="1058" spans="1:23" x14ac:dyDescent="0.25">
      <c r="A1058" t="s">
        <v>633</v>
      </c>
      <c r="B1058" s="19">
        <v>10471</v>
      </c>
      <c r="C1058" s="2">
        <f>HYPERLINK(URLs!B36 &amp; 78774,78774)</f>
        <v>78774</v>
      </c>
      <c r="D1058" t="s">
        <v>3020</v>
      </c>
      <c r="E1058" t="s">
        <v>291</v>
      </c>
      <c r="F1058" t="s">
        <v>305</v>
      </c>
      <c r="G1058" t="s">
        <v>353</v>
      </c>
      <c r="H1058" t="s">
        <v>116</v>
      </c>
      <c r="I1058" t="s">
        <v>31</v>
      </c>
      <c r="J1058" t="s">
        <v>43</v>
      </c>
      <c r="K1058" t="s">
        <v>51</v>
      </c>
      <c r="L1058" t="s">
        <v>73</v>
      </c>
      <c r="M1058" t="s">
        <v>263</v>
      </c>
      <c r="N1058" t="s">
        <v>46</v>
      </c>
      <c r="P1058" t="s">
        <v>65</v>
      </c>
      <c r="Q1058" t="s">
        <v>65</v>
      </c>
      <c r="R1058">
        <v>42444.17895833333</v>
      </c>
      <c r="S1058">
        <v>42678.651631944442</v>
      </c>
      <c r="T1058" t="s">
        <v>317</v>
      </c>
      <c r="U1058" t="s">
        <v>35</v>
      </c>
      <c r="V1058" t="s">
        <v>35</v>
      </c>
      <c r="W1058" t="s">
        <v>4156</v>
      </c>
    </row>
    <row r="1059" spans="1:23" x14ac:dyDescent="0.25">
      <c r="A1059" t="s">
        <v>633</v>
      </c>
      <c r="B1059" s="19">
        <v>10471</v>
      </c>
      <c r="C1059" s="2">
        <f>HYPERLINK(URLs!B36 &amp; 78438,78438)</f>
        <v>78438</v>
      </c>
      <c r="D1059" t="s">
        <v>2985</v>
      </c>
      <c r="E1059" t="s">
        <v>291</v>
      </c>
      <c r="F1059" t="s">
        <v>305</v>
      </c>
      <c r="G1059" t="s">
        <v>353</v>
      </c>
      <c r="H1059" t="s">
        <v>30</v>
      </c>
      <c r="I1059" t="s">
        <v>31</v>
      </c>
      <c r="J1059" t="s">
        <v>43</v>
      </c>
      <c r="K1059" t="s">
        <v>51</v>
      </c>
      <c r="L1059" t="s">
        <v>73</v>
      </c>
      <c r="M1059" t="s">
        <v>263</v>
      </c>
      <c r="N1059" t="s">
        <v>46</v>
      </c>
      <c r="P1059" t="s">
        <v>65</v>
      </c>
      <c r="Q1059" t="s">
        <v>159</v>
      </c>
      <c r="R1059">
        <v>42438.316377314812</v>
      </c>
      <c r="S1059">
        <v>42678.651539351849</v>
      </c>
      <c r="T1059" t="s">
        <v>317</v>
      </c>
      <c r="U1059" t="s">
        <v>35</v>
      </c>
      <c r="V1059" t="s">
        <v>35</v>
      </c>
      <c r="W1059" t="s">
        <v>69</v>
      </c>
    </row>
    <row r="1060" spans="1:23" x14ac:dyDescent="0.25">
      <c r="A1060" t="s">
        <v>633</v>
      </c>
      <c r="B1060" s="19">
        <v>10471</v>
      </c>
      <c r="C1060" s="2">
        <f>HYPERLINK(URLs!B36 &amp; 78437,78437)</f>
        <v>78437</v>
      </c>
      <c r="D1060" t="s">
        <v>2984</v>
      </c>
      <c r="E1060" t="s">
        <v>291</v>
      </c>
      <c r="F1060" t="s">
        <v>305</v>
      </c>
      <c r="G1060" t="s">
        <v>353</v>
      </c>
      <c r="H1060" t="s">
        <v>116</v>
      </c>
      <c r="I1060" t="s">
        <v>31</v>
      </c>
      <c r="J1060" t="s">
        <v>43</v>
      </c>
      <c r="K1060" t="s">
        <v>51</v>
      </c>
      <c r="L1060" t="s">
        <v>73</v>
      </c>
      <c r="M1060" t="s">
        <v>263</v>
      </c>
      <c r="N1060" t="s">
        <v>60</v>
      </c>
      <c r="P1060" t="s">
        <v>65</v>
      </c>
      <c r="Q1060" t="s">
        <v>159</v>
      </c>
      <c r="R1060">
        <v>42438.316284722219</v>
      </c>
      <c r="S1060">
        <v>42678.651678240742</v>
      </c>
      <c r="T1060" t="s">
        <v>317</v>
      </c>
      <c r="U1060" t="s">
        <v>35</v>
      </c>
      <c r="V1060" t="s">
        <v>35</v>
      </c>
      <c r="W1060" t="s">
        <v>133</v>
      </c>
    </row>
    <row r="1061" spans="1:23" x14ac:dyDescent="0.25">
      <c r="A1061" t="s">
        <v>633</v>
      </c>
      <c r="B1061" s="19">
        <v>10471</v>
      </c>
      <c r="C1061" s="2">
        <f>HYPERLINK(URLs!B36 &amp; 78423,78423)</f>
        <v>78423</v>
      </c>
      <c r="D1061" t="s">
        <v>354</v>
      </c>
      <c r="E1061" t="s">
        <v>291</v>
      </c>
      <c r="F1061" t="s">
        <v>305</v>
      </c>
      <c r="G1061" t="s">
        <v>353</v>
      </c>
      <c r="H1061" t="s">
        <v>30</v>
      </c>
      <c r="I1061" t="s">
        <v>31</v>
      </c>
      <c r="J1061" t="s">
        <v>43</v>
      </c>
      <c r="K1061" t="s">
        <v>51</v>
      </c>
      <c r="L1061" t="s">
        <v>73</v>
      </c>
      <c r="M1061" t="s">
        <v>263</v>
      </c>
      <c r="N1061" t="s">
        <v>46</v>
      </c>
      <c r="P1061" t="s">
        <v>65</v>
      </c>
      <c r="Q1061" t="s">
        <v>159</v>
      </c>
      <c r="R1061">
        <v>42437.936307870368</v>
      </c>
      <c r="S1061">
        <v>42678.651724537034</v>
      </c>
      <c r="T1061" t="s">
        <v>1</v>
      </c>
      <c r="U1061" t="s">
        <v>35</v>
      </c>
      <c r="V1061" t="s">
        <v>35</v>
      </c>
      <c r="W1061" t="s">
        <v>4098</v>
      </c>
    </row>
    <row r="1062" spans="1:23" x14ac:dyDescent="0.25">
      <c r="A1062" t="s">
        <v>633</v>
      </c>
      <c r="B1062" s="19">
        <v>10471</v>
      </c>
      <c r="C1062" s="2">
        <f>HYPERLINK(URLs!B36 &amp; 76263,76263)</f>
        <v>76263</v>
      </c>
      <c r="D1062" t="s">
        <v>2925</v>
      </c>
      <c r="E1062" t="s">
        <v>387</v>
      </c>
      <c r="F1062" t="s">
        <v>305</v>
      </c>
      <c r="G1062" t="s">
        <v>310</v>
      </c>
      <c r="H1062" t="s">
        <v>30</v>
      </c>
      <c r="I1062" t="s">
        <v>31</v>
      </c>
      <c r="J1062" t="s">
        <v>32</v>
      </c>
      <c r="K1062" t="s">
        <v>33</v>
      </c>
      <c r="L1062" t="s">
        <v>73</v>
      </c>
      <c r="M1062" t="s">
        <v>263</v>
      </c>
      <c r="N1062" t="s">
        <v>331</v>
      </c>
      <c r="P1062" t="s">
        <v>65</v>
      </c>
      <c r="Q1062" t="s">
        <v>2868</v>
      </c>
      <c r="R1062">
        <v>42397.824745370373</v>
      </c>
      <c r="S1062">
        <v>42678.65185185185</v>
      </c>
      <c r="T1062" t="s">
        <v>317</v>
      </c>
      <c r="U1062" t="s">
        <v>35</v>
      </c>
      <c r="V1062" t="s">
        <v>321</v>
      </c>
      <c r="W1062" t="s">
        <v>4156</v>
      </c>
    </row>
    <row r="1063" spans="1:23" x14ac:dyDescent="0.25">
      <c r="A1063" t="s">
        <v>633</v>
      </c>
      <c r="B1063" s="19">
        <v>10471</v>
      </c>
      <c r="C1063" s="2">
        <f>HYPERLINK(URLs!B36 &amp; 75241,75241)</f>
        <v>75241</v>
      </c>
      <c r="D1063" t="s">
        <v>2874</v>
      </c>
      <c r="E1063" t="s">
        <v>131</v>
      </c>
      <c r="F1063" t="s">
        <v>305</v>
      </c>
      <c r="G1063" t="s">
        <v>304</v>
      </c>
      <c r="H1063" t="s">
        <v>30</v>
      </c>
      <c r="I1063" t="s">
        <v>31</v>
      </c>
      <c r="J1063" t="s">
        <v>32</v>
      </c>
      <c r="K1063" t="s">
        <v>33</v>
      </c>
      <c r="L1063" t="s">
        <v>73</v>
      </c>
      <c r="M1063" t="s">
        <v>263</v>
      </c>
      <c r="N1063" t="s">
        <v>518</v>
      </c>
      <c r="P1063" t="s">
        <v>65</v>
      </c>
      <c r="Q1063" t="s">
        <v>2868</v>
      </c>
      <c r="R1063">
        <v>42384.983159722222</v>
      </c>
      <c r="S1063">
        <v>42709.765960648147</v>
      </c>
      <c r="T1063" t="s">
        <v>53</v>
      </c>
      <c r="U1063" t="s">
        <v>3966</v>
      </c>
      <c r="V1063" t="s">
        <v>321</v>
      </c>
      <c r="W1063" t="s">
        <v>75</v>
      </c>
    </row>
    <row r="1064" spans="1:23" x14ac:dyDescent="0.25">
      <c r="A1064" t="s">
        <v>633</v>
      </c>
      <c r="B1064" s="19">
        <v>10471</v>
      </c>
      <c r="C1064" s="2">
        <f>HYPERLINK(URLs!B36 &amp; 74825,74825)</f>
        <v>74825</v>
      </c>
      <c r="D1064" t="s">
        <v>2870</v>
      </c>
      <c r="E1064" t="s">
        <v>131</v>
      </c>
      <c r="F1064" t="s">
        <v>305</v>
      </c>
      <c r="G1064" t="s">
        <v>304</v>
      </c>
      <c r="H1064" t="s">
        <v>30</v>
      </c>
      <c r="I1064" t="s">
        <v>31</v>
      </c>
      <c r="J1064" t="s">
        <v>32</v>
      </c>
      <c r="K1064" t="s">
        <v>33</v>
      </c>
      <c r="L1064" t="s">
        <v>73</v>
      </c>
      <c r="M1064" t="s">
        <v>263</v>
      </c>
      <c r="N1064" t="s">
        <v>46</v>
      </c>
      <c r="P1064" t="s">
        <v>65</v>
      </c>
      <c r="Q1064" t="s">
        <v>2868</v>
      </c>
      <c r="R1064">
        <v>42374.814479166664</v>
      </c>
      <c r="S1064">
        <v>42648.764224537037</v>
      </c>
      <c r="T1064" t="s">
        <v>317</v>
      </c>
      <c r="U1064" t="s">
        <v>35</v>
      </c>
      <c r="V1064" t="s">
        <v>321</v>
      </c>
      <c r="W1064" t="s">
        <v>133</v>
      </c>
    </row>
    <row r="1065" spans="1:23" x14ac:dyDescent="0.25">
      <c r="A1065" t="s">
        <v>633</v>
      </c>
      <c r="B1065" s="19">
        <v>10471</v>
      </c>
      <c r="C1065" s="2">
        <f>HYPERLINK(URLs!B36 &amp; 74824,74824)</f>
        <v>74824</v>
      </c>
      <c r="D1065" t="s">
        <v>2869</v>
      </c>
      <c r="E1065" t="s">
        <v>387</v>
      </c>
      <c r="F1065" t="s">
        <v>305</v>
      </c>
      <c r="G1065" t="s">
        <v>337</v>
      </c>
      <c r="H1065" t="s">
        <v>30</v>
      </c>
      <c r="I1065" t="s">
        <v>31</v>
      </c>
      <c r="J1065" t="s">
        <v>32</v>
      </c>
      <c r="K1065" t="s">
        <v>33</v>
      </c>
      <c r="L1065" t="s">
        <v>73</v>
      </c>
      <c r="M1065" t="s">
        <v>263</v>
      </c>
      <c r="N1065" t="s">
        <v>331</v>
      </c>
      <c r="P1065" t="s">
        <v>65</v>
      </c>
      <c r="Q1065" t="s">
        <v>394</v>
      </c>
      <c r="R1065">
        <v>42374.814421296294</v>
      </c>
      <c r="S1065">
        <v>42678.651909722219</v>
      </c>
      <c r="T1065" t="s">
        <v>317</v>
      </c>
      <c r="U1065" t="s">
        <v>35</v>
      </c>
      <c r="V1065" t="s">
        <v>321</v>
      </c>
      <c r="W1065" t="s">
        <v>65</v>
      </c>
    </row>
    <row r="1066" spans="1:23" x14ac:dyDescent="0.25">
      <c r="A1066" t="s">
        <v>633</v>
      </c>
      <c r="B1066" s="19">
        <v>10471</v>
      </c>
      <c r="C1066" s="2">
        <f>HYPERLINK(URLs!B36 &amp; 74808,74808)</f>
        <v>74808</v>
      </c>
      <c r="D1066" t="s">
        <v>2867</v>
      </c>
      <c r="E1066" t="s">
        <v>131</v>
      </c>
      <c r="F1066" t="s">
        <v>305</v>
      </c>
      <c r="G1066" t="s">
        <v>304</v>
      </c>
      <c r="H1066" t="s">
        <v>30</v>
      </c>
      <c r="I1066" t="s">
        <v>31</v>
      </c>
      <c r="J1066" t="s">
        <v>32</v>
      </c>
      <c r="K1066" t="s">
        <v>33</v>
      </c>
      <c r="L1066" t="s">
        <v>73</v>
      </c>
      <c r="M1066" t="s">
        <v>263</v>
      </c>
      <c r="N1066" t="s">
        <v>331</v>
      </c>
      <c r="P1066" t="s">
        <v>65</v>
      </c>
      <c r="Q1066" t="s">
        <v>2868</v>
      </c>
      <c r="R1066">
        <v>42374.561168981483</v>
      </c>
      <c r="S1066">
        <v>42857.588587962964</v>
      </c>
      <c r="T1066" t="s">
        <v>332</v>
      </c>
      <c r="U1066" t="s">
        <v>35</v>
      </c>
      <c r="V1066" t="s">
        <v>321</v>
      </c>
      <c r="W1066" t="s">
        <v>4098</v>
      </c>
    </row>
    <row r="1067" spans="1:23" x14ac:dyDescent="0.25">
      <c r="A1067" t="s">
        <v>633</v>
      </c>
      <c r="B1067" s="19">
        <v>10483</v>
      </c>
      <c r="C1067" s="2">
        <f>HYPERLINK(URLs!B36 &amp; 78782,78782)</f>
        <v>78782</v>
      </c>
      <c r="D1067" t="s">
        <v>3025</v>
      </c>
      <c r="E1067" t="s">
        <v>330</v>
      </c>
      <c r="F1067" t="s">
        <v>305</v>
      </c>
      <c r="G1067" t="s">
        <v>337</v>
      </c>
      <c r="H1067" t="s">
        <v>30</v>
      </c>
      <c r="I1067" t="s">
        <v>68</v>
      </c>
      <c r="J1067" t="s">
        <v>43</v>
      </c>
      <c r="K1067" t="s">
        <v>33</v>
      </c>
      <c r="L1067" t="s">
        <v>73</v>
      </c>
      <c r="M1067" t="s">
        <v>263</v>
      </c>
      <c r="N1067" t="s">
        <v>46</v>
      </c>
      <c r="P1067" t="s">
        <v>65</v>
      </c>
      <c r="Q1067" t="s">
        <v>3026</v>
      </c>
      <c r="R1067">
        <v>42444.226539351854</v>
      </c>
      <c r="S1067">
        <v>42678.682013888887</v>
      </c>
      <c r="T1067" t="s">
        <v>317</v>
      </c>
      <c r="U1067" t="s">
        <v>35</v>
      </c>
      <c r="V1067" t="s">
        <v>35</v>
      </c>
      <c r="W1067" t="s">
        <v>4156</v>
      </c>
    </row>
    <row r="1068" spans="1:23" x14ac:dyDescent="0.25">
      <c r="A1068" t="s">
        <v>633</v>
      </c>
      <c r="B1068" s="19">
        <v>10483</v>
      </c>
      <c r="C1068" s="2">
        <f>HYPERLINK(URLs!B36 &amp; 78512,78512)</f>
        <v>78512</v>
      </c>
      <c r="D1068" t="s">
        <v>2992</v>
      </c>
      <c r="E1068" t="s">
        <v>2988</v>
      </c>
      <c r="F1068" t="s">
        <v>305</v>
      </c>
      <c r="G1068" t="s">
        <v>304</v>
      </c>
      <c r="H1068" t="s">
        <v>30</v>
      </c>
      <c r="I1068" t="s">
        <v>68</v>
      </c>
      <c r="J1068" t="s">
        <v>43</v>
      </c>
      <c r="K1068" t="s">
        <v>33</v>
      </c>
      <c r="L1068" t="s">
        <v>96</v>
      </c>
      <c r="M1068" t="s">
        <v>267</v>
      </c>
      <c r="N1068" t="s">
        <v>46</v>
      </c>
      <c r="P1068" t="s">
        <v>65</v>
      </c>
      <c r="Q1068" t="s">
        <v>65</v>
      </c>
      <c r="R1068">
        <v>42438.816284722219</v>
      </c>
      <c r="S1068">
        <v>42927.736400462964</v>
      </c>
      <c r="T1068" t="s">
        <v>317</v>
      </c>
      <c r="U1068" t="s">
        <v>35</v>
      </c>
      <c r="V1068" t="s">
        <v>35</v>
      </c>
      <c r="W1068" t="s">
        <v>69</v>
      </c>
    </row>
    <row r="1069" spans="1:23" x14ac:dyDescent="0.25">
      <c r="A1069" t="s">
        <v>633</v>
      </c>
      <c r="B1069" s="19">
        <v>10483</v>
      </c>
      <c r="C1069" s="2">
        <f>HYPERLINK(URLs!B36 &amp; 78511,78511)</f>
        <v>78511</v>
      </c>
      <c r="D1069" t="s">
        <v>2991</v>
      </c>
      <c r="E1069" t="s">
        <v>2988</v>
      </c>
      <c r="F1069" t="s">
        <v>305</v>
      </c>
      <c r="G1069" t="s">
        <v>304</v>
      </c>
      <c r="H1069" t="s">
        <v>30</v>
      </c>
      <c r="I1069" t="s">
        <v>68</v>
      </c>
      <c r="J1069" t="s">
        <v>43</v>
      </c>
      <c r="K1069" t="s">
        <v>33</v>
      </c>
      <c r="L1069" t="s">
        <v>73</v>
      </c>
      <c r="M1069" t="s">
        <v>263</v>
      </c>
      <c r="N1069" t="s">
        <v>60</v>
      </c>
      <c r="P1069" t="s">
        <v>65</v>
      </c>
      <c r="Q1069" t="s">
        <v>65</v>
      </c>
      <c r="R1069">
        <v>42438.816203703704</v>
      </c>
      <c r="S1069">
        <v>42774.79755787037</v>
      </c>
      <c r="T1069" t="s">
        <v>317</v>
      </c>
      <c r="U1069" t="s">
        <v>35</v>
      </c>
      <c r="V1069" t="s">
        <v>35</v>
      </c>
      <c r="W1069" t="s">
        <v>133</v>
      </c>
    </row>
    <row r="1070" spans="1:23" x14ac:dyDescent="0.25">
      <c r="A1070" t="s">
        <v>633</v>
      </c>
      <c r="B1070" s="19">
        <v>10483</v>
      </c>
      <c r="C1070" s="2">
        <f>HYPERLINK(URLs!B36 &amp; 78501,78501)</f>
        <v>78501</v>
      </c>
      <c r="D1070" t="s">
        <v>2987</v>
      </c>
      <c r="E1070" t="s">
        <v>2988</v>
      </c>
      <c r="F1070" t="s">
        <v>305</v>
      </c>
      <c r="G1070" t="s">
        <v>304</v>
      </c>
      <c r="H1070" t="s">
        <v>30</v>
      </c>
      <c r="I1070" t="s">
        <v>68</v>
      </c>
      <c r="J1070" t="s">
        <v>43</v>
      </c>
      <c r="K1070" t="s">
        <v>33</v>
      </c>
      <c r="L1070" t="s">
        <v>96</v>
      </c>
      <c r="M1070" t="s">
        <v>267</v>
      </c>
      <c r="N1070" t="s">
        <v>46</v>
      </c>
      <c r="P1070" t="s">
        <v>65</v>
      </c>
      <c r="Q1070" t="s">
        <v>65</v>
      </c>
      <c r="R1070">
        <v>42438.734282407408</v>
      </c>
      <c r="S1070">
        <v>42774.806145833332</v>
      </c>
      <c r="T1070" t="s">
        <v>1</v>
      </c>
      <c r="U1070" t="s">
        <v>35</v>
      </c>
      <c r="V1070" t="s">
        <v>35</v>
      </c>
      <c r="W1070" t="s">
        <v>4098</v>
      </c>
    </row>
    <row r="1071" spans="1:23" x14ac:dyDescent="0.25">
      <c r="A1071" t="s">
        <v>633</v>
      </c>
      <c r="B1071" s="19">
        <v>10484</v>
      </c>
      <c r="C1071" s="2">
        <f>HYPERLINK(URLs!B36 &amp; 78509,78509)</f>
        <v>78509</v>
      </c>
      <c r="D1071" t="s">
        <v>2990</v>
      </c>
      <c r="E1071" t="s">
        <v>53</v>
      </c>
      <c r="F1071" t="s">
        <v>305</v>
      </c>
      <c r="G1071" t="s">
        <v>1621</v>
      </c>
      <c r="H1071" t="s">
        <v>30</v>
      </c>
      <c r="I1071" t="s">
        <v>31</v>
      </c>
      <c r="J1071" t="s">
        <v>43</v>
      </c>
      <c r="K1071" t="s">
        <v>44</v>
      </c>
      <c r="L1071" t="s">
        <v>2529</v>
      </c>
      <c r="M1071" t="s">
        <v>266</v>
      </c>
      <c r="N1071" t="s">
        <v>60</v>
      </c>
      <c r="P1071" t="s">
        <v>65</v>
      </c>
      <c r="Q1071" t="s">
        <v>159</v>
      </c>
      <c r="R1071">
        <v>42438.797789351855</v>
      </c>
      <c r="S1071">
        <v>42642.542268518519</v>
      </c>
      <c r="T1071" t="s">
        <v>1</v>
      </c>
      <c r="U1071" t="s">
        <v>35</v>
      </c>
      <c r="V1071" t="s">
        <v>35</v>
      </c>
      <c r="W1071" t="s">
        <v>4126</v>
      </c>
    </row>
    <row r="1072" spans="1:23" x14ac:dyDescent="0.25">
      <c r="A1072" t="s">
        <v>633</v>
      </c>
      <c r="B1072" s="19">
        <v>10489</v>
      </c>
      <c r="C1072" s="2">
        <f>HYPERLINK(URLs!B36 &amp; 81916,81916)</f>
        <v>81916</v>
      </c>
      <c r="D1072" t="s">
        <v>3095</v>
      </c>
      <c r="E1072" t="s">
        <v>330</v>
      </c>
      <c r="F1072" t="s">
        <v>305</v>
      </c>
      <c r="G1072" t="s">
        <v>337</v>
      </c>
      <c r="H1072" t="s">
        <v>30</v>
      </c>
      <c r="I1072" t="s">
        <v>68</v>
      </c>
      <c r="J1072" t="s">
        <v>43</v>
      </c>
      <c r="K1072" t="s">
        <v>33</v>
      </c>
      <c r="L1072" t="s">
        <v>96</v>
      </c>
      <c r="M1072" t="s">
        <v>267</v>
      </c>
      <c r="N1072" t="s">
        <v>46</v>
      </c>
      <c r="P1072" t="s">
        <v>65</v>
      </c>
      <c r="Q1072" t="s">
        <v>3096</v>
      </c>
      <c r="R1072">
        <v>42488.804143518515</v>
      </c>
      <c r="S1072">
        <v>42678.681898148148</v>
      </c>
      <c r="T1072" t="s">
        <v>317</v>
      </c>
      <c r="U1072" t="s">
        <v>35</v>
      </c>
      <c r="V1072" t="s">
        <v>35</v>
      </c>
      <c r="W1072" t="s">
        <v>4156</v>
      </c>
    </row>
    <row r="1073" spans="1:23" x14ac:dyDescent="0.25">
      <c r="A1073" t="s">
        <v>633</v>
      </c>
      <c r="B1073" s="19">
        <v>10489</v>
      </c>
      <c r="C1073" s="2">
        <f>HYPERLINK(URLs!B36 &amp; 78958,78958)</f>
        <v>78958</v>
      </c>
      <c r="D1073" t="s">
        <v>3045</v>
      </c>
      <c r="E1073" t="s">
        <v>2988</v>
      </c>
      <c r="F1073" t="s">
        <v>305</v>
      </c>
      <c r="G1073" t="s">
        <v>304</v>
      </c>
      <c r="H1073" t="s">
        <v>30</v>
      </c>
      <c r="I1073" t="s">
        <v>68</v>
      </c>
      <c r="J1073" t="s">
        <v>43</v>
      </c>
      <c r="K1073" t="s">
        <v>33</v>
      </c>
      <c r="L1073" t="s">
        <v>96</v>
      </c>
      <c r="M1073" t="s">
        <v>267</v>
      </c>
      <c r="N1073" t="s">
        <v>46</v>
      </c>
      <c r="P1073" t="s">
        <v>65</v>
      </c>
      <c r="Q1073" t="s">
        <v>65</v>
      </c>
      <c r="R1073">
        <v>42445.774756944447</v>
      </c>
      <c r="S1073">
        <v>42927.737210648149</v>
      </c>
      <c r="T1073" t="s">
        <v>317</v>
      </c>
      <c r="U1073" t="s">
        <v>3976</v>
      </c>
      <c r="V1073" t="s">
        <v>35</v>
      </c>
      <c r="W1073" t="s">
        <v>69</v>
      </c>
    </row>
    <row r="1074" spans="1:23" x14ac:dyDescent="0.25">
      <c r="A1074" t="s">
        <v>633</v>
      </c>
      <c r="B1074" s="19">
        <v>10489</v>
      </c>
      <c r="C1074" s="2">
        <f>HYPERLINK(URLs!B36 &amp; 78957,78957)</f>
        <v>78957</v>
      </c>
      <c r="D1074" t="s">
        <v>3044</v>
      </c>
      <c r="E1074" t="s">
        <v>2988</v>
      </c>
      <c r="F1074" t="s">
        <v>305</v>
      </c>
      <c r="G1074" t="s">
        <v>337</v>
      </c>
      <c r="H1074" t="s">
        <v>30</v>
      </c>
      <c r="I1074" t="s">
        <v>68</v>
      </c>
      <c r="J1074" t="s">
        <v>43</v>
      </c>
      <c r="K1074" t="s">
        <v>33</v>
      </c>
      <c r="L1074" t="s">
        <v>96</v>
      </c>
      <c r="M1074" t="s">
        <v>267</v>
      </c>
      <c r="N1074" t="s">
        <v>46</v>
      </c>
      <c r="P1074" t="s">
        <v>65</v>
      </c>
      <c r="Q1074" t="s">
        <v>65</v>
      </c>
      <c r="R1074">
        <v>42445.774699074071</v>
      </c>
      <c r="S1074">
        <v>42772.974363425928</v>
      </c>
      <c r="T1074" t="s">
        <v>317</v>
      </c>
      <c r="U1074" t="s">
        <v>35</v>
      </c>
      <c r="V1074" t="s">
        <v>35</v>
      </c>
      <c r="W1074" t="s">
        <v>133</v>
      </c>
    </row>
    <row r="1075" spans="1:23" x14ac:dyDescent="0.25">
      <c r="A1075" t="s">
        <v>633</v>
      </c>
      <c r="B1075" s="19">
        <v>10489</v>
      </c>
      <c r="C1075" s="2">
        <f>HYPERLINK(URLs!B36 &amp; 78730,78730)</f>
        <v>78730</v>
      </c>
      <c r="D1075" t="s">
        <v>3008</v>
      </c>
      <c r="E1075" t="s">
        <v>2988</v>
      </c>
      <c r="F1075" t="s">
        <v>305</v>
      </c>
      <c r="G1075" t="s">
        <v>304</v>
      </c>
      <c r="H1075" t="s">
        <v>30</v>
      </c>
      <c r="I1075" t="s">
        <v>68</v>
      </c>
      <c r="J1075" t="s">
        <v>43</v>
      </c>
      <c r="K1075" t="s">
        <v>33</v>
      </c>
      <c r="L1075" t="s">
        <v>96</v>
      </c>
      <c r="M1075" t="s">
        <v>267</v>
      </c>
      <c r="N1075" t="s">
        <v>46</v>
      </c>
      <c r="P1075" t="s">
        <v>65</v>
      </c>
      <c r="Q1075" t="s">
        <v>528</v>
      </c>
      <c r="R1075">
        <v>42443.564375000002</v>
      </c>
      <c r="S1075">
        <v>43187.158599537041</v>
      </c>
      <c r="T1075" t="s">
        <v>288</v>
      </c>
      <c r="U1075" t="s">
        <v>35</v>
      </c>
      <c r="V1075" t="s">
        <v>35</v>
      </c>
      <c r="W1075" t="s">
        <v>4098</v>
      </c>
    </row>
    <row r="1076" spans="1:23" x14ac:dyDescent="0.25">
      <c r="A1076" t="s">
        <v>633</v>
      </c>
      <c r="B1076" s="19">
        <v>10489</v>
      </c>
      <c r="C1076" s="2">
        <f>HYPERLINK(URLs!B36 &amp; 78728,78728)</f>
        <v>78728</v>
      </c>
      <c r="D1076" t="s">
        <v>3007</v>
      </c>
      <c r="E1076" t="s">
        <v>136</v>
      </c>
      <c r="F1076" t="s">
        <v>305</v>
      </c>
      <c r="G1076" t="s">
        <v>304</v>
      </c>
      <c r="H1076" t="s">
        <v>30</v>
      </c>
      <c r="I1076" t="s">
        <v>68</v>
      </c>
      <c r="J1076" t="s">
        <v>43</v>
      </c>
      <c r="K1076" t="s">
        <v>33</v>
      </c>
      <c r="L1076" t="s">
        <v>106</v>
      </c>
      <c r="M1076" t="s">
        <v>270</v>
      </c>
      <c r="N1076" t="s">
        <v>46</v>
      </c>
      <c r="P1076" t="s">
        <v>65</v>
      </c>
      <c r="Q1076" t="s">
        <v>528</v>
      </c>
      <c r="R1076">
        <v>42443.560254629629</v>
      </c>
      <c r="S1076">
        <v>42580.780335648145</v>
      </c>
      <c r="T1076" t="s">
        <v>288</v>
      </c>
      <c r="U1076" t="s">
        <v>3965</v>
      </c>
      <c r="V1076" t="s">
        <v>35</v>
      </c>
      <c r="W1076" t="s">
        <v>77</v>
      </c>
    </row>
    <row r="1077" spans="1:23" x14ac:dyDescent="0.25">
      <c r="A1077" t="s">
        <v>633</v>
      </c>
      <c r="B1077" s="19">
        <v>10489</v>
      </c>
      <c r="C1077" s="2">
        <f>HYPERLINK(URLs!B36 &amp; 78727,78727)</f>
        <v>78727</v>
      </c>
      <c r="D1077" t="s">
        <v>3006</v>
      </c>
      <c r="E1077" t="s">
        <v>301</v>
      </c>
      <c r="F1077" t="s">
        <v>305</v>
      </c>
      <c r="G1077" t="s">
        <v>337</v>
      </c>
      <c r="H1077" t="s">
        <v>30</v>
      </c>
      <c r="I1077" t="s">
        <v>68</v>
      </c>
      <c r="J1077" t="s">
        <v>43</v>
      </c>
      <c r="K1077" t="s">
        <v>33</v>
      </c>
      <c r="L1077" t="s">
        <v>96</v>
      </c>
      <c r="M1077" t="s">
        <v>269</v>
      </c>
      <c r="N1077" t="s">
        <v>46</v>
      </c>
      <c r="P1077" t="s">
        <v>65</v>
      </c>
      <c r="Q1077" t="s">
        <v>65</v>
      </c>
      <c r="R1077">
        <v>42443.557164351849</v>
      </c>
      <c r="S1077">
        <v>42789.919768518521</v>
      </c>
      <c r="T1077" t="s">
        <v>288</v>
      </c>
      <c r="U1077" t="s">
        <v>35</v>
      </c>
      <c r="V1077" t="s">
        <v>35</v>
      </c>
      <c r="W1077" t="s">
        <v>133</v>
      </c>
    </row>
    <row r="1078" spans="1:23" x14ac:dyDescent="0.25">
      <c r="A1078" t="s">
        <v>633</v>
      </c>
      <c r="B1078" s="19">
        <v>10489</v>
      </c>
      <c r="C1078" s="2">
        <f>HYPERLINK(URLs!B36 &amp; 78726,78726)</f>
        <v>78726</v>
      </c>
      <c r="D1078" t="s">
        <v>3005</v>
      </c>
      <c r="E1078" t="s">
        <v>134</v>
      </c>
      <c r="F1078" t="s">
        <v>305</v>
      </c>
      <c r="G1078" t="s">
        <v>304</v>
      </c>
      <c r="H1078" t="s">
        <v>30</v>
      </c>
      <c r="I1078" t="s">
        <v>68</v>
      </c>
      <c r="J1078" t="s">
        <v>43</v>
      </c>
      <c r="K1078" t="s">
        <v>33</v>
      </c>
      <c r="L1078" t="s">
        <v>106</v>
      </c>
      <c r="M1078" t="s">
        <v>270</v>
      </c>
      <c r="N1078" t="s">
        <v>46</v>
      </c>
      <c r="P1078" t="s">
        <v>65</v>
      </c>
      <c r="Q1078" t="s">
        <v>1503</v>
      </c>
      <c r="R1078">
        <v>42443.557141203702</v>
      </c>
      <c r="S1078">
        <v>42929.517812500002</v>
      </c>
      <c r="T1078" t="s">
        <v>288</v>
      </c>
      <c r="U1078" t="s">
        <v>35</v>
      </c>
      <c r="V1078" t="s">
        <v>35</v>
      </c>
      <c r="W1078" t="s">
        <v>69</v>
      </c>
    </row>
    <row r="1079" spans="1:23" x14ac:dyDescent="0.25">
      <c r="A1079" t="s">
        <v>633</v>
      </c>
      <c r="B1079" s="19">
        <v>10489</v>
      </c>
      <c r="C1079" s="2">
        <f>HYPERLINK(URLs!B36 &amp; 78515,78515)</f>
        <v>78515</v>
      </c>
      <c r="D1079" t="s">
        <v>352</v>
      </c>
      <c r="E1079" t="s">
        <v>301</v>
      </c>
      <c r="F1079" t="s">
        <v>305</v>
      </c>
      <c r="G1079" t="s">
        <v>304</v>
      </c>
      <c r="H1079" t="s">
        <v>30</v>
      </c>
      <c r="I1079" t="s">
        <v>68</v>
      </c>
      <c r="J1079" t="s">
        <v>43</v>
      </c>
      <c r="K1079" t="s">
        <v>33</v>
      </c>
      <c r="L1079" t="s">
        <v>96</v>
      </c>
      <c r="M1079" t="s">
        <v>269</v>
      </c>
      <c r="N1079" t="s">
        <v>46</v>
      </c>
      <c r="P1079" t="s">
        <v>65</v>
      </c>
      <c r="Q1079" t="s">
        <v>1503</v>
      </c>
      <c r="R1079">
        <v>42438.921122685184</v>
      </c>
      <c r="S1079">
        <v>42962.626527777778</v>
      </c>
      <c r="T1079" t="s">
        <v>1</v>
      </c>
      <c r="U1079" t="s">
        <v>35</v>
      </c>
      <c r="V1079" t="s">
        <v>35</v>
      </c>
      <c r="W1079" t="s">
        <v>4098</v>
      </c>
    </row>
    <row r="1080" spans="1:23" x14ac:dyDescent="0.25">
      <c r="B1080" s="19">
        <v>10490</v>
      </c>
      <c r="C1080" s="2">
        <f>HYPERLINK(URLs!B36 &amp; 78775,78775)</f>
        <v>78775</v>
      </c>
      <c r="D1080" t="s">
        <v>3021</v>
      </c>
      <c r="E1080" t="s">
        <v>82</v>
      </c>
      <c r="F1080" t="s">
        <v>305</v>
      </c>
      <c r="G1080" t="s">
        <v>337</v>
      </c>
      <c r="H1080" t="s">
        <v>30</v>
      </c>
      <c r="I1080" t="s">
        <v>68</v>
      </c>
      <c r="J1080" t="s">
        <v>43</v>
      </c>
      <c r="K1080" t="s">
        <v>33</v>
      </c>
      <c r="L1080" t="s">
        <v>73</v>
      </c>
      <c r="M1080" t="s">
        <v>264</v>
      </c>
      <c r="N1080" t="s">
        <v>46</v>
      </c>
      <c r="P1080" t="s">
        <v>3000</v>
      </c>
      <c r="Q1080" t="s">
        <v>3000</v>
      </c>
      <c r="R1080">
        <v>42444.179270833331</v>
      </c>
      <c r="S1080">
        <v>42678.647997685184</v>
      </c>
      <c r="T1080" t="s">
        <v>317</v>
      </c>
      <c r="U1080" t="s">
        <v>35</v>
      </c>
      <c r="V1080" t="s">
        <v>35</v>
      </c>
      <c r="W1080" t="s">
        <v>4156</v>
      </c>
    </row>
    <row r="1081" spans="1:23" x14ac:dyDescent="0.25">
      <c r="B1081" s="19">
        <v>10490</v>
      </c>
      <c r="C1081" s="2">
        <f>HYPERLINK(URLs!B36 &amp; 78556,78556)</f>
        <v>78556</v>
      </c>
      <c r="D1081" t="s">
        <v>3004</v>
      </c>
      <c r="E1081" t="s">
        <v>82</v>
      </c>
      <c r="F1081" t="s">
        <v>305</v>
      </c>
      <c r="G1081" t="s">
        <v>310</v>
      </c>
      <c r="H1081" t="s">
        <v>30</v>
      </c>
      <c r="I1081" t="s">
        <v>68</v>
      </c>
      <c r="J1081" t="s">
        <v>43</v>
      </c>
      <c r="K1081" t="s">
        <v>33</v>
      </c>
      <c r="L1081" t="s">
        <v>73</v>
      </c>
      <c r="M1081" t="s">
        <v>264</v>
      </c>
      <c r="N1081" t="s">
        <v>46</v>
      </c>
      <c r="P1081" t="s">
        <v>3000</v>
      </c>
      <c r="Q1081" t="s">
        <v>3000</v>
      </c>
      <c r="R1081">
        <v>42439.418020833335</v>
      </c>
      <c r="S1081">
        <v>42753.389374999999</v>
      </c>
      <c r="T1081" t="s">
        <v>72</v>
      </c>
      <c r="U1081" t="s">
        <v>35</v>
      </c>
      <c r="V1081" t="s">
        <v>35</v>
      </c>
      <c r="W1081" t="s">
        <v>3039</v>
      </c>
    </row>
    <row r="1082" spans="1:23" x14ac:dyDescent="0.25">
      <c r="B1082" s="19">
        <v>10490</v>
      </c>
      <c r="C1082" s="2">
        <f>HYPERLINK(URLs!B36 &amp; 78555,78555)</f>
        <v>78555</v>
      </c>
      <c r="D1082" t="s">
        <v>3003</v>
      </c>
      <c r="E1082" t="s">
        <v>82</v>
      </c>
      <c r="F1082" t="s">
        <v>305</v>
      </c>
      <c r="G1082" t="s">
        <v>310</v>
      </c>
      <c r="H1082" t="s">
        <v>30</v>
      </c>
      <c r="I1082" t="s">
        <v>68</v>
      </c>
      <c r="J1082" t="s">
        <v>43</v>
      </c>
      <c r="K1082" t="s">
        <v>33</v>
      </c>
      <c r="L1082" t="s">
        <v>73</v>
      </c>
      <c r="M1082" t="s">
        <v>264</v>
      </c>
      <c r="N1082" t="s">
        <v>46</v>
      </c>
      <c r="P1082" t="s">
        <v>3000</v>
      </c>
      <c r="Q1082" t="s">
        <v>3000</v>
      </c>
      <c r="R1082">
        <v>42439.417754629627</v>
      </c>
      <c r="S1082">
        <v>42759.621944444443</v>
      </c>
      <c r="T1082" t="s">
        <v>72</v>
      </c>
      <c r="U1082" t="s">
        <v>35</v>
      </c>
      <c r="V1082" t="s">
        <v>35</v>
      </c>
      <c r="W1082" t="s">
        <v>3028</v>
      </c>
    </row>
    <row r="1083" spans="1:23" x14ac:dyDescent="0.25">
      <c r="B1083" s="19">
        <v>10490</v>
      </c>
      <c r="C1083" s="2">
        <f>HYPERLINK(URLs!B36 &amp; 78536,78536)</f>
        <v>78536</v>
      </c>
      <c r="D1083" t="s">
        <v>3002</v>
      </c>
      <c r="E1083" t="s">
        <v>82</v>
      </c>
      <c r="F1083" t="s">
        <v>305</v>
      </c>
      <c r="G1083" t="s">
        <v>337</v>
      </c>
      <c r="H1083" t="s">
        <v>30</v>
      </c>
      <c r="I1083" t="s">
        <v>68</v>
      </c>
      <c r="J1083" t="s">
        <v>43</v>
      </c>
      <c r="K1083" t="s">
        <v>33</v>
      </c>
      <c r="L1083" t="s">
        <v>73</v>
      </c>
      <c r="M1083" t="s">
        <v>264</v>
      </c>
      <c r="N1083" t="s">
        <v>46</v>
      </c>
      <c r="P1083" t="s">
        <v>3000</v>
      </c>
      <c r="Q1083" t="s">
        <v>3000</v>
      </c>
      <c r="R1083">
        <v>42439.316423611112</v>
      </c>
      <c r="S1083">
        <v>42759.72315972222</v>
      </c>
      <c r="T1083" t="s">
        <v>317</v>
      </c>
      <c r="U1083" t="s">
        <v>35</v>
      </c>
      <c r="V1083" t="s">
        <v>35</v>
      </c>
      <c r="W1083" t="s">
        <v>69</v>
      </c>
    </row>
    <row r="1084" spans="1:23" x14ac:dyDescent="0.25">
      <c r="B1084" s="19">
        <v>10490</v>
      </c>
      <c r="C1084" s="2">
        <f>HYPERLINK(URLs!B36 &amp; 78535,78535)</f>
        <v>78535</v>
      </c>
      <c r="D1084" t="s">
        <v>3001</v>
      </c>
      <c r="E1084" t="s">
        <v>82</v>
      </c>
      <c r="F1084" t="s">
        <v>305</v>
      </c>
      <c r="G1084" t="s">
        <v>310</v>
      </c>
      <c r="H1084" t="s">
        <v>30</v>
      </c>
      <c r="I1084" t="s">
        <v>68</v>
      </c>
      <c r="J1084" t="s">
        <v>43</v>
      </c>
      <c r="K1084" t="s">
        <v>33</v>
      </c>
      <c r="L1084" t="s">
        <v>73</v>
      </c>
      <c r="M1084" t="s">
        <v>264</v>
      </c>
      <c r="N1084" t="s">
        <v>46</v>
      </c>
      <c r="P1084" t="s">
        <v>3000</v>
      </c>
      <c r="Q1084" t="s">
        <v>159</v>
      </c>
      <c r="R1084">
        <v>42439.316331018519</v>
      </c>
      <c r="S1084">
        <v>42563.8518287037</v>
      </c>
      <c r="T1084" t="s">
        <v>317</v>
      </c>
      <c r="U1084" t="s">
        <v>35</v>
      </c>
      <c r="V1084" t="s">
        <v>35</v>
      </c>
      <c r="W1084" t="s">
        <v>133</v>
      </c>
    </row>
    <row r="1085" spans="1:23" x14ac:dyDescent="0.25">
      <c r="B1085" s="19">
        <v>10490</v>
      </c>
      <c r="C1085" s="2">
        <f>HYPERLINK(URLs!B36 &amp; 78519,78519)</f>
        <v>78519</v>
      </c>
      <c r="D1085" t="s">
        <v>2999</v>
      </c>
      <c r="E1085" t="s">
        <v>82</v>
      </c>
      <c r="F1085" t="s">
        <v>305</v>
      </c>
      <c r="G1085" t="s">
        <v>310</v>
      </c>
      <c r="H1085" t="s">
        <v>30</v>
      </c>
      <c r="I1085" t="s">
        <v>68</v>
      </c>
      <c r="J1085" t="s">
        <v>43</v>
      </c>
      <c r="K1085" t="s">
        <v>33</v>
      </c>
      <c r="L1085" t="s">
        <v>73</v>
      </c>
      <c r="M1085" t="s">
        <v>264</v>
      </c>
      <c r="N1085" t="s">
        <v>46</v>
      </c>
      <c r="P1085" t="s">
        <v>3000</v>
      </c>
      <c r="Q1085" t="s">
        <v>3000</v>
      </c>
      <c r="R1085">
        <v>42438.956122685187</v>
      </c>
      <c r="S1085">
        <v>42759.621793981481</v>
      </c>
      <c r="T1085" t="s">
        <v>2</v>
      </c>
      <c r="U1085" t="s">
        <v>35</v>
      </c>
      <c r="V1085" t="s">
        <v>35</v>
      </c>
      <c r="W1085" t="s">
        <v>4098</v>
      </c>
    </row>
    <row r="1086" spans="1:23" x14ac:dyDescent="0.25">
      <c r="A1086" t="s">
        <v>633</v>
      </c>
      <c r="B1086" s="19">
        <v>10491</v>
      </c>
      <c r="C1086" s="2">
        <f>HYPERLINK(URLs!B36 &amp; 97625,97625)</f>
        <v>97625</v>
      </c>
      <c r="D1086" t="s">
        <v>3474</v>
      </c>
      <c r="E1086" t="s">
        <v>2996</v>
      </c>
      <c r="F1086" t="s">
        <v>305</v>
      </c>
      <c r="G1086" t="s">
        <v>304</v>
      </c>
      <c r="H1086" t="s">
        <v>30</v>
      </c>
      <c r="I1086" t="s">
        <v>68</v>
      </c>
      <c r="J1086" t="s">
        <v>43</v>
      </c>
      <c r="K1086" t="s">
        <v>33</v>
      </c>
      <c r="L1086" t="s">
        <v>96</v>
      </c>
      <c r="M1086" t="s">
        <v>275</v>
      </c>
      <c r="N1086" t="s">
        <v>60</v>
      </c>
      <c r="P1086" t="s">
        <v>65</v>
      </c>
      <c r="Q1086" t="s">
        <v>2997</v>
      </c>
      <c r="R1086">
        <v>42823.799444444441</v>
      </c>
      <c r="S1086">
        <v>43206.798819444448</v>
      </c>
      <c r="T1086" t="s">
        <v>301</v>
      </c>
      <c r="U1086" t="s">
        <v>35</v>
      </c>
      <c r="V1086" t="s">
        <v>35</v>
      </c>
      <c r="W1086" t="s">
        <v>307</v>
      </c>
    </row>
    <row r="1087" spans="1:23" x14ac:dyDescent="0.25">
      <c r="A1087" t="s">
        <v>633</v>
      </c>
      <c r="B1087" s="19">
        <v>10491</v>
      </c>
      <c r="C1087" s="2">
        <f>HYPERLINK(URLs!B36 &amp; 78772,78772)</f>
        <v>78772</v>
      </c>
      <c r="D1087" t="s">
        <v>3018</v>
      </c>
      <c r="E1087" t="s">
        <v>330</v>
      </c>
      <c r="F1087" t="s">
        <v>305</v>
      </c>
      <c r="G1087" t="s">
        <v>337</v>
      </c>
      <c r="H1087" t="s">
        <v>426</v>
      </c>
      <c r="I1087" t="s">
        <v>68</v>
      </c>
      <c r="J1087" t="s">
        <v>43</v>
      </c>
      <c r="K1087" t="s">
        <v>33</v>
      </c>
      <c r="L1087" t="s">
        <v>96</v>
      </c>
      <c r="M1087" t="s">
        <v>275</v>
      </c>
      <c r="N1087" t="s">
        <v>60</v>
      </c>
      <c r="P1087" t="s">
        <v>65</v>
      </c>
      <c r="Q1087" t="s">
        <v>2997</v>
      </c>
      <c r="R1087">
        <v>42444.17732638889</v>
      </c>
      <c r="S1087">
        <v>42572.692673611113</v>
      </c>
      <c r="T1087" t="s">
        <v>317</v>
      </c>
      <c r="U1087" t="s">
        <v>35</v>
      </c>
      <c r="V1087" t="s">
        <v>35</v>
      </c>
      <c r="W1087" t="s">
        <v>4156</v>
      </c>
    </row>
    <row r="1088" spans="1:23" x14ac:dyDescent="0.25">
      <c r="A1088" t="s">
        <v>633</v>
      </c>
      <c r="B1088" s="19">
        <v>10491</v>
      </c>
      <c r="C1088" s="2">
        <f>HYPERLINK(URLs!B36 &amp; 78771,78771)</f>
        <v>78771</v>
      </c>
      <c r="D1088" t="s">
        <v>3016</v>
      </c>
      <c r="E1088" t="s">
        <v>1</v>
      </c>
      <c r="F1088" t="s">
        <v>305</v>
      </c>
      <c r="G1088" t="s">
        <v>337</v>
      </c>
      <c r="H1088" t="s">
        <v>426</v>
      </c>
      <c r="I1088" t="s">
        <v>68</v>
      </c>
      <c r="J1088" t="s">
        <v>43</v>
      </c>
      <c r="K1088" t="s">
        <v>33</v>
      </c>
      <c r="L1088" t="s">
        <v>96</v>
      </c>
      <c r="M1088" t="s">
        <v>275</v>
      </c>
      <c r="N1088" t="s">
        <v>60</v>
      </c>
      <c r="O1088" t="s">
        <v>3017</v>
      </c>
      <c r="P1088" t="s">
        <v>65</v>
      </c>
      <c r="Q1088" t="s">
        <v>65</v>
      </c>
      <c r="R1088">
        <v>42444.176805555559</v>
      </c>
      <c r="S1088">
        <v>42979.766817129632</v>
      </c>
      <c r="T1088" t="s">
        <v>317</v>
      </c>
      <c r="U1088" t="s">
        <v>35</v>
      </c>
      <c r="V1088" t="s">
        <v>35</v>
      </c>
      <c r="W1088" t="s">
        <v>69</v>
      </c>
    </row>
    <row r="1089" spans="1:23" x14ac:dyDescent="0.25">
      <c r="A1089" t="s">
        <v>633</v>
      </c>
      <c r="B1089" s="19">
        <v>10491</v>
      </c>
      <c r="C1089" s="2">
        <f>HYPERLINK(URLs!B36 &amp; 78770,78770)</f>
        <v>78770</v>
      </c>
      <c r="D1089" t="s">
        <v>3015</v>
      </c>
      <c r="E1089" t="s">
        <v>330</v>
      </c>
      <c r="F1089" t="s">
        <v>305</v>
      </c>
      <c r="G1089" t="s">
        <v>337</v>
      </c>
      <c r="H1089" t="s">
        <v>426</v>
      </c>
      <c r="I1089" t="s">
        <v>68</v>
      </c>
      <c r="J1089" t="s">
        <v>43</v>
      </c>
      <c r="K1089" t="s">
        <v>33</v>
      </c>
      <c r="L1089" t="s">
        <v>96</v>
      </c>
      <c r="M1089" t="s">
        <v>275</v>
      </c>
      <c r="N1089" t="s">
        <v>60</v>
      </c>
      <c r="P1089" t="s">
        <v>65</v>
      </c>
      <c r="Q1089" t="s">
        <v>2997</v>
      </c>
      <c r="R1089">
        <v>42444.176701388889</v>
      </c>
      <c r="S1089">
        <v>42572.693877314814</v>
      </c>
      <c r="T1089" t="s">
        <v>317</v>
      </c>
      <c r="U1089" t="s">
        <v>35</v>
      </c>
      <c r="V1089" t="s">
        <v>35</v>
      </c>
      <c r="W1089" t="s">
        <v>133</v>
      </c>
    </row>
    <row r="1090" spans="1:23" x14ac:dyDescent="0.25">
      <c r="A1090" t="s">
        <v>633</v>
      </c>
      <c r="B1090" s="19">
        <v>10491</v>
      </c>
      <c r="C1090" s="2">
        <f>HYPERLINK(URLs!B36 &amp; 78517,78517)</f>
        <v>78517</v>
      </c>
      <c r="D1090" t="s">
        <v>2995</v>
      </c>
      <c r="E1090" t="s">
        <v>2996</v>
      </c>
      <c r="F1090" t="s">
        <v>305</v>
      </c>
      <c r="G1090" t="s">
        <v>304</v>
      </c>
      <c r="H1090" t="s">
        <v>30</v>
      </c>
      <c r="I1090" t="s">
        <v>68</v>
      </c>
      <c r="J1090" t="s">
        <v>43</v>
      </c>
      <c r="K1090" t="s">
        <v>33</v>
      </c>
      <c r="L1090" t="s">
        <v>96</v>
      </c>
      <c r="M1090" t="s">
        <v>275</v>
      </c>
      <c r="N1090" t="s">
        <v>60</v>
      </c>
      <c r="P1090" t="s">
        <v>65</v>
      </c>
      <c r="Q1090" t="s">
        <v>2997</v>
      </c>
      <c r="R1090">
        <v>42438.940416666665</v>
      </c>
      <c r="S1090">
        <v>43187.158518518518</v>
      </c>
      <c r="T1090" t="s">
        <v>1</v>
      </c>
      <c r="U1090" t="s">
        <v>35</v>
      </c>
      <c r="V1090" t="s">
        <v>35</v>
      </c>
      <c r="W1090" t="s">
        <v>4098</v>
      </c>
    </row>
    <row r="1091" spans="1:23" x14ac:dyDescent="0.25">
      <c r="B1091" s="19">
        <v>10532</v>
      </c>
      <c r="C1091" s="2">
        <f>HYPERLINK(URLs!B36 &amp; 81754,81754)</f>
        <v>81754</v>
      </c>
      <c r="D1091" t="s">
        <v>3094</v>
      </c>
      <c r="E1091" t="s">
        <v>84</v>
      </c>
      <c r="F1091" t="s">
        <v>305</v>
      </c>
      <c r="G1091" t="s">
        <v>304</v>
      </c>
      <c r="H1091" t="s">
        <v>30</v>
      </c>
      <c r="I1091" t="s">
        <v>31</v>
      </c>
      <c r="J1091" t="s">
        <v>43</v>
      </c>
      <c r="K1091" t="s">
        <v>44</v>
      </c>
      <c r="L1091" t="s">
        <v>73</v>
      </c>
      <c r="M1091" t="s">
        <v>263</v>
      </c>
      <c r="N1091" t="s">
        <v>46</v>
      </c>
      <c r="P1091" t="s">
        <v>2121</v>
      </c>
      <c r="Q1091" t="s">
        <v>3037</v>
      </c>
      <c r="R1091">
        <v>42487.550891203704</v>
      </c>
      <c r="S1091">
        <v>42636.240115740744</v>
      </c>
      <c r="T1091" t="s">
        <v>139</v>
      </c>
      <c r="U1091" t="s">
        <v>35</v>
      </c>
      <c r="V1091" t="s">
        <v>35</v>
      </c>
      <c r="W1091" t="s">
        <v>3428</v>
      </c>
    </row>
    <row r="1092" spans="1:23" x14ac:dyDescent="0.25">
      <c r="B1092" s="19">
        <v>10532</v>
      </c>
      <c r="C1092" s="2">
        <f>HYPERLINK(URLs!B36 &amp; 78884,78884)</f>
        <v>78884</v>
      </c>
      <c r="D1092" t="s">
        <v>3040</v>
      </c>
      <c r="E1092" t="s">
        <v>84</v>
      </c>
      <c r="F1092" t="s">
        <v>305</v>
      </c>
      <c r="G1092" t="s">
        <v>304</v>
      </c>
      <c r="H1092" t="s">
        <v>30</v>
      </c>
      <c r="I1092" t="s">
        <v>31</v>
      </c>
      <c r="J1092" t="s">
        <v>43</v>
      </c>
      <c r="K1092" t="s">
        <v>44</v>
      </c>
      <c r="L1092" t="s">
        <v>73</v>
      </c>
      <c r="M1092" t="s">
        <v>263</v>
      </c>
      <c r="N1092" t="s">
        <v>46</v>
      </c>
      <c r="P1092" t="s">
        <v>2121</v>
      </c>
      <c r="Q1092" t="s">
        <v>3041</v>
      </c>
      <c r="R1092">
        <v>42445.265613425923</v>
      </c>
      <c r="S1092">
        <v>42907.351701388892</v>
      </c>
      <c r="T1092" t="s">
        <v>72</v>
      </c>
      <c r="U1092" t="s">
        <v>35</v>
      </c>
      <c r="V1092" t="s">
        <v>35</v>
      </c>
      <c r="W1092" t="s">
        <v>3661</v>
      </c>
    </row>
    <row r="1093" spans="1:23" x14ac:dyDescent="0.25">
      <c r="B1093" s="19">
        <v>10532</v>
      </c>
      <c r="C1093" s="2">
        <f>HYPERLINK(URLs!B36 &amp; 78883,78883)</f>
        <v>78883</v>
      </c>
      <c r="D1093" t="s">
        <v>3038</v>
      </c>
      <c r="E1093" t="s">
        <v>84</v>
      </c>
      <c r="F1093" t="s">
        <v>305</v>
      </c>
      <c r="G1093" t="s">
        <v>304</v>
      </c>
      <c r="H1093" t="s">
        <v>30</v>
      </c>
      <c r="I1093" t="s">
        <v>31</v>
      </c>
      <c r="J1093" t="s">
        <v>43</v>
      </c>
      <c r="K1093" t="s">
        <v>44</v>
      </c>
      <c r="L1093" t="s">
        <v>73</v>
      </c>
      <c r="M1093" t="s">
        <v>263</v>
      </c>
      <c r="N1093" t="s">
        <v>46</v>
      </c>
      <c r="P1093" t="s">
        <v>2121</v>
      </c>
      <c r="Q1093" t="s">
        <v>3039</v>
      </c>
      <c r="R1093">
        <v>42445.253611111111</v>
      </c>
      <c r="S1093">
        <v>42648.772199074076</v>
      </c>
      <c r="T1093" t="s">
        <v>72</v>
      </c>
      <c r="U1093" t="s">
        <v>35</v>
      </c>
      <c r="V1093" t="s">
        <v>35</v>
      </c>
      <c r="W1093" t="s">
        <v>3233</v>
      </c>
    </row>
    <row r="1094" spans="1:23" x14ac:dyDescent="0.25">
      <c r="B1094" s="19">
        <v>10532</v>
      </c>
      <c r="C1094" s="2">
        <f>HYPERLINK(URLs!B36 &amp; 78882,78882)</f>
        <v>78882</v>
      </c>
      <c r="D1094" t="s">
        <v>3036</v>
      </c>
      <c r="E1094" t="s">
        <v>84</v>
      </c>
      <c r="F1094" t="s">
        <v>305</v>
      </c>
      <c r="G1094" t="s">
        <v>310</v>
      </c>
      <c r="H1094" t="s">
        <v>30</v>
      </c>
      <c r="I1094" t="s">
        <v>31</v>
      </c>
      <c r="J1094" t="s">
        <v>43</v>
      </c>
      <c r="K1094" t="s">
        <v>44</v>
      </c>
      <c r="L1094" t="s">
        <v>73</v>
      </c>
      <c r="M1094" t="s">
        <v>263</v>
      </c>
      <c r="N1094" t="s">
        <v>46</v>
      </c>
      <c r="P1094" t="s">
        <v>2121</v>
      </c>
      <c r="Q1094" t="s">
        <v>3037</v>
      </c>
      <c r="R1094">
        <v>42445.252638888887</v>
      </c>
      <c r="S1094">
        <v>42678.651516203703</v>
      </c>
      <c r="T1094" t="s">
        <v>72</v>
      </c>
      <c r="U1094" t="s">
        <v>35</v>
      </c>
      <c r="V1094" t="s">
        <v>35</v>
      </c>
      <c r="W1094" t="s">
        <v>3039</v>
      </c>
    </row>
    <row r="1095" spans="1:23" x14ac:dyDescent="0.25">
      <c r="B1095" s="19">
        <v>10532</v>
      </c>
      <c r="C1095" s="2">
        <f>HYPERLINK(URLs!B36 &amp; 78881,78881)</f>
        <v>78881</v>
      </c>
      <c r="D1095" t="s">
        <v>3035</v>
      </c>
      <c r="E1095" t="s">
        <v>361</v>
      </c>
      <c r="F1095" t="s">
        <v>305</v>
      </c>
      <c r="G1095" t="s">
        <v>337</v>
      </c>
      <c r="H1095" t="s">
        <v>30</v>
      </c>
      <c r="I1095" t="s">
        <v>31</v>
      </c>
      <c r="J1095" t="s">
        <v>43</v>
      </c>
      <c r="K1095" t="s">
        <v>44</v>
      </c>
      <c r="L1095" t="s">
        <v>73</v>
      </c>
      <c r="M1095" t="s">
        <v>263</v>
      </c>
      <c r="N1095" t="s">
        <v>46</v>
      </c>
      <c r="P1095" t="s">
        <v>2121</v>
      </c>
      <c r="Q1095" t="s">
        <v>3028</v>
      </c>
      <c r="R1095">
        <v>42445.251585648148</v>
      </c>
      <c r="S1095">
        <v>42993.469537037039</v>
      </c>
      <c r="T1095" t="s">
        <v>72</v>
      </c>
      <c r="U1095" t="s">
        <v>35</v>
      </c>
      <c r="V1095" t="s">
        <v>35</v>
      </c>
      <c r="W1095" t="s">
        <v>3028</v>
      </c>
    </row>
    <row r="1096" spans="1:23" x14ac:dyDescent="0.25">
      <c r="B1096" s="19">
        <v>10532</v>
      </c>
      <c r="C1096" s="2">
        <f>HYPERLINK(URLs!B36 &amp; 78860,78860)</f>
        <v>78860</v>
      </c>
      <c r="D1096" t="s">
        <v>3030</v>
      </c>
      <c r="E1096" t="s">
        <v>84</v>
      </c>
      <c r="F1096" t="s">
        <v>305</v>
      </c>
      <c r="G1096" t="s">
        <v>310</v>
      </c>
      <c r="H1096" t="s">
        <v>30</v>
      </c>
      <c r="I1096" t="s">
        <v>31</v>
      </c>
      <c r="J1096" t="s">
        <v>43</v>
      </c>
      <c r="K1096" t="s">
        <v>44</v>
      </c>
      <c r="L1096" t="s">
        <v>73</v>
      </c>
      <c r="M1096" t="s">
        <v>273</v>
      </c>
      <c r="N1096" t="s">
        <v>46</v>
      </c>
      <c r="P1096" t="s">
        <v>2121</v>
      </c>
      <c r="Q1096" t="s">
        <v>2121</v>
      </c>
      <c r="R1096">
        <v>42444.774791666663</v>
      </c>
      <c r="S1096">
        <v>42678.670428240737</v>
      </c>
      <c r="T1096" t="s">
        <v>317</v>
      </c>
      <c r="U1096" t="s">
        <v>35</v>
      </c>
      <c r="V1096" t="s">
        <v>35</v>
      </c>
      <c r="W1096" t="s">
        <v>69</v>
      </c>
    </row>
    <row r="1097" spans="1:23" x14ac:dyDescent="0.25">
      <c r="B1097" s="19">
        <v>10532</v>
      </c>
      <c r="C1097" s="2">
        <f>HYPERLINK(URLs!B36 &amp; 78859,78859)</f>
        <v>78859</v>
      </c>
      <c r="D1097" t="s">
        <v>3029</v>
      </c>
      <c r="E1097" t="s">
        <v>84</v>
      </c>
      <c r="F1097" t="s">
        <v>305</v>
      </c>
      <c r="G1097" t="s">
        <v>310</v>
      </c>
      <c r="H1097" t="s">
        <v>30</v>
      </c>
      <c r="I1097" t="s">
        <v>31</v>
      </c>
      <c r="J1097" t="s">
        <v>43</v>
      </c>
      <c r="K1097" t="s">
        <v>44</v>
      </c>
      <c r="L1097" t="s">
        <v>73</v>
      </c>
      <c r="M1097" t="s">
        <v>273</v>
      </c>
      <c r="N1097" t="s">
        <v>46</v>
      </c>
      <c r="P1097" t="s">
        <v>2121</v>
      </c>
      <c r="Q1097" t="s">
        <v>2121</v>
      </c>
      <c r="R1097">
        <v>42444.774710648147</v>
      </c>
      <c r="S1097">
        <v>42563.851840277777</v>
      </c>
      <c r="T1097" t="s">
        <v>317</v>
      </c>
      <c r="U1097" t="s">
        <v>3972</v>
      </c>
      <c r="V1097" t="s">
        <v>35</v>
      </c>
      <c r="W1097" t="s">
        <v>133</v>
      </c>
    </row>
    <row r="1098" spans="1:23" x14ac:dyDescent="0.25">
      <c r="B1098" s="19">
        <v>10532</v>
      </c>
      <c r="C1098" s="2">
        <f>HYPERLINK(URLs!B36 &amp; 78858,78858)</f>
        <v>78858</v>
      </c>
      <c r="D1098" t="s">
        <v>3027</v>
      </c>
      <c r="E1098" t="s">
        <v>84</v>
      </c>
      <c r="F1098" t="s">
        <v>305</v>
      </c>
      <c r="G1098" t="s">
        <v>304</v>
      </c>
      <c r="H1098" t="s">
        <v>30</v>
      </c>
      <c r="I1098" t="s">
        <v>31</v>
      </c>
      <c r="J1098" t="s">
        <v>43</v>
      </c>
      <c r="K1098" t="s">
        <v>44</v>
      </c>
      <c r="L1098" t="s">
        <v>73</v>
      </c>
      <c r="M1098" t="s">
        <v>263</v>
      </c>
      <c r="N1098" t="s">
        <v>46</v>
      </c>
      <c r="P1098" t="s">
        <v>2121</v>
      </c>
      <c r="Q1098" t="s">
        <v>3028</v>
      </c>
      <c r="R1098">
        <v>42444.733148148145</v>
      </c>
      <c r="S1098">
        <v>42993.472743055558</v>
      </c>
      <c r="T1098" t="s">
        <v>3</v>
      </c>
      <c r="U1098" t="s">
        <v>35</v>
      </c>
      <c r="V1098" t="s">
        <v>35</v>
      </c>
      <c r="W1098" t="s">
        <v>4098</v>
      </c>
    </row>
    <row r="1099" spans="1:23" x14ac:dyDescent="0.25">
      <c r="B1099" s="19">
        <v>10532</v>
      </c>
      <c r="C1099" s="2">
        <f>HYPERLINK(URLs!B36 &amp; 54914,54914)</f>
        <v>54914</v>
      </c>
      <c r="D1099" t="s">
        <v>2279</v>
      </c>
      <c r="E1099" t="s">
        <v>2280</v>
      </c>
      <c r="F1099" t="s">
        <v>305</v>
      </c>
      <c r="G1099" t="s">
        <v>304</v>
      </c>
      <c r="H1099" t="s">
        <v>30</v>
      </c>
      <c r="I1099" t="s">
        <v>31</v>
      </c>
      <c r="J1099" t="s">
        <v>43</v>
      </c>
      <c r="K1099" t="s">
        <v>44</v>
      </c>
      <c r="L1099" t="s">
        <v>73</v>
      </c>
      <c r="M1099" t="s">
        <v>263</v>
      </c>
      <c r="N1099" t="s">
        <v>46</v>
      </c>
      <c r="P1099" t="s">
        <v>394</v>
      </c>
      <c r="R1099">
        <v>41990.508888888886</v>
      </c>
      <c r="S1099">
        <v>42871.689143518517</v>
      </c>
      <c r="T1099" t="s">
        <v>98</v>
      </c>
      <c r="U1099" t="s">
        <v>35</v>
      </c>
      <c r="V1099" t="s">
        <v>35</v>
      </c>
      <c r="W1099" t="s">
        <v>4098</v>
      </c>
    </row>
    <row r="1100" spans="1:23" x14ac:dyDescent="0.25">
      <c r="A1100" t="s">
        <v>633</v>
      </c>
      <c r="B1100" s="19">
        <v>10537</v>
      </c>
      <c r="C1100" s="2">
        <f>HYPERLINK(URLs!B36 &amp; 79286,79286)</f>
        <v>79286</v>
      </c>
      <c r="D1100" t="s">
        <v>3056</v>
      </c>
      <c r="E1100" t="s">
        <v>2972</v>
      </c>
      <c r="F1100" t="s">
        <v>305</v>
      </c>
      <c r="G1100" t="s">
        <v>328</v>
      </c>
      <c r="H1100" t="s">
        <v>30</v>
      </c>
      <c r="I1100" t="s">
        <v>31</v>
      </c>
      <c r="J1100" t="s">
        <v>32</v>
      </c>
      <c r="K1100" t="s">
        <v>51</v>
      </c>
      <c r="L1100" t="s">
        <v>73</v>
      </c>
      <c r="M1100" t="s">
        <v>277</v>
      </c>
      <c r="N1100" t="s">
        <v>46</v>
      </c>
      <c r="P1100" t="s">
        <v>65</v>
      </c>
      <c r="Q1100" t="s">
        <v>3034</v>
      </c>
      <c r="R1100">
        <v>42451.690844907411</v>
      </c>
      <c r="S1100">
        <v>42528.689016203702</v>
      </c>
      <c r="T1100" t="s">
        <v>317</v>
      </c>
      <c r="U1100" t="s">
        <v>35</v>
      </c>
      <c r="V1100" t="s">
        <v>35</v>
      </c>
      <c r="W1100" t="s">
        <v>4156</v>
      </c>
    </row>
    <row r="1101" spans="1:23" x14ac:dyDescent="0.25">
      <c r="A1101" t="s">
        <v>633</v>
      </c>
      <c r="B1101" s="19">
        <v>10537</v>
      </c>
      <c r="C1101" s="2">
        <f>HYPERLINK(URLs!B36 &amp; 78886,78886)</f>
        <v>78886</v>
      </c>
      <c r="D1101" t="s">
        <v>3043</v>
      </c>
      <c r="E1101" t="s">
        <v>3033</v>
      </c>
      <c r="F1101" t="s">
        <v>305</v>
      </c>
      <c r="G1101" t="s">
        <v>328</v>
      </c>
      <c r="H1101" t="s">
        <v>30</v>
      </c>
      <c r="I1101" t="s">
        <v>31</v>
      </c>
      <c r="J1101" t="s">
        <v>32</v>
      </c>
      <c r="K1101" t="s">
        <v>51</v>
      </c>
      <c r="L1101" t="s">
        <v>73</v>
      </c>
      <c r="M1101" t="s">
        <v>264</v>
      </c>
      <c r="N1101" t="s">
        <v>46</v>
      </c>
      <c r="P1101" t="s">
        <v>65</v>
      </c>
      <c r="Q1101" t="s">
        <v>3034</v>
      </c>
      <c r="R1101">
        <v>42445.274872685186</v>
      </c>
      <c r="S1101">
        <v>42759.630844907406</v>
      </c>
      <c r="T1101" t="s">
        <v>317</v>
      </c>
      <c r="U1101" t="s">
        <v>35</v>
      </c>
      <c r="V1101" t="s">
        <v>35</v>
      </c>
      <c r="W1101" t="s">
        <v>69</v>
      </c>
    </row>
    <row r="1102" spans="1:23" x14ac:dyDescent="0.25">
      <c r="A1102" t="s">
        <v>633</v>
      </c>
      <c r="B1102" s="19">
        <v>10537</v>
      </c>
      <c r="C1102" s="2">
        <f>HYPERLINK(URLs!B36 &amp; 78885,78885)</f>
        <v>78885</v>
      </c>
      <c r="D1102" t="s">
        <v>3042</v>
      </c>
      <c r="E1102" t="s">
        <v>3033</v>
      </c>
      <c r="F1102" t="s">
        <v>305</v>
      </c>
      <c r="G1102" t="s">
        <v>328</v>
      </c>
      <c r="H1102" t="s">
        <v>30</v>
      </c>
      <c r="I1102" t="s">
        <v>31</v>
      </c>
      <c r="J1102" t="s">
        <v>32</v>
      </c>
      <c r="K1102" t="s">
        <v>51</v>
      </c>
      <c r="L1102" t="s">
        <v>73</v>
      </c>
      <c r="M1102" t="s">
        <v>264</v>
      </c>
      <c r="N1102" t="s">
        <v>60</v>
      </c>
      <c r="P1102" t="s">
        <v>65</v>
      </c>
      <c r="Q1102" t="s">
        <v>3034</v>
      </c>
      <c r="R1102">
        <v>42445.274756944447</v>
      </c>
      <c r="S1102">
        <v>42759.631180555552</v>
      </c>
      <c r="T1102" t="s">
        <v>317</v>
      </c>
      <c r="U1102" t="s">
        <v>35</v>
      </c>
      <c r="V1102" t="s">
        <v>35</v>
      </c>
      <c r="W1102" t="s">
        <v>133</v>
      </c>
    </row>
    <row r="1103" spans="1:23" x14ac:dyDescent="0.25">
      <c r="A1103" t="s">
        <v>633</v>
      </c>
      <c r="B1103" s="19">
        <v>10537</v>
      </c>
      <c r="C1103" s="2">
        <f>HYPERLINK(URLs!B36 &amp; 78873,78873)</f>
        <v>78873</v>
      </c>
      <c r="D1103" t="s">
        <v>3032</v>
      </c>
      <c r="E1103" t="s">
        <v>3033</v>
      </c>
      <c r="F1103" t="s">
        <v>305</v>
      </c>
      <c r="G1103" t="s">
        <v>328</v>
      </c>
      <c r="H1103" t="s">
        <v>30</v>
      </c>
      <c r="I1103" t="s">
        <v>31</v>
      </c>
      <c r="J1103" t="s">
        <v>32</v>
      </c>
      <c r="K1103" t="s">
        <v>44</v>
      </c>
      <c r="L1103" t="s">
        <v>73</v>
      </c>
      <c r="M1103" t="s">
        <v>277</v>
      </c>
      <c r="N1103" t="s">
        <v>46</v>
      </c>
      <c r="P1103" t="s">
        <v>65</v>
      </c>
      <c r="Q1103" t="s">
        <v>3034</v>
      </c>
      <c r="R1103">
        <v>42444.895289351851</v>
      </c>
      <c r="S1103">
        <v>42759.631319444445</v>
      </c>
      <c r="T1103" t="s">
        <v>1</v>
      </c>
      <c r="U1103" t="s">
        <v>35</v>
      </c>
      <c r="V1103" t="s">
        <v>35</v>
      </c>
      <c r="W1103" t="s">
        <v>4098</v>
      </c>
    </row>
    <row r="1104" spans="1:23" x14ac:dyDescent="0.25">
      <c r="A1104" t="s">
        <v>641</v>
      </c>
      <c r="B1104" s="19">
        <v>10556</v>
      </c>
      <c r="C1104" s="2">
        <f>HYPERLINK(URLs!B36 &amp; 103231,103231)</f>
        <v>103231</v>
      </c>
      <c r="D1104" t="s">
        <v>3663</v>
      </c>
      <c r="E1104" t="s">
        <v>296</v>
      </c>
      <c r="F1104" t="s">
        <v>305</v>
      </c>
      <c r="G1104" t="s">
        <v>310</v>
      </c>
      <c r="H1104" t="s">
        <v>54</v>
      </c>
      <c r="I1104" t="s">
        <v>68</v>
      </c>
      <c r="J1104" t="s">
        <v>58</v>
      </c>
      <c r="K1104" t="s">
        <v>44</v>
      </c>
      <c r="L1104" t="s">
        <v>73</v>
      </c>
      <c r="M1104" t="s">
        <v>277</v>
      </c>
      <c r="N1104" t="s">
        <v>60</v>
      </c>
      <c r="P1104" t="s">
        <v>133</v>
      </c>
      <c r="Q1104" t="s">
        <v>528</v>
      </c>
      <c r="R1104">
        <v>42950.768935185188</v>
      </c>
      <c r="S1104">
        <v>43086.136990740742</v>
      </c>
      <c r="T1104" t="s">
        <v>288</v>
      </c>
      <c r="U1104" t="s">
        <v>35</v>
      </c>
      <c r="V1104" t="s">
        <v>35</v>
      </c>
      <c r="W1104" t="s">
        <v>428</v>
      </c>
    </row>
    <row r="1105" spans="1:23" x14ac:dyDescent="0.25">
      <c r="A1105" t="s">
        <v>641</v>
      </c>
      <c r="B1105" s="19">
        <v>10556</v>
      </c>
      <c r="C1105" s="2">
        <f>HYPERLINK(URLs!B36 &amp; 101487,101487)</f>
        <v>101487</v>
      </c>
      <c r="D1105" t="s">
        <v>3607</v>
      </c>
      <c r="E1105" t="s">
        <v>3608</v>
      </c>
      <c r="F1105" t="s">
        <v>305</v>
      </c>
      <c r="G1105" t="s">
        <v>304</v>
      </c>
      <c r="H1105" t="s">
        <v>54</v>
      </c>
      <c r="I1105" t="s">
        <v>68</v>
      </c>
      <c r="J1105" t="s">
        <v>58</v>
      </c>
      <c r="K1105" t="s">
        <v>44</v>
      </c>
      <c r="L1105" t="s">
        <v>195</v>
      </c>
      <c r="M1105" t="s">
        <v>324</v>
      </c>
      <c r="N1105" t="s">
        <v>518</v>
      </c>
      <c r="P1105" t="s">
        <v>133</v>
      </c>
      <c r="Q1105" t="s">
        <v>528</v>
      </c>
      <c r="R1105">
        <v>42913.447604166664</v>
      </c>
      <c r="S1105">
        <v>43228.684247685182</v>
      </c>
      <c r="T1105" t="s">
        <v>301</v>
      </c>
      <c r="U1105" t="s">
        <v>4022</v>
      </c>
      <c r="V1105" t="s">
        <v>35</v>
      </c>
      <c r="W1105" t="s">
        <v>4171</v>
      </c>
    </row>
    <row r="1106" spans="1:23" x14ac:dyDescent="0.25">
      <c r="A1106" t="s">
        <v>641</v>
      </c>
      <c r="B1106" s="19">
        <v>10556</v>
      </c>
      <c r="C1106" s="2">
        <f>HYPERLINK(URLs!B36 &amp; 101486,101486)</f>
        <v>101486</v>
      </c>
      <c r="D1106" t="s">
        <v>3606</v>
      </c>
      <c r="E1106" t="s">
        <v>296</v>
      </c>
      <c r="F1106" t="s">
        <v>305</v>
      </c>
      <c r="G1106" t="s">
        <v>337</v>
      </c>
      <c r="H1106" t="s">
        <v>54</v>
      </c>
      <c r="I1106" t="s">
        <v>68</v>
      </c>
      <c r="J1106" t="s">
        <v>58</v>
      </c>
      <c r="K1106" t="s">
        <v>44</v>
      </c>
      <c r="L1106" t="s">
        <v>195</v>
      </c>
      <c r="M1106" t="s">
        <v>324</v>
      </c>
      <c r="N1106" t="s">
        <v>60</v>
      </c>
      <c r="O1106" t="s">
        <v>145</v>
      </c>
      <c r="P1106" t="s">
        <v>133</v>
      </c>
      <c r="Q1106" t="s">
        <v>2769</v>
      </c>
      <c r="R1106">
        <v>42913.446863425925</v>
      </c>
      <c r="S1106">
        <v>42934.65766203704</v>
      </c>
      <c r="T1106" t="s">
        <v>301</v>
      </c>
      <c r="U1106" t="s">
        <v>35</v>
      </c>
      <c r="V1106" t="s">
        <v>35</v>
      </c>
      <c r="W1106" t="s">
        <v>69</v>
      </c>
    </row>
    <row r="1107" spans="1:23" x14ac:dyDescent="0.25">
      <c r="A1107" t="s">
        <v>641</v>
      </c>
      <c r="B1107" s="19">
        <v>10556</v>
      </c>
      <c r="C1107" s="2">
        <f>HYPERLINK(URLs!B36 &amp; 98917,98917)</f>
        <v>98917</v>
      </c>
      <c r="D1107" t="s">
        <v>144</v>
      </c>
      <c r="E1107" t="s">
        <v>296</v>
      </c>
      <c r="F1107" t="s">
        <v>67</v>
      </c>
      <c r="H1107" t="s">
        <v>54</v>
      </c>
      <c r="I1107" t="s">
        <v>68</v>
      </c>
      <c r="J1107" t="s">
        <v>58</v>
      </c>
      <c r="K1107" t="s">
        <v>44</v>
      </c>
      <c r="L1107" t="s">
        <v>73</v>
      </c>
      <c r="M1107" t="s">
        <v>277</v>
      </c>
      <c r="N1107" t="s">
        <v>60</v>
      </c>
      <c r="O1107" t="s">
        <v>145</v>
      </c>
      <c r="P1107" t="s">
        <v>133</v>
      </c>
      <c r="Q1107" t="s">
        <v>1503</v>
      </c>
      <c r="R1107">
        <v>42857.039803240739</v>
      </c>
      <c r="S1107">
        <v>43073.774293981478</v>
      </c>
      <c r="T1107" t="s">
        <v>4</v>
      </c>
      <c r="U1107" t="s">
        <v>35</v>
      </c>
      <c r="V1107" t="s">
        <v>35</v>
      </c>
      <c r="W1107" t="s">
        <v>4098</v>
      </c>
    </row>
    <row r="1108" spans="1:23" x14ac:dyDescent="0.25">
      <c r="A1108" t="s">
        <v>641</v>
      </c>
      <c r="B1108" s="19">
        <v>10556</v>
      </c>
      <c r="C1108" s="2">
        <f>HYPERLINK(URLs!B36 &amp; 80590,80590)</f>
        <v>80590</v>
      </c>
      <c r="D1108" t="s">
        <v>3082</v>
      </c>
      <c r="E1108" t="s">
        <v>136</v>
      </c>
      <c r="F1108" t="s">
        <v>305</v>
      </c>
      <c r="G1108" t="s">
        <v>304</v>
      </c>
      <c r="H1108" t="s">
        <v>30</v>
      </c>
      <c r="I1108" t="s">
        <v>31</v>
      </c>
      <c r="J1108" t="s">
        <v>43</v>
      </c>
      <c r="K1108" t="s">
        <v>44</v>
      </c>
      <c r="L1108" t="s">
        <v>195</v>
      </c>
      <c r="M1108" t="s">
        <v>2976</v>
      </c>
      <c r="N1108" t="s">
        <v>46</v>
      </c>
      <c r="P1108" t="s">
        <v>61</v>
      </c>
      <c r="Q1108" t="s">
        <v>1503</v>
      </c>
      <c r="R1108">
        <v>42471.666597222225</v>
      </c>
      <c r="S1108">
        <v>42709.766030092593</v>
      </c>
      <c r="T1108" t="s">
        <v>288</v>
      </c>
      <c r="U1108" t="s">
        <v>3965</v>
      </c>
      <c r="V1108" t="s">
        <v>35</v>
      </c>
      <c r="W1108" t="s">
        <v>77</v>
      </c>
    </row>
    <row r="1109" spans="1:23" x14ac:dyDescent="0.25">
      <c r="A1109" t="s">
        <v>641</v>
      </c>
      <c r="B1109" s="19">
        <v>10556</v>
      </c>
      <c r="C1109" s="2">
        <f>HYPERLINK(URLs!B36 &amp; 78333,78333)</f>
        <v>78333</v>
      </c>
      <c r="D1109" t="s">
        <v>2983</v>
      </c>
      <c r="E1109" t="s">
        <v>136</v>
      </c>
      <c r="F1109" t="s">
        <v>305</v>
      </c>
      <c r="G1109" t="s">
        <v>304</v>
      </c>
      <c r="H1109" t="s">
        <v>30</v>
      </c>
      <c r="I1109" t="s">
        <v>31</v>
      </c>
      <c r="J1109" t="s">
        <v>43</v>
      </c>
      <c r="K1109" t="s">
        <v>44</v>
      </c>
      <c r="L1109" t="s">
        <v>195</v>
      </c>
      <c r="M1109" t="s">
        <v>2976</v>
      </c>
      <c r="N1109" t="s">
        <v>46</v>
      </c>
      <c r="P1109" t="s">
        <v>61</v>
      </c>
      <c r="Q1109" t="s">
        <v>528</v>
      </c>
      <c r="R1109">
        <v>42436.816331018519</v>
      </c>
      <c r="S1109">
        <v>42937.639085648145</v>
      </c>
      <c r="T1109" t="s">
        <v>317</v>
      </c>
      <c r="U1109" t="s">
        <v>35</v>
      </c>
      <c r="V1109" t="s">
        <v>35</v>
      </c>
      <c r="W1109" t="s">
        <v>69</v>
      </c>
    </row>
    <row r="1110" spans="1:23" x14ac:dyDescent="0.25">
      <c r="A1110" t="s">
        <v>641</v>
      </c>
      <c r="B1110" s="19">
        <v>10556</v>
      </c>
      <c r="C1110" s="2">
        <f>HYPERLINK(URLs!B36 &amp; 78332,78332)</f>
        <v>78332</v>
      </c>
      <c r="D1110" t="s">
        <v>2982</v>
      </c>
      <c r="E1110" t="s">
        <v>136</v>
      </c>
      <c r="F1110" t="s">
        <v>305</v>
      </c>
      <c r="G1110" t="s">
        <v>304</v>
      </c>
      <c r="H1110" t="s">
        <v>30</v>
      </c>
      <c r="I1110" t="s">
        <v>31</v>
      </c>
      <c r="J1110" t="s">
        <v>43</v>
      </c>
      <c r="K1110" t="s">
        <v>44</v>
      </c>
      <c r="L1110" t="s">
        <v>195</v>
      </c>
      <c r="M1110" t="s">
        <v>2976</v>
      </c>
      <c r="N1110" t="s">
        <v>60</v>
      </c>
      <c r="P1110" t="s">
        <v>61</v>
      </c>
      <c r="Q1110" t="s">
        <v>2769</v>
      </c>
      <c r="R1110">
        <v>42436.816192129627</v>
      </c>
      <c r="S1110">
        <v>42648.940995370373</v>
      </c>
      <c r="T1110" t="s">
        <v>317</v>
      </c>
      <c r="U1110" t="s">
        <v>3970</v>
      </c>
      <c r="V1110" t="s">
        <v>35</v>
      </c>
      <c r="W1110" t="s">
        <v>133</v>
      </c>
    </row>
    <row r="1111" spans="1:23" x14ac:dyDescent="0.25">
      <c r="A1111" t="s">
        <v>641</v>
      </c>
      <c r="B1111" s="19">
        <v>10556</v>
      </c>
      <c r="C1111" s="2">
        <f>HYPERLINK(URLs!B36 &amp; 78193,78193)</f>
        <v>78193</v>
      </c>
      <c r="D1111" t="s">
        <v>2975</v>
      </c>
      <c r="E1111" t="s">
        <v>288</v>
      </c>
      <c r="F1111" t="s">
        <v>305</v>
      </c>
      <c r="G1111" t="s">
        <v>304</v>
      </c>
      <c r="H1111" t="s">
        <v>30</v>
      </c>
      <c r="I1111" t="s">
        <v>31</v>
      </c>
      <c r="J1111" t="s">
        <v>43</v>
      </c>
      <c r="K1111" t="s">
        <v>44</v>
      </c>
      <c r="L1111" t="s">
        <v>195</v>
      </c>
      <c r="M1111" t="s">
        <v>2976</v>
      </c>
      <c r="N1111" t="s">
        <v>46</v>
      </c>
      <c r="P1111" t="s">
        <v>61</v>
      </c>
      <c r="Q1111" t="s">
        <v>1503</v>
      </c>
      <c r="R1111">
        <v>42433.287974537037</v>
      </c>
      <c r="S1111">
        <v>43059.859780092593</v>
      </c>
      <c r="T1111" t="s">
        <v>418</v>
      </c>
      <c r="U1111" t="s">
        <v>35</v>
      </c>
      <c r="V1111" t="s">
        <v>35</v>
      </c>
      <c r="W1111" t="s">
        <v>4098</v>
      </c>
    </row>
    <row r="1112" spans="1:23" x14ac:dyDescent="0.25">
      <c r="A1112" t="s">
        <v>665</v>
      </c>
      <c r="B1112" s="19">
        <v>10559</v>
      </c>
      <c r="C1112" s="2">
        <f>HYPERLINK(URLs!B36 &amp; 97627,97627)</f>
        <v>97627</v>
      </c>
      <c r="D1112" t="s">
        <v>542</v>
      </c>
      <c r="E1112" t="s">
        <v>435</v>
      </c>
      <c r="F1112" t="s">
        <v>42</v>
      </c>
      <c r="H1112" t="s">
        <v>30</v>
      </c>
      <c r="I1112" t="s">
        <v>68</v>
      </c>
      <c r="J1112" t="s">
        <v>43</v>
      </c>
      <c r="K1112" t="s">
        <v>33</v>
      </c>
      <c r="L1112" t="s">
        <v>73</v>
      </c>
      <c r="M1112" t="s">
        <v>263</v>
      </c>
      <c r="N1112" t="s">
        <v>46</v>
      </c>
      <c r="P1112" t="s">
        <v>61</v>
      </c>
      <c r="R1112">
        <v>42823.801423611112</v>
      </c>
      <c r="S1112">
        <v>43050.27679398148</v>
      </c>
      <c r="T1112" t="s">
        <v>301</v>
      </c>
      <c r="U1112" t="s">
        <v>35</v>
      </c>
      <c r="V1112" t="s">
        <v>35</v>
      </c>
      <c r="W1112" t="s">
        <v>4166</v>
      </c>
    </row>
    <row r="1113" spans="1:23" x14ac:dyDescent="0.25">
      <c r="A1113" t="s">
        <v>665</v>
      </c>
      <c r="B1113" s="19">
        <v>10559</v>
      </c>
      <c r="C1113" s="2">
        <f>HYPERLINK(URLs!B36 &amp; 79287,79287)</f>
        <v>79287</v>
      </c>
      <c r="D1113" t="s">
        <v>3057</v>
      </c>
      <c r="E1113" t="s">
        <v>387</v>
      </c>
      <c r="F1113" t="s">
        <v>305</v>
      </c>
      <c r="G1113" t="s">
        <v>337</v>
      </c>
      <c r="H1113" t="s">
        <v>30</v>
      </c>
      <c r="I1113" t="s">
        <v>68</v>
      </c>
      <c r="J1113" t="s">
        <v>43</v>
      </c>
      <c r="K1113" t="s">
        <v>33</v>
      </c>
      <c r="L1113" t="s">
        <v>73</v>
      </c>
      <c r="M1113" t="s">
        <v>263</v>
      </c>
      <c r="N1113" t="s">
        <v>46</v>
      </c>
      <c r="P1113" t="s">
        <v>61</v>
      </c>
      <c r="Q1113" t="s">
        <v>528</v>
      </c>
      <c r="R1113">
        <v>42451.691041666665</v>
      </c>
      <c r="S1113">
        <v>42564.818425925929</v>
      </c>
      <c r="T1113" t="s">
        <v>317</v>
      </c>
      <c r="U1113" t="s">
        <v>35</v>
      </c>
      <c r="V1113" t="s">
        <v>35</v>
      </c>
      <c r="W1113" t="s">
        <v>4156</v>
      </c>
    </row>
    <row r="1114" spans="1:23" x14ac:dyDescent="0.25">
      <c r="A1114" t="s">
        <v>665</v>
      </c>
      <c r="B1114" s="19">
        <v>10559</v>
      </c>
      <c r="C1114" s="2">
        <f>HYPERLINK(URLs!B36 &amp; 79035,79035)</f>
        <v>79035</v>
      </c>
      <c r="D1114" t="s">
        <v>3050</v>
      </c>
      <c r="E1114" t="s">
        <v>72</v>
      </c>
      <c r="F1114" t="s">
        <v>305</v>
      </c>
      <c r="G1114" t="s">
        <v>337</v>
      </c>
      <c r="H1114" t="s">
        <v>30</v>
      </c>
      <c r="I1114" t="s">
        <v>68</v>
      </c>
      <c r="J1114" t="s">
        <v>43</v>
      </c>
      <c r="K1114" t="s">
        <v>33</v>
      </c>
      <c r="L1114" t="s">
        <v>73</v>
      </c>
      <c r="M1114" t="s">
        <v>263</v>
      </c>
      <c r="N1114" t="s">
        <v>46</v>
      </c>
      <c r="P1114" t="s">
        <v>61</v>
      </c>
      <c r="Q1114" t="s">
        <v>65</v>
      </c>
      <c r="R1114">
        <v>42446.774872685186</v>
      </c>
      <c r="S1114">
        <v>42823.8278587963</v>
      </c>
      <c r="T1114" t="s">
        <v>317</v>
      </c>
      <c r="U1114" t="s">
        <v>35</v>
      </c>
      <c r="V1114" t="s">
        <v>35</v>
      </c>
      <c r="W1114" t="s">
        <v>69</v>
      </c>
    </row>
    <row r="1115" spans="1:23" x14ac:dyDescent="0.25">
      <c r="A1115" t="s">
        <v>665</v>
      </c>
      <c r="B1115" s="19">
        <v>10559</v>
      </c>
      <c r="C1115" s="2">
        <f>HYPERLINK(URLs!B36 &amp; 79034,79034)</f>
        <v>79034</v>
      </c>
      <c r="D1115" t="s">
        <v>3049</v>
      </c>
      <c r="E1115" t="s">
        <v>387</v>
      </c>
      <c r="F1115" t="s">
        <v>305</v>
      </c>
      <c r="G1115" t="s">
        <v>337</v>
      </c>
      <c r="H1115" t="s">
        <v>30</v>
      </c>
      <c r="I1115" t="s">
        <v>68</v>
      </c>
      <c r="J1115" t="s">
        <v>43</v>
      </c>
      <c r="K1115" t="s">
        <v>33</v>
      </c>
      <c r="L1115" t="s">
        <v>73</v>
      </c>
      <c r="M1115" t="s">
        <v>263</v>
      </c>
      <c r="N1115" t="s">
        <v>46</v>
      </c>
      <c r="P1115" t="s">
        <v>61</v>
      </c>
      <c r="Q1115" t="s">
        <v>2481</v>
      </c>
      <c r="R1115">
        <v>42446.774780092594</v>
      </c>
      <c r="S1115">
        <v>42842.681863425925</v>
      </c>
      <c r="T1115" t="s">
        <v>317</v>
      </c>
      <c r="U1115" t="s">
        <v>35</v>
      </c>
      <c r="V1115" t="s">
        <v>35</v>
      </c>
      <c r="W1115" t="s">
        <v>133</v>
      </c>
    </row>
    <row r="1116" spans="1:23" x14ac:dyDescent="0.25">
      <c r="A1116" t="s">
        <v>665</v>
      </c>
      <c r="B1116" s="19">
        <v>10559</v>
      </c>
      <c r="C1116" s="2">
        <f>HYPERLINK(URLs!B36 &amp; 79031,79031)</f>
        <v>79031</v>
      </c>
      <c r="D1116" t="s">
        <v>71</v>
      </c>
      <c r="E1116" t="s">
        <v>435</v>
      </c>
      <c r="F1116" t="s">
        <v>42</v>
      </c>
      <c r="H1116" t="s">
        <v>30</v>
      </c>
      <c r="I1116" t="s">
        <v>68</v>
      </c>
      <c r="J1116" t="s">
        <v>43</v>
      </c>
      <c r="K1116" t="s">
        <v>33</v>
      </c>
      <c r="L1116" t="s">
        <v>73</v>
      </c>
      <c r="M1116" t="s">
        <v>263</v>
      </c>
      <c r="N1116" t="s">
        <v>46</v>
      </c>
      <c r="P1116" t="s">
        <v>61</v>
      </c>
      <c r="R1116">
        <v>42446.756539351853</v>
      </c>
      <c r="S1116">
        <v>43050.276770833334</v>
      </c>
      <c r="T1116" t="s">
        <v>1</v>
      </c>
      <c r="U1116" t="s">
        <v>35</v>
      </c>
      <c r="V1116" t="s">
        <v>35</v>
      </c>
      <c r="W1116" t="s">
        <v>4098</v>
      </c>
    </row>
    <row r="1117" spans="1:23" x14ac:dyDescent="0.25">
      <c r="A1117" t="s">
        <v>633</v>
      </c>
      <c r="B1117" s="19">
        <v>10631</v>
      </c>
      <c r="C1117" s="2">
        <f>HYPERLINK(URLs!B36 &amp; 84952,84952)</f>
        <v>84952</v>
      </c>
      <c r="D1117" t="s">
        <v>3162</v>
      </c>
      <c r="E1117" t="s">
        <v>405</v>
      </c>
      <c r="F1117" t="s">
        <v>305</v>
      </c>
      <c r="G1117" t="s">
        <v>328</v>
      </c>
      <c r="H1117" t="s">
        <v>30</v>
      </c>
      <c r="I1117" t="s">
        <v>31</v>
      </c>
      <c r="J1117" t="s">
        <v>32</v>
      </c>
      <c r="K1117" t="s">
        <v>44</v>
      </c>
      <c r="L1117" t="s">
        <v>34</v>
      </c>
      <c r="M1117" t="s">
        <v>258</v>
      </c>
      <c r="N1117" t="s">
        <v>46</v>
      </c>
      <c r="O1117" t="s">
        <v>3163</v>
      </c>
      <c r="P1117" t="s">
        <v>118</v>
      </c>
      <c r="Q1117" t="s">
        <v>133</v>
      </c>
      <c r="R1117">
        <v>42542.622754629629</v>
      </c>
      <c r="S1117">
        <v>42859.916145833333</v>
      </c>
      <c r="T1117" t="s">
        <v>53</v>
      </c>
      <c r="U1117" t="s">
        <v>35</v>
      </c>
      <c r="V1117" t="s">
        <v>321</v>
      </c>
      <c r="W1117" t="s">
        <v>4143</v>
      </c>
    </row>
    <row r="1118" spans="1:23" x14ac:dyDescent="0.25">
      <c r="A1118" t="s">
        <v>633</v>
      </c>
      <c r="B1118" s="19">
        <v>10631</v>
      </c>
      <c r="C1118" s="2">
        <f>HYPERLINK(URLs!B36 &amp; 81626,81626)</f>
        <v>81626</v>
      </c>
      <c r="D1118" t="s">
        <v>3087</v>
      </c>
      <c r="E1118" t="s">
        <v>405</v>
      </c>
      <c r="F1118" t="s">
        <v>305</v>
      </c>
      <c r="G1118" t="s">
        <v>328</v>
      </c>
      <c r="H1118" t="s">
        <v>30</v>
      </c>
      <c r="I1118" t="s">
        <v>31</v>
      </c>
      <c r="J1118" t="s">
        <v>32</v>
      </c>
      <c r="K1118" t="s">
        <v>44</v>
      </c>
      <c r="L1118" t="s">
        <v>34</v>
      </c>
      <c r="M1118" t="s">
        <v>258</v>
      </c>
      <c r="N1118" t="s">
        <v>46</v>
      </c>
      <c r="O1118" t="s">
        <v>3088</v>
      </c>
      <c r="P1118" t="s">
        <v>118</v>
      </c>
      <c r="Q1118" t="s">
        <v>65</v>
      </c>
      <c r="R1118">
        <v>42486.585023148145</v>
      </c>
      <c r="S1118">
        <v>42647.838275462964</v>
      </c>
      <c r="T1118" t="s">
        <v>317</v>
      </c>
      <c r="U1118" t="s">
        <v>35</v>
      </c>
      <c r="V1118" t="s">
        <v>321</v>
      </c>
      <c r="W1118" t="s">
        <v>4156</v>
      </c>
    </row>
    <row r="1119" spans="1:23" x14ac:dyDescent="0.25">
      <c r="A1119" t="s">
        <v>633</v>
      </c>
      <c r="B1119" s="19">
        <v>10631</v>
      </c>
      <c r="C1119" s="2">
        <f>HYPERLINK(URLs!B36 &amp; 79844,79844)</f>
        <v>79844</v>
      </c>
      <c r="D1119" t="s">
        <v>3070</v>
      </c>
      <c r="E1119" t="s">
        <v>72</v>
      </c>
      <c r="F1119" t="s">
        <v>305</v>
      </c>
      <c r="G1119" t="s">
        <v>395</v>
      </c>
      <c r="H1119" t="s">
        <v>30</v>
      </c>
      <c r="I1119" t="s">
        <v>31</v>
      </c>
      <c r="J1119" t="s">
        <v>32</v>
      </c>
      <c r="K1119" t="s">
        <v>33</v>
      </c>
      <c r="L1119" t="s">
        <v>73</v>
      </c>
      <c r="M1119" t="s">
        <v>264</v>
      </c>
      <c r="N1119" t="s">
        <v>46</v>
      </c>
      <c r="P1119" t="s">
        <v>75</v>
      </c>
      <c r="Q1119" t="s">
        <v>75</v>
      </c>
      <c r="R1119">
        <v>42459.775254629632</v>
      </c>
      <c r="S1119">
        <v>42759.637858796297</v>
      </c>
      <c r="T1119" t="s">
        <v>317</v>
      </c>
      <c r="U1119" t="s">
        <v>35</v>
      </c>
      <c r="V1119" t="s">
        <v>321</v>
      </c>
      <c r="W1119" t="s">
        <v>69</v>
      </c>
    </row>
    <row r="1120" spans="1:23" x14ac:dyDescent="0.25">
      <c r="A1120" t="s">
        <v>633</v>
      </c>
      <c r="B1120" s="19">
        <v>10631</v>
      </c>
      <c r="C1120" s="2">
        <f>HYPERLINK(URLs!B36 &amp; 79843,79843)</f>
        <v>79843</v>
      </c>
      <c r="D1120" t="s">
        <v>3069</v>
      </c>
      <c r="E1120" t="s">
        <v>72</v>
      </c>
      <c r="F1120" t="s">
        <v>305</v>
      </c>
      <c r="G1120" t="s">
        <v>395</v>
      </c>
      <c r="H1120" t="s">
        <v>30</v>
      </c>
      <c r="I1120" t="s">
        <v>31</v>
      </c>
      <c r="J1120" t="s">
        <v>32</v>
      </c>
      <c r="K1120" t="s">
        <v>33</v>
      </c>
      <c r="L1120" t="s">
        <v>73</v>
      </c>
      <c r="M1120" t="s">
        <v>264</v>
      </c>
      <c r="N1120" t="s">
        <v>60</v>
      </c>
      <c r="P1120" t="s">
        <v>75</v>
      </c>
      <c r="Q1120" t="s">
        <v>75</v>
      </c>
      <c r="R1120">
        <v>42459.77516203704</v>
      </c>
      <c r="S1120">
        <v>42759.637916666667</v>
      </c>
      <c r="T1120" t="s">
        <v>317</v>
      </c>
      <c r="U1120" t="s">
        <v>35</v>
      </c>
      <c r="V1120" t="s">
        <v>321</v>
      </c>
      <c r="W1120" t="s">
        <v>133</v>
      </c>
    </row>
    <row r="1121" spans="1:23" x14ac:dyDescent="0.25">
      <c r="A1121" t="s">
        <v>633</v>
      </c>
      <c r="B1121" s="19">
        <v>10631</v>
      </c>
      <c r="C1121" s="2">
        <f>HYPERLINK(URLs!B36 &amp; 79838,79838)</f>
        <v>79838</v>
      </c>
      <c r="D1121" t="s">
        <v>3068</v>
      </c>
      <c r="E1121" t="s">
        <v>72</v>
      </c>
      <c r="F1121" t="s">
        <v>305</v>
      </c>
      <c r="G1121" t="s">
        <v>395</v>
      </c>
      <c r="H1121" t="s">
        <v>30</v>
      </c>
      <c r="I1121" t="s">
        <v>31</v>
      </c>
      <c r="J1121" t="s">
        <v>32</v>
      </c>
      <c r="K1121" t="s">
        <v>33</v>
      </c>
      <c r="L1121" t="s">
        <v>73</v>
      </c>
      <c r="M1121" t="s">
        <v>264</v>
      </c>
      <c r="N1121" t="s">
        <v>46</v>
      </c>
      <c r="P1121" t="s">
        <v>75</v>
      </c>
      <c r="Q1121" t="s">
        <v>75</v>
      </c>
      <c r="R1121">
        <v>42459.650983796295</v>
      </c>
      <c r="S1121">
        <v>42759.638194444444</v>
      </c>
      <c r="T1121" t="s">
        <v>1</v>
      </c>
      <c r="U1121" t="s">
        <v>35</v>
      </c>
      <c r="V1121" t="s">
        <v>321</v>
      </c>
      <c r="W1121" t="s">
        <v>4098</v>
      </c>
    </row>
    <row r="1122" spans="1:23" x14ac:dyDescent="0.25">
      <c r="A1122" t="s">
        <v>633</v>
      </c>
      <c r="B1122" s="19">
        <v>10631</v>
      </c>
      <c r="C1122" s="2">
        <f>HYPERLINK(URLs!B36 &amp; 79549,79549)</f>
        <v>79549</v>
      </c>
      <c r="D1122" t="s">
        <v>3062</v>
      </c>
      <c r="E1122" t="s">
        <v>405</v>
      </c>
      <c r="F1122" t="s">
        <v>305</v>
      </c>
      <c r="G1122" t="s">
        <v>328</v>
      </c>
      <c r="H1122" t="s">
        <v>30</v>
      </c>
      <c r="I1122" t="s">
        <v>31</v>
      </c>
      <c r="J1122" t="s">
        <v>32</v>
      </c>
      <c r="K1122" t="s">
        <v>44</v>
      </c>
      <c r="L1122" t="s">
        <v>34</v>
      </c>
      <c r="M1122" t="s">
        <v>258</v>
      </c>
      <c r="N1122" t="s">
        <v>46</v>
      </c>
      <c r="P1122" t="s">
        <v>118</v>
      </c>
      <c r="Q1122" t="s">
        <v>133</v>
      </c>
      <c r="R1122">
        <v>42455.275358796294</v>
      </c>
      <c r="S1122">
        <v>42647.847592592596</v>
      </c>
      <c r="T1122" t="s">
        <v>317</v>
      </c>
      <c r="U1122" t="s">
        <v>35</v>
      </c>
      <c r="V1122" t="s">
        <v>321</v>
      </c>
      <c r="W1122" t="s">
        <v>69</v>
      </c>
    </row>
    <row r="1123" spans="1:23" x14ac:dyDescent="0.25">
      <c r="A1123" t="s">
        <v>633</v>
      </c>
      <c r="B1123" s="19">
        <v>10631</v>
      </c>
      <c r="C1123" s="2">
        <f>HYPERLINK(URLs!B36 &amp; 79548,79548)</f>
        <v>79548</v>
      </c>
      <c r="D1123" t="s">
        <v>3061</v>
      </c>
      <c r="E1123" t="s">
        <v>405</v>
      </c>
      <c r="F1123" t="s">
        <v>305</v>
      </c>
      <c r="G1123" t="s">
        <v>328</v>
      </c>
      <c r="H1123" t="s">
        <v>30</v>
      </c>
      <c r="I1123" t="s">
        <v>31</v>
      </c>
      <c r="J1123" t="s">
        <v>32</v>
      </c>
      <c r="K1123" t="s">
        <v>44</v>
      </c>
      <c r="L1123" t="s">
        <v>34</v>
      </c>
      <c r="M1123" t="s">
        <v>258</v>
      </c>
      <c r="N1123" t="s">
        <v>60</v>
      </c>
      <c r="P1123" t="s">
        <v>118</v>
      </c>
      <c r="Q1123" t="s">
        <v>133</v>
      </c>
      <c r="R1123">
        <v>42455.275046296294</v>
      </c>
      <c r="S1123">
        <v>42647.849016203705</v>
      </c>
      <c r="T1123" t="s">
        <v>317</v>
      </c>
      <c r="U1123" t="s">
        <v>35</v>
      </c>
      <c r="V1123" t="s">
        <v>321</v>
      </c>
      <c r="W1123" t="s">
        <v>133</v>
      </c>
    </row>
    <row r="1124" spans="1:23" x14ac:dyDescent="0.25">
      <c r="A1124" t="s">
        <v>633</v>
      </c>
      <c r="B1124" s="19">
        <v>10631</v>
      </c>
      <c r="C1124" s="2">
        <f>HYPERLINK(URLs!B36 &amp; 79538,79538)</f>
        <v>79538</v>
      </c>
      <c r="D1124" t="s">
        <v>3059</v>
      </c>
      <c r="E1124" t="s">
        <v>405</v>
      </c>
      <c r="F1124" t="s">
        <v>305</v>
      </c>
      <c r="G1124" t="s">
        <v>328</v>
      </c>
      <c r="H1124" t="s">
        <v>30</v>
      </c>
      <c r="I1124" t="s">
        <v>31</v>
      </c>
      <c r="J1124" t="s">
        <v>32</v>
      </c>
      <c r="K1124" t="s">
        <v>44</v>
      </c>
      <c r="L1124" t="s">
        <v>34</v>
      </c>
      <c r="M1124" t="s">
        <v>258</v>
      </c>
      <c r="N1124" t="s">
        <v>46</v>
      </c>
      <c r="O1124" t="s">
        <v>3060</v>
      </c>
      <c r="P1124" t="s">
        <v>118</v>
      </c>
      <c r="Q1124" t="s">
        <v>65</v>
      </c>
      <c r="R1124">
        <v>42454.891331018516</v>
      </c>
      <c r="S1124">
        <v>42647.850983796299</v>
      </c>
      <c r="T1124" t="s">
        <v>1</v>
      </c>
      <c r="U1124" t="s">
        <v>35</v>
      </c>
      <c r="V1124" t="s">
        <v>321</v>
      </c>
      <c r="W1124" t="s">
        <v>4098</v>
      </c>
    </row>
    <row r="1125" spans="1:23" x14ac:dyDescent="0.25">
      <c r="A1125" t="s">
        <v>633</v>
      </c>
      <c r="B1125" s="19">
        <v>10652</v>
      </c>
      <c r="C1125" s="2">
        <f>HYPERLINK(URLs!B36 &amp; 79846,79846)</f>
        <v>79846</v>
      </c>
      <c r="D1125" t="s">
        <v>3072</v>
      </c>
      <c r="E1125" t="s">
        <v>387</v>
      </c>
      <c r="F1125" t="s">
        <v>305</v>
      </c>
      <c r="G1125" t="s">
        <v>1621</v>
      </c>
      <c r="H1125" t="s">
        <v>30</v>
      </c>
      <c r="I1125" t="s">
        <v>68</v>
      </c>
      <c r="J1125" t="s">
        <v>43</v>
      </c>
      <c r="K1125" t="s">
        <v>33</v>
      </c>
      <c r="L1125" t="s">
        <v>73</v>
      </c>
      <c r="M1125" t="s">
        <v>263</v>
      </c>
      <c r="N1125" t="s">
        <v>46</v>
      </c>
      <c r="P1125" t="s">
        <v>75</v>
      </c>
      <c r="Q1125" t="s">
        <v>3067</v>
      </c>
      <c r="R1125">
        <v>42459.77616898148</v>
      </c>
      <c r="S1125">
        <v>42759.638148148151</v>
      </c>
      <c r="T1125" t="s">
        <v>317</v>
      </c>
      <c r="U1125" t="s">
        <v>35</v>
      </c>
      <c r="V1125" t="s">
        <v>35</v>
      </c>
      <c r="W1125" t="s">
        <v>69</v>
      </c>
    </row>
    <row r="1126" spans="1:23" x14ac:dyDescent="0.25">
      <c r="A1126" t="s">
        <v>633</v>
      </c>
      <c r="B1126" s="19">
        <v>10652</v>
      </c>
      <c r="C1126" s="2">
        <f>HYPERLINK(URLs!B36 &amp; 79845,79845)</f>
        <v>79845</v>
      </c>
      <c r="D1126" t="s">
        <v>3071</v>
      </c>
      <c r="E1126" t="s">
        <v>1</v>
      </c>
      <c r="F1126" t="s">
        <v>305</v>
      </c>
      <c r="G1126" t="s">
        <v>1621</v>
      </c>
      <c r="H1126" t="s">
        <v>30</v>
      </c>
      <c r="I1126" t="s">
        <v>31</v>
      </c>
      <c r="J1126" t="s">
        <v>32</v>
      </c>
      <c r="K1126" t="s">
        <v>33</v>
      </c>
      <c r="L1126" t="s">
        <v>73</v>
      </c>
      <c r="M1126" t="s">
        <v>263</v>
      </c>
      <c r="N1126" t="s">
        <v>60</v>
      </c>
      <c r="P1126" t="s">
        <v>75</v>
      </c>
      <c r="Q1126" t="s">
        <v>3067</v>
      </c>
      <c r="R1126">
        <v>42459.775925925926</v>
      </c>
      <c r="S1126">
        <v>42675.805625000001</v>
      </c>
      <c r="T1126" t="s">
        <v>317</v>
      </c>
      <c r="U1126" t="s">
        <v>35</v>
      </c>
      <c r="V1126" t="s">
        <v>35</v>
      </c>
      <c r="W1126" t="s">
        <v>133</v>
      </c>
    </row>
    <row r="1127" spans="1:23" x14ac:dyDescent="0.25">
      <c r="A1127" t="s">
        <v>633</v>
      </c>
      <c r="B1127" s="19">
        <v>10652</v>
      </c>
      <c r="C1127" s="2">
        <f>HYPERLINK(URLs!B36 &amp; 79837,79837)</f>
        <v>79837</v>
      </c>
      <c r="D1127" t="s">
        <v>3066</v>
      </c>
      <c r="E1127" t="s">
        <v>301</v>
      </c>
      <c r="F1127" t="s">
        <v>305</v>
      </c>
      <c r="G1127" t="s">
        <v>1621</v>
      </c>
      <c r="H1127" t="s">
        <v>30</v>
      </c>
      <c r="I1127" t="s">
        <v>68</v>
      </c>
      <c r="J1127" t="s">
        <v>43</v>
      </c>
      <c r="K1127" t="s">
        <v>33</v>
      </c>
      <c r="L1127" t="s">
        <v>73</v>
      </c>
      <c r="M1127" t="s">
        <v>412</v>
      </c>
      <c r="N1127" t="s">
        <v>46</v>
      </c>
      <c r="P1127" t="s">
        <v>75</v>
      </c>
      <c r="Q1127" t="s">
        <v>3067</v>
      </c>
      <c r="R1127">
        <v>42459.636863425927</v>
      </c>
      <c r="S1127">
        <v>42759.637870370374</v>
      </c>
      <c r="T1127" t="s">
        <v>1</v>
      </c>
      <c r="U1127" t="s">
        <v>35</v>
      </c>
      <c r="V1127" t="s">
        <v>35</v>
      </c>
      <c r="W1127" t="s">
        <v>4098</v>
      </c>
    </row>
    <row r="1128" spans="1:23" x14ac:dyDescent="0.25">
      <c r="A1128" t="s">
        <v>665</v>
      </c>
      <c r="B1128" s="19">
        <v>10688</v>
      </c>
      <c r="C1128" s="2">
        <f>HYPERLINK(URLs!B36 &amp; 80076,80076)</f>
        <v>80076</v>
      </c>
      <c r="D1128" t="s">
        <v>3075</v>
      </c>
      <c r="E1128" t="s">
        <v>136</v>
      </c>
      <c r="F1128" t="s">
        <v>305</v>
      </c>
      <c r="G1128" t="s">
        <v>337</v>
      </c>
      <c r="H1128" t="s">
        <v>30</v>
      </c>
      <c r="I1128" t="s">
        <v>31</v>
      </c>
      <c r="J1128" t="s">
        <v>43</v>
      </c>
      <c r="K1128" t="s">
        <v>44</v>
      </c>
      <c r="L1128" t="s">
        <v>106</v>
      </c>
      <c r="M1128" t="s">
        <v>270</v>
      </c>
      <c r="N1128" t="s">
        <v>46</v>
      </c>
      <c r="P1128" t="s">
        <v>61</v>
      </c>
      <c r="Q1128" t="s">
        <v>2769</v>
      </c>
      <c r="R1128">
        <v>42461.84752314815</v>
      </c>
      <c r="S1128">
        <v>42709.761828703704</v>
      </c>
      <c r="T1128" t="s">
        <v>288</v>
      </c>
      <c r="U1128" t="s">
        <v>35</v>
      </c>
      <c r="V1128" t="s">
        <v>35</v>
      </c>
      <c r="W1128" t="s">
        <v>4156</v>
      </c>
    </row>
    <row r="1129" spans="1:23" x14ac:dyDescent="0.25">
      <c r="A1129" t="s">
        <v>665</v>
      </c>
      <c r="B1129" s="19">
        <v>10688</v>
      </c>
      <c r="C1129" s="2">
        <f>HYPERLINK(URLs!B36 &amp; 80075,80075)</f>
        <v>80075</v>
      </c>
      <c r="D1129" t="s">
        <v>3074</v>
      </c>
      <c r="E1129" t="s">
        <v>136</v>
      </c>
      <c r="F1129" t="s">
        <v>305</v>
      </c>
      <c r="G1129" t="s">
        <v>304</v>
      </c>
      <c r="H1129" t="s">
        <v>30</v>
      </c>
      <c r="I1129" t="s">
        <v>31</v>
      </c>
      <c r="J1129" t="s">
        <v>43</v>
      </c>
      <c r="K1129" t="s">
        <v>44</v>
      </c>
      <c r="L1129" t="s">
        <v>106</v>
      </c>
      <c r="M1129" t="s">
        <v>270</v>
      </c>
      <c r="N1129" t="s">
        <v>60</v>
      </c>
      <c r="P1129" t="s">
        <v>61</v>
      </c>
      <c r="Q1129" t="s">
        <v>2769</v>
      </c>
      <c r="R1129">
        <v>42461.846493055556</v>
      </c>
      <c r="S1129">
        <v>42941.842962962961</v>
      </c>
      <c r="T1129" t="s">
        <v>288</v>
      </c>
      <c r="U1129" t="s">
        <v>3963</v>
      </c>
      <c r="V1129" t="s">
        <v>35</v>
      </c>
      <c r="W1129" t="s">
        <v>133</v>
      </c>
    </row>
    <row r="1130" spans="1:23" x14ac:dyDescent="0.25">
      <c r="A1130" t="s">
        <v>665</v>
      </c>
      <c r="B1130" s="19">
        <v>10688</v>
      </c>
      <c r="C1130" s="2">
        <f>HYPERLINK(URLs!B36 &amp; 80074,80074)</f>
        <v>80074</v>
      </c>
      <c r="D1130" t="s">
        <v>3073</v>
      </c>
      <c r="E1130" t="s">
        <v>136</v>
      </c>
      <c r="F1130" t="s">
        <v>305</v>
      </c>
      <c r="G1130" t="s">
        <v>304</v>
      </c>
      <c r="H1130" t="s">
        <v>30</v>
      </c>
      <c r="I1130" t="s">
        <v>31</v>
      </c>
      <c r="J1130" t="s">
        <v>43</v>
      </c>
      <c r="K1130" t="s">
        <v>44</v>
      </c>
      <c r="L1130" t="s">
        <v>106</v>
      </c>
      <c r="M1130" t="s">
        <v>270</v>
      </c>
      <c r="N1130" t="s">
        <v>46</v>
      </c>
      <c r="P1130" t="s">
        <v>61</v>
      </c>
      <c r="Q1130" t="s">
        <v>1503</v>
      </c>
      <c r="R1130">
        <v>42461.84646990741</v>
      </c>
      <c r="S1130">
        <v>42929.523240740738</v>
      </c>
      <c r="T1130" t="s">
        <v>288</v>
      </c>
      <c r="U1130" t="s">
        <v>35</v>
      </c>
      <c r="V1130" t="s">
        <v>35</v>
      </c>
      <c r="W1130" t="s">
        <v>69</v>
      </c>
    </row>
    <row r="1131" spans="1:23" x14ac:dyDescent="0.25">
      <c r="A1131" t="s">
        <v>665</v>
      </c>
      <c r="B1131" s="19">
        <v>10688</v>
      </c>
      <c r="C1131" s="2">
        <f>HYPERLINK(URLs!B36 &amp; 79760,79760)</f>
        <v>79760</v>
      </c>
      <c r="D1131" t="s">
        <v>351</v>
      </c>
      <c r="E1131" t="s">
        <v>136</v>
      </c>
      <c r="F1131" t="s">
        <v>305</v>
      </c>
      <c r="G1131" t="s">
        <v>304</v>
      </c>
      <c r="H1131" t="s">
        <v>30</v>
      </c>
      <c r="I1131" t="s">
        <v>31</v>
      </c>
      <c r="J1131" t="s">
        <v>43</v>
      </c>
      <c r="K1131" t="s">
        <v>44</v>
      </c>
      <c r="L1131" t="s">
        <v>106</v>
      </c>
      <c r="M1131" t="s">
        <v>270</v>
      </c>
      <c r="N1131" t="s">
        <v>46</v>
      </c>
      <c r="P1131" t="s">
        <v>61</v>
      </c>
      <c r="Q1131" t="s">
        <v>1503</v>
      </c>
      <c r="R1131">
        <v>42458.928020833337</v>
      </c>
      <c r="S1131">
        <v>43187.158761574072</v>
      </c>
      <c r="T1131" t="s">
        <v>162</v>
      </c>
      <c r="U1131" t="s">
        <v>35</v>
      </c>
      <c r="V1131" t="s">
        <v>35</v>
      </c>
      <c r="W1131" t="s">
        <v>4098</v>
      </c>
    </row>
    <row r="1132" spans="1:23" x14ac:dyDescent="0.25">
      <c r="A1132" t="s">
        <v>665</v>
      </c>
      <c r="B1132" s="19">
        <v>10707</v>
      </c>
      <c r="C1132" s="2">
        <f>HYPERLINK(URLs!B36 &amp; 81636,81636)</f>
        <v>81636</v>
      </c>
      <c r="D1132" t="s">
        <v>3090</v>
      </c>
      <c r="E1132" t="s">
        <v>350</v>
      </c>
      <c r="F1132" t="s">
        <v>305</v>
      </c>
      <c r="G1132" t="s">
        <v>304</v>
      </c>
      <c r="H1132" t="s">
        <v>30</v>
      </c>
      <c r="I1132" t="s">
        <v>31</v>
      </c>
      <c r="J1132" t="s">
        <v>43</v>
      </c>
      <c r="K1132" t="s">
        <v>44</v>
      </c>
      <c r="L1132" t="s">
        <v>73</v>
      </c>
      <c r="M1132" t="s">
        <v>263</v>
      </c>
      <c r="N1132" t="s">
        <v>46</v>
      </c>
      <c r="P1132" t="s">
        <v>47</v>
      </c>
      <c r="Q1132" t="s">
        <v>47</v>
      </c>
      <c r="R1132">
        <v>42486.624895833331</v>
      </c>
      <c r="S1132">
        <v>42718.648090277777</v>
      </c>
      <c r="T1132" t="s">
        <v>317</v>
      </c>
      <c r="U1132" t="s">
        <v>3977</v>
      </c>
      <c r="V1132" t="s">
        <v>35</v>
      </c>
      <c r="W1132" t="s">
        <v>107</v>
      </c>
    </row>
    <row r="1133" spans="1:23" x14ac:dyDescent="0.25">
      <c r="A1133" t="s">
        <v>665</v>
      </c>
      <c r="B1133" s="19">
        <v>10707</v>
      </c>
      <c r="C1133" s="2">
        <f>HYPERLINK(URLs!B36 &amp; 80288,80288)</f>
        <v>80288</v>
      </c>
      <c r="D1133" t="s">
        <v>3078</v>
      </c>
      <c r="E1133" t="s">
        <v>3079</v>
      </c>
      <c r="F1133" t="s">
        <v>305</v>
      </c>
      <c r="G1133" t="s">
        <v>304</v>
      </c>
      <c r="H1133" t="s">
        <v>30</v>
      </c>
      <c r="I1133" t="s">
        <v>31</v>
      </c>
      <c r="J1133" t="s">
        <v>43</v>
      </c>
      <c r="K1133" t="s">
        <v>44</v>
      </c>
      <c r="L1133" t="s">
        <v>73</v>
      </c>
      <c r="M1133" t="s">
        <v>263</v>
      </c>
      <c r="N1133" t="s">
        <v>46</v>
      </c>
      <c r="P1133" t="s">
        <v>47</v>
      </c>
      <c r="Q1133" t="s">
        <v>47</v>
      </c>
      <c r="R1133">
        <v>42466.275520833333</v>
      </c>
      <c r="S1133">
        <v>42948.933935185189</v>
      </c>
      <c r="T1133" t="s">
        <v>317</v>
      </c>
      <c r="U1133" t="s">
        <v>3974</v>
      </c>
      <c r="V1133" t="s">
        <v>35</v>
      </c>
      <c r="W1133" t="s">
        <v>69</v>
      </c>
    </row>
    <row r="1134" spans="1:23" x14ac:dyDescent="0.25">
      <c r="A1134" t="s">
        <v>665</v>
      </c>
      <c r="B1134" s="19">
        <v>10707</v>
      </c>
      <c r="C1134" s="2">
        <f>HYPERLINK(URLs!B36 &amp; 80287,80287)</f>
        <v>80287</v>
      </c>
      <c r="D1134" t="s">
        <v>3077</v>
      </c>
      <c r="E1134" t="s">
        <v>350</v>
      </c>
      <c r="F1134" t="s">
        <v>305</v>
      </c>
      <c r="G1134" t="s">
        <v>304</v>
      </c>
      <c r="H1134" t="s">
        <v>30</v>
      </c>
      <c r="I1134" t="s">
        <v>31</v>
      </c>
      <c r="J1134" t="s">
        <v>43</v>
      </c>
      <c r="K1134" t="s">
        <v>44</v>
      </c>
      <c r="L1134" t="s">
        <v>73</v>
      </c>
      <c r="M1134" t="s">
        <v>263</v>
      </c>
      <c r="N1134" t="s">
        <v>60</v>
      </c>
      <c r="P1134" t="s">
        <v>47</v>
      </c>
      <c r="Q1134" t="s">
        <v>47</v>
      </c>
      <c r="R1134">
        <v>42466.27542824074</v>
      </c>
      <c r="S1134">
        <v>42648.772314814814</v>
      </c>
      <c r="T1134" t="s">
        <v>317</v>
      </c>
      <c r="U1134" t="s">
        <v>35</v>
      </c>
      <c r="V1134" t="s">
        <v>35</v>
      </c>
      <c r="W1134" t="s">
        <v>133</v>
      </c>
    </row>
    <row r="1135" spans="1:23" x14ac:dyDescent="0.25">
      <c r="A1135" t="s">
        <v>665</v>
      </c>
      <c r="B1135" s="19">
        <v>10707</v>
      </c>
      <c r="C1135" s="2">
        <f>HYPERLINK(URLs!B36 &amp; 80257,80257)</f>
        <v>80257</v>
      </c>
      <c r="D1135" t="s">
        <v>349</v>
      </c>
      <c r="E1135" t="s">
        <v>350</v>
      </c>
      <c r="F1135" t="s">
        <v>305</v>
      </c>
      <c r="G1135" t="s">
        <v>304</v>
      </c>
      <c r="H1135" t="s">
        <v>30</v>
      </c>
      <c r="I1135" t="s">
        <v>31</v>
      </c>
      <c r="J1135" t="s">
        <v>43</v>
      </c>
      <c r="K1135" t="s">
        <v>44</v>
      </c>
      <c r="L1135" t="s">
        <v>73</v>
      </c>
      <c r="M1135" t="s">
        <v>263</v>
      </c>
      <c r="N1135" t="s">
        <v>46</v>
      </c>
      <c r="P1135" t="s">
        <v>47</v>
      </c>
      <c r="Q1135" t="s">
        <v>47</v>
      </c>
      <c r="R1135">
        <v>42465.853298611109</v>
      </c>
      <c r="S1135">
        <v>42871.699826388889</v>
      </c>
      <c r="T1135" t="s">
        <v>1</v>
      </c>
      <c r="U1135" t="s">
        <v>35</v>
      </c>
      <c r="V1135" t="s">
        <v>35</v>
      </c>
      <c r="W1135" t="s">
        <v>4098</v>
      </c>
    </row>
    <row r="1136" spans="1:23" x14ac:dyDescent="0.25">
      <c r="A1136" t="s">
        <v>633</v>
      </c>
      <c r="B1136" s="19">
        <v>10750</v>
      </c>
      <c r="C1136" s="2">
        <f>HYPERLINK(URLs!B36 &amp; 80479,80479)</f>
        <v>80479</v>
      </c>
      <c r="D1136" t="s">
        <v>3081</v>
      </c>
      <c r="E1136" t="s">
        <v>139</v>
      </c>
      <c r="F1136" t="s">
        <v>305</v>
      </c>
      <c r="G1136" t="s">
        <v>353</v>
      </c>
      <c r="H1136" t="s">
        <v>30</v>
      </c>
      <c r="I1136" t="s">
        <v>31</v>
      </c>
      <c r="J1136" t="s">
        <v>43</v>
      </c>
      <c r="K1136" t="s">
        <v>44</v>
      </c>
      <c r="L1136" t="s">
        <v>73</v>
      </c>
      <c r="M1136" t="s">
        <v>263</v>
      </c>
      <c r="N1136" t="s">
        <v>46</v>
      </c>
      <c r="P1136" t="s">
        <v>2121</v>
      </c>
      <c r="Q1136" t="s">
        <v>3037</v>
      </c>
      <c r="R1136">
        <v>42468.513738425929</v>
      </c>
      <c r="S1136">
        <v>42759.634942129633</v>
      </c>
      <c r="T1136" t="s">
        <v>86</v>
      </c>
      <c r="U1136" t="s">
        <v>35</v>
      </c>
      <c r="V1136" t="s">
        <v>35</v>
      </c>
      <c r="W1136" t="s">
        <v>4098</v>
      </c>
    </row>
    <row r="1137" spans="1:23" x14ac:dyDescent="0.25">
      <c r="B1137" s="19">
        <v>10815</v>
      </c>
      <c r="C1137" s="2">
        <f>HYPERLINK(URLs!B36 &amp; 81635,81635)</f>
        <v>81635</v>
      </c>
      <c r="D1137" t="s">
        <v>3089</v>
      </c>
      <c r="E1137" t="s">
        <v>110</v>
      </c>
      <c r="F1137" t="s">
        <v>305</v>
      </c>
      <c r="G1137" t="s">
        <v>353</v>
      </c>
      <c r="H1137" t="s">
        <v>30</v>
      </c>
      <c r="I1137" t="s">
        <v>31</v>
      </c>
      <c r="J1137" t="s">
        <v>43</v>
      </c>
      <c r="K1137" t="s">
        <v>44</v>
      </c>
      <c r="L1137" t="s">
        <v>73</v>
      </c>
      <c r="M1137" t="s">
        <v>263</v>
      </c>
      <c r="N1137" t="s">
        <v>46</v>
      </c>
      <c r="P1137" t="s">
        <v>75</v>
      </c>
      <c r="Q1137" t="s">
        <v>75</v>
      </c>
      <c r="R1137">
        <v>42486.624652777777</v>
      </c>
      <c r="S1137">
        <v>42678.682199074072</v>
      </c>
      <c r="T1137" t="s">
        <v>317</v>
      </c>
      <c r="U1137" t="s">
        <v>35</v>
      </c>
      <c r="V1137" t="s">
        <v>35</v>
      </c>
      <c r="W1137" t="s">
        <v>4156</v>
      </c>
    </row>
    <row r="1138" spans="1:23" x14ac:dyDescent="0.25">
      <c r="B1138" s="19">
        <v>10815</v>
      </c>
      <c r="C1138" s="2">
        <f>HYPERLINK(URLs!B36 &amp; 81160,81160)</f>
        <v>81160</v>
      </c>
      <c r="D1138" t="s">
        <v>3086</v>
      </c>
      <c r="E1138" t="s">
        <v>110</v>
      </c>
      <c r="F1138" t="s">
        <v>305</v>
      </c>
      <c r="G1138" t="s">
        <v>353</v>
      </c>
      <c r="H1138" t="s">
        <v>30</v>
      </c>
      <c r="I1138" t="s">
        <v>31</v>
      </c>
      <c r="J1138" t="s">
        <v>43</v>
      </c>
      <c r="K1138" t="s">
        <v>44</v>
      </c>
      <c r="L1138" t="s">
        <v>73</v>
      </c>
      <c r="M1138" t="s">
        <v>263</v>
      </c>
      <c r="N1138" t="s">
        <v>46</v>
      </c>
      <c r="P1138" t="s">
        <v>75</v>
      </c>
      <c r="Q1138" t="s">
        <v>75</v>
      </c>
      <c r="R1138">
        <v>42479.775960648149</v>
      </c>
      <c r="S1138">
        <v>42678.681956018518</v>
      </c>
      <c r="T1138" t="s">
        <v>317</v>
      </c>
      <c r="U1138" t="s">
        <v>35</v>
      </c>
      <c r="V1138" t="s">
        <v>35</v>
      </c>
      <c r="W1138" t="s">
        <v>69</v>
      </c>
    </row>
    <row r="1139" spans="1:23" x14ac:dyDescent="0.25">
      <c r="B1139" s="19">
        <v>10815</v>
      </c>
      <c r="C1139" s="2">
        <f>HYPERLINK(URLs!B36 &amp; 81159,81159)</f>
        <v>81159</v>
      </c>
      <c r="D1139" t="s">
        <v>3085</v>
      </c>
      <c r="E1139" t="s">
        <v>110</v>
      </c>
      <c r="F1139" t="s">
        <v>305</v>
      </c>
      <c r="G1139" t="s">
        <v>353</v>
      </c>
      <c r="H1139" t="s">
        <v>30</v>
      </c>
      <c r="I1139" t="s">
        <v>31</v>
      </c>
      <c r="J1139" t="s">
        <v>43</v>
      </c>
      <c r="K1139" t="s">
        <v>44</v>
      </c>
      <c r="L1139" t="s">
        <v>73</v>
      </c>
      <c r="M1139" t="s">
        <v>263</v>
      </c>
      <c r="N1139" t="s">
        <v>60</v>
      </c>
      <c r="P1139" t="s">
        <v>75</v>
      </c>
      <c r="Q1139" t="s">
        <v>75</v>
      </c>
      <c r="R1139">
        <v>42479.775833333333</v>
      </c>
      <c r="S1139">
        <v>42678.682222222225</v>
      </c>
      <c r="T1139" t="s">
        <v>317</v>
      </c>
      <c r="U1139" t="s">
        <v>35</v>
      </c>
      <c r="V1139" t="s">
        <v>35</v>
      </c>
      <c r="W1139" t="s">
        <v>133</v>
      </c>
    </row>
    <row r="1140" spans="1:23" x14ac:dyDescent="0.25">
      <c r="B1140" s="19">
        <v>10815</v>
      </c>
      <c r="C1140" s="2">
        <f>HYPERLINK(URLs!B36 &amp; 81155,81155)</f>
        <v>81155</v>
      </c>
      <c r="D1140" t="s">
        <v>3084</v>
      </c>
      <c r="E1140" t="s">
        <v>291</v>
      </c>
      <c r="F1140" t="s">
        <v>305</v>
      </c>
      <c r="G1140" t="s">
        <v>353</v>
      </c>
      <c r="H1140" t="s">
        <v>30</v>
      </c>
      <c r="I1140" t="s">
        <v>31</v>
      </c>
      <c r="J1140" t="s">
        <v>43</v>
      </c>
      <c r="K1140" t="s">
        <v>44</v>
      </c>
      <c r="L1140" t="s">
        <v>73</v>
      </c>
      <c r="M1140" t="s">
        <v>263</v>
      </c>
      <c r="N1140" t="s">
        <v>46</v>
      </c>
      <c r="O1140" t="s">
        <v>358</v>
      </c>
      <c r="P1140" t="s">
        <v>75</v>
      </c>
      <c r="Q1140" t="s">
        <v>75</v>
      </c>
      <c r="R1140">
        <v>42479.723854166667</v>
      </c>
      <c r="S1140">
        <v>42678.682106481479</v>
      </c>
      <c r="T1140" t="s">
        <v>1</v>
      </c>
      <c r="U1140" t="s">
        <v>35</v>
      </c>
      <c r="V1140" t="s">
        <v>35</v>
      </c>
      <c r="W1140" t="s">
        <v>4098</v>
      </c>
    </row>
    <row r="1141" spans="1:23" x14ac:dyDescent="0.25">
      <c r="B1141" s="19">
        <v>10846</v>
      </c>
      <c r="C1141" s="2">
        <f>HYPERLINK(URLs!B36 &amp; 69695,69695)</f>
        <v>69695</v>
      </c>
      <c r="D1141" t="s">
        <v>2705</v>
      </c>
      <c r="E1141" t="s">
        <v>2706</v>
      </c>
      <c r="F1141" t="s">
        <v>305</v>
      </c>
      <c r="G1141" t="s">
        <v>304</v>
      </c>
      <c r="H1141" t="s">
        <v>30</v>
      </c>
      <c r="I1141" t="s">
        <v>68</v>
      </c>
      <c r="J1141" t="s">
        <v>43</v>
      </c>
      <c r="K1141" t="s">
        <v>33</v>
      </c>
      <c r="L1141" t="s">
        <v>34</v>
      </c>
      <c r="M1141" t="s">
        <v>1853</v>
      </c>
      <c r="N1141" t="s">
        <v>46</v>
      </c>
      <c r="P1141" t="s">
        <v>2679</v>
      </c>
      <c r="Q1141" t="s">
        <v>2416</v>
      </c>
      <c r="R1141">
        <v>42271.385115740741</v>
      </c>
      <c r="S1141">
        <v>42801.437974537039</v>
      </c>
      <c r="T1141" t="s">
        <v>2706</v>
      </c>
      <c r="U1141" t="s">
        <v>35</v>
      </c>
      <c r="V1141" t="s">
        <v>35</v>
      </c>
      <c r="W1141" t="s">
        <v>4133</v>
      </c>
    </row>
    <row r="1142" spans="1:23" x14ac:dyDescent="0.25">
      <c r="B1142" s="19">
        <v>10846</v>
      </c>
      <c r="C1142" s="2">
        <f>HYPERLINK(URLs!B36 &amp; 68219,68219)</f>
        <v>68219</v>
      </c>
      <c r="D1142" t="s">
        <v>2677</v>
      </c>
      <c r="E1142" t="s">
        <v>2678</v>
      </c>
      <c r="F1142" t="s">
        <v>305</v>
      </c>
      <c r="G1142" t="s">
        <v>304</v>
      </c>
      <c r="H1142" t="s">
        <v>30</v>
      </c>
      <c r="I1142" t="s">
        <v>31</v>
      </c>
      <c r="J1142" t="s">
        <v>32</v>
      </c>
      <c r="K1142" t="s">
        <v>33</v>
      </c>
      <c r="L1142" t="s">
        <v>34</v>
      </c>
      <c r="M1142" t="s">
        <v>1853</v>
      </c>
      <c r="N1142" t="s">
        <v>46</v>
      </c>
      <c r="P1142" t="s">
        <v>2679</v>
      </c>
      <c r="Q1142" t="s">
        <v>2416</v>
      </c>
      <c r="R1142">
        <v>42248.683877314812</v>
      </c>
      <c r="S1142">
        <v>42802.666747685187</v>
      </c>
      <c r="T1142" t="s">
        <v>39</v>
      </c>
      <c r="U1142" t="s">
        <v>35</v>
      </c>
      <c r="V1142" t="s">
        <v>35</v>
      </c>
      <c r="W1142" t="s">
        <v>4098</v>
      </c>
    </row>
    <row r="1143" spans="1:23" x14ac:dyDescent="0.25">
      <c r="A1143" t="s">
        <v>665</v>
      </c>
      <c r="B1143" s="19">
        <v>10905</v>
      </c>
      <c r="C1143" s="2">
        <f>HYPERLINK(URLs!B36 &amp; 83074,83074)</f>
        <v>83074</v>
      </c>
      <c r="D1143" t="s">
        <v>3124</v>
      </c>
      <c r="E1143" t="s">
        <v>72</v>
      </c>
      <c r="F1143" t="s">
        <v>305</v>
      </c>
      <c r="G1143" t="s">
        <v>337</v>
      </c>
      <c r="H1143" t="s">
        <v>30</v>
      </c>
      <c r="I1143" t="s">
        <v>31</v>
      </c>
      <c r="J1143" t="s">
        <v>43</v>
      </c>
      <c r="K1143" t="s">
        <v>44</v>
      </c>
      <c r="L1143" t="s">
        <v>73</v>
      </c>
      <c r="M1143" t="s">
        <v>263</v>
      </c>
      <c r="N1143" t="s">
        <v>46</v>
      </c>
      <c r="P1143" t="s">
        <v>75</v>
      </c>
      <c r="Q1143" t="s">
        <v>2769</v>
      </c>
      <c r="R1143">
        <v>42507.821701388886</v>
      </c>
      <c r="S1143">
        <v>42536.608958333331</v>
      </c>
      <c r="T1143" t="s">
        <v>3125</v>
      </c>
      <c r="U1143" t="s">
        <v>35</v>
      </c>
      <c r="V1143" t="s">
        <v>35</v>
      </c>
      <c r="W1143" t="s">
        <v>4156</v>
      </c>
    </row>
    <row r="1144" spans="1:23" x14ac:dyDescent="0.25">
      <c r="A1144" t="s">
        <v>665</v>
      </c>
      <c r="B1144" s="19">
        <v>10905</v>
      </c>
      <c r="C1144" s="2">
        <f>HYPERLINK(URLs!B36 &amp; 81963,81963)</f>
        <v>81963</v>
      </c>
      <c r="D1144" t="s">
        <v>3105</v>
      </c>
      <c r="E1144" t="s">
        <v>94</v>
      </c>
      <c r="F1144" t="s">
        <v>305</v>
      </c>
      <c r="G1144" t="s">
        <v>304</v>
      </c>
      <c r="H1144" t="s">
        <v>54</v>
      </c>
      <c r="I1144" t="s">
        <v>31</v>
      </c>
      <c r="J1144" t="s">
        <v>43</v>
      </c>
      <c r="K1144" t="s">
        <v>44</v>
      </c>
      <c r="L1144" t="s">
        <v>73</v>
      </c>
      <c r="M1144" t="s">
        <v>263</v>
      </c>
      <c r="N1144" t="s">
        <v>518</v>
      </c>
      <c r="P1144" t="s">
        <v>75</v>
      </c>
      <c r="Q1144" t="s">
        <v>562</v>
      </c>
      <c r="R1144">
        <v>42489.276759259257</v>
      </c>
      <c r="S1144">
        <v>42958.490069444444</v>
      </c>
      <c r="T1144" t="s">
        <v>317</v>
      </c>
      <c r="U1144" t="s">
        <v>35</v>
      </c>
      <c r="V1144" t="s">
        <v>35</v>
      </c>
      <c r="W1144" t="s">
        <v>69</v>
      </c>
    </row>
    <row r="1145" spans="1:23" x14ac:dyDescent="0.25">
      <c r="A1145" t="s">
        <v>665</v>
      </c>
      <c r="B1145" s="19">
        <v>10905</v>
      </c>
      <c r="C1145" s="2">
        <f>HYPERLINK(URLs!B36 &amp; 81961,81961)</f>
        <v>81961</v>
      </c>
      <c r="D1145" t="s">
        <v>3103</v>
      </c>
      <c r="E1145" t="s">
        <v>94</v>
      </c>
      <c r="F1145" t="s">
        <v>305</v>
      </c>
      <c r="G1145" t="s">
        <v>337</v>
      </c>
      <c r="H1145" t="s">
        <v>54</v>
      </c>
      <c r="I1145" t="s">
        <v>31</v>
      </c>
      <c r="J1145" t="s">
        <v>43</v>
      </c>
      <c r="K1145" t="s">
        <v>44</v>
      </c>
      <c r="L1145" t="s">
        <v>73</v>
      </c>
      <c r="M1145" t="s">
        <v>263</v>
      </c>
      <c r="N1145" t="s">
        <v>60</v>
      </c>
      <c r="O1145" t="s">
        <v>3104</v>
      </c>
      <c r="P1145" t="s">
        <v>75</v>
      </c>
      <c r="Q1145" t="s">
        <v>2481</v>
      </c>
      <c r="R1145">
        <v>42489.276493055557</v>
      </c>
      <c r="S1145">
        <v>42831.732835648145</v>
      </c>
      <c r="T1145" t="s">
        <v>317</v>
      </c>
      <c r="U1145" t="s">
        <v>35</v>
      </c>
      <c r="V1145" t="s">
        <v>35</v>
      </c>
      <c r="W1145" t="s">
        <v>133</v>
      </c>
    </row>
    <row r="1146" spans="1:23" x14ac:dyDescent="0.25">
      <c r="A1146" t="s">
        <v>665</v>
      </c>
      <c r="B1146" s="19">
        <v>10905</v>
      </c>
      <c r="C1146" s="2">
        <f>HYPERLINK(URLs!B36 &amp; 81920,81920)</f>
        <v>81920</v>
      </c>
      <c r="D1146" t="s">
        <v>3098</v>
      </c>
      <c r="E1146" t="s">
        <v>94</v>
      </c>
      <c r="F1146" t="s">
        <v>305</v>
      </c>
      <c r="G1146" t="s">
        <v>304</v>
      </c>
      <c r="H1146" t="s">
        <v>30</v>
      </c>
      <c r="I1146" t="s">
        <v>31</v>
      </c>
      <c r="J1146" t="s">
        <v>43</v>
      </c>
      <c r="K1146" t="s">
        <v>44</v>
      </c>
      <c r="L1146" t="s">
        <v>73</v>
      </c>
      <c r="M1146" t="s">
        <v>263</v>
      </c>
      <c r="N1146" t="s">
        <v>46</v>
      </c>
      <c r="P1146" t="s">
        <v>75</v>
      </c>
      <c r="Q1146" t="s">
        <v>159</v>
      </c>
      <c r="R1146">
        <v>42488.845879629633</v>
      </c>
      <c r="S1146">
        <v>43187.158993055556</v>
      </c>
      <c r="T1146" t="s">
        <v>1</v>
      </c>
      <c r="U1146" t="s">
        <v>35</v>
      </c>
      <c r="V1146" t="s">
        <v>35</v>
      </c>
      <c r="W1146" t="s">
        <v>4098</v>
      </c>
    </row>
    <row r="1147" spans="1:23" x14ac:dyDescent="0.25">
      <c r="A1147" t="s">
        <v>633</v>
      </c>
      <c r="B1147" s="19">
        <v>10907</v>
      </c>
      <c r="C1147" s="2">
        <f>HYPERLINK(URLs!B36 &amp; 83078,83078)</f>
        <v>83078</v>
      </c>
      <c r="D1147" t="s">
        <v>3127</v>
      </c>
      <c r="E1147" t="s">
        <v>335</v>
      </c>
      <c r="F1147" t="s">
        <v>305</v>
      </c>
      <c r="G1147" t="s">
        <v>337</v>
      </c>
      <c r="H1147" t="s">
        <v>30</v>
      </c>
      <c r="I1147" t="s">
        <v>68</v>
      </c>
      <c r="J1147" t="s">
        <v>43</v>
      </c>
      <c r="K1147" t="s">
        <v>33</v>
      </c>
      <c r="L1147" t="s">
        <v>73</v>
      </c>
      <c r="M1147" t="s">
        <v>277</v>
      </c>
      <c r="N1147" t="s">
        <v>46</v>
      </c>
      <c r="P1147" t="s">
        <v>65</v>
      </c>
      <c r="Q1147" t="s">
        <v>2769</v>
      </c>
      <c r="R1147">
        <v>42507.827604166669</v>
      </c>
      <c r="S1147">
        <v>42536.673148148147</v>
      </c>
      <c r="T1147" t="s">
        <v>3125</v>
      </c>
      <c r="U1147" t="s">
        <v>35</v>
      </c>
      <c r="V1147" t="s">
        <v>35</v>
      </c>
      <c r="W1147" t="s">
        <v>4156</v>
      </c>
    </row>
    <row r="1148" spans="1:23" x14ac:dyDescent="0.25">
      <c r="A1148" t="s">
        <v>633</v>
      </c>
      <c r="B1148" s="19">
        <v>10907</v>
      </c>
      <c r="C1148" s="2">
        <f>HYPERLINK(URLs!B36 &amp; 81960,81960)</f>
        <v>81960</v>
      </c>
      <c r="D1148" t="s">
        <v>3102</v>
      </c>
      <c r="E1148" t="s">
        <v>335</v>
      </c>
      <c r="F1148" t="s">
        <v>305</v>
      </c>
      <c r="G1148" t="s">
        <v>353</v>
      </c>
      <c r="H1148" t="s">
        <v>426</v>
      </c>
      <c r="I1148" t="s">
        <v>31</v>
      </c>
      <c r="J1148" t="s">
        <v>43</v>
      </c>
      <c r="K1148" t="s">
        <v>44</v>
      </c>
      <c r="L1148" t="s">
        <v>73</v>
      </c>
      <c r="M1148" t="s">
        <v>277</v>
      </c>
      <c r="N1148" t="s">
        <v>46</v>
      </c>
      <c r="P1148" t="s">
        <v>75</v>
      </c>
      <c r="Q1148" t="s">
        <v>2416</v>
      </c>
      <c r="R1148">
        <v>42489.27615740741</v>
      </c>
      <c r="S1148">
        <v>42759.634664351855</v>
      </c>
      <c r="T1148" t="s">
        <v>317</v>
      </c>
      <c r="U1148" t="s">
        <v>35</v>
      </c>
      <c r="V1148" t="s">
        <v>35</v>
      </c>
      <c r="W1148" t="s">
        <v>69</v>
      </c>
    </row>
    <row r="1149" spans="1:23" x14ac:dyDescent="0.25">
      <c r="A1149" t="s">
        <v>633</v>
      </c>
      <c r="B1149" s="19">
        <v>10907</v>
      </c>
      <c r="C1149" s="2">
        <f>HYPERLINK(URLs!B36 &amp; 81959,81959)</f>
        <v>81959</v>
      </c>
      <c r="D1149" t="s">
        <v>3100</v>
      </c>
      <c r="E1149" t="s">
        <v>72</v>
      </c>
      <c r="F1149" t="s">
        <v>305</v>
      </c>
      <c r="G1149" t="s">
        <v>353</v>
      </c>
      <c r="H1149" t="s">
        <v>426</v>
      </c>
      <c r="I1149" t="s">
        <v>31</v>
      </c>
      <c r="J1149" t="s">
        <v>43</v>
      </c>
      <c r="K1149" t="s">
        <v>44</v>
      </c>
      <c r="L1149" t="s">
        <v>73</v>
      </c>
      <c r="M1149" t="s">
        <v>277</v>
      </c>
      <c r="N1149" t="s">
        <v>60</v>
      </c>
      <c r="P1149" t="s">
        <v>75</v>
      </c>
      <c r="Q1149" t="s">
        <v>3101</v>
      </c>
      <c r="R1149">
        <v>42489.275983796295</v>
      </c>
      <c r="S1149">
        <v>42675.805590277778</v>
      </c>
      <c r="T1149" t="s">
        <v>317</v>
      </c>
      <c r="U1149" t="s">
        <v>35</v>
      </c>
      <c r="V1149" t="s">
        <v>35</v>
      </c>
      <c r="W1149" t="s">
        <v>133</v>
      </c>
    </row>
    <row r="1150" spans="1:23" x14ac:dyDescent="0.25">
      <c r="A1150" t="s">
        <v>633</v>
      </c>
      <c r="B1150" s="19">
        <v>10907</v>
      </c>
      <c r="C1150" s="2">
        <f>HYPERLINK(URLs!B36 &amp; 81922,81922)</f>
        <v>81922</v>
      </c>
      <c r="D1150" t="s">
        <v>3099</v>
      </c>
      <c r="E1150" t="s">
        <v>335</v>
      </c>
      <c r="F1150" t="s">
        <v>305</v>
      </c>
      <c r="G1150" t="s">
        <v>353</v>
      </c>
      <c r="H1150" t="s">
        <v>426</v>
      </c>
      <c r="I1150" t="s">
        <v>31</v>
      </c>
      <c r="J1150" t="s">
        <v>43</v>
      </c>
      <c r="K1150" t="s">
        <v>44</v>
      </c>
      <c r="L1150" t="s">
        <v>73</v>
      </c>
      <c r="M1150" t="s">
        <v>277</v>
      </c>
      <c r="N1150" t="s">
        <v>46</v>
      </c>
      <c r="P1150" t="s">
        <v>75</v>
      </c>
      <c r="Q1150" t="s">
        <v>2416</v>
      </c>
      <c r="R1150">
        <v>42488.877465277779</v>
      </c>
      <c r="S1150">
        <v>42759.634780092594</v>
      </c>
      <c r="T1150" t="s">
        <v>1</v>
      </c>
      <c r="U1150" t="s">
        <v>35</v>
      </c>
      <c r="V1150" t="s">
        <v>35</v>
      </c>
      <c r="W1150" t="s">
        <v>4098</v>
      </c>
    </row>
    <row r="1151" spans="1:23" x14ac:dyDescent="0.25">
      <c r="A1151" t="s">
        <v>633</v>
      </c>
      <c r="B1151" s="19">
        <v>10907</v>
      </c>
      <c r="C1151" s="2">
        <f>HYPERLINK(URLs!B36 &amp; 69944,69944)</f>
        <v>69944</v>
      </c>
      <c r="D1151" t="s">
        <v>2719</v>
      </c>
      <c r="E1151" t="s">
        <v>2194</v>
      </c>
      <c r="F1151" t="s">
        <v>305</v>
      </c>
      <c r="G1151" t="s">
        <v>310</v>
      </c>
      <c r="H1151" t="s">
        <v>30</v>
      </c>
      <c r="I1151" t="s">
        <v>68</v>
      </c>
      <c r="J1151" t="s">
        <v>43</v>
      </c>
      <c r="K1151" t="s">
        <v>33</v>
      </c>
      <c r="L1151" t="s">
        <v>73</v>
      </c>
      <c r="M1151" t="s">
        <v>264</v>
      </c>
      <c r="N1151" t="s">
        <v>46</v>
      </c>
      <c r="P1151" t="s">
        <v>65</v>
      </c>
      <c r="R1151">
        <v>42276.559583333335</v>
      </c>
      <c r="S1151">
        <v>42502.28193287037</v>
      </c>
      <c r="T1151" t="s">
        <v>317</v>
      </c>
      <c r="U1151" t="s">
        <v>35</v>
      </c>
      <c r="V1151" t="s">
        <v>35</v>
      </c>
      <c r="W1151" t="s">
        <v>4145</v>
      </c>
    </row>
    <row r="1152" spans="1:23" x14ac:dyDescent="0.25">
      <c r="A1152" t="s">
        <v>633</v>
      </c>
      <c r="B1152" s="19">
        <v>10907</v>
      </c>
      <c r="C1152" s="2">
        <f>HYPERLINK(URLs!B36 &amp; 69943,69943)</f>
        <v>69943</v>
      </c>
      <c r="D1152" t="s">
        <v>2718</v>
      </c>
      <c r="E1152" t="s">
        <v>2194</v>
      </c>
      <c r="F1152" t="s">
        <v>305</v>
      </c>
      <c r="G1152" t="s">
        <v>310</v>
      </c>
      <c r="H1152" t="s">
        <v>30</v>
      </c>
      <c r="I1152" t="s">
        <v>68</v>
      </c>
      <c r="J1152" t="s">
        <v>43</v>
      </c>
      <c r="K1152" t="s">
        <v>33</v>
      </c>
      <c r="L1152" t="s">
        <v>73</v>
      </c>
      <c r="M1152" t="s">
        <v>264</v>
      </c>
      <c r="N1152" t="s">
        <v>46</v>
      </c>
      <c r="P1152" t="s">
        <v>65</v>
      </c>
      <c r="R1152">
        <v>42276.559479166666</v>
      </c>
      <c r="S1152">
        <v>42502.281770833331</v>
      </c>
      <c r="T1152" t="s">
        <v>317</v>
      </c>
      <c r="U1152" t="s">
        <v>35</v>
      </c>
      <c r="V1152" t="s">
        <v>35</v>
      </c>
      <c r="W1152" t="s">
        <v>4144</v>
      </c>
    </row>
    <row r="1153" spans="1:23" x14ac:dyDescent="0.25">
      <c r="A1153" t="s">
        <v>633</v>
      </c>
      <c r="B1153" s="19">
        <v>10907</v>
      </c>
      <c r="C1153" s="2">
        <f>HYPERLINK(URLs!B36 &amp; 69942,69942)</f>
        <v>69942</v>
      </c>
      <c r="D1153" t="s">
        <v>2717</v>
      </c>
      <c r="E1153" t="s">
        <v>2194</v>
      </c>
      <c r="F1153" t="s">
        <v>305</v>
      </c>
      <c r="G1153" t="s">
        <v>310</v>
      </c>
      <c r="H1153" t="s">
        <v>30</v>
      </c>
      <c r="I1153" t="s">
        <v>68</v>
      </c>
      <c r="J1153" t="s">
        <v>43</v>
      </c>
      <c r="K1153" t="s">
        <v>33</v>
      </c>
      <c r="L1153" t="s">
        <v>73</v>
      </c>
      <c r="M1153" t="s">
        <v>264</v>
      </c>
      <c r="N1153" t="s">
        <v>46</v>
      </c>
      <c r="P1153" t="s">
        <v>65</v>
      </c>
      <c r="R1153">
        <v>42276.559374999997</v>
      </c>
      <c r="S1153">
        <v>42502.281631944446</v>
      </c>
      <c r="T1153" t="s">
        <v>317</v>
      </c>
      <c r="U1153" t="s">
        <v>35</v>
      </c>
      <c r="V1153" t="s">
        <v>35</v>
      </c>
      <c r="W1153" t="s">
        <v>491</v>
      </c>
    </row>
    <row r="1154" spans="1:23" x14ac:dyDescent="0.25">
      <c r="A1154" t="s">
        <v>633</v>
      </c>
      <c r="B1154" s="19">
        <v>10907</v>
      </c>
      <c r="C1154" s="2">
        <f>HYPERLINK(URLs!B36 &amp; 69941,69941)</f>
        <v>69941</v>
      </c>
      <c r="D1154" t="s">
        <v>2716</v>
      </c>
      <c r="E1154" t="s">
        <v>335</v>
      </c>
      <c r="F1154" t="s">
        <v>305</v>
      </c>
      <c r="G1154" t="s">
        <v>304</v>
      </c>
      <c r="H1154" t="s">
        <v>30</v>
      </c>
      <c r="I1154" t="s">
        <v>68</v>
      </c>
      <c r="J1154" t="s">
        <v>43</v>
      </c>
      <c r="K1154" t="s">
        <v>33</v>
      </c>
      <c r="L1154" t="s">
        <v>73</v>
      </c>
      <c r="M1154" t="s">
        <v>264</v>
      </c>
      <c r="N1154" t="s">
        <v>46</v>
      </c>
      <c r="P1154" t="s">
        <v>65</v>
      </c>
      <c r="R1154">
        <v>42276.559282407405</v>
      </c>
      <c r="S1154">
        <v>42648.768287037034</v>
      </c>
      <c r="T1154" t="s">
        <v>317</v>
      </c>
      <c r="U1154" t="s">
        <v>35</v>
      </c>
      <c r="V1154" t="s">
        <v>35</v>
      </c>
      <c r="W1154" t="s">
        <v>133</v>
      </c>
    </row>
    <row r="1155" spans="1:23" x14ac:dyDescent="0.25">
      <c r="A1155" t="s">
        <v>633</v>
      </c>
      <c r="B1155" s="19">
        <v>10907</v>
      </c>
      <c r="C1155" s="2">
        <f>HYPERLINK(URLs!B36 &amp; 69940,69940)</f>
        <v>69940</v>
      </c>
      <c r="D1155" t="s">
        <v>2715</v>
      </c>
      <c r="E1155" t="s">
        <v>335</v>
      </c>
      <c r="F1155" t="s">
        <v>305</v>
      </c>
      <c r="G1155" t="s">
        <v>337</v>
      </c>
      <c r="H1155" t="s">
        <v>30</v>
      </c>
      <c r="I1155" t="s">
        <v>68</v>
      </c>
      <c r="J1155" t="s">
        <v>43</v>
      </c>
      <c r="K1155" t="s">
        <v>33</v>
      </c>
      <c r="L1155" t="s">
        <v>73</v>
      </c>
      <c r="M1155" t="s">
        <v>264</v>
      </c>
      <c r="N1155" t="s">
        <v>46</v>
      </c>
      <c r="P1155" t="s">
        <v>65</v>
      </c>
      <c r="R1155">
        <v>42276.559189814812</v>
      </c>
      <c r="S1155">
        <v>42502.280266203707</v>
      </c>
      <c r="T1155" t="s">
        <v>317</v>
      </c>
      <c r="U1155" t="s">
        <v>35</v>
      </c>
      <c r="V1155" t="s">
        <v>35</v>
      </c>
      <c r="W1155" t="s">
        <v>65</v>
      </c>
    </row>
    <row r="1156" spans="1:23" x14ac:dyDescent="0.25">
      <c r="A1156" t="s">
        <v>633</v>
      </c>
      <c r="B1156" s="19">
        <v>10907</v>
      </c>
      <c r="C1156" s="2">
        <f>HYPERLINK(URLs!B36 &amp; 69939,69939)</f>
        <v>69939</v>
      </c>
      <c r="D1156" t="s">
        <v>2714</v>
      </c>
      <c r="E1156" t="s">
        <v>94</v>
      </c>
      <c r="F1156" t="s">
        <v>305</v>
      </c>
      <c r="G1156" t="s">
        <v>310</v>
      </c>
      <c r="H1156" t="s">
        <v>30</v>
      </c>
      <c r="I1156" t="s">
        <v>68</v>
      </c>
      <c r="J1156" t="s">
        <v>43</v>
      </c>
      <c r="K1156" t="s">
        <v>33</v>
      </c>
      <c r="L1156" t="s">
        <v>73</v>
      </c>
      <c r="M1156" t="s">
        <v>264</v>
      </c>
      <c r="N1156" t="s">
        <v>46</v>
      </c>
      <c r="P1156" t="s">
        <v>65</v>
      </c>
      <c r="R1156">
        <v>42276.558958333335</v>
      </c>
      <c r="S1156">
        <v>42759.72320601852</v>
      </c>
      <c r="T1156" t="s">
        <v>317</v>
      </c>
      <c r="U1156" t="s">
        <v>35</v>
      </c>
      <c r="V1156" t="s">
        <v>35</v>
      </c>
      <c r="W1156" t="s">
        <v>4153</v>
      </c>
    </row>
    <row r="1157" spans="1:23" x14ac:dyDescent="0.25">
      <c r="A1157" t="s">
        <v>633</v>
      </c>
      <c r="B1157" s="19">
        <v>10907</v>
      </c>
      <c r="C1157" s="2">
        <f>HYPERLINK(URLs!B36 &amp; 69938,69938)</f>
        <v>69938</v>
      </c>
      <c r="D1157" t="s">
        <v>2713</v>
      </c>
      <c r="E1157" t="s">
        <v>2194</v>
      </c>
      <c r="F1157" t="s">
        <v>305</v>
      </c>
      <c r="G1157" t="s">
        <v>310</v>
      </c>
      <c r="H1157" t="s">
        <v>30</v>
      </c>
      <c r="I1157" t="s">
        <v>68</v>
      </c>
      <c r="J1157" t="s">
        <v>43</v>
      </c>
      <c r="K1157" t="s">
        <v>33</v>
      </c>
      <c r="L1157" t="s">
        <v>73</v>
      </c>
      <c r="M1157" t="s">
        <v>264</v>
      </c>
      <c r="N1157" t="s">
        <v>46</v>
      </c>
      <c r="P1157" t="s">
        <v>65</v>
      </c>
      <c r="R1157">
        <v>42276.558842592596</v>
      </c>
      <c r="S1157">
        <v>42502.281319444446</v>
      </c>
      <c r="T1157" t="s">
        <v>317</v>
      </c>
      <c r="U1157" t="s">
        <v>35</v>
      </c>
      <c r="V1157" t="s">
        <v>35</v>
      </c>
      <c r="W1157" t="s">
        <v>3028</v>
      </c>
    </row>
    <row r="1158" spans="1:23" x14ac:dyDescent="0.25">
      <c r="A1158" t="s">
        <v>633</v>
      </c>
      <c r="B1158" s="19">
        <v>10907</v>
      </c>
      <c r="C1158" s="2">
        <f>HYPERLINK(URLs!B36 &amp; 69937,69937)</f>
        <v>69937</v>
      </c>
      <c r="D1158" t="s">
        <v>2712</v>
      </c>
      <c r="E1158" t="s">
        <v>2194</v>
      </c>
      <c r="F1158" t="s">
        <v>305</v>
      </c>
      <c r="G1158" t="s">
        <v>310</v>
      </c>
      <c r="H1158" t="s">
        <v>30</v>
      </c>
      <c r="I1158" t="s">
        <v>68</v>
      </c>
      <c r="J1158" t="s">
        <v>43</v>
      </c>
      <c r="K1158" t="s">
        <v>33</v>
      </c>
      <c r="L1158" t="s">
        <v>73</v>
      </c>
      <c r="M1158" t="s">
        <v>264</v>
      </c>
      <c r="N1158" t="s">
        <v>46</v>
      </c>
      <c r="P1158" t="s">
        <v>65</v>
      </c>
      <c r="R1158">
        <v>42276.558738425927</v>
      </c>
      <c r="S1158">
        <v>42502.281145833331</v>
      </c>
      <c r="T1158" t="s">
        <v>317</v>
      </c>
      <c r="U1158" t="s">
        <v>35</v>
      </c>
      <c r="V1158" t="s">
        <v>35</v>
      </c>
      <c r="W1158" t="s">
        <v>3039</v>
      </c>
    </row>
    <row r="1159" spans="1:23" x14ac:dyDescent="0.25">
      <c r="A1159" t="s">
        <v>633</v>
      </c>
      <c r="B1159" s="19">
        <v>10907</v>
      </c>
      <c r="C1159" s="2">
        <f>HYPERLINK(URLs!B36 &amp; 69932,69932)</f>
        <v>69932</v>
      </c>
      <c r="D1159" t="s">
        <v>392</v>
      </c>
      <c r="E1159" t="s">
        <v>335</v>
      </c>
      <c r="F1159" t="s">
        <v>305</v>
      </c>
      <c r="G1159" t="s">
        <v>304</v>
      </c>
      <c r="H1159" t="s">
        <v>30</v>
      </c>
      <c r="I1159" t="s">
        <v>68</v>
      </c>
      <c r="J1159" t="s">
        <v>43</v>
      </c>
      <c r="K1159" t="s">
        <v>33</v>
      </c>
      <c r="L1159" t="s">
        <v>73</v>
      </c>
      <c r="M1159" t="s">
        <v>277</v>
      </c>
      <c r="N1159" t="s">
        <v>46</v>
      </c>
      <c r="P1159" t="s">
        <v>65</v>
      </c>
      <c r="Q1159" t="s">
        <v>2481</v>
      </c>
      <c r="R1159">
        <v>42276.499212962961</v>
      </c>
      <c r="S1159">
        <v>42871.614398148151</v>
      </c>
      <c r="T1159" t="s">
        <v>391</v>
      </c>
      <c r="U1159" t="s">
        <v>35</v>
      </c>
      <c r="V1159" t="s">
        <v>35</v>
      </c>
      <c r="W1159" t="s">
        <v>4098</v>
      </c>
    </row>
    <row r="1160" spans="1:23" x14ac:dyDescent="0.25">
      <c r="A1160" t="s">
        <v>665</v>
      </c>
      <c r="B1160" s="19">
        <v>10938</v>
      </c>
      <c r="C1160" s="2">
        <f>HYPERLINK(URLs!B36 &amp; 83076,83076)</f>
        <v>83076</v>
      </c>
      <c r="D1160" t="s">
        <v>3126</v>
      </c>
      <c r="E1160" t="s">
        <v>72</v>
      </c>
      <c r="F1160" t="s">
        <v>305</v>
      </c>
      <c r="G1160" t="s">
        <v>337</v>
      </c>
      <c r="H1160" t="s">
        <v>30</v>
      </c>
      <c r="I1160" t="s">
        <v>31</v>
      </c>
      <c r="J1160" t="s">
        <v>32</v>
      </c>
      <c r="K1160" t="s">
        <v>44</v>
      </c>
      <c r="L1160" t="s">
        <v>73</v>
      </c>
      <c r="M1160" t="s">
        <v>263</v>
      </c>
      <c r="N1160" t="s">
        <v>46</v>
      </c>
      <c r="P1160" t="s">
        <v>75</v>
      </c>
      <c r="Q1160" t="s">
        <v>2769</v>
      </c>
      <c r="R1160">
        <v>42507.822858796295</v>
      </c>
      <c r="S1160">
        <v>42535.663946759261</v>
      </c>
      <c r="T1160" t="s">
        <v>3125</v>
      </c>
      <c r="U1160" t="s">
        <v>35</v>
      </c>
      <c r="V1160" t="s">
        <v>35</v>
      </c>
      <c r="W1160" t="s">
        <v>4156</v>
      </c>
    </row>
    <row r="1161" spans="1:23" x14ac:dyDescent="0.25">
      <c r="A1161" t="s">
        <v>665</v>
      </c>
      <c r="B1161" s="19">
        <v>10938</v>
      </c>
      <c r="C1161" s="2">
        <f>HYPERLINK(URLs!B36 &amp; 82178,82178)</f>
        <v>82178</v>
      </c>
      <c r="D1161" t="s">
        <v>3110</v>
      </c>
      <c r="E1161" t="s">
        <v>94</v>
      </c>
      <c r="F1161" t="s">
        <v>305</v>
      </c>
      <c r="G1161" t="s">
        <v>304</v>
      </c>
      <c r="H1161" t="s">
        <v>116</v>
      </c>
      <c r="I1161" t="s">
        <v>31</v>
      </c>
      <c r="J1161" t="s">
        <v>32</v>
      </c>
      <c r="K1161" t="s">
        <v>44</v>
      </c>
      <c r="L1161" t="s">
        <v>73</v>
      </c>
      <c r="M1161" t="s">
        <v>263</v>
      </c>
      <c r="N1161" t="s">
        <v>518</v>
      </c>
      <c r="O1161" t="s">
        <v>3111</v>
      </c>
      <c r="P1161" t="s">
        <v>75</v>
      </c>
      <c r="Q1161" t="s">
        <v>3112</v>
      </c>
      <c r="R1161">
        <v>42494.27715277778</v>
      </c>
      <c r="S1161">
        <v>42948.91646990741</v>
      </c>
      <c r="T1161" t="s">
        <v>317</v>
      </c>
      <c r="U1161" t="s">
        <v>3978</v>
      </c>
      <c r="V1161" t="s">
        <v>35</v>
      </c>
      <c r="W1161" t="s">
        <v>69</v>
      </c>
    </row>
    <row r="1162" spans="1:23" x14ac:dyDescent="0.25">
      <c r="A1162" t="s">
        <v>665</v>
      </c>
      <c r="B1162" s="19">
        <v>10938</v>
      </c>
      <c r="C1162" s="2">
        <f>HYPERLINK(URLs!B36 &amp; 82177,82177)</f>
        <v>82177</v>
      </c>
      <c r="D1162" t="s">
        <v>3109</v>
      </c>
      <c r="E1162" t="s">
        <v>94</v>
      </c>
      <c r="F1162" t="s">
        <v>305</v>
      </c>
      <c r="G1162" t="s">
        <v>337</v>
      </c>
      <c r="H1162" t="s">
        <v>54</v>
      </c>
      <c r="I1162" t="s">
        <v>31</v>
      </c>
      <c r="J1162" t="s">
        <v>32</v>
      </c>
      <c r="K1162" t="s">
        <v>44</v>
      </c>
      <c r="L1162" t="s">
        <v>73</v>
      </c>
      <c r="M1162" t="s">
        <v>263</v>
      </c>
      <c r="N1162" t="s">
        <v>60</v>
      </c>
      <c r="P1162" t="s">
        <v>75</v>
      </c>
      <c r="Q1162" t="s">
        <v>2481</v>
      </c>
      <c r="R1162">
        <v>42494.276886574073</v>
      </c>
      <c r="S1162">
        <v>42941.960150462961</v>
      </c>
      <c r="T1162" t="s">
        <v>317</v>
      </c>
      <c r="U1162" t="s">
        <v>35</v>
      </c>
      <c r="V1162" t="s">
        <v>35</v>
      </c>
      <c r="W1162" t="s">
        <v>133</v>
      </c>
    </row>
    <row r="1163" spans="1:23" x14ac:dyDescent="0.25">
      <c r="A1163" t="s">
        <v>665</v>
      </c>
      <c r="B1163" s="19">
        <v>10938</v>
      </c>
      <c r="C1163" s="2">
        <f>HYPERLINK(URLs!B36 &amp; 82156,82156)</f>
        <v>82156</v>
      </c>
      <c r="D1163" t="s">
        <v>3107</v>
      </c>
      <c r="E1163" t="s">
        <v>94</v>
      </c>
      <c r="F1163" t="s">
        <v>305</v>
      </c>
      <c r="G1163" t="s">
        <v>304</v>
      </c>
      <c r="H1163" t="s">
        <v>30</v>
      </c>
      <c r="I1163" t="s">
        <v>31</v>
      </c>
      <c r="J1163" t="s">
        <v>32</v>
      </c>
      <c r="K1163" t="s">
        <v>44</v>
      </c>
      <c r="L1163" t="s">
        <v>73</v>
      </c>
      <c r="M1163" t="s">
        <v>263</v>
      </c>
      <c r="N1163" t="s">
        <v>46</v>
      </c>
      <c r="O1163" t="s">
        <v>3108</v>
      </c>
      <c r="P1163" t="s">
        <v>75</v>
      </c>
      <c r="Q1163" t="s">
        <v>159</v>
      </c>
      <c r="R1163">
        <v>42493.914664351854</v>
      </c>
      <c r="S1163">
        <v>42871.700115740743</v>
      </c>
      <c r="T1163" t="s">
        <v>1</v>
      </c>
      <c r="U1163" t="s">
        <v>35</v>
      </c>
      <c r="V1163" t="s">
        <v>35</v>
      </c>
      <c r="W1163" t="s">
        <v>4098</v>
      </c>
    </row>
    <row r="1164" spans="1:23" x14ac:dyDescent="0.25">
      <c r="A1164" t="s">
        <v>633</v>
      </c>
      <c r="B1164" s="19">
        <v>10944</v>
      </c>
      <c r="C1164" s="2">
        <f>HYPERLINK(URLs!B36 &amp; 97626,97626)</f>
        <v>97626</v>
      </c>
      <c r="D1164" t="s">
        <v>541</v>
      </c>
      <c r="E1164" t="s">
        <v>387</v>
      </c>
      <c r="F1164" t="s">
        <v>305</v>
      </c>
      <c r="G1164" t="s">
        <v>353</v>
      </c>
      <c r="H1164" t="s">
        <v>30</v>
      </c>
      <c r="I1164" t="s">
        <v>68</v>
      </c>
      <c r="J1164" t="s">
        <v>43</v>
      </c>
      <c r="K1164" t="s">
        <v>33</v>
      </c>
      <c r="L1164" t="s">
        <v>73</v>
      </c>
      <c r="M1164" t="s">
        <v>264</v>
      </c>
      <c r="N1164" t="s">
        <v>46</v>
      </c>
      <c r="P1164" t="s">
        <v>75</v>
      </c>
      <c r="Q1164" t="s">
        <v>3287</v>
      </c>
      <c r="R1164">
        <v>42823.800625000003</v>
      </c>
      <c r="S1164">
        <v>43359.139340277776</v>
      </c>
      <c r="T1164" t="s">
        <v>301</v>
      </c>
      <c r="U1164" t="s">
        <v>35</v>
      </c>
      <c r="V1164" t="s">
        <v>35</v>
      </c>
      <c r="W1164" t="s">
        <v>4166</v>
      </c>
    </row>
    <row r="1165" spans="1:23" x14ac:dyDescent="0.25">
      <c r="A1165" t="s">
        <v>633</v>
      </c>
      <c r="B1165" s="19">
        <v>10944</v>
      </c>
      <c r="C1165" s="2">
        <f>HYPERLINK(URLs!B36 &amp; 83079,83079)</f>
        <v>83079</v>
      </c>
      <c r="D1165" t="s">
        <v>3128</v>
      </c>
      <c r="E1165" t="s">
        <v>72</v>
      </c>
      <c r="F1165" t="s">
        <v>305</v>
      </c>
      <c r="G1165" t="s">
        <v>337</v>
      </c>
      <c r="H1165" t="s">
        <v>30</v>
      </c>
      <c r="I1165" t="s">
        <v>68</v>
      </c>
      <c r="J1165" t="s">
        <v>43</v>
      </c>
      <c r="K1165" t="s">
        <v>33</v>
      </c>
      <c r="L1165" t="s">
        <v>73</v>
      </c>
      <c r="M1165" t="s">
        <v>264</v>
      </c>
      <c r="N1165" t="s">
        <v>46</v>
      </c>
      <c r="P1165" t="s">
        <v>75</v>
      </c>
      <c r="Q1165" t="s">
        <v>2769</v>
      </c>
      <c r="R1165">
        <v>42507.830578703702</v>
      </c>
      <c r="S1165">
        <v>42535.66715277778</v>
      </c>
      <c r="T1165" t="s">
        <v>3125</v>
      </c>
      <c r="U1165" t="s">
        <v>35</v>
      </c>
      <c r="V1165" t="s">
        <v>35</v>
      </c>
      <c r="W1165" t="s">
        <v>4156</v>
      </c>
    </row>
    <row r="1166" spans="1:23" x14ac:dyDescent="0.25">
      <c r="A1166" t="s">
        <v>633</v>
      </c>
      <c r="B1166" s="19">
        <v>10944</v>
      </c>
      <c r="C1166" s="2">
        <f>HYPERLINK(URLs!B36 &amp; 82291,82291)</f>
        <v>82291</v>
      </c>
      <c r="D1166" t="s">
        <v>3116</v>
      </c>
      <c r="E1166" t="s">
        <v>72</v>
      </c>
      <c r="F1166" t="s">
        <v>305</v>
      </c>
      <c r="G1166" t="s">
        <v>337</v>
      </c>
      <c r="H1166" t="s">
        <v>30</v>
      </c>
      <c r="I1166" t="s">
        <v>68</v>
      </c>
      <c r="J1166" t="s">
        <v>43</v>
      </c>
      <c r="K1166" t="s">
        <v>33</v>
      </c>
      <c r="L1166" t="s">
        <v>73</v>
      </c>
      <c r="M1166" t="s">
        <v>264</v>
      </c>
      <c r="N1166" t="s">
        <v>46</v>
      </c>
      <c r="P1166" t="s">
        <v>75</v>
      </c>
      <c r="Q1166" t="s">
        <v>65</v>
      </c>
      <c r="R1166">
        <v>42494.776284722226</v>
      </c>
      <c r="S1166">
        <v>42823.827847222223</v>
      </c>
      <c r="T1166" t="s">
        <v>317</v>
      </c>
      <c r="U1166" t="s">
        <v>35</v>
      </c>
      <c r="V1166" t="s">
        <v>35</v>
      </c>
      <c r="W1166" t="s">
        <v>69</v>
      </c>
    </row>
    <row r="1167" spans="1:23" x14ac:dyDescent="0.25">
      <c r="A1167" t="s">
        <v>633</v>
      </c>
      <c r="B1167" s="19">
        <v>10944</v>
      </c>
      <c r="C1167" s="2">
        <f>HYPERLINK(URLs!B36 &amp; 82290,82290)</f>
        <v>82290</v>
      </c>
      <c r="D1167" t="s">
        <v>3115</v>
      </c>
      <c r="E1167" t="s">
        <v>72</v>
      </c>
      <c r="F1167" t="s">
        <v>305</v>
      </c>
      <c r="G1167" t="s">
        <v>337</v>
      </c>
      <c r="H1167" t="s">
        <v>30</v>
      </c>
      <c r="I1167" t="s">
        <v>68</v>
      </c>
      <c r="J1167" t="s">
        <v>43</v>
      </c>
      <c r="K1167" t="s">
        <v>33</v>
      </c>
      <c r="L1167" t="s">
        <v>73</v>
      </c>
      <c r="M1167" t="s">
        <v>264</v>
      </c>
      <c r="N1167" t="s">
        <v>46</v>
      </c>
      <c r="P1167" t="s">
        <v>75</v>
      </c>
      <c r="Q1167" t="s">
        <v>3067</v>
      </c>
      <c r="R1167">
        <v>42494.776180555556</v>
      </c>
      <c r="S1167">
        <v>42521.813449074078</v>
      </c>
      <c r="T1167" t="s">
        <v>317</v>
      </c>
      <c r="U1167" t="s">
        <v>35</v>
      </c>
      <c r="V1167" t="s">
        <v>35</v>
      </c>
      <c r="W1167" t="s">
        <v>133</v>
      </c>
    </row>
    <row r="1168" spans="1:23" x14ac:dyDescent="0.25">
      <c r="A1168" t="s">
        <v>633</v>
      </c>
      <c r="B1168" s="19">
        <v>10944</v>
      </c>
      <c r="C1168" s="2">
        <f>HYPERLINK(URLs!B36 &amp; 82252,82252)</f>
        <v>82252</v>
      </c>
      <c r="D1168" t="s">
        <v>74</v>
      </c>
      <c r="E1168" t="s">
        <v>387</v>
      </c>
      <c r="F1168" t="s">
        <v>305</v>
      </c>
      <c r="G1168" t="s">
        <v>353</v>
      </c>
      <c r="H1168" t="s">
        <v>30</v>
      </c>
      <c r="I1168" t="s">
        <v>68</v>
      </c>
      <c r="J1168" t="s">
        <v>43</v>
      </c>
      <c r="K1168" t="s">
        <v>33</v>
      </c>
      <c r="L1168" t="s">
        <v>73</v>
      </c>
      <c r="M1168" t="s">
        <v>264</v>
      </c>
      <c r="N1168" t="s">
        <v>46</v>
      </c>
      <c r="P1168" t="s">
        <v>75</v>
      </c>
      <c r="Q1168" t="s">
        <v>3287</v>
      </c>
      <c r="R1168">
        <v>42494.615949074076</v>
      </c>
      <c r="S1168">
        <v>43359.139305555553</v>
      </c>
      <c r="T1168" t="s">
        <v>1</v>
      </c>
      <c r="U1168" t="s">
        <v>35</v>
      </c>
      <c r="V1168" t="s">
        <v>35</v>
      </c>
      <c r="W1168" t="s">
        <v>4098</v>
      </c>
    </row>
    <row r="1169" spans="1:23" x14ac:dyDescent="0.25">
      <c r="A1169" t="s">
        <v>633</v>
      </c>
      <c r="B1169" s="19">
        <v>11065</v>
      </c>
      <c r="C1169" s="2">
        <f>HYPERLINK(URLs!B36 &amp; 83161,83161)</f>
        <v>83161</v>
      </c>
      <c r="D1169" t="s">
        <v>3129</v>
      </c>
      <c r="E1169" t="s">
        <v>53</v>
      </c>
      <c r="F1169" t="s">
        <v>305</v>
      </c>
      <c r="G1169" t="s">
        <v>304</v>
      </c>
      <c r="H1169" t="s">
        <v>30</v>
      </c>
      <c r="I1169" t="s">
        <v>31</v>
      </c>
      <c r="J1169" t="s">
        <v>32</v>
      </c>
      <c r="K1169" t="s">
        <v>44</v>
      </c>
      <c r="L1169" t="s">
        <v>73</v>
      </c>
      <c r="M1169" t="s">
        <v>264</v>
      </c>
      <c r="N1169" t="s">
        <v>46</v>
      </c>
      <c r="O1169" t="s">
        <v>358</v>
      </c>
      <c r="P1169" t="s">
        <v>133</v>
      </c>
      <c r="Q1169" t="s">
        <v>3130</v>
      </c>
      <c r="R1169">
        <v>42508.699062500003</v>
      </c>
      <c r="S1169">
        <v>42709.765914351854</v>
      </c>
      <c r="T1169" t="s">
        <v>3125</v>
      </c>
      <c r="U1169" t="s">
        <v>3981</v>
      </c>
      <c r="V1169" t="s">
        <v>321</v>
      </c>
      <c r="W1169" t="s">
        <v>77</v>
      </c>
    </row>
    <row r="1170" spans="1:23" x14ac:dyDescent="0.25">
      <c r="A1170" t="s">
        <v>633</v>
      </c>
      <c r="B1170" s="19">
        <v>11065</v>
      </c>
      <c r="C1170" s="2">
        <f>HYPERLINK(URLs!B36 &amp; 77892,77892)</f>
        <v>77892</v>
      </c>
      <c r="D1170" t="s">
        <v>2966</v>
      </c>
      <c r="E1170" t="s">
        <v>131</v>
      </c>
      <c r="F1170" t="s">
        <v>305</v>
      </c>
      <c r="G1170" t="s">
        <v>304</v>
      </c>
      <c r="H1170" t="s">
        <v>30</v>
      </c>
      <c r="I1170" t="s">
        <v>31</v>
      </c>
      <c r="J1170" t="s">
        <v>32</v>
      </c>
      <c r="K1170" t="s">
        <v>44</v>
      </c>
      <c r="L1170" t="s">
        <v>73</v>
      </c>
      <c r="M1170" t="s">
        <v>264</v>
      </c>
      <c r="N1170" t="s">
        <v>46</v>
      </c>
      <c r="P1170" t="s">
        <v>133</v>
      </c>
      <c r="Q1170" t="s">
        <v>2944</v>
      </c>
      <c r="R1170">
        <v>42429.816203703704</v>
      </c>
      <c r="S1170">
        <v>42949.04383101852</v>
      </c>
      <c r="T1170" t="s">
        <v>317</v>
      </c>
      <c r="U1170" t="s">
        <v>3974</v>
      </c>
      <c r="V1170" t="s">
        <v>321</v>
      </c>
      <c r="W1170" t="s">
        <v>69</v>
      </c>
    </row>
    <row r="1171" spans="1:23" x14ac:dyDescent="0.25">
      <c r="A1171" t="s">
        <v>633</v>
      </c>
      <c r="B1171" s="19">
        <v>11065</v>
      </c>
      <c r="C1171" s="2">
        <f>HYPERLINK(URLs!B36 &amp; 77891,77891)</f>
        <v>77891</v>
      </c>
      <c r="D1171" t="s">
        <v>2965</v>
      </c>
      <c r="E1171" t="s">
        <v>361</v>
      </c>
      <c r="F1171" t="s">
        <v>305</v>
      </c>
      <c r="G1171" t="s">
        <v>304</v>
      </c>
      <c r="H1171" t="s">
        <v>30</v>
      </c>
      <c r="I1171" t="s">
        <v>31</v>
      </c>
      <c r="J1171" t="s">
        <v>32</v>
      </c>
      <c r="K1171" t="s">
        <v>44</v>
      </c>
      <c r="L1171" t="s">
        <v>73</v>
      </c>
      <c r="M1171" t="s">
        <v>264</v>
      </c>
      <c r="N1171" t="s">
        <v>331</v>
      </c>
      <c r="O1171" t="s">
        <v>358</v>
      </c>
      <c r="P1171" t="s">
        <v>133</v>
      </c>
      <c r="R1171">
        <v>42429.816134259258</v>
      </c>
      <c r="S1171">
        <v>42529.300428240742</v>
      </c>
      <c r="T1171" t="s">
        <v>317</v>
      </c>
      <c r="U1171" t="s">
        <v>3973</v>
      </c>
      <c r="V1171" t="s">
        <v>321</v>
      </c>
      <c r="W1171" t="s">
        <v>133</v>
      </c>
    </row>
    <row r="1172" spans="1:23" x14ac:dyDescent="0.25">
      <c r="A1172" t="s">
        <v>633</v>
      </c>
      <c r="B1172" s="19">
        <v>11065</v>
      </c>
      <c r="C1172" s="2">
        <f>HYPERLINK(URLs!B36 &amp; 77493,77493)</f>
        <v>77493</v>
      </c>
      <c r="D1172" t="s">
        <v>360</v>
      </c>
      <c r="E1172" t="s">
        <v>361</v>
      </c>
      <c r="F1172" t="s">
        <v>305</v>
      </c>
      <c r="G1172" t="s">
        <v>304</v>
      </c>
      <c r="H1172" t="s">
        <v>30</v>
      </c>
      <c r="I1172" t="s">
        <v>31</v>
      </c>
      <c r="J1172" t="s">
        <v>32</v>
      </c>
      <c r="K1172" t="s">
        <v>44</v>
      </c>
      <c r="L1172" t="s">
        <v>73</v>
      </c>
      <c r="M1172" t="s">
        <v>264</v>
      </c>
      <c r="N1172" t="s">
        <v>46</v>
      </c>
      <c r="O1172" t="s">
        <v>358</v>
      </c>
      <c r="P1172" t="s">
        <v>133</v>
      </c>
      <c r="Q1172" t="s">
        <v>2944</v>
      </c>
      <c r="R1172">
        <v>42423.280347222222</v>
      </c>
      <c r="S1172">
        <v>42583.514097222222</v>
      </c>
      <c r="T1172" t="s">
        <v>359</v>
      </c>
      <c r="U1172" t="s">
        <v>35</v>
      </c>
      <c r="V1172" t="s">
        <v>321</v>
      </c>
      <c r="W1172" t="s">
        <v>4098</v>
      </c>
    </row>
    <row r="1173" spans="1:23" x14ac:dyDescent="0.25">
      <c r="A1173" t="s">
        <v>633</v>
      </c>
      <c r="B1173" s="19">
        <v>11098</v>
      </c>
      <c r="C1173" s="2">
        <f>HYPERLINK(URLs!B36 &amp; 83415,83415)</f>
        <v>83415</v>
      </c>
      <c r="D1173" t="s">
        <v>3132</v>
      </c>
      <c r="E1173" t="s">
        <v>4</v>
      </c>
      <c r="F1173" t="s">
        <v>305</v>
      </c>
      <c r="G1173" t="s">
        <v>328</v>
      </c>
      <c r="H1173" t="s">
        <v>30</v>
      </c>
      <c r="I1173" t="s">
        <v>31</v>
      </c>
      <c r="J1173" t="s">
        <v>43</v>
      </c>
      <c r="K1173" t="s">
        <v>44</v>
      </c>
      <c r="L1173" t="s">
        <v>106</v>
      </c>
      <c r="M1173" t="s">
        <v>3133</v>
      </c>
      <c r="N1173" t="s">
        <v>46</v>
      </c>
      <c r="P1173" t="s">
        <v>77</v>
      </c>
      <c r="Q1173" t="s">
        <v>65</v>
      </c>
      <c r="R1173">
        <v>42513.749097222222</v>
      </c>
      <c r="S1173">
        <v>42695.907129629632</v>
      </c>
      <c r="T1173" t="s">
        <v>3125</v>
      </c>
      <c r="U1173" t="s">
        <v>35</v>
      </c>
      <c r="V1173" t="s">
        <v>35</v>
      </c>
      <c r="W1173" t="s">
        <v>4156</v>
      </c>
    </row>
    <row r="1174" spans="1:23" x14ac:dyDescent="0.25">
      <c r="A1174" t="s">
        <v>633</v>
      </c>
      <c r="B1174" s="19">
        <v>11098</v>
      </c>
      <c r="C1174" s="2">
        <f>HYPERLINK(URLs!B36 &amp; 83337,83337)</f>
        <v>83337</v>
      </c>
      <c r="D1174" t="s">
        <v>3131</v>
      </c>
      <c r="E1174" t="s">
        <v>78</v>
      </c>
      <c r="F1174" t="s">
        <v>305</v>
      </c>
      <c r="G1174" t="s">
        <v>328</v>
      </c>
      <c r="H1174" t="s">
        <v>30</v>
      </c>
      <c r="I1174" t="s">
        <v>31</v>
      </c>
      <c r="J1174" t="s">
        <v>43</v>
      </c>
      <c r="K1174" t="s">
        <v>44</v>
      </c>
      <c r="L1174" t="s">
        <v>106</v>
      </c>
      <c r="M1174" t="s">
        <v>495</v>
      </c>
      <c r="N1174" t="s">
        <v>60</v>
      </c>
      <c r="P1174" t="s">
        <v>77</v>
      </c>
      <c r="Q1174" t="s">
        <v>65</v>
      </c>
      <c r="R1174">
        <v>42511.276979166665</v>
      </c>
      <c r="S1174">
        <v>42695.964062500003</v>
      </c>
      <c r="T1174" t="s">
        <v>317</v>
      </c>
      <c r="U1174" t="s">
        <v>35</v>
      </c>
      <c r="V1174" t="s">
        <v>35</v>
      </c>
      <c r="W1174" t="s">
        <v>133</v>
      </c>
    </row>
    <row r="1175" spans="1:23" x14ac:dyDescent="0.25">
      <c r="A1175" t="s">
        <v>633</v>
      </c>
      <c r="B1175" s="19">
        <v>11098</v>
      </c>
      <c r="C1175" s="2">
        <f>HYPERLINK(URLs!B36 &amp; 83333,83333)</f>
        <v>83333</v>
      </c>
      <c r="D1175" t="s">
        <v>76</v>
      </c>
      <c r="E1175" t="s">
        <v>64</v>
      </c>
      <c r="F1175" t="s">
        <v>29</v>
      </c>
      <c r="H1175" t="s">
        <v>30</v>
      </c>
      <c r="I1175" t="s">
        <v>31</v>
      </c>
      <c r="J1175" t="s">
        <v>43</v>
      </c>
      <c r="K1175" t="s">
        <v>44</v>
      </c>
      <c r="L1175" t="s">
        <v>45</v>
      </c>
      <c r="M1175" t="s">
        <v>106</v>
      </c>
      <c r="N1175" t="s">
        <v>46</v>
      </c>
      <c r="O1175" t="s">
        <v>487</v>
      </c>
      <c r="P1175" t="s">
        <v>77</v>
      </c>
      <c r="Q1175" t="s">
        <v>65</v>
      </c>
      <c r="R1175">
        <v>42510.946527777778</v>
      </c>
      <c r="S1175">
        <v>43109.15587962963</v>
      </c>
      <c r="T1175" t="s">
        <v>78</v>
      </c>
      <c r="U1175" t="s">
        <v>35</v>
      </c>
      <c r="V1175" t="s">
        <v>35</v>
      </c>
      <c r="W1175" t="s">
        <v>4098</v>
      </c>
    </row>
    <row r="1176" spans="1:23" x14ac:dyDescent="0.25">
      <c r="A1176" t="s">
        <v>633</v>
      </c>
      <c r="B1176" s="19">
        <v>11139</v>
      </c>
      <c r="C1176" s="2">
        <f>HYPERLINK(URLs!B36 &amp; 83691,83691)</f>
        <v>83691</v>
      </c>
      <c r="D1176" t="s">
        <v>3137</v>
      </c>
      <c r="E1176" t="s">
        <v>291</v>
      </c>
      <c r="F1176" t="s">
        <v>305</v>
      </c>
      <c r="G1176" t="s">
        <v>353</v>
      </c>
      <c r="H1176" t="s">
        <v>30</v>
      </c>
      <c r="I1176" t="s">
        <v>31</v>
      </c>
      <c r="J1176" t="s">
        <v>43</v>
      </c>
      <c r="K1176" t="s">
        <v>44</v>
      </c>
      <c r="L1176" t="s">
        <v>73</v>
      </c>
      <c r="M1176" t="s">
        <v>263</v>
      </c>
      <c r="N1176" t="s">
        <v>46</v>
      </c>
      <c r="P1176" t="s">
        <v>75</v>
      </c>
      <c r="Q1176" t="s">
        <v>3138</v>
      </c>
      <c r="R1176">
        <v>42517.585393518515</v>
      </c>
      <c r="S1176">
        <v>42759.635115740741</v>
      </c>
      <c r="T1176" t="s">
        <v>3125</v>
      </c>
      <c r="U1176" t="s">
        <v>35</v>
      </c>
      <c r="V1176" t="s">
        <v>35</v>
      </c>
      <c r="W1176" t="s">
        <v>4156</v>
      </c>
    </row>
    <row r="1177" spans="1:23" x14ac:dyDescent="0.25">
      <c r="A1177" t="s">
        <v>633</v>
      </c>
      <c r="B1177" s="19">
        <v>11139</v>
      </c>
      <c r="C1177" s="2">
        <f>HYPERLINK(URLs!B36 &amp; 83654,83654)</f>
        <v>83654</v>
      </c>
      <c r="D1177" t="s">
        <v>3136</v>
      </c>
      <c r="E1177" t="s">
        <v>291</v>
      </c>
      <c r="F1177" t="s">
        <v>305</v>
      </c>
      <c r="G1177" t="s">
        <v>353</v>
      </c>
      <c r="H1177" t="s">
        <v>30</v>
      </c>
      <c r="I1177" t="s">
        <v>31</v>
      </c>
      <c r="J1177" t="s">
        <v>43</v>
      </c>
      <c r="K1177" t="s">
        <v>44</v>
      </c>
      <c r="L1177" t="s">
        <v>73</v>
      </c>
      <c r="M1177" t="s">
        <v>263</v>
      </c>
      <c r="N1177" t="s">
        <v>46</v>
      </c>
      <c r="P1177" t="s">
        <v>75</v>
      </c>
      <c r="Q1177" t="s">
        <v>75</v>
      </c>
      <c r="R1177">
        <v>42517.276805555557</v>
      </c>
      <c r="S1177">
        <v>42759.635474537034</v>
      </c>
      <c r="T1177" t="s">
        <v>317</v>
      </c>
      <c r="U1177" t="s">
        <v>35</v>
      </c>
      <c r="V1177" t="s">
        <v>35</v>
      </c>
      <c r="W1177" t="s">
        <v>69</v>
      </c>
    </row>
    <row r="1178" spans="1:23" x14ac:dyDescent="0.25">
      <c r="A1178" t="s">
        <v>633</v>
      </c>
      <c r="B1178" s="19">
        <v>11139</v>
      </c>
      <c r="C1178" s="2">
        <f>HYPERLINK(URLs!B36 &amp; 83653,83653)</f>
        <v>83653</v>
      </c>
      <c r="D1178" t="s">
        <v>3135</v>
      </c>
      <c r="E1178" t="s">
        <v>291</v>
      </c>
      <c r="F1178" t="s">
        <v>305</v>
      </c>
      <c r="G1178" t="s">
        <v>353</v>
      </c>
      <c r="H1178" t="s">
        <v>30</v>
      </c>
      <c r="I1178" t="s">
        <v>31</v>
      </c>
      <c r="J1178" t="s">
        <v>43</v>
      </c>
      <c r="K1178" t="s">
        <v>44</v>
      </c>
      <c r="L1178" t="s">
        <v>73</v>
      </c>
      <c r="M1178" t="s">
        <v>263</v>
      </c>
      <c r="N1178" t="s">
        <v>60</v>
      </c>
      <c r="P1178" t="s">
        <v>75</v>
      </c>
      <c r="Q1178" t="s">
        <v>75</v>
      </c>
      <c r="R1178">
        <v>42517.276747685188</v>
      </c>
      <c r="S1178">
        <v>42759.635324074072</v>
      </c>
      <c r="T1178" t="s">
        <v>317</v>
      </c>
      <c r="U1178" t="s">
        <v>3979</v>
      </c>
      <c r="V1178" t="s">
        <v>35</v>
      </c>
      <c r="W1178" t="s">
        <v>133</v>
      </c>
    </row>
    <row r="1179" spans="1:23" x14ac:dyDescent="0.25">
      <c r="A1179" t="s">
        <v>633</v>
      </c>
      <c r="B1179" s="19">
        <v>11139</v>
      </c>
      <c r="C1179" s="2">
        <f>HYPERLINK(URLs!B36 &amp; 83643,83643)</f>
        <v>83643</v>
      </c>
      <c r="D1179" t="s">
        <v>3134</v>
      </c>
      <c r="E1179" t="s">
        <v>291</v>
      </c>
      <c r="F1179" t="s">
        <v>305</v>
      </c>
      <c r="G1179" t="s">
        <v>353</v>
      </c>
      <c r="H1179" t="s">
        <v>30</v>
      </c>
      <c r="I1179" t="s">
        <v>31</v>
      </c>
      <c r="J1179" t="s">
        <v>43</v>
      </c>
      <c r="K1179" t="s">
        <v>44</v>
      </c>
      <c r="L1179" t="s">
        <v>73</v>
      </c>
      <c r="M1179" t="s">
        <v>263</v>
      </c>
      <c r="N1179" t="s">
        <v>46</v>
      </c>
      <c r="P1179" t="s">
        <v>75</v>
      </c>
      <c r="Q1179" t="s">
        <v>75</v>
      </c>
      <c r="R1179">
        <v>42517.005902777775</v>
      </c>
      <c r="S1179">
        <v>42759.635462962964</v>
      </c>
      <c r="T1179" t="s">
        <v>162</v>
      </c>
      <c r="U1179" t="s">
        <v>35</v>
      </c>
      <c r="V1179" t="s">
        <v>35</v>
      </c>
      <c r="W1179" t="s">
        <v>4098</v>
      </c>
    </row>
    <row r="1180" spans="1:23" x14ac:dyDescent="0.25">
      <c r="A1180" t="s">
        <v>633</v>
      </c>
      <c r="B1180" s="19">
        <v>11139</v>
      </c>
      <c r="C1180" s="2">
        <f>HYPERLINK(URLs!B36 &amp; 82593,82593)</f>
        <v>82593</v>
      </c>
      <c r="D1180" t="s">
        <v>3123</v>
      </c>
      <c r="E1180" t="s">
        <v>139</v>
      </c>
      <c r="F1180" t="s">
        <v>305</v>
      </c>
      <c r="G1180" t="s">
        <v>304</v>
      </c>
      <c r="H1180" t="s">
        <v>30</v>
      </c>
      <c r="I1180" t="s">
        <v>31</v>
      </c>
      <c r="J1180" t="s">
        <v>32</v>
      </c>
      <c r="K1180" t="s">
        <v>44</v>
      </c>
      <c r="L1180" t="s">
        <v>73</v>
      </c>
      <c r="M1180" t="s">
        <v>263</v>
      </c>
      <c r="N1180" t="s">
        <v>46</v>
      </c>
      <c r="P1180" t="s">
        <v>77</v>
      </c>
      <c r="R1180">
        <v>42500.589039351849</v>
      </c>
      <c r="S1180">
        <v>42580.774375000001</v>
      </c>
      <c r="T1180" t="s">
        <v>317</v>
      </c>
      <c r="U1180" t="s">
        <v>3980</v>
      </c>
      <c r="V1180" t="s">
        <v>35</v>
      </c>
      <c r="W1180" t="s">
        <v>77</v>
      </c>
    </row>
    <row r="1181" spans="1:23" x14ac:dyDescent="0.25">
      <c r="A1181" t="s">
        <v>633</v>
      </c>
      <c r="B1181" s="19">
        <v>11139</v>
      </c>
      <c r="C1181" s="2">
        <f>HYPERLINK(URLs!B36 &amp; 82551,82551)</f>
        <v>82551</v>
      </c>
      <c r="D1181" t="s">
        <v>3122</v>
      </c>
      <c r="E1181" t="s">
        <v>139</v>
      </c>
      <c r="F1181" t="s">
        <v>305</v>
      </c>
      <c r="G1181" t="s">
        <v>304</v>
      </c>
      <c r="H1181" t="s">
        <v>30</v>
      </c>
      <c r="I1181" t="s">
        <v>31</v>
      </c>
      <c r="J1181" t="s">
        <v>32</v>
      </c>
      <c r="K1181" t="s">
        <v>44</v>
      </c>
      <c r="L1181" t="s">
        <v>73</v>
      </c>
      <c r="M1181" t="s">
        <v>263</v>
      </c>
      <c r="N1181" t="s">
        <v>46</v>
      </c>
      <c r="P1181" t="s">
        <v>77</v>
      </c>
      <c r="Q1181" t="s">
        <v>2944</v>
      </c>
      <c r="R1181">
        <v>42499.778321759259</v>
      </c>
      <c r="S1181">
        <v>42948.909907407404</v>
      </c>
      <c r="T1181" t="s">
        <v>317</v>
      </c>
      <c r="U1181" t="s">
        <v>3974</v>
      </c>
      <c r="V1181" t="s">
        <v>35</v>
      </c>
      <c r="W1181" t="s">
        <v>69</v>
      </c>
    </row>
    <row r="1182" spans="1:23" x14ac:dyDescent="0.25">
      <c r="A1182" t="s">
        <v>633</v>
      </c>
      <c r="B1182" s="19">
        <v>11139</v>
      </c>
      <c r="C1182" s="2">
        <f>HYPERLINK(URLs!B36 &amp; 82550,82550)</f>
        <v>82550</v>
      </c>
      <c r="D1182" t="s">
        <v>3121</v>
      </c>
      <c r="E1182" t="s">
        <v>139</v>
      </c>
      <c r="F1182" t="s">
        <v>305</v>
      </c>
      <c r="G1182" t="s">
        <v>304</v>
      </c>
      <c r="H1182" t="s">
        <v>30</v>
      </c>
      <c r="I1182" t="s">
        <v>31</v>
      </c>
      <c r="J1182" t="s">
        <v>32</v>
      </c>
      <c r="K1182" t="s">
        <v>44</v>
      </c>
      <c r="L1182" t="s">
        <v>73</v>
      </c>
      <c r="M1182" t="s">
        <v>263</v>
      </c>
      <c r="N1182" t="s">
        <v>331</v>
      </c>
      <c r="O1182" t="s">
        <v>358</v>
      </c>
      <c r="P1182" t="s">
        <v>77</v>
      </c>
      <c r="Q1182" t="s">
        <v>2944</v>
      </c>
      <c r="R1182">
        <v>42499.778240740743</v>
      </c>
      <c r="S1182">
        <v>42648.765497685185</v>
      </c>
      <c r="T1182" t="s">
        <v>317</v>
      </c>
      <c r="U1182" t="s">
        <v>3979</v>
      </c>
      <c r="V1182" t="s">
        <v>35</v>
      </c>
      <c r="W1182" t="s">
        <v>133</v>
      </c>
    </row>
    <row r="1183" spans="1:23" x14ac:dyDescent="0.25">
      <c r="A1183" t="s">
        <v>633</v>
      </c>
      <c r="B1183" s="19">
        <v>11139</v>
      </c>
      <c r="C1183" s="2">
        <f>HYPERLINK(URLs!B36 &amp; 82495,82495)</f>
        <v>82495</v>
      </c>
      <c r="D1183" t="s">
        <v>348</v>
      </c>
      <c r="E1183" t="s">
        <v>139</v>
      </c>
      <c r="F1183" t="s">
        <v>305</v>
      </c>
      <c r="G1183" t="s">
        <v>304</v>
      </c>
      <c r="H1183" t="s">
        <v>30</v>
      </c>
      <c r="I1183" t="s">
        <v>31</v>
      </c>
      <c r="J1183" t="s">
        <v>32</v>
      </c>
      <c r="K1183" t="s">
        <v>44</v>
      </c>
      <c r="L1183" t="s">
        <v>73</v>
      </c>
      <c r="M1183" t="s">
        <v>263</v>
      </c>
      <c r="N1183" t="s">
        <v>46</v>
      </c>
      <c r="P1183" t="s">
        <v>77</v>
      </c>
      <c r="Q1183" t="s">
        <v>2944</v>
      </c>
      <c r="R1183">
        <v>42499.372337962966</v>
      </c>
      <c r="S1183">
        <v>42871.700532407405</v>
      </c>
      <c r="T1183" t="s">
        <v>347</v>
      </c>
      <c r="U1183" t="s">
        <v>35</v>
      </c>
      <c r="V1183" t="s">
        <v>35</v>
      </c>
      <c r="W1183" t="s">
        <v>4098</v>
      </c>
    </row>
    <row r="1184" spans="1:23" x14ac:dyDescent="0.25">
      <c r="A1184" t="s">
        <v>665</v>
      </c>
      <c r="B1184" s="19">
        <v>11142</v>
      </c>
      <c r="C1184" s="2">
        <f>HYPERLINK(URLs!B36 &amp; 89508,89508)</f>
        <v>89508</v>
      </c>
      <c r="D1184" t="s">
        <v>3283</v>
      </c>
      <c r="E1184" t="s">
        <v>3284</v>
      </c>
      <c r="F1184" t="s">
        <v>305</v>
      </c>
      <c r="G1184" t="s">
        <v>353</v>
      </c>
      <c r="H1184" t="s">
        <v>30</v>
      </c>
      <c r="I1184" t="s">
        <v>2156</v>
      </c>
      <c r="J1184" t="s">
        <v>43</v>
      </c>
      <c r="K1184" t="s">
        <v>2156</v>
      </c>
      <c r="L1184" t="s">
        <v>45</v>
      </c>
      <c r="M1184" t="s">
        <v>265</v>
      </c>
      <c r="N1184" t="s">
        <v>60</v>
      </c>
      <c r="O1184" t="s">
        <v>325</v>
      </c>
      <c r="P1184" t="s">
        <v>75</v>
      </c>
      <c r="Q1184" t="s">
        <v>3139</v>
      </c>
      <c r="R1184">
        <v>42636.282719907409</v>
      </c>
      <c r="S1184">
        <v>42649.732928240737</v>
      </c>
      <c r="T1184" t="s">
        <v>5</v>
      </c>
      <c r="U1184" t="s">
        <v>35</v>
      </c>
      <c r="V1184" t="s">
        <v>35</v>
      </c>
      <c r="W1184" t="s">
        <v>4126</v>
      </c>
    </row>
    <row r="1185" spans="1:23" x14ac:dyDescent="0.25">
      <c r="A1185" t="s">
        <v>665</v>
      </c>
      <c r="B1185" s="19">
        <v>11142</v>
      </c>
      <c r="C1185" s="2">
        <f>HYPERLINK(URLs!B36 &amp; 84704,84704)</f>
        <v>84704</v>
      </c>
      <c r="D1185" t="s">
        <v>3155</v>
      </c>
      <c r="E1185" t="s">
        <v>2826</v>
      </c>
      <c r="F1185" t="s">
        <v>305</v>
      </c>
      <c r="G1185" t="s">
        <v>310</v>
      </c>
      <c r="H1185" t="s">
        <v>54</v>
      </c>
      <c r="I1185" t="s">
        <v>31</v>
      </c>
      <c r="J1185" t="s">
        <v>32</v>
      </c>
      <c r="K1185" t="s">
        <v>51</v>
      </c>
      <c r="L1185" t="s">
        <v>45</v>
      </c>
      <c r="M1185" t="s">
        <v>260</v>
      </c>
      <c r="N1185" t="s">
        <v>55</v>
      </c>
      <c r="P1185" t="s">
        <v>56</v>
      </c>
      <c r="R1185">
        <v>42537.473032407404</v>
      </c>
      <c r="S1185">
        <v>42621.739525462966</v>
      </c>
      <c r="T1185" t="s">
        <v>341</v>
      </c>
      <c r="U1185" t="s">
        <v>35</v>
      </c>
      <c r="V1185" t="s">
        <v>35</v>
      </c>
      <c r="W1185" t="s">
        <v>4156</v>
      </c>
    </row>
    <row r="1186" spans="1:23" x14ac:dyDescent="0.25">
      <c r="A1186" t="s">
        <v>665</v>
      </c>
      <c r="B1186" s="19">
        <v>11142</v>
      </c>
      <c r="C1186" s="2">
        <f>HYPERLINK(URLs!B36 &amp; 84036,84036)</f>
        <v>84036</v>
      </c>
      <c r="D1186" t="s">
        <v>3150</v>
      </c>
      <c r="E1186" t="s">
        <v>3147</v>
      </c>
      <c r="F1186" t="s">
        <v>305</v>
      </c>
      <c r="G1186" t="s">
        <v>304</v>
      </c>
      <c r="H1186" t="s">
        <v>30</v>
      </c>
      <c r="I1186" t="s">
        <v>31</v>
      </c>
      <c r="J1186" t="s">
        <v>32</v>
      </c>
      <c r="K1186" t="s">
        <v>51</v>
      </c>
      <c r="L1186" t="s">
        <v>45</v>
      </c>
      <c r="M1186" t="s">
        <v>265</v>
      </c>
      <c r="N1186" t="s">
        <v>46</v>
      </c>
      <c r="P1186" t="s">
        <v>75</v>
      </c>
      <c r="Q1186" t="s">
        <v>3148</v>
      </c>
      <c r="R1186">
        <v>42524.459791666668</v>
      </c>
      <c r="S1186">
        <v>43177.17019675926</v>
      </c>
      <c r="T1186" t="s">
        <v>3147</v>
      </c>
      <c r="U1186" t="s">
        <v>35</v>
      </c>
      <c r="V1186" t="s">
        <v>35</v>
      </c>
      <c r="W1186" t="s">
        <v>428</v>
      </c>
    </row>
    <row r="1187" spans="1:23" x14ac:dyDescent="0.25">
      <c r="A1187" t="s">
        <v>665</v>
      </c>
      <c r="B1187" s="19">
        <v>11142</v>
      </c>
      <c r="C1187" s="2">
        <f>HYPERLINK(URLs!B36 &amp; 84035,84035)</f>
        <v>84035</v>
      </c>
      <c r="D1187" t="s">
        <v>3149</v>
      </c>
      <c r="E1187" t="s">
        <v>2826</v>
      </c>
      <c r="F1187" t="s">
        <v>305</v>
      </c>
      <c r="G1187" t="s">
        <v>304</v>
      </c>
      <c r="H1187" t="s">
        <v>30</v>
      </c>
      <c r="I1187" t="s">
        <v>31</v>
      </c>
      <c r="J1187" t="s">
        <v>32</v>
      </c>
      <c r="K1187" t="s">
        <v>51</v>
      </c>
      <c r="L1187" t="s">
        <v>45</v>
      </c>
      <c r="M1187" t="s">
        <v>265</v>
      </c>
      <c r="N1187" t="s">
        <v>46</v>
      </c>
      <c r="P1187" t="s">
        <v>75</v>
      </c>
      <c r="Q1187" t="s">
        <v>75</v>
      </c>
      <c r="R1187">
        <v>42524.459074074075</v>
      </c>
      <c r="S1187">
        <v>42727.400694444441</v>
      </c>
      <c r="T1187" t="s">
        <v>3147</v>
      </c>
      <c r="U1187" t="s">
        <v>3977</v>
      </c>
      <c r="V1187" t="s">
        <v>35</v>
      </c>
      <c r="W1187" t="s">
        <v>107</v>
      </c>
    </row>
    <row r="1188" spans="1:23" x14ac:dyDescent="0.25">
      <c r="A1188" t="s">
        <v>665</v>
      </c>
      <c r="B1188" s="19">
        <v>11142</v>
      </c>
      <c r="C1188" s="2">
        <f>HYPERLINK(URLs!B36 &amp; 84034,84034)</f>
        <v>84034</v>
      </c>
      <c r="D1188" t="s">
        <v>3146</v>
      </c>
      <c r="E1188" t="s">
        <v>3147</v>
      </c>
      <c r="F1188" t="s">
        <v>305</v>
      </c>
      <c r="G1188" t="s">
        <v>304</v>
      </c>
      <c r="H1188" t="s">
        <v>30</v>
      </c>
      <c r="I1188" t="s">
        <v>31</v>
      </c>
      <c r="J1188" t="s">
        <v>32</v>
      </c>
      <c r="K1188" t="s">
        <v>51</v>
      </c>
      <c r="L1188" t="s">
        <v>45</v>
      </c>
      <c r="M1188" t="s">
        <v>265</v>
      </c>
      <c r="N1188" t="s">
        <v>46</v>
      </c>
      <c r="P1188" t="s">
        <v>75</v>
      </c>
      <c r="Q1188" t="s">
        <v>3148</v>
      </c>
      <c r="R1188">
        <v>42524.457766203705</v>
      </c>
      <c r="S1188">
        <v>42648.941550925927</v>
      </c>
      <c r="T1188" t="s">
        <v>3147</v>
      </c>
      <c r="U1188" t="s">
        <v>35</v>
      </c>
      <c r="V1188" t="s">
        <v>35</v>
      </c>
      <c r="W1188" t="s">
        <v>133</v>
      </c>
    </row>
    <row r="1189" spans="1:23" x14ac:dyDescent="0.25">
      <c r="A1189" t="s">
        <v>665</v>
      </c>
      <c r="B1189" s="19">
        <v>11142</v>
      </c>
      <c r="C1189" s="2">
        <f>HYPERLINK(URLs!B36 &amp; 83715,83715)</f>
        <v>83715</v>
      </c>
      <c r="D1189" t="s">
        <v>345</v>
      </c>
      <c r="E1189" t="s">
        <v>346</v>
      </c>
      <c r="F1189" t="s">
        <v>305</v>
      </c>
      <c r="G1189" t="s">
        <v>304</v>
      </c>
      <c r="H1189" t="s">
        <v>30</v>
      </c>
      <c r="I1189" t="s">
        <v>31</v>
      </c>
      <c r="J1189" t="s">
        <v>32</v>
      </c>
      <c r="K1189" t="s">
        <v>51</v>
      </c>
      <c r="L1189" t="s">
        <v>45</v>
      </c>
      <c r="M1189" t="s">
        <v>265</v>
      </c>
      <c r="N1189" t="s">
        <v>46</v>
      </c>
      <c r="P1189" t="s">
        <v>75</v>
      </c>
      <c r="Q1189" t="s">
        <v>3139</v>
      </c>
      <c r="R1189">
        <v>42519.572199074071</v>
      </c>
      <c r="S1189">
        <v>43195.152592592596</v>
      </c>
      <c r="T1189" t="s">
        <v>5</v>
      </c>
      <c r="U1189" t="s">
        <v>35</v>
      </c>
      <c r="V1189" t="s">
        <v>35</v>
      </c>
      <c r="W1189" t="s">
        <v>4098</v>
      </c>
    </row>
    <row r="1190" spans="1:23" x14ac:dyDescent="0.25">
      <c r="A1190" t="s">
        <v>665</v>
      </c>
      <c r="B1190" s="19">
        <v>11142</v>
      </c>
      <c r="C1190" s="2">
        <f>HYPERLINK(URLs!B36 &amp; 72782,72782)</f>
        <v>72782</v>
      </c>
      <c r="D1190" t="s">
        <v>2827</v>
      </c>
      <c r="E1190" t="s">
        <v>2828</v>
      </c>
      <c r="F1190" t="s">
        <v>305</v>
      </c>
      <c r="G1190" t="s">
        <v>304</v>
      </c>
      <c r="H1190" t="s">
        <v>54</v>
      </c>
      <c r="I1190" t="s">
        <v>31</v>
      </c>
      <c r="J1190" t="s">
        <v>32</v>
      </c>
      <c r="K1190" t="s">
        <v>51</v>
      </c>
      <c r="L1190" t="s">
        <v>45</v>
      </c>
      <c r="M1190" t="s">
        <v>260</v>
      </c>
      <c r="N1190" t="s">
        <v>55</v>
      </c>
      <c r="O1190" t="s">
        <v>2538</v>
      </c>
      <c r="P1190" t="s">
        <v>428</v>
      </c>
      <c r="R1190">
        <v>42325.395289351851</v>
      </c>
      <c r="S1190">
        <v>43177.162997685184</v>
      </c>
      <c r="T1190" t="s">
        <v>2826</v>
      </c>
      <c r="U1190" t="s">
        <v>35</v>
      </c>
      <c r="V1190" t="s">
        <v>35</v>
      </c>
      <c r="W1190" t="s">
        <v>428</v>
      </c>
    </row>
    <row r="1191" spans="1:23" x14ac:dyDescent="0.25">
      <c r="A1191" t="s">
        <v>665</v>
      </c>
      <c r="B1191" s="19">
        <v>11142</v>
      </c>
      <c r="C1191" s="2">
        <f>HYPERLINK(URLs!B36 &amp; 72780,72780)</f>
        <v>72780</v>
      </c>
      <c r="D1191" t="s">
        <v>2825</v>
      </c>
      <c r="E1191" t="s">
        <v>2732</v>
      </c>
      <c r="F1191" t="s">
        <v>305</v>
      </c>
      <c r="G1191" t="s">
        <v>310</v>
      </c>
      <c r="H1191" t="s">
        <v>54</v>
      </c>
      <c r="I1191" t="s">
        <v>31</v>
      </c>
      <c r="J1191" t="s">
        <v>32</v>
      </c>
      <c r="K1191" t="s">
        <v>51</v>
      </c>
      <c r="L1191" t="s">
        <v>45</v>
      </c>
      <c r="M1191" t="s">
        <v>260</v>
      </c>
      <c r="N1191" t="s">
        <v>55</v>
      </c>
      <c r="P1191" t="s">
        <v>65</v>
      </c>
      <c r="R1191">
        <v>42325.3909375</v>
      </c>
      <c r="S1191">
        <v>42524.551817129628</v>
      </c>
      <c r="T1191" t="s">
        <v>2826</v>
      </c>
      <c r="U1191" t="s">
        <v>35</v>
      </c>
      <c r="V1191" t="s">
        <v>35</v>
      </c>
      <c r="W1191" t="s">
        <v>65</v>
      </c>
    </row>
    <row r="1192" spans="1:23" x14ac:dyDescent="0.25">
      <c r="A1192" t="s">
        <v>665</v>
      </c>
      <c r="B1192" s="19">
        <v>11142</v>
      </c>
      <c r="C1192" s="2">
        <f>HYPERLINK(URLs!B36 &amp; 70570,70570)</f>
        <v>70570</v>
      </c>
      <c r="D1192" t="s">
        <v>2728</v>
      </c>
      <c r="E1192" t="s">
        <v>2729</v>
      </c>
      <c r="F1192" t="s">
        <v>305</v>
      </c>
      <c r="G1192" t="s">
        <v>304</v>
      </c>
      <c r="H1192" t="s">
        <v>54</v>
      </c>
      <c r="I1192" t="s">
        <v>31</v>
      </c>
      <c r="J1192" t="s">
        <v>32</v>
      </c>
      <c r="K1192" t="s">
        <v>51</v>
      </c>
      <c r="L1192" t="s">
        <v>45</v>
      </c>
      <c r="M1192" t="s">
        <v>260</v>
      </c>
      <c r="N1192" t="s">
        <v>55</v>
      </c>
      <c r="O1192" t="s">
        <v>2730</v>
      </c>
      <c r="P1192" t="s">
        <v>56</v>
      </c>
      <c r="Q1192" t="s">
        <v>2731</v>
      </c>
      <c r="R1192">
        <v>42286.252615740741</v>
      </c>
      <c r="S1192">
        <v>43187.156006944446</v>
      </c>
      <c r="T1192" t="s">
        <v>2732</v>
      </c>
      <c r="U1192" t="s">
        <v>35</v>
      </c>
      <c r="V1192" t="s">
        <v>35</v>
      </c>
      <c r="W1192" t="s">
        <v>4098</v>
      </c>
    </row>
    <row r="1193" spans="1:23" x14ac:dyDescent="0.25">
      <c r="A1193" t="s">
        <v>665</v>
      </c>
      <c r="B1193" s="19">
        <v>11152</v>
      </c>
      <c r="C1193" s="2">
        <f>HYPERLINK(URLs!B36 &amp; 84711,84711)</f>
        <v>84711</v>
      </c>
      <c r="D1193" t="s">
        <v>508</v>
      </c>
      <c r="E1193" t="s">
        <v>509</v>
      </c>
      <c r="F1193" t="s">
        <v>42</v>
      </c>
      <c r="H1193" t="s">
        <v>116</v>
      </c>
      <c r="I1193" t="s">
        <v>31</v>
      </c>
      <c r="J1193" t="s">
        <v>32</v>
      </c>
      <c r="K1193" t="s">
        <v>44</v>
      </c>
      <c r="L1193" t="s">
        <v>52</v>
      </c>
      <c r="M1193" t="s">
        <v>259</v>
      </c>
      <c r="N1193" t="s">
        <v>510</v>
      </c>
      <c r="P1193" t="s">
        <v>65</v>
      </c>
      <c r="R1193">
        <v>42537.492789351854</v>
      </c>
      <c r="S1193">
        <v>42874.563402777778</v>
      </c>
      <c r="T1193" t="s">
        <v>341</v>
      </c>
      <c r="U1193" t="s">
        <v>35</v>
      </c>
      <c r="V1193" t="s">
        <v>321</v>
      </c>
      <c r="W1193" t="s">
        <v>4157</v>
      </c>
    </row>
    <row r="1194" spans="1:23" x14ac:dyDescent="0.25">
      <c r="A1194" t="s">
        <v>665</v>
      </c>
      <c r="B1194" s="19">
        <v>11152</v>
      </c>
      <c r="C1194" s="2">
        <f>HYPERLINK(URLs!B36 &amp; 84709,84709)</f>
        <v>84709</v>
      </c>
      <c r="D1194" t="s">
        <v>3158</v>
      </c>
      <c r="E1194" t="s">
        <v>509</v>
      </c>
      <c r="F1194" t="s">
        <v>305</v>
      </c>
      <c r="G1194" t="s">
        <v>304</v>
      </c>
      <c r="H1194" t="s">
        <v>116</v>
      </c>
      <c r="I1194" t="s">
        <v>31</v>
      </c>
      <c r="J1194" t="s">
        <v>32</v>
      </c>
      <c r="K1194" t="s">
        <v>44</v>
      </c>
      <c r="L1194" t="s">
        <v>52</v>
      </c>
      <c r="M1194" t="s">
        <v>262</v>
      </c>
      <c r="N1194" t="s">
        <v>510</v>
      </c>
      <c r="P1194" t="s">
        <v>65</v>
      </c>
      <c r="Q1194" t="s">
        <v>3159</v>
      </c>
      <c r="R1194">
        <v>42537.489953703705</v>
      </c>
      <c r="S1194">
        <v>42930.189502314817</v>
      </c>
      <c r="T1194" t="s">
        <v>341</v>
      </c>
      <c r="U1194" t="s">
        <v>35</v>
      </c>
      <c r="V1194" t="s">
        <v>321</v>
      </c>
      <c r="W1194" t="s">
        <v>69</v>
      </c>
    </row>
    <row r="1195" spans="1:23" x14ac:dyDescent="0.25">
      <c r="A1195" t="s">
        <v>665</v>
      </c>
      <c r="B1195" s="19">
        <v>11152</v>
      </c>
      <c r="C1195" s="2">
        <f>HYPERLINK(URLs!B36 &amp; 84707,84707)</f>
        <v>84707</v>
      </c>
      <c r="D1195" t="s">
        <v>3157</v>
      </c>
      <c r="E1195" t="s">
        <v>509</v>
      </c>
      <c r="F1195" t="s">
        <v>305</v>
      </c>
      <c r="G1195" t="s">
        <v>304</v>
      </c>
      <c r="H1195" t="s">
        <v>30</v>
      </c>
      <c r="I1195" t="s">
        <v>31</v>
      </c>
      <c r="J1195" t="s">
        <v>32</v>
      </c>
      <c r="K1195" t="s">
        <v>44</v>
      </c>
      <c r="L1195" t="s">
        <v>52</v>
      </c>
      <c r="M1195" t="s">
        <v>262</v>
      </c>
      <c r="N1195" t="s">
        <v>60</v>
      </c>
      <c r="P1195" t="s">
        <v>65</v>
      </c>
      <c r="Q1195" t="s">
        <v>2416</v>
      </c>
      <c r="R1195">
        <v>42537.488888888889</v>
      </c>
      <c r="S1195">
        <v>42790.866793981484</v>
      </c>
      <c r="T1195" t="s">
        <v>341</v>
      </c>
      <c r="U1195" t="s">
        <v>3971</v>
      </c>
      <c r="V1195" t="s">
        <v>321</v>
      </c>
      <c r="W1195" t="s">
        <v>133</v>
      </c>
    </row>
    <row r="1196" spans="1:23" x14ac:dyDescent="0.25">
      <c r="A1196" t="s">
        <v>665</v>
      </c>
      <c r="B1196" s="19">
        <v>11152</v>
      </c>
      <c r="C1196" s="2">
        <f>HYPERLINK(URLs!B36 &amp; 84706,84706)</f>
        <v>84706</v>
      </c>
      <c r="D1196" t="s">
        <v>3156</v>
      </c>
      <c r="E1196" t="s">
        <v>64</v>
      </c>
      <c r="F1196" t="s">
        <v>305</v>
      </c>
      <c r="G1196" t="s">
        <v>337</v>
      </c>
      <c r="H1196" t="s">
        <v>30</v>
      </c>
      <c r="I1196" t="s">
        <v>31</v>
      </c>
      <c r="J1196" t="s">
        <v>32</v>
      </c>
      <c r="K1196" t="s">
        <v>44</v>
      </c>
      <c r="L1196" t="s">
        <v>52</v>
      </c>
      <c r="M1196" t="s">
        <v>259</v>
      </c>
      <c r="N1196" t="s">
        <v>60</v>
      </c>
      <c r="P1196" t="s">
        <v>65</v>
      </c>
      <c r="Q1196" t="s">
        <v>65</v>
      </c>
      <c r="R1196">
        <v>42537.487743055557</v>
      </c>
      <c r="S1196">
        <v>42654.703888888886</v>
      </c>
      <c r="T1196" t="s">
        <v>341</v>
      </c>
      <c r="U1196" t="s">
        <v>35</v>
      </c>
      <c r="V1196" t="s">
        <v>321</v>
      </c>
      <c r="W1196" t="s">
        <v>4156</v>
      </c>
    </row>
    <row r="1197" spans="1:23" x14ac:dyDescent="0.25">
      <c r="A1197" t="s">
        <v>665</v>
      </c>
      <c r="B1197" s="19">
        <v>11152</v>
      </c>
      <c r="C1197" s="2">
        <f>HYPERLINK(URLs!B36 &amp; 77469,77469)</f>
        <v>77469</v>
      </c>
      <c r="D1197" t="s">
        <v>63</v>
      </c>
      <c r="E1197" t="s">
        <v>64</v>
      </c>
      <c r="F1197" t="s">
        <v>42</v>
      </c>
      <c r="H1197" t="s">
        <v>30</v>
      </c>
      <c r="I1197" t="s">
        <v>31</v>
      </c>
      <c r="J1197" t="s">
        <v>32</v>
      </c>
      <c r="K1197" t="s">
        <v>44</v>
      </c>
      <c r="L1197" t="s">
        <v>52</v>
      </c>
      <c r="M1197" t="s">
        <v>262</v>
      </c>
      <c r="N1197" t="s">
        <v>60</v>
      </c>
      <c r="P1197" t="s">
        <v>65</v>
      </c>
      <c r="R1197">
        <v>42422.733182870368</v>
      </c>
      <c r="S1197">
        <v>42657.702928240738</v>
      </c>
      <c r="T1197" t="s">
        <v>66</v>
      </c>
      <c r="U1197" t="s">
        <v>35</v>
      </c>
      <c r="V1197" t="s">
        <v>321</v>
      </c>
      <c r="W1197" t="s">
        <v>4098</v>
      </c>
    </row>
    <row r="1198" spans="1:23" x14ac:dyDescent="0.25">
      <c r="A1198" t="s">
        <v>633</v>
      </c>
      <c r="B1198" s="19">
        <v>11160</v>
      </c>
      <c r="C1198" s="2">
        <f>HYPERLINK(URLs!B36 &amp; 83978,83978)</f>
        <v>83978</v>
      </c>
      <c r="D1198" t="s">
        <v>3145</v>
      </c>
      <c r="E1198" t="s">
        <v>105</v>
      </c>
      <c r="F1198" t="s">
        <v>305</v>
      </c>
      <c r="G1198" t="s">
        <v>304</v>
      </c>
      <c r="H1198" t="s">
        <v>30</v>
      </c>
      <c r="I1198" t="s">
        <v>31</v>
      </c>
      <c r="J1198" t="s">
        <v>43</v>
      </c>
      <c r="K1198" t="s">
        <v>51</v>
      </c>
      <c r="L1198" t="s">
        <v>106</v>
      </c>
      <c r="M1198" t="s">
        <v>270</v>
      </c>
      <c r="N1198" t="s">
        <v>46</v>
      </c>
      <c r="P1198" t="s">
        <v>77</v>
      </c>
      <c r="Q1198" t="s">
        <v>2769</v>
      </c>
      <c r="R1198">
        <v>42523.813344907408</v>
      </c>
      <c r="S1198">
        <v>42718.670416666668</v>
      </c>
      <c r="T1198" t="s">
        <v>288</v>
      </c>
      <c r="U1198" t="s">
        <v>3977</v>
      </c>
      <c r="V1198" t="s">
        <v>35</v>
      </c>
      <c r="W1198" t="s">
        <v>107</v>
      </c>
    </row>
    <row r="1199" spans="1:23" x14ac:dyDescent="0.25">
      <c r="A1199" t="s">
        <v>633</v>
      </c>
      <c r="B1199" s="19">
        <v>11160</v>
      </c>
      <c r="C1199" s="2">
        <f>HYPERLINK(URLs!B36 &amp; 83977,83977)</f>
        <v>83977</v>
      </c>
      <c r="D1199" t="s">
        <v>3143</v>
      </c>
      <c r="E1199" t="s">
        <v>3144</v>
      </c>
      <c r="F1199" t="s">
        <v>305</v>
      </c>
      <c r="G1199" t="s">
        <v>304</v>
      </c>
      <c r="H1199" t="s">
        <v>30</v>
      </c>
      <c r="I1199" t="s">
        <v>31</v>
      </c>
      <c r="J1199" t="s">
        <v>43</v>
      </c>
      <c r="K1199" t="s">
        <v>51</v>
      </c>
      <c r="L1199" t="s">
        <v>106</v>
      </c>
      <c r="M1199" t="s">
        <v>270</v>
      </c>
      <c r="N1199" t="s">
        <v>46</v>
      </c>
      <c r="P1199" t="s">
        <v>77</v>
      </c>
      <c r="Q1199" t="s">
        <v>394</v>
      </c>
      <c r="R1199">
        <v>42523.812245370369</v>
      </c>
      <c r="S1199">
        <v>42648.941504629627</v>
      </c>
      <c r="T1199" t="s">
        <v>288</v>
      </c>
      <c r="U1199" t="s">
        <v>35</v>
      </c>
      <c r="V1199" t="s">
        <v>35</v>
      </c>
      <c r="W1199" t="s">
        <v>133</v>
      </c>
    </row>
    <row r="1200" spans="1:23" x14ac:dyDescent="0.25">
      <c r="A1200" t="s">
        <v>633</v>
      </c>
      <c r="B1200" s="19">
        <v>11160</v>
      </c>
      <c r="C1200" s="2">
        <f>HYPERLINK(URLs!B36 &amp; 83976,83976)</f>
        <v>83976</v>
      </c>
      <c r="D1200" t="s">
        <v>3142</v>
      </c>
      <c r="E1200" t="s">
        <v>136</v>
      </c>
      <c r="F1200" t="s">
        <v>305</v>
      </c>
      <c r="G1200" t="s">
        <v>304</v>
      </c>
      <c r="H1200" t="s">
        <v>30</v>
      </c>
      <c r="I1200" t="s">
        <v>31</v>
      </c>
      <c r="J1200" t="s">
        <v>43</v>
      </c>
      <c r="K1200" t="s">
        <v>51</v>
      </c>
      <c r="L1200" t="s">
        <v>106</v>
      </c>
      <c r="M1200" t="s">
        <v>270</v>
      </c>
      <c r="N1200" t="s">
        <v>46</v>
      </c>
      <c r="P1200" t="s">
        <v>133</v>
      </c>
      <c r="Q1200" t="s">
        <v>2769</v>
      </c>
      <c r="R1200">
        <v>42523.812222222223</v>
      </c>
      <c r="S1200">
        <v>42929.526296296295</v>
      </c>
      <c r="T1200" t="s">
        <v>288</v>
      </c>
      <c r="U1200" t="s">
        <v>35</v>
      </c>
      <c r="V1200" t="s">
        <v>35</v>
      </c>
      <c r="W1200" t="s">
        <v>69</v>
      </c>
    </row>
    <row r="1201" spans="1:23" x14ac:dyDescent="0.25">
      <c r="A1201" t="s">
        <v>633</v>
      </c>
      <c r="B1201" s="19">
        <v>11160</v>
      </c>
      <c r="C1201" s="2">
        <f>HYPERLINK(URLs!B36 &amp; 83864,83864)</f>
        <v>83864</v>
      </c>
      <c r="D1201" t="s">
        <v>344</v>
      </c>
      <c r="E1201" t="s">
        <v>136</v>
      </c>
      <c r="F1201" t="s">
        <v>305</v>
      </c>
      <c r="G1201" t="s">
        <v>304</v>
      </c>
      <c r="H1201" t="s">
        <v>30</v>
      </c>
      <c r="I1201" t="s">
        <v>31</v>
      </c>
      <c r="J1201" t="s">
        <v>43</v>
      </c>
      <c r="K1201" t="s">
        <v>51</v>
      </c>
      <c r="L1201" t="s">
        <v>106</v>
      </c>
      <c r="M1201" t="s">
        <v>270</v>
      </c>
      <c r="N1201" t="s">
        <v>46</v>
      </c>
      <c r="P1201" t="s">
        <v>133</v>
      </c>
      <c r="Q1201" t="s">
        <v>65</v>
      </c>
      <c r="R1201">
        <v>42522.680694444447</v>
      </c>
      <c r="S1201">
        <v>43224.15284722222</v>
      </c>
      <c r="T1201" t="s">
        <v>288</v>
      </c>
      <c r="U1201" t="s">
        <v>35</v>
      </c>
      <c r="V1201" t="s">
        <v>35</v>
      </c>
      <c r="W1201" t="s">
        <v>4098</v>
      </c>
    </row>
    <row r="1202" spans="1:23" x14ac:dyDescent="0.25">
      <c r="A1202" t="s">
        <v>665</v>
      </c>
      <c r="B1202" s="19">
        <v>11198</v>
      </c>
      <c r="C1202" s="2">
        <f>HYPERLINK(URLs!B36 &amp; 84487,84487)</f>
        <v>84487</v>
      </c>
      <c r="D1202" t="s">
        <v>3154</v>
      </c>
      <c r="E1202" t="s">
        <v>72</v>
      </c>
      <c r="F1202" t="s">
        <v>305</v>
      </c>
      <c r="G1202" t="s">
        <v>353</v>
      </c>
      <c r="H1202" t="s">
        <v>30</v>
      </c>
      <c r="I1202" t="s">
        <v>31</v>
      </c>
      <c r="J1202" t="s">
        <v>32</v>
      </c>
      <c r="K1202" t="s">
        <v>33</v>
      </c>
      <c r="L1202" t="s">
        <v>73</v>
      </c>
      <c r="M1202" t="s">
        <v>263</v>
      </c>
      <c r="N1202" t="s">
        <v>46</v>
      </c>
      <c r="P1202" t="s">
        <v>3120</v>
      </c>
      <c r="Q1202" t="s">
        <v>3120</v>
      </c>
      <c r="R1202">
        <v>42534.659375000003</v>
      </c>
      <c r="S1202">
        <v>42759.635000000002</v>
      </c>
      <c r="T1202" t="s">
        <v>171</v>
      </c>
      <c r="U1202" t="s">
        <v>35</v>
      </c>
      <c r="V1202" t="s">
        <v>35</v>
      </c>
      <c r="W1202" t="s">
        <v>3661</v>
      </c>
    </row>
    <row r="1203" spans="1:23" x14ac:dyDescent="0.25">
      <c r="A1203" t="s">
        <v>665</v>
      </c>
      <c r="B1203" s="19">
        <v>11198</v>
      </c>
      <c r="C1203" s="2">
        <f>HYPERLINK(URLs!B36 &amp; 83853,83853)</f>
        <v>83853</v>
      </c>
      <c r="D1203" t="s">
        <v>3140</v>
      </c>
      <c r="E1203" t="s">
        <v>490</v>
      </c>
      <c r="F1203" t="s">
        <v>305</v>
      </c>
      <c r="G1203" t="s">
        <v>304</v>
      </c>
      <c r="H1203" t="s">
        <v>30</v>
      </c>
      <c r="I1203" t="s">
        <v>31</v>
      </c>
      <c r="J1203" t="s">
        <v>32</v>
      </c>
      <c r="K1203" t="s">
        <v>33</v>
      </c>
      <c r="L1203" t="s">
        <v>73</v>
      </c>
      <c r="M1203" t="s">
        <v>263</v>
      </c>
      <c r="N1203" t="s">
        <v>46</v>
      </c>
      <c r="P1203" t="s">
        <v>3120</v>
      </c>
      <c r="R1203">
        <v>42522.590798611112</v>
      </c>
      <c r="S1203">
        <v>42755.985173611109</v>
      </c>
      <c r="T1203" t="s">
        <v>490</v>
      </c>
      <c r="U1203" t="s">
        <v>35</v>
      </c>
      <c r="V1203" t="s">
        <v>35</v>
      </c>
      <c r="W1203" t="s">
        <v>4133</v>
      </c>
    </row>
    <row r="1204" spans="1:23" x14ac:dyDescent="0.25">
      <c r="A1204" t="s">
        <v>665</v>
      </c>
      <c r="B1204" s="19">
        <v>11198</v>
      </c>
      <c r="C1204" s="2">
        <f>HYPERLINK(URLs!B36 &amp; 82531,82531)</f>
        <v>82531</v>
      </c>
      <c r="D1204" t="s">
        <v>3119</v>
      </c>
      <c r="E1204" t="s">
        <v>490</v>
      </c>
      <c r="F1204" t="s">
        <v>305</v>
      </c>
      <c r="G1204" t="s">
        <v>304</v>
      </c>
      <c r="H1204" t="s">
        <v>30</v>
      </c>
      <c r="I1204" t="s">
        <v>31</v>
      </c>
      <c r="J1204" t="s">
        <v>32</v>
      </c>
      <c r="K1204" t="s">
        <v>33</v>
      </c>
      <c r="L1204" t="s">
        <v>73</v>
      </c>
      <c r="M1204" t="s">
        <v>263</v>
      </c>
      <c r="N1204" t="s">
        <v>46</v>
      </c>
      <c r="P1204" t="s">
        <v>3120</v>
      </c>
      <c r="Q1204" t="s">
        <v>3120</v>
      </c>
      <c r="R1204">
        <v>42499.672210648147</v>
      </c>
      <c r="S1204">
        <v>42871.700057870374</v>
      </c>
      <c r="T1204" t="s">
        <v>86</v>
      </c>
      <c r="U1204" t="s">
        <v>35</v>
      </c>
      <c r="V1204" t="s">
        <v>35</v>
      </c>
      <c r="W1204" t="s">
        <v>4098</v>
      </c>
    </row>
    <row r="1205" spans="1:23" x14ac:dyDescent="0.25">
      <c r="A1205" t="s">
        <v>665</v>
      </c>
      <c r="B1205" s="19">
        <v>11212</v>
      </c>
      <c r="C1205" s="2">
        <f>HYPERLINK(URLs!B36 &amp; 90486,90486)</f>
        <v>90486</v>
      </c>
      <c r="D1205" t="s">
        <v>3309</v>
      </c>
      <c r="E1205" t="s">
        <v>125</v>
      </c>
      <c r="F1205" t="s">
        <v>305</v>
      </c>
      <c r="G1205" t="s">
        <v>310</v>
      </c>
      <c r="H1205" t="s">
        <v>30</v>
      </c>
      <c r="I1205" t="s">
        <v>68</v>
      </c>
      <c r="J1205" t="s">
        <v>43</v>
      </c>
      <c r="K1205" t="s">
        <v>33</v>
      </c>
      <c r="L1205" t="s">
        <v>34</v>
      </c>
      <c r="M1205" t="s">
        <v>402</v>
      </c>
      <c r="N1205" t="s">
        <v>46</v>
      </c>
      <c r="O1205" t="s">
        <v>533</v>
      </c>
      <c r="P1205" t="s">
        <v>369</v>
      </c>
      <c r="Q1205" t="s">
        <v>2416</v>
      </c>
      <c r="R1205">
        <v>42655.959988425922</v>
      </c>
      <c r="S1205">
        <v>42689.770636574074</v>
      </c>
      <c r="T1205" t="s">
        <v>53</v>
      </c>
      <c r="U1205" t="s">
        <v>35</v>
      </c>
      <c r="V1205" t="s">
        <v>35</v>
      </c>
      <c r="W1205" t="s">
        <v>4164</v>
      </c>
    </row>
    <row r="1206" spans="1:23" x14ac:dyDescent="0.25">
      <c r="A1206" t="s">
        <v>665</v>
      </c>
      <c r="B1206" s="19">
        <v>11212</v>
      </c>
      <c r="C1206" s="2">
        <f>HYPERLINK(URLs!B36 &amp; 87583,87583)</f>
        <v>87583</v>
      </c>
      <c r="D1206" t="s">
        <v>3224</v>
      </c>
      <c r="E1206" t="s">
        <v>1824</v>
      </c>
      <c r="F1206" t="s">
        <v>305</v>
      </c>
      <c r="G1206" t="s">
        <v>304</v>
      </c>
      <c r="H1206" t="s">
        <v>30</v>
      </c>
      <c r="I1206" t="s">
        <v>68</v>
      </c>
      <c r="J1206" t="s">
        <v>43</v>
      </c>
      <c r="K1206" t="s">
        <v>33</v>
      </c>
      <c r="L1206" t="s">
        <v>34</v>
      </c>
      <c r="M1206" t="s">
        <v>402</v>
      </c>
      <c r="N1206" t="s">
        <v>46</v>
      </c>
      <c r="O1206" t="s">
        <v>533</v>
      </c>
      <c r="P1206" t="s">
        <v>369</v>
      </c>
      <c r="Q1206" t="s">
        <v>3225</v>
      </c>
      <c r="R1206">
        <v>42594.927581018521</v>
      </c>
      <c r="S1206">
        <v>43256.130208333336</v>
      </c>
      <c r="T1206" t="s">
        <v>53</v>
      </c>
      <c r="U1206" t="s">
        <v>35</v>
      </c>
      <c r="V1206" t="s">
        <v>35</v>
      </c>
      <c r="W1206" t="s">
        <v>4159</v>
      </c>
    </row>
    <row r="1207" spans="1:23" x14ac:dyDescent="0.25">
      <c r="A1207" t="s">
        <v>665</v>
      </c>
      <c r="B1207" s="19">
        <v>11212</v>
      </c>
      <c r="C1207" s="2">
        <f>HYPERLINK(URLs!B36 &amp; 87051,87051)</f>
        <v>87051</v>
      </c>
      <c r="D1207" t="s">
        <v>3205</v>
      </c>
      <c r="E1207" t="s">
        <v>125</v>
      </c>
      <c r="F1207" t="s">
        <v>305</v>
      </c>
      <c r="G1207" t="s">
        <v>337</v>
      </c>
      <c r="H1207" t="s">
        <v>30</v>
      </c>
      <c r="I1207" t="s">
        <v>68</v>
      </c>
      <c r="J1207" t="s">
        <v>43</v>
      </c>
      <c r="K1207" t="s">
        <v>33</v>
      </c>
      <c r="L1207" t="s">
        <v>34</v>
      </c>
      <c r="M1207" t="s">
        <v>373</v>
      </c>
      <c r="N1207" t="s">
        <v>46</v>
      </c>
      <c r="P1207" t="s">
        <v>369</v>
      </c>
      <c r="Q1207" t="s">
        <v>394</v>
      </c>
      <c r="R1207">
        <v>42585.553796296299</v>
      </c>
      <c r="S1207">
        <v>42641.69027777778</v>
      </c>
      <c r="T1207" t="s">
        <v>53</v>
      </c>
      <c r="U1207" t="s">
        <v>35</v>
      </c>
      <c r="V1207" t="s">
        <v>35</v>
      </c>
      <c r="W1207" t="s">
        <v>4156</v>
      </c>
    </row>
    <row r="1208" spans="1:23" x14ac:dyDescent="0.25">
      <c r="A1208" t="s">
        <v>665</v>
      </c>
      <c r="B1208" s="19">
        <v>11212</v>
      </c>
      <c r="C1208" s="2">
        <f>HYPERLINK(URLs!B36 &amp; 84966,84966)</f>
        <v>84966</v>
      </c>
      <c r="D1208" t="s">
        <v>3164</v>
      </c>
      <c r="E1208" t="s">
        <v>2417</v>
      </c>
      <c r="F1208" t="s">
        <v>305</v>
      </c>
      <c r="G1208" t="s">
        <v>304</v>
      </c>
      <c r="H1208" t="s">
        <v>30</v>
      </c>
      <c r="I1208" t="s">
        <v>68</v>
      </c>
      <c r="J1208" t="s">
        <v>43</v>
      </c>
      <c r="K1208" t="s">
        <v>33</v>
      </c>
      <c r="L1208" t="s">
        <v>34</v>
      </c>
      <c r="M1208" t="s">
        <v>3165</v>
      </c>
      <c r="N1208" t="s">
        <v>46</v>
      </c>
      <c r="O1208" t="s">
        <v>533</v>
      </c>
      <c r="P1208" t="s">
        <v>369</v>
      </c>
      <c r="Q1208" t="s">
        <v>2416</v>
      </c>
      <c r="R1208">
        <v>42542.685706018521</v>
      </c>
      <c r="S1208">
        <v>42885.63108796296</v>
      </c>
      <c r="T1208" t="s">
        <v>53</v>
      </c>
      <c r="U1208" t="s">
        <v>3982</v>
      </c>
      <c r="V1208" t="s">
        <v>35</v>
      </c>
      <c r="W1208" t="s">
        <v>4143</v>
      </c>
    </row>
    <row r="1209" spans="1:23" x14ac:dyDescent="0.25">
      <c r="A1209" t="s">
        <v>665</v>
      </c>
      <c r="B1209" s="19">
        <v>11212</v>
      </c>
      <c r="C1209" s="2">
        <f>HYPERLINK(URLs!B36 &amp; 72297,72297)</f>
        <v>72297</v>
      </c>
      <c r="D1209" t="s">
        <v>2768</v>
      </c>
      <c r="E1209" t="s">
        <v>125</v>
      </c>
      <c r="F1209" t="s">
        <v>305</v>
      </c>
      <c r="G1209" t="s">
        <v>337</v>
      </c>
      <c r="H1209" t="s">
        <v>30</v>
      </c>
      <c r="I1209" t="s">
        <v>68</v>
      </c>
      <c r="J1209" t="s">
        <v>43</v>
      </c>
      <c r="K1209" t="s">
        <v>33</v>
      </c>
      <c r="L1209" t="s">
        <v>34</v>
      </c>
      <c r="M1209" t="s">
        <v>402</v>
      </c>
      <c r="N1209" t="s">
        <v>46</v>
      </c>
      <c r="P1209" t="s">
        <v>369</v>
      </c>
      <c r="Q1209" t="s">
        <v>2769</v>
      </c>
      <c r="R1209">
        <v>42317.216192129628</v>
      </c>
      <c r="S1209">
        <v>42929.392222222225</v>
      </c>
      <c r="T1209" t="s">
        <v>53</v>
      </c>
      <c r="U1209" t="s">
        <v>35</v>
      </c>
      <c r="V1209" t="s">
        <v>35</v>
      </c>
      <c r="W1209" t="s">
        <v>4155</v>
      </c>
    </row>
    <row r="1210" spans="1:23" x14ac:dyDescent="0.25">
      <c r="A1210" t="s">
        <v>665</v>
      </c>
      <c r="B1210" s="19">
        <v>11212</v>
      </c>
      <c r="C1210" s="2">
        <f>HYPERLINK(URLs!B36 &amp; 67397,67397)</f>
        <v>67397</v>
      </c>
      <c r="D1210" t="s">
        <v>2648</v>
      </c>
      <c r="E1210" t="s">
        <v>125</v>
      </c>
      <c r="F1210" t="s">
        <v>305</v>
      </c>
      <c r="G1210" t="s">
        <v>304</v>
      </c>
      <c r="H1210" t="s">
        <v>30</v>
      </c>
      <c r="I1210" t="s">
        <v>68</v>
      </c>
      <c r="J1210" t="s">
        <v>43</v>
      </c>
      <c r="K1210" t="s">
        <v>33</v>
      </c>
      <c r="L1210" t="s">
        <v>34</v>
      </c>
      <c r="M1210" t="s">
        <v>402</v>
      </c>
      <c r="N1210" t="s">
        <v>46</v>
      </c>
      <c r="P1210" t="s">
        <v>369</v>
      </c>
      <c r="Q1210" t="s">
        <v>159</v>
      </c>
      <c r="R1210">
        <v>42235.948634259257</v>
      </c>
      <c r="S1210">
        <v>42839.750439814816</v>
      </c>
      <c r="T1210" t="s">
        <v>53</v>
      </c>
      <c r="U1210" t="s">
        <v>3954</v>
      </c>
      <c r="V1210" t="s">
        <v>35</v>
      </c>
      <c r="W1210" t="s">
        <v>133</v>
      </c>
    </row>
    <row r="1211" spans="1:23" x14ac:dyDescent="0.25">
      <c r="A1211" t="s">
        <v>665</v>
      </c>
      <c r="B1211" s="19">
        <v>11212</v>
      </c>
      <c r="C1211" s="2">
        <f>HYPERLINK(URLs!B36 &amp; 59656,59656)</f>
        <v>59656</v>
      </c>
      <c r="D1211" t="s">
        <v>2414</v>
      </c>
      <c r="E1211" t="s">
        <v>125</v>
      </c>
      <c r="F1211" t="s">
        <v>319</v>
      </c>
      <c r="G1211" t="s">
        <v>304</v>
      </c>
      <c r="H1211" t="s">
        <v>30</v>
      </c>
      <c r="I1211" t="s">
        <v>68</v>
      </c>
      <c r="J1211" t="s">
        <v>43</v>
      </c>
      <c r="K1211" t="s">
        <v>33</v>
      </c>
      <c r="L1211" t="s">
        <v>34</v>
      </c>
      <c r="M1211" t="s">
        <v>402</v>
      </c>
      <c r="N1211" t="s">
        <v>46</v>
      </c>
      <c r="O1211" t="s">
        <v>2415</v>
      </c>
      <c r="P1211" t="s">
        <v>369</v>
      </c>
      <c r="Q1211" t="s">
        <v>2416</v>
      </c>
      <c r="R1211">
        <v>42094.888344907406</v>
      </c>
      <c r="S1211">
        <v>43153.646898148145</v>
      </c>
      <c r="T1211" t="s">
        <v>2417</v>
      </c>
      <c r="U1211" t="s">
        <v>35</v>
      </c>
      <c r="V1211" t="s">
        <v>35</v>
      </c>
      <c r="W1211" t="s">
        <v>4098</v>
      </c>
    </row>
    <row r="1212" spans="1:23" x14ac:dyDescent="0.25">
      <c r="A1212" t="s">
        <v>665</v>
      </c>
      <c r="B1212" s="19">
        <v>11243</v>
      </c>
      <c r="C1212" s="2">
        <f>HYPERLINK(URLs!B36 &amp; 89334,89334)</f>
        <v>89334</v>
      </c>
      <c r="D1212" t="s">
        <v>3270</v>
      </c>
      <c r="E1212" t="s">
        <v>2988</v>
      </c>
      <c r="F1212" t="s">
        <v>305</v>
      </c>
      <c r="G1212" t="s">
        <v>304</v>
      </c>
      <c r="H1212" t="s">
        <v>30</v>
      </c>
      <c r="I1212" t="s">
        <v>31</v>
      </c>
      <c r="J1212" t="s">
        <v>43</v>
      </c>
      <c r="K1212" t="s">
        <v>44</v>
      </c>
      <c r="L1212" t="s">
        <v>380</v>
      </c>
      <c r="M1212" t="s">
        <v>434</v>
      </c>
      <c r="N1212" t="s">
        <v>46</v>
      </c>
      <c r="P1212" t="s">
        <v>61</v>
      </c>
      <c r="Q1212" t="s">
        <v>2481</v>
      </c>
      <c r="R1212">
        <v>42633.60597222222</v>
      </c>
      <c r="S1212">
        <v>42923.767453703702</v>
      </c>
      <c r="T1212" t="s">
        <v>317</v>
      </c>
      <c r="U1212" t="s">
        <v>35</v>
      </c>
      <c r="V1212" t="s">
        <v>35</v>
      </c>
      <c r="W1212" t="s">
        <v>190</v>
      </c>
    </row>
    <row r="1213" spans="1:23" x14ac:dyDescent="0.25">
      <c r="A1213" t="s">
        <v>665</v>
      </c>
      <c r="B1213" s="19">
        <v>11243</v>
      </c>
      <c r="C1213" s="2">
        <f>HYPERLINK(URLs!B36 &amp; 85636,85636)</f>
        <v>85636</v>
      </c>
      <c r="D1213" t="s">
        <v>3196</v>
      </c>
      <c r="E1213" t="s">
        <v>435</v>
      </c>
      <c r="F1213" t="s">
        <v>305</v>
      </c>
      <c r="G1213" t="s">
        <v>304</v>
      </c>
      <c r="H1213" t="s">
        <v>30</v>
      </c>
      <c r="I1213" t="s">
        <v>31</v>
      </c>
      <c r="J1213" t="s">
        <v>43</v>
      </c>
      <c r="K1213" t="s">
        <v>44</v>
      </c>
      <c r="L1213" t="s">
        <v>380</v>
      </c>
      <c r="M1213" t="s">
        <v>2588</v>
      </c>
      <c r="N1213" t="s">
        <v>46</v>
      </c>
      <c r="P1213" t="s">
        <v>61</v>
      </c>
      <c r="Q1213" t="s">
        <v>2481</v>
      </c>
      <c r="R1213">
        <v>42555.452673611115</v>
      </c>
      <c r="S1213">
        <v>42935.405925925923</v>
      </c>
      <c r="T1213" t="s">
        <v>490</v>
      </c>
      <c r="U1213" t="s">
        <v>35</v>
      </c>
      <c r="V1213" t="s">
        <v>35</v>
      </c>
      <c r="W1213" t="s">
        <v>69</v>
      </c>
    </row>
    <row r="1214" spans="1:23" x14ac:dyDescent="0.25">
      <c r="A1214" t="s">
        <v>665</v>
      </c>
      <c r="B1214" s="19">
        <v>11243</v>
      </c>
      <c r="C1214" s="2">
        <f>HYPERLINK(URLs!B36 &amp; 85458,85458)</f>
        <v>85458</v>
      </c>
      <c r="D1214" t="s">
        <v>3192</v>
      </c>
      <c r="E1214" t="s">
        <v>435</v>
      </c>
      <c r="F1214" t="s">
        <v>305</v>
      </c>
      <c r="G1214" t="s">
        <v>353</v>
      </c>
      <c r="H1214" t="s">
        <v>30</v>
      </c>
      <c r="I1214" t="s">
        <v>31</v>
      </c>
      <c r="J1214" t="s">
        <v>43</v>
      </c>
      <c r="K1214" t="s">
        <v>44</v>
      </c>
      <c r="L1214" t="s">
        <v>380</v>
      </c>
      <c r="M1214" t="s">
        <v>434</v>
      </c>
      <c r="N1214" t="s">
        <v>60</v>
      </c>
      <c r="O1214" t="s">
        <v>325</v>
      </c>
      <c r="P1214" t="s">
        <v>75</v>
      </c>
      <c r="Q1214" t="s">
        <v>2481</v>
      </c>
      <c r="R1214">
        <v>42551.837048611109</v>
      </c>
      <c r="S1214">
        <v>43007.390509259261</v>
      </c>
      <c r="T1214" t="s">
        <v>317</v>
      </c>
      <c r="U1214" t="s">
        <v>35</v>
      </c>
      <c r="V1214" t="s">
        <v>35</v>
      </c>
      <c r="W1214" t="s">
        <v>4156</v>
      </c>
    </row>
    <row r="1215" spans="1:23" x14ac:dyDescent="0.25">
      <c r="A1215" t="s">
        <v>665</v>
      </c>
      <c r="B1215" s="19">
        <v>11243</v>
      </c>
      <c r="C1215" s="2">
        <f>HYPERLINK(URLs!B36 &amp; 85408,85408)</f>
        <v>85408</v>
      </c>
      <c r="D1215" t="s">
        <v>3175</v>
      </c>
      <c r="E1215" t="s">
        <v>435</v>
      </c>
      <c r="F1215" t="s">
        <v>305</v>
      </c>
      <c r="G1215" t="s">
        <v>353</v>
      </c>
      <c r="H1215" t="s">
        <v>30</v>
      </c>
      <c r="I1215" t="s">
        <v>31</v>
      </c>
      <c r="J1215" t="s">
        <v>43</v>
      </c>
      <c r="K1215" t="s">
        <v>44</v>
      </c>
      <c r="L1215" t="s">
        <v>380</v>
      </c>
      <c r="M1215" t="s">
        <v>434</v>
      </c>
      <c r="N1215" t="s">
        <v>582</v>
      </c>
      <c r="P1215" t="s">
        <v>75</v>
      </c>
      <c r="Q1215" t="s">
        <v>2416</v>
      </c>
      <c r="R1215">
        <v>42550.866122685184</v>
      </c>
      <c r="S1215">
        <v>43007.390509259261</v>
      </c>
      <c r="T1215" t="s">
        <v>317</v>
      </c>
      <c r="U1215" t="s">
        <v>3984</v>
      </c>
      <c r="V1215" t="s">
        <v>35</v>
      </c>
      <c r="W1215" t="s">
        <v>69</v>
      </c>
    </row>
    <row r="1216" spans="1:23" x14ac:dyDescent="0.25">
      <c r="A1216" t="s">
        <v>665</v>
      </c>
      <c r="B1216" s="19">
        <v>11243</v>
      </c>
      <c r="C1216" s="2">
        <f>HYPERLINK(URLs!B36 &amp; 85407,85407)</f>
        <v>85407</v>
      </c>
      <c r="D1216" t="s">
        <v>3174</v>
      </c>
      <c r="E1216" t="s">
        <v>435</v>
      </c>
      <c r="F1216" t="s">
        <v>305</v>
      </c>
      <c r="G1216" t="s">
        <v>353</v>
      </c>
      <c r="H1216" t="s">
        <v>30</v>
      </c>
      <c r="I1216" t="s">
        <v>31</v>
      </c>
      <c r="J1216" t="s">
        <v>43</v>
      </c>
      <c r="K1216" t="s">
        <v>44</v>
      </c>
      <c r="L1216" t="s">
        <v>380</v>
      </c>
      <c r="M1216" t="s">
        <v>434</v>
      </c>
      <c r="N1216" t="s">
        <v>60</v>
      </c>
      <c r="P1216" t="s">
        <v>75</v>
      </c>
      <c r="Q1216" t="s">
        <v>2416</v>
      </c>
      <c r="R1216">
        <v>42550.865972222222</v>
      </c>
      <c r="S1216">
        <v>43007.390509259261</v>
      </c>
      <c r="T1216" t="s">
        <v>317</v>
      </c>
      <c r="U1216" t="s">
        <v>3968</v>
      </c>
      <c r="V1216" t="s">
        <v>35</v>
      </c>
      <c r="W1216" t="s">
        <v>133</v>
      </c>
    </row>
    <row r="1217" spans="1:23" x14ac:dyDescent="0.25">
      <c r="A1217" t="s">
        <v>665</v>
      </c>
      <c r="B1217" s="19">
        <v>11243</v>
      </c>
      <c r="C1217" s="2">
        <f>HYPERLINK(URLs!B36 &amp; 85078,85078)</f>
        <v>85078</v>
      </c>
      <c r="D1217" t="s">
        <v>3168</v>
      </c>
      <c r="E1217" t="s">
        <v>383</v>
      </c>
      <c r="F1217" t="s">
        <v>305</v>
      </c>
      <c r="G1217" t="s">
        <v>353</v>
      </c>
      <c r="H1217" t="s">
        <v>30</v>
      </c>
      <c r="I1217" t="s">
        <v>31</v>
      </c>
      <c r="J1217" t="s">
        <v>43</v>
      </c>
      <c r="K1217" t="s">
        <v>44</v>
      </c>
      <c r="L1217" t="s">
        <v>380</v>
      </c>
      <c r="M1217" t="s">
        <v>2588</v>
      </c>
      <c r="N1217" t="s">
        <v>60</v>
      </c>
      <c r="P1217" t="s">
        <v>75</v>
      </c>
      <c r="Q1217" t="s">
        <v>2481</v>
      </c>
      <c r="R1217">
        <v>42544.562199074076</v>
      </c>
      <c r="S1217">
        <v>42578.13521990741</v>
      </c>
      <c r="T1217" t="s">
        <v>317</v>
      </c>
      <c r="U1217" t="s">
        <v>35</v>
      </c>
      <c r="V1217" t="s">
        <v>35</v>
      </c>
      <c r="W1217" t="s">
        <v>4156</v>
      </c>
    </row>
    <row r="1218" spans="1:23" x14ac:dyDescent="0.25">
      <c r="A1218" t="s">
        <v>665</v>
      </c>
      <c r="B1218" s="19">
        <v>11243</v>
      </c>
      <c r="C1218" s="2">
        <f>HYPERLINK(URLs!B36 &amp; 85077,85077)</f>
        <v>85077</v>
      </c>
      <c r="D1218" t="s">
        <v>3167</v>
      </c>
      <c r="E1218" t="s">
        <v>301</v>
      </c>
      <c r="F1218" t="s">
        <v>305</v>
      </c>
      <c r="G1218" t="s">
        <v>353</v>
      </c>
      <c r="H1218" t="s">
        <v>30</v>
      </c>
      <c r="I1218" t="s">
        <v>31</v>
      </c>
      <c r="J1218" t="s">
        <v>43</v>
      </c>
      <c r="K1218" t="s">
        <v>44</v>
      </c>
      <c r="L1218" t="s">
        <v>380</v>
      </c>
      <c r="M1218" t="s">
        <v>2588</v>
      </c>
      <c r="N1218" t="s">
        <v>60</v>
      </c>
      <c r="P1218" t="s">
        <v>75</v>
      </c>
      <c r="Q1218" t="s">
        <v>2481</v>
      </c>
      <c r="R1218">
        <v>42544.562094907407</v>
      </c>
      <c r="S1218">
        <v>42578.13517361111</v>
      </c>
      <c r="T1218" t="s">
        <v>317</v>
      </c>
      <c r="U1218" t="s">
        <v>35</v>
      </c>
      <c r="V1218" t="s">
        <v>35</v>
      </c>
      <c r="W1218" t="s">
        <v>69</v>
      </c>
    </row>
    <row r="1219" spans="1:23" x14ac:dyDescent="0.25">
      <c r="A1219" t="s">
        <v>665</v>
      </c>
      <c r="B1219" s="19">
        <v>11243</v>
      </c>
      <c r="C1219" s="2">
        <f>HYPERLINK(URLs!B36 &amp; 85076,85076)</f>
        <v>85076</v>
      </c>
      <c r="D1219" t="s">
        <v>3166</v>
      </c>
      <c r="E1219" t="s">
        <v>383</v>
      </c>
      <c r="F1219" t="s">
        <v>305</v>
      </c>
      <c r="G1219" t="s">
        <v>353</v>
      </c>
      <c r="H1219" t="s">
        <v>30</v>
      </c>
      <c r="I1219" t="s">
        <v>31</v>
      </c>
      <c r="J1219" t="s">
        <v>43</v>
      </c>
      <c r="K1219" t="s">
        <v>44</v>
      </c>
      <c r="L1219" t="s">
        <v>380</v>
      </c>
      <c r="M1219" t="s">
        <v>2588</v>
      </c>
      <c r="N1219" t="s">
        <v>60</v>
      </c>
      <c r="P1219" t="s">
        <v>75</v>
      </c>
      <c r="Q1219" t="s">
        <v>2481</v>
      </c>
      <c r="R1219">
        <v>42544.561886574076</v>
      </c>
      <c r="S1219">
        <v>43007.390509259261</v>
      </c>
      <c r="T1219" t="s">
        <v>317</v>
      </c>
      <c r="U1219" t="s">
        <v>35</v>
      </c>
      <c r="V1219" t="s">
        <v>35</v>
      </c>
      <c r="W1219" t="s">
        <v>133</v>
      </c>
    </row>
    <row r="1220" spans="1:23" x14ac:dyDescent="0.25">
      <c r="A1220" t="s">
        <v>665</v>
      </c>
      <c r="B1220" s="19">
        <v>11243</v>
      </c>
      <c r="C1220" s="2">
        <f>HYPERLINK(URLs!B36 &amp; 84465,84465)</f>
        <v>84465</v>
      </c>
      <c r="D1220" t="s">
        <v>3153</v>
      </c>
      <c r="E1220" t="s">
        <v>383</v>
      </c>
      <c r="F1220" t="s">
        <v>305</v>
      </c>
      <c r="G1220" t="s">
        <v>353</v>
      </c>
      <c r="H1220" t="s">
        <v>30</v>
      </c>
      <c r="I1220" t="s">
        <v>31</v>
      </c>
      <c r="J1220" t="s">
        <v>43</v>
      </c>
      <c r="K1220" t="s">
        <v>44</v>
      </c>
      <c r="L1220" t="s">
        <v>380</v>
      </c>
      <c r="M1220" t="s">
        <v>2588</v>
      </c>
      <c r="N1220" t="s">
        <v>60</v>
      </c>
      <c r="P1220" t="s">
        <v>75</v>
      </c>
      <c r="Q1220" t="s">
        <v>2481</v>
      </c>
      <c r="R1220">
        <v>42534.353819444441</v>
      </c>
      <c r="S1220">
        <v>43007.390509259261</v>
      </c>
      <c r="T1220" t="s">
        <v>4</v>
      </c>
      <c r="U1220" t="s">
        <v>35</v>
      </c>
      <c r="V1220" t="s">
        <v>35</v>
      </c>
      <c r="W1220" t="s">
        <v>4098</v>
      </c>
    </row>
    <row r="1221" spans="1:23" x14ac:dyDescent="0.25">
      <c r="A1221" t="s">
        <v>665</v>
      </c>
      <c r="B1221" s="19">
        <v>11243</v>
      </c>
      <c r="C1221" s="2">
        <f>HYPERLINK(URLs!B36 &amp; 84189,84189)</f>
        <v>84189</v>
      </c>
      <c r="D1221" t="s">
        <v>3151</v>
      </c>
      <c r="E1221" t="s">
        <v>435</v>
      </c>
      <c r="F1221" t="s">
        <v>305</v>
      </c>
      <c r="G1221" t="s">
        <v>353</v>
      </c>
      <c r="H1221" t="s">
        <v>30</v>
      </c>
      <c r="I1221" t="s">
        <v>31</v>
      </c>
      <c r="J1221" t="s">
        <v>43</v>
      </c>
      <c r="K1221" t="s">
        <v>44</v>
      </c>
      <c r="L1221" t="s">
        <v>380</v>
      </c>
      <c r="M1221" t="s">
        <v>434</v>
      </c>
      <c r="N1221" t="s">
        <v>60</v>
      </c>
      <c r="P1221" t="s">
        <v>133</v>
      </c>
      <c r="Q1221" t="s">
        <v>394</v>
      </c>
      <c r="R1221">
        <v>42528.807696759257</v>
      </c>
      <c r="S1221">
        <v>43007.390509259261</v>
      </c>
      <c r="T1221" t="s">
        <v>2486</v>
      </c>
      <c r="U1221" t="s">
        <v>35</v>
      </c>
      <c r="V1221" t="s">
        <v>35</v>
      </c>
      <c r="W1221" t="s">
        <v>4098</v>
      </c>
    </row>
    <row r="1222" spans="1:23" x14ac:dyDescent="0.25">
      <c r="A1222" t="s">
        <v>665</v>
      </c>
      <c r="B1222" s="19">
        <v>11243</v>
      </c>
      <c r="C1222" s="2">
        <f>HYPERLINK(URLs!B36 &amp; 76100,76100)</f>
        <v>76100</v>
      </c>
      <c r="D1222" t="s">
        <v>2917</v>
      </c>
      <c r="E1222" t="s">
        <v>435</v>
      </c>
      <c r="F1222" t="s">
        <v>305</v>
      </c>
      <c r="G1222" t="s">
        <v>304</v>
      </c>
      <c r="H1222" t="s">
        <v>30</v>
      </c>
      <c r="I1222" t="s">
        <v>31</v>
      </c>
      <c r="J1222" t="s">
        <v>43</v>
      </c>
      <c r="K1222" t="s">
        <v>44</v>
      </c>
      <c r="L1222" t="s">
        <v>380</v>
      </c>
      <c r="M1222" t="s">
        <v>2588</v>
      </c>
      <c r="N1222" t="s">
        <v>46</v>
      </c>
      <c r="P1222" t="s">
        <v>61</v>
      </c>
      <c r="Q1222" t="s">
        <v>2481</v>
      </c>
      <c r="R1222">
        <v>42397.166875000003</v>
      </c>
      <c r="S1222">
        <v>42648.768449074072</v>
      </c>
      <c r="T1222" t="s">
        <v>317</v>
      </c>
      <c r="U1222" t="s">
        <v>3968</v>
      </c>
      <c r="V1222" t="s">
        <v>35</v>
      </c>
      <c r="W1222" t="s">
        <v>133</v>
      </c>
    </row>
    <row r="1223" spans="1:23" x14ac:dyDescent="0.25">
      <c r="A1223" t="s">
        <v>665</v>
      </c>
      <c r="B1223" s="19">
        <v>11243</v>
      </c>
      <c r="C1223" s="2">
        <f>HYPERLINK(URLs!B36 &amp; 66283,66283)</f>
        <v>66283</v>
      </c>
      <c r="D1223" t="s">
        <v>2600</v>
      </c>
      <c r="E1223" t="s">
        <v>435</v>
      </c>
      <c r="F1223" t="s">
        <v>305</v>
      </c>
      <c r="G1223" t="s">
        <v>337</v>
      </c>
      <c r="H1223" t="s">
        <v>30</v>
      </c>
      <c r="I1223" t="s">
        <v>68</v>
      </c>
      <c r="J1223" t="s">
        <v>43</v>
      </c>
      <c r="K1223" t="s">
        <v>33</v>
      </c>
      <c r="L1223" t="s">
        <v>380</v>
      </c>
      <c r="M1223" t="s">
        <v>2588</v>
      </c>
      <c r="N1223" t="s">
        <v>46</v>
      </c>
      <c r="P1223" t="s">
        <v>61</v>
      </c>
      <c r="R1223">
        <v>42214.769375000003</v>
      </c>
      <c r="S1223">
        <v>42759.734178240738</v>
      </c>
      <c r="T1223" t="s">
        <v>317</v>
      </c>
      <c r="U1223" t="s">
        <v>35</v>
      </c>
      <c r="V1223" t="s">
        <v>35</v>
      </c>
      <c r="W1223" t="s">
        <v>4147</v>
      </c>
    </row>
    <row r="1224" spans="1:23" x14ac:dyDescent="0.25">
      <c r="A1224" t="s">
        <v>665</v>
      </c>
      <c r="B1224" s="19">
        <v>11243</v>
      </c>
      <c r="C1224" s="2">
        <f>HYPERLINK(URLs!B36 &amp; 66235,66235)</f>
        <v>66235</v>
      </c>
      <c r="D1224" t="s">
        <v>2587</v>
      </c>
      <c r="E1224" t="s">
        <v>435</v>
      </c>
      <c r="F1224" t="s">
        <v>305</v>
      </c>
      <c r="G1224" t="s">
        <v>304</v>
      </c>
      <c r="H1224" t="s">
        <v>30</v>
      </c>
      <c r="I1224" t="s">
        <v>31</v>
      </c>
      <c r="J1224" t="s">
        <v>43</v>
      </c>
      <c r="K1224" t="s">
        <v>44</v>
      </c>
      <c r="L1224" t="s">
        <v>380</v>
      </c>
      <c r="M1224" t="s">
        <v>2588</v>
      </c>
      <c r="N1224" t="s">
        <v>46</v>
      </c>
      <c r="P1224" t="s">
        <v>61</v>
      </c>
      <c r="Q1224" t="s">
        <v>2481</v>
      </c>
      <c r="R1224">
        <v>42214.308749999997</v>
      </c>
      <c r="S1224">
        <v>43187.155231481483</v>
      </c>
      <c r="T1224" t="s">
        <v>2589</v>
      </c>
      <c r="U1224" t="s">
        <v>35</v>
      </c>
      <c r="V1224" t="s">
        <v>35</v>
      </c>
      <c r="W1224" t="s">
        <v>4098</v>
      </c>
    </row>
    <row r="1225" spans="1:23" x14ac:dyDescent="0.25">
      <c r="A1225" t="s">
        <v>633</v>
      </c>
      <c r="B1225" s="19">
        <v>11301</v>
      </c>
      <c r="C1225" s="2">
        <f>HYPERLINK(URLs!B36 &amp; 85430,85430)</f>
        <v>85430</v>
      </c>
      <c r="D1225" t="s">
        <v>3177</v>
      </c>
      <c r="E1225" t="s">
        <v>3178</v>
      </c>
      <c r="F1225" t="s">
        <v>305</v>
      </c>
      <c r="G1225" t="s">
        <v>304</v>
      </c>
      <c r="H1225" t="s">
        <v>30</v>
      </c>
      <c r="I1225" t="s">
        <v>57</v>
      </c>
      <c r="J1225" t="s">
        <v>2183</v>
      </c>
      <c r="K1225" t="s">
        <v>51</v>
      </c>
      <c r="L1225" t="s">
        <v>34</v>
      </c>
      <c r="M1225" t="s">
        <v>1853</v>
      </c>
      <c r="N1225" t="s">
        <v>46</v>
      </c>
      <c r="O1225" t="s">
        <v>3179</v>
      </c>
      <c r="P1225" t="s">
        <v>2708</v>
      </c>
      <c r="Q1225" t="s">
        <v>3180</v>
      </c>
      <c r="R1225">
        <v>42551.451423611114</v>
      </c>
      <c r="S1225">
        <v>42878.515868055554</v>
      </c>
      <c r="T1225" t="s">
        <v>3181</v>
      </c>
      <c r="U1225" t="s">
        <v>35</v>
      </c>
      <c r="V1225" t="s">
        <v>321</v>
      </c>
      <c r="W1225" t="s">
        <v>3661</v>
      </c>
    </row>
    <row r="1226" spans="1:23" x14ac:dyDescent="0.25">
      <c r="A1226" t="s">
        <v>665</v>
      </c>
      <c r="B1226" s="19">
        <v>11307</v>
      </c>
      <c r="C1226" s="2">
        <f>HYPERLINK(URLs!B36 &amp; 85377,85377)</f>
        <v>85377</v>
      </c>
      <c r="D1226" t="s">
        <v>3173</v>
      </c>
      <c r="E1226" t="s">
        <v>110</v>
      </c>
      <c r="F1226" t="s">
        <v>305</v>
      </c>
      <c r="G1226" t="s">
        <v>304</v>
      </c>
      <c r="H1226" t="s">
        <v>30</v>
      </c>
      <c r="I1226" t="s">
        <v>31</v>
      </c>
      <c r="J1226" t="s">
        <v>43</v>
      </c>
      <c r="K1226" t="s">
        <v>44</v>
      </c>
      <c r="L1226" t="s">
        <v>73</v>
      </c>
      <c r="M1226" t="s">
        <v>273</v>
      </c>
      <c r="N1226" t="s">
        <v>582</v>
      </c>
      <c r="P1226" t="s">
        <v>61</v>
      </c>
      <c r="Q1226" t="s">
        <v>2944</v>
      </c>
      <c r="R1226">
        <v>42550.501122685186</v>
      </c>
      <c r="S1226">
        <v>42948.900300925925</v>
      </c>
      <c r="T1226" t="s">
        <v>82</v>
      </c>
      <c r="U1226" t="s">
        <v>3983</v>
      </c>
      <c r="V1226" t="s">
        <v>321</v>
      </c>
      <c r="W1226" t="s">
        <v>69</v>
      </c>
    </row>
    <row r="1227" spans="1:23" x14ac:dyDescent="0.25">
      <c r="A1227" t="s">
        <v>665</v>
      </c>
      <c r="B1227" s="19">
        <v>11307</v>
      </c>
      <c r="C1227" s="2">
        <f>HYPERLINK(URLs!B36 &amp; 85152,85152)</f>
        <v>85152</v>
      </c>
      <c r="D1227" t="s">
        <v>3171</v>
      </c>
      <c r="E1227" t="s">
        <v>82</v>
      </c>
      <c r="F1227" t="s">
        <v>305</v>
      </c>
      <c r="G1227" t="s">
        <v>353</v>
      </c>
      <c r="H1227" t="s">
        <v>30</v>
      </c>
      <c r="I1227" t="s">
        <v>68</v>
      </c>
      <c r="J1227" t="s">
        <v>43</v>
      </c>
      <c r="K1227" t="s">
        <v>33</v>
      </c>
      <c r="L1227" t="s">
        <v>73</v>
      </c>
      <c r="M1227" t="s">
        <v>263</v>
      </c>
      <c r="N1227" t="s">
        <v>46</v>
      </c>
      <c r="P1227" t="s">
        <v>75</v>
      </c>
      <c r="Q1227" t="s">
        <v>75</v>
      </c>
      <c r="R1227">
        <v>42545.743993055556</v>
      </c>
      <c r="S1227">
        <v>42759.634826388887</v>
      </c>
      <c r="T1227" t="s">
        <v>317</v>
      </c>
      <c r="U1227" t="s">
        <v>35</v>
      </c>
      <c r="V1227" t="s">
        <v>35</v>
      </c>
      <c r="W1227" t="s">
        <v>4156</v>
      </c>
    </row>
    <row r="1228" spans="1:23" x14ac:dyDescent="0.25">
      <c r="A1228" t="s">
        <v>665</v>
      </c>
      <c r="B1228" s="19">
        <v>11307</v>
      </c>
      <c r="C1228" s="2">
        <f>HYPERLINK(URLs!B36 &amp; 85151,85151)</f>
        <v>85151</v>
      </c>
      <c r="D1228" t="s">
        <v>3170</v>
      </c>
      <c r="E1228" t="s">
        <v>82</v>
      </c>
      <c r="F1228" t="s">
        <v>305</v>
      </c>
      <c r="G1228" t="s">
        <v>353</v>
      </c>
      <c r="H1228" t="s">
        <v>30</v>
      </c>
      <c r="I1228" t="s">
        <v>68</v>
      </c>
      <c r="J1228" t="s">
        <v>43</v>
      </c>
      <c r="K1228" t="s">
        <v>33</v>
      </c>
      <c r="L1228" t="s">
        <v>73</v>
      </c>
      <c r="M1228" t="s">
        <v>263</v>
      </c>
      <c r="N1228" t="s">
        <v>46</v>
      </c>
      <c r="P1228" t="s">
        <v>75</v>
      </c>
      <c r="Q1228" t="s">
        <v>75</v>
      </c>
      <c r="R1228">
        <v>42545.743750000001</v>
      </c>
      <c r="S1228">
        <v>42759.634733796294</v>
      </c>
      <c r="T1228" t="s">
        <v>317</v>
      </c>
      <c r="U1228" t="s">
        <v>35</v>
      </c>
      <c r="V1228" t="s">
        <v>35</v>
      </c>
      <c r="W1228" t="s">
        <v>69</v>
      </c>
    </row>
    <row r="1229" spans="1:23" x14ac:dyDescent="0.25">
      <c r="A1229" t="s">
        <v>665</v>
      </c>
      <c r="B1229" s="19">
        <v>11307</v>
      </c>
      <c r="C1229" s="2">
        <f>HYPERLINK(URLs!B36 &amp; 85150,85150)</f>
        <v>85150</v>
      </c>
      <c r="D1229" t="s">
        <v>3169</v>
      </c>
      <c r="E1229" t="s">
        <v>82</v>
      </c>
      <c r="F1229" t="s">
        <v>305</v>
      </c>
      <c r="G1229" t="s">
        <v>353</v>
      </c>
      <c r="H1229" t="s">
        <v>30</v>
      </c>
      <c r="I1229" t="s">
        <v>31</v>
      </c>
      <c r="J1229" t="s">
        <v>43</v>
      </c>
      <c r="K1229" t="s">
        <v>44</v>
      </c>
      <c r="L1229" t="s">
        <v>73</v>
      </c>
      <c r="M1229" t="s">
        <v>263</v>
      </c>
      <c r="N1229" t="s">
        <v>46</v>
      </c>
      <c r="P1229" t="s">
        <v>75</v>
      </c>
      <c r="Q1229" t="s">
        <v>75</v>
      </c>
      <c r="R1229">
        <v>42545.743668981479</v>
      </c>
      <c r="S1229">
        <v>42759.63521990741</v>
      </c>
      <c r="T1229" t="s">
        <v>317</v>
      </c>
      <c r="U1229" t="s">
        <v>35</v>
      </c>
      <c r="V1229" t="s">
        <v>35</v>
      </c>
      <c r="W1229" t="s">
        <v>133</v>
      </c>
    </row>
    <row r="1230" spans="1:23" x14ac:dyDescent="0.25">
      <c r="A1230" t="s">
        <v>665</v>
      </c>
      <c r="B1230" s="19">
        <v>11307</v>
      </c>
      <c r="C1230" s="2">
        <f>HYPERLINK(URLs!B36 &amp; 84814,84814)</f>
        <v>84814</v>
      </c>
      <c r="D1230" t="s">
        <v>3161</v>
      </c>
      <c r="E1230" t="s">
        <v>82</v>
      </c>
      <c r="F1230" t="s">
        <v>305</v>
      </c>
      <c r="G1230" t="s">
        <v>353</v>
      </c>
      <c r="H1230" t="s">
        <v>30</v>
      </c>
      <c r="I1230" t="s">
        <v>31</v>
      </c>
      <c r="J1230" t="s">
        <v>43</v>
      </c>
      <c r="K1230" t="s">
        <v>44</v>
      </c>
      <c r="L1230" t="s">
        <v>73</v>
      </c>
      <c r="M1230" t="s">
        <v>263</v>
      </c>
      <c r="N1230" t="s">
        <v>46</v>
      </c>
      <c r="P1230" t="s">
        <v>75</v>
      </c>
      <c r="Q1230" t="s">
        <v>75</v>
      </c>
      <c r="R1230">
        <v>42538.825497685182</v>
      </c>
      <c r="S1230">
        <v>42759.635185185187</v>
      </c>
      <c r="T1230" t="s">
        <v>1</v>
      </c>
      <c r="U1230" t="s">
        <v>35</v>
      </c>
      <c r="V1230" t="s">
        <v>35</v>
      </c>
      <c r="W1230" t="s">
        <v>4098</v>
      </c>
    </row>
    <row r="1231" spans="1:23" x14ac:dyDescent="0.25">
      <c r="A1231" t="s">
        <v>665</v>
      </c>
      <c r="B1231" s="19">
        <v>11307</v>
      </c>
      <c r="C1231" s="2">
        <f>HYPERLINK(URLs!B36 &amp; 76875,76875)</f>
        <v>76875</v>
      </c>
      <c r="D1231" t="s">
        <v>2945</v>
      </c>
      <c r="E1231" t="s">
        <v>82</v>
      </c>
      <c r="F1231" t="s">
        <v>305</v>
      </c>
      <c r="G1231" t="s">
        <v>304</v>
      </c>
      <c r="H1231" t="s">
        <v>30</v>
      </c>
      <c r="I1231" t="s">
        <v>31</v>
      </c>
      <c r="J1231" t="s">
        <v>43</v>
      </c>
      <c r="K1231" t="s">
        <v>44</v>
      </c>
      <c r="L1231" t="s">
        <v>73</v>
      </c>
      <c r="M1231" t="s">
        <v>273</v>
      </c>
      <c r="N1231" t="s">
        <v>523</v>
      </c>
      <c r="P1231" t="s">
        <v>61</v>
      </c>
      <c r="Q1231" t="s">
        <v>2946</v>
      </c>
      <c r="R1231">
        <v>42410.612824074073</v>
      </c>
      <c r="S1231">
        <v>42922.679606481484</v>
      </c>
      <c r="T1231" t="s">
        <v>317</v>
      </c>
      <c r="U1231" t="s">
        <v>35</v>
      </c>
      <c r="V1231" t="s">
        <v>35</v>
      </c>
      <c r="W1231" t="s">
        <v>190</v>
      </c>
    </row>
    <row r="1232" spans="1:23" x14ac:dyDescent="0.25">
      <c r="A1232" t="s">
        <v>665</v>
      </c>
      <c r="B1232" s="19">
        <v>11307</v>
      </c>
      <c r="C1232" s="2">
        <f>HYPERLINK(URLs!B36 &amp; 76846,76846)</f>
        <v>76846</v>
      </c>
      <c r="D1232" t="s">
        <v>2942</v>
      </c>
      <c r="E1232" t="s">
        <v>110</v>
      </c>
      <c r="F1232" t="s">
        <v>305</v>
      </c>
      <c r="G1232" t="s">
        <v>304</v>
      </c>
      <c r="H1232" t="s">
        <v>54</v>
      </c>
      <c r="I1232" t="s">
        <v>31</v>
      </c>
      <c r="J1232" t="s">
        <v>43</v>
      </c>
      <c r="K1232" t="s">
        <v>44</v>
      </c>
      <c r="L1232" t="s">
        <v>73</v>
      </c>
      <c r="M1232" t="s">
        <v>263</v>
      </c>
      <c r="N1232" t="s">
        <v>60</v>
      </c>
      <c r="O1232" t="s">
        <v>2943</v>
      </c>
      <c r="P1232" t="s">
        <v>61</v>
      </c>
      <c r="Q1232" t="s">
        <v>2944</v>
      </c>
      <c r="R1232">
        <v>42410.315358796295</v>
      </c>
      <c r="S1232">
        <v>42840.084374999999</v>
      </c>
      <c r="T1232" t="s">
        <v>317</v>
      </c>
      <c r="U1232" t="s">
        <v>3971</v>
      </c>
      <c r="V1232" t="s">
        <v>321</v>
      </c>
      <c r="W1232" t="s">
        <v>133</v>
      </c>
    </row>
    <row r="1233" spans="1:23" x14ac:dyDescent="0.25">
      <c r="A1233" t="s">
        <v>665</v>
      </c>
      <c r="B1233" s="19">
        <v>11307</v>
      </c>
      <c r="C1233" s="2">
        <f>HYPERLINK(URLs!B36 &amp; 76841,76841)</f>
        <v>76841</v>
      </c>
      <c r="D1233" t="s">
        <v>365</v>
      </c>
      <c r="E1233" t="s">
        <v>110</v>
      </c>
      <c r="F1233" t="s">
        <v>305</v>
      </c>
      <c r="G1233" t="s">
        <v>304</v>
      </c>
      <c r="H1233" t="s">
        <v>30</v>
      </c>
      <c r="I1233" t="s">
        <v>31</v>
      </c>
      <c r="J1233" t="s">
        <v>43</v>
      </c>
      <c r="K1233" t="s">
        <v>51</v>
      </c>
      <c r="L1233" t="s">
        <v>73</v>
      </c>
      <c r="M1233" t="s">
        <v>273</v>
      </c>
      <c r="N1233" t="s">
        <v>60</v>
      </c>
      <c r="P1233" t="s">
        <v>61</v>
      </c>
      <c r="Q1233" t="s">
        <v>159</v>
      </c>
      <c r="R1233">
        <v>42410.268078703702</v>
      </c>
      <c r="S1233">
        <v>43187.158055555556</v>
      </c>
      <c r="T1233" t="s">
        <v>4</v>
      </c>
      <c r="U1233" t="s">
        <v>35</v>
      </c>
      <c r="V1233" t="s">
        <v>35</v>
      </c>
      <c r="W1233" t="s">
        <v>4098</v>
      </c>
    </row>
    <row r="1234" spans="1:23" x14ac:dyDescent="0.25">
      <c r="A1234" t="s">
        <v>633</v>
      </c>
      <c r="B1234" s="19">
        <v>11311</v>
      </c>
      <c r="C1234" s="2">
        <f>HYPERLINK(URLs!B36 &amp; 86826,86826)</f>
        <v>86826</v>
      </c>
      <c r="D1234" t="s">
        <v>511</v>
      </c>
      <c r="E1234" t="s">
        <v>80</v>
      </c>
      <c r="F1234" t="s">
        <v>42</v>
      </c>
      <c r="H1234" t="s">
        <v>116</v>
      </c>
      <c r="I1234" t="s">
        <v>31</v>
      </c>
      <c r="J1234" t="s">
        <v>32</v>
      </c>
      <c r="K1234" t="s">
        <v>33</v>
      </c>
      <c r="L1234" t="s">
        <v>45</v>
      </c>
      <c r="M1234" t="s">
        <v>106</v>
      </c>
      <c r="N1234" t="s">
        <v>512</v>
      </c>
      <c r="O1234" t="s">
        <v>487</v>
      </c>
      <c r="P1234" t="s">
        <v>47</v>
      </c>
      <c r="R1234">
        <v>42579.481678240743</v>
      </c>
      <c r="S1234">
        <v>43059.373506944445</v>
      </c>
      <c r="T1234" t="s">
        <v>341</v>
      </c>
      <c r="U1234" t="s">
        <v>35</v>
      </c>
      <c r="V1234" t="s">
        <v>321</v>
      </c>
      <c r="W1234" t="s">
        <v>4143</v>
      </c>
    </row>
    <row r="1235" spans="1:23" x14ac:dyDescent="0.25">
      <c r="A1235" t="s">
        <v>633</v>
      </c>
      <c r="B1235" s="19">
        <v>11311</v>
      </c>
      <c r="C1235" s="2">
        <f>HYPERLINK(URLs!B36 &amp; 85498,85498)</f>
        <v>85498</v>
      </c>
      <c r="D1235" t="s">
        <v>3195</v>
      </c>
      <c r="E1235" t="s">
        <v>80</v>
      </c>
      <c r="F1235" t="s">
        <v>305</v>
      </c>
      <c r="G1235" t="s">
        <v>304</v>
      </c>
      <c r="H1235" t="s">
        <v>30</v>
      </c>
      <c r="I1235" t="s">
        <v>31</v>
      </c>
      <c r="J1235" t="s">
        <v>32</v>
      </c>
      <c r="K1235" t="s">
        <v>33</v>
      </c>
      <c r="L1235" t="s">
        <v>45</v>
      </c>
      <c r="M1235" t="s">
        <v>265</v>
      </c>
      <c r="N1235" t="s">
        <v>582</v>
      </c>
      <c r="P1235" t="s">
        <v>47</v>
      </c>
      <c r="Q1235" t="s">
        <v>394</v>
      </c>
      <c r="R1235">
        <v>42552.415208333332</v>
      </c>
      <c r="S1235">
        <v>42930.191574074073</v>
      </c>
      <c r="T1235" t="s">
        <v>346</v>
      </c>
      <c r="U1235" t="s">
        <v>3984</v>
      </c>
      <c r="V1235" t="s">
        <v>321</v>
      </c>
      <c r="W1235" t="s">
        <v>69</v>
      </c>
    </row>
    <row r="1236" spans="1:23" x14ac:dyDescent="0.25">
      <c r="A1236" t="s">
        <v>633</v>
      </c>
      <c r="B1236" s="19">
        <v>11311</v>
      </c>
      <c r="C1236" s="2">
        <f>HYPERLINK(URLs!B36 &amp; 85497,85497)</f>
        <v>85497</v>
      </c>
      <c r="D1236" t="s">
        <v>3194</v>
      </c>
      <c r="E1236" t="s">
        <v>80</v>
      </c>
      <c r="F1236" t="s">
        <v>305</v>
      </c>
      <c r="G1236" t="s">
        <v>304</v>
      </c>
      <c r="H1236" t="s">
        <v>30</v>
      </c>
      <c r="I1236" t="s">
        <v>31</v>
      </c>
      <c r="J1236" t="s">
        <v>32</v>
      </c>
      <c r="K1236" t="s">
        <v>33</v>
      </c>
      <c r="L1236" t="s">
        <v>45</v>
      </c>
      <c r="M1236" t="s">
        <v>265</v>
      </c>
      <c r="N1236" t="s">
        <v>60</v>
      </c>
      <c r="P1236" t="s">
        <v>47</v>
      </c>
      <c r="Q1236" t="s">
        <v>394</v>
      </c>
      <c r="R1236">
        <v>42552.412222222221</v>
      </c>
      <c r="S1236">
        <v>42674.622407407405</v>
      </c>
      <c r="T1236" t="s">
        <v>346</v>
      </c>
      <c r="U1236" t="s">
        <v>3985</v>
      </c>
      <c r="V1236" t="s">
        <v>321</v>
      </c>
      <c r="W1236" t="s">
        <v>133</v>
      </c>
    </row>
    <row r="1237" spans="1:23" x14ac:dyDescent="0.25">
      <c r="A1237" t="s">
        <v>633</v>
      </c>
      <c r="B1237" s="19">
        <v>11311</v>
      </c>
      <c r="C1237" s="2">
        <f>HYPERLINK(URLs!B36 &amp; 85496,85496)</f>
        <v>85496</v>
      </c>
      <c r="D1237" t="s">
        <v>3193</v>
      </c>
      <c r="E1237" t="s">
        <v>80</v>
      </c>
      <c r="F1237" t="s">
        <v>305</v>
      </c>
      <c r="G1237" t="s">
        <v>304</v>
      </c>
      <c r="H1237" t="s">
        <v>30</v>
      </c>
      <c r="I1237" t="s">
        <v>31</v>
      </c>
      <c r="J1237" t="s">
        <v>32</v>
      </c>
      <c r="K1237" t="s">
        <v>33</v>
      </c>
      <c r="L1237" t="s">
        <v>45</v>
      </c>
      <c r="M1237" t="s">
        <v>265</v>
      </c>
      <c r="N1237" t="s">
        <v>60</v>
      </c>
      <c r="P1237" t="s">
        <v>47</v>
      </c>
      <c r="Q1237" t="s">
        <v>394</v>
      </c>
      <c r="R1237">
        <v>42552.412210648145</v>
      </c>
      <c r="S1237">
        <v>42718.677291666667</v>
      </c>
      <c r="T1237" t="s">
        <v>346</v>
      </c>
      <c r="U1237" t="s">
        <v>3977</v>
      </c>
      <c r="V1237" t="s">
        <v>321</v>
      </c>
      <c r="W1237" t="s">
        <v>107</v>
      </c>
    </row>
    <row r="1238" spans="1:23" x14ac:dyDescent="0.25">
      <c r="A1238" t="s">
        <v>633</v>
      </c>
      <c r="B1238" s="19">
        <v>11311</v>
      </c>
      <c r="C1238" s="2">
        <f>HYPERLINK(URLs!B36 &amp; 84801,84801)</f>
        <v>84801</v>
      </c>
      <c r="D1238" t="s">
        <v>79</v>
      </c>
      <c r="E1238" t="s">
        <v>80</v>
      </c>
      <c r="F1238" t="s">
        <v>42</v>
      </c>
      <c r="H1238" t="s">
        <v>30</v>
      </c>
      <c r="I1238" t="s">
        <v>31</v>
      </c>
      <c r="J1238" t="s">
        <v>32</v>
      </c>
      <c r="K1238" t="s">
        <v>33</v>
      </c>
      <c r="L1238" t="s">
        <v>45</v>
      </c>
      <c r="M1238" t="s">
        <v>265</v>
      </c>
      <c r="N1238" t="s">
        <v>60</v>
      </c>
      <c r="O1238" t="s">
        <v>487</v>
      </c>
      <c r="P1238" t="s">
        <v>47</v>
      </c>
      <c r="R1238">
        <v>42538.589201388888</v>
      </c>
      <c r="S1238">
        <v>43059.369780092595</v>
      </c>
      <c r="T1238" t="s">
        <v>5</v>
      </c>
      <c r="U1238" t="s">
        <v>35</v>
      </c>
      <c r="V1238" t="s">
        <v>321</v>
      </c>
      <c r="W1238" t="s">
        <v>4098</v>
      </c>
    </row>
    <row r="1239" spans="1:23" x14ac:dyDescent="0.25">
      <c r="A1239" t="s">
        <v>633</v>
      </c>
      <c r="B1239" s="19">
        <v>11379</v>
      </c>
      <c r="C1239" s="2">
        <f>HYPERLINK(URLs!B36 &amp; 97946,97946)</f>
        <v>97946</v>
      </c>
      <c r="D1239" t="s">
        <v>3491</v>
      </c>
      <c r="E1239" t="s">
        <v>72</v>
      </c>
      <c r="F1239" t="s">
        <v>305</v>
      </c>
      <c r="G1239" t="s">
        <v>310</v>
      </c>
      <c r="H1239" t="s">
        <v>30</v>
      </c>
      <c r="I1239" t="s">
        <v>68</v>
      </c>
      <c r="J1239" t="s">
        <v>58</v>
      </c>
      <c r="K1239" t="s">
        <v>44</v>
      </c>
      <c r="L1239" t="s">
        <v>73</v>
      </c>
      <c r="M1239" t="s">
        <v>263</v>
      </c>
      <c r="N1239" t="s">
        <v>46</v>
      </c>
      <c r="P1239" t="s">
        <v>1634</v>
      </c>
      <c r="Q1239" t="s">
        <v>1634</v>
      </c>
      <c r="R1239">
        <v>42830.468530092592</v>
      </c>
      <c r="S1239">
        <v>42997.125138888892</v>
      </c>
      <c r="T1239" t="s">
        <v>84</v>
      </c>
      <c r="U1239" t="s">
        <v>35</v>
      </c>
      <c r="V1239" t="s">
        <v>35</v>
      </c>
      <c r="W1239" t="s">
        <v>4168</v>
      </c>
    </row>
    <row r="1240" spans="1:23" x14ac:dyDescent="0.25">
      <c r="A1240" t="s">
        <v>633</v>
      </c>
      <c r="B1240" s="19">
        <v>11379</v>
      </c>
      <c r="C1240" s="2">
        <f>HYPERLINK(URLs!B36 &amp; 88532,88532)</f>
        <v>88532</v>
      </c>
      <c r="D1240" t="s">
        <v>3253</v>
      </c>
      <c r="E1240" t="s">
        <v>84</v>
      </c>
      <c r="F1240" t="s">
        <v>305</v>
      </c>
      <c r="G1240" t="s">
        <v>310</v>
      </c>
      <c r="H1240" t="s">
        <v>30</v>
      </c>
      <c r="I1240" t="s">
        <v>68</v>
      </c>
      <c r="J1240" t="s">
        <v>58</v>
      </c>
      <c r="K1240" t="s">
        <v>44</v>
      </c>
      <c r="L1240" t="s">
        <v>73</v>
      </c>
      <c r="M1240" t="s">
        <v>263</v>
      </c>
      <c r="N1240" t="s">
        <v>46</v>
      </c>
      <c r="P1240" t="s">
        <v>1634</v>
      </c>
      <c r="Q1240" t="s">
        <v>1634</v>
      </c>
      <c r="R1240">
        <v>42618.514398148145</v>
      </c>
      <c r="S1240">
        <v>43010.125081018516</v>
      </c>
      <c r="T1240" t="s">
        <v>84</v>
      </c>
      <c r="U1240" t="s">
        <v>35</v>
      </c>
      <c r="V1240" t="s">
        <v>35</v>
      </c>
      <c r="W1240" t="s">
        <v>4161</v>
      </c>
    </row>
    <row r="1241" spans="1:23" x14ac:dyDescent="0.25">
      <c r="A1241" t="s">
        <v>633</v>
      </c>
      <c r="B1241" s="19">
        <v>11379</v>
      </c>
      <c r="C1241" s="2">
        <f>HYPERLINK(URLs!B36 &amp; 88531,88531)</f>
        <v>88531</v>
      </c>
      <c r="D1241" t="s">
        <v>3251</v>
      </c>
      <c r="E1241" t="s">
        <v>84</v>
      </c>
      <c r="F1241" t="s">
        <v>305</v>
      </c>
      <c r="G1241" t="s">
        <v>337</v>
      </c>
      <c r="H1241" t="s">
        <v>30</v>
      </c>
      <c r="I1241" t="s">
        <v>68</v>
      </c>
      <c r="J1241" t="s">
        <v>58</v>
      </c>
      <c r="K1241" t="s">
        <v>44</v>
      </c>
      <c r="L1241" t="s">
        <v>73</v>
      </c>
      <c r="M1241" t="s">
        <v>263</v>
      </c>
      <c r="N1241" t="s">
        <v>46</v>
      </c>
      <c r="P1241" t="s">
        <v>1634</v>
      </c>
      <c r="Q1241" t="s">
        <v>3252</v>
      </c>
      <c r="R1241">
        <v>42618.509745370371</v>
      </c>
      <c r="S1241">
        <v>42683.650069444448</v>
      </c>
      <c r="T1241" t="s">
        <v>84</v>
      </c>
      <c r="U1241" t="s">
        <v>35</v>
      </c>
      <c r="V1241" t="s">
        <v>35</v>
      </c>
      <c r="W1241" t="s">
        <v>4160</v>
      </c>
    </row>
    <row r="1242" spans="1:23" x14ac:dyDescent="0.25">
      <c r="A1242" t="s">
        <v>633</v>
      </c>
      <c r="B1242" s="19">
        <v>11379</v>
      </c>
      <c r="C1242" s="2">
        <f>HYPERLINK(URLs!B36 &amp; 87777,87777)</f>
        <v>87777</v>
      </c>
      <c r="D1242" t="s">
        <v>3230</v>
      </c>
      <c r="E1242" t="s">
        <v>84</v>
      </c>
      <c r="F1242" t="s">
        <v>305</v>
      </c>
      <c r="G1242" t="s">
        <v>304</v>
      </c>
      <c r="H1242" t="s">
        <v>30</v>
      </c>
      <c r="I1242" t="s">
        <v>68</v>
      </c>
      <c r="J1242" t="s">
        <v>58</v>
      </c>
      <c r="K1242" t="s">
        <v>44</v>
      </c>
      <c r="L1242" t="s">
        <v>73</v>
      </c>
      <c r="M1242" t="s">
        <v>263</v>
      </c>
      <c r="N1242" t="s">
        <v>46</v>
      </c>
      <c r="P1242" t="s">
        <v>1634</v>
      </c>
      <c r="Q1242" t="s">
        <v>3039</v>
      </c>
      <c r="R1242">
        <v>42599.951064814813</v>
      </c>
      <c r="S1242">
        <v>42905.576122685183</v>
      </c>
      <c r="T1242" t="s">
        <v>548</v>
      </c>
      <c r="U1242" t="s">
        <v>35</v>
      </c>
      <c r="V1242" t="s">
        <v>35</v>
      </c>
      <c r="W1242" t="s">
        <v>3555</v>
      </c>
    </row>
    <row r="1243" spans="1:23" x14ac:dyDescent="0.25">
      <c r="A1243" t="s">
        <v>633</v>
      </c>
      <c r="B1243" s="19">
        <v>11379</v>
      </c>
      <c r="C1243" s="2">
        <f>HYPERLINK(URLs!B36 &amp; 79050,79050)</f>
        <v>79050</v>
      </c>
      <c r="D1243" t="s">
        <v>3051</v>
      </c>
      <c r="E1243" t="s">
        <v>84</v>
      </c>
      <c r="F1243" t="s">
        <v>305</v>
      </c>
      <c r="G1243" t="s">
        <v>304</v>
      </c>
      <c r="H1243" t="s">
        <v>30</v>
      </c>
      <c r="I1243" t="s">
        <v>68</v>
      </c>
      <c r="J1243" t="s">
        <v>58</v>
      </c>
      <c r="K1243" t="s">
        <v>44</v>
      </c>
      <c r="L1243" t="s">
        <v>73</v>
      </c>
      <c r="M1243" t="s">
        <v>263</v>
      </c>
      <c r="N1243" t="s">
        <v>46</v>
      </c>
      <c r="P1243" t="s">
        <v>1634</v>
      </c>
      <c r="R1243">
        <v>42447.244895833333</v>
      </c>
      <c r="S1243">
        <v>42702.601909722223</v>
      </c>
      <c r="T1243" t="s">
        <v>72</v>
      </c>
      <c r="U1243" t="s">
        <v>35</v>
      </c>
      <c r="V1243" t="s">
        <v>35</v>
      </c>
      <c r="W1243" t="s">
        <v>3428</v>
      </c>
    </row>
    <row r="1244" spans="1:23" x14ac:dyDescent="0.25">
      <c r="A1244" t="s">
        <v>633</v>
      </c>
      <c r="B1244" s="19">
        <v>11379</v>
      </c>
      <c r="C1244" s="2">
        <f>HYPERLINK(URLs!B36 &amp; 79021,79021)</f>
        <v>79021</v>
      </c>
      <c r="D1244" t="s">
        <v>3047</v>
      </c>
      <c r="E1244" t="s">
        <v>84</v>
      </c>
      <c r="F1244" t="s">
        <v>305</v>
      </c>
      <c r="G1244" t="s">
        <v>304</v>
      </c>
      <c r="H1244" t="s">
        <v>30</v>
      </c>
      <c r="I1244" t="s">
        <v>68</v>
      </c>
      <c r="J1244" t="s">
        <v>58</v>
      </c>
      <c r="K1244" t="s">
        <v>44</v>
      </c>
      <c r="L1244" t="s">
        <v>73</v>
      </c>
      <c r="M1244" t="s">
        <v>263</v>
      </c>
      <c r="N1244" t="s">
        <v>46</v>
      </c>
      <c r="O1244" t="s">
        <v>3048</v>
      </c>
      <c r="P1244" t="s">
        <v>1634</v>
      </c>
      <c r="Q1244" t="s">
        <v>159</v>
      </c>
      <c r="R1244">
        <v>42446.655069444445</v>
      </c>
      <c r="S1244">
        <v>42909.681863425925</v>
      </c>
      <c r="T1244" t="s">
        <v>86</v>
      </c>
      <c r="U1244" t="s">
        <v>35</v>
      </c>
      <c r="V1244" t="s">
        <v>35</v>
      </c>
      <c r="W1244" t="s">
        <v>4098</v>
      </c>
    </row>
    <row r="1245" spans="1:23" x14ac:dyDescent="0.25">
      <c r="A1245" t="s">
        <v>665</v>
      </c>
      <c r="B1245" s="19">
        <v>11503</v>
      </c>
      <c r="C1245" s="2">
        <f>HYPERLINK(URLs!B36 &amp; 110257,110257)</f>
        <v>110257</v>
      </c>
      <c r="D1245" t="s">
        <v>4335</v>
      </c>
      <c r="E1245" t="s">
        <v>4336</v>
      </c>
      <c r="F1245" t="s">
        <v>305</v>
      </c>
      <c r="G1245" t="s">
        <v>353</v>
      </c>
      <c r="H1245" t="s">
        <v>30</v>
      </c>
      <c r="I1245" t="s">
        <v>68</v>
      </c>
      <c r="J1245" t="s">
        <v>58</v>
      </c>
      <c r="K1245" t="s">
        <v>51</v>
      </c>
      <c r="L1245" t="s">
        <v>34</v>
      </c>
      <c r="M1245" t="s">
        <v>3780</v>
      </c>
      <c r="N1245" t="s">
        <v>46</v>
      </c>
      <c r="O1245" t="s">
        <v>4337</v>
      </c>
      <c r="P1245" t="s">
        <v>4179</v>
      </c>
      <c r="Q1245" t="s">
        <v>2416</v>
      </c>
      <c r="R1245">
        <v>43140.427071759259</v>
      </c>
      <c r="S1245">
        <v>43217.140509259261</v>
      </c>
      <c r="T1245" t="s">
        <v>171</v>
      </c>
      <c r="U1245" t="s">
        <v>35</v>
      </c>
      <c r="V1245" t="s">
        <v>35</v>
      </c>
      <c r="W1245" t="s">
        <v>4155</v>
      </c>
    </row>
    <row r="1246" spans="1:23" x14ac:dyDescent="0.25">
      <c r="A1246" t="s">
        <v>665</v>
      </c>
      <c r="B1246" s="19">
        <v>11573</v>
      </c>
      <c r="C1246" s="2">
        <f>HYPERLINK(URLs!B36 &amp; 93164,93164)</f>
        <v>93164</v>
      </c>
      <c r="D1246" t="s">
        <v>3359</v>
      </c>
      <c r="E1246" t="s">
        <v>72</v>
      </c>
      <c r="F1246" t="s">
        <v>305</v>
      </c>
      <c r="G1246" t="s">
        <v>304</v>
      </c>
      <c r="H1246" t="s">
        <v>30</v>
      </c>
      <c r="I1246" t="s">
        <v>31</v>
      </c>
      <c r="J1246" t="s">
        <v>43</v>
      </c>
      <c r="K1246" t="s">
        <v>51</v>
      </c>
      <c r="L1246" t="s">
        <v>73</v>
      </c>
      <c r="M1246" t="s">
        <v>263</v>
      </c>
      <c r="N1246" t="s">
        <v>46</v>
      </c>
      <c r="P1246" t="s">
        <v>85</v>
      </c>
      <c r="Q1246" t="s">
        <v>2708</v>
      </c>
      <c r="R1246">
        <v>42705.492731481485</v>
      </c>
      <c r="S1246">
        <v>42874.405358796299</v>
      </c>
      <c r="T1246" t="s">
        <v>139</v>
      </c>
      <c r="U1246" t="s">
        <v>35</v>
      </c>
      <c r="V1246" t="s">
        <v>35</v>
      </c>
      <c r="W1246" t="s">
        <v>3661</v>
      </c>
    </row>
    <row r="1247" spans="1:23" x14ac:dyDescent="0.25">
      <c r="A1247" t="s">
        <v>665</v>
      </c>
      <c r="B1247" s="19">
        <v>11573</v>
      </c>
      <c r="C1247" s="2">
        <f>HYPERLINK(URLs!B36 &amp; 87064,87064)</f>
        <v>87064</v>
      </c>
      <c r="D1247" t="s">
        <v>3208</v>
      </c>
      <c r="E1247" t="s">
        <v>139</v>
      </c>
      <c r="F1247" t="s">
        <v>305</v>
      </c>
      <c r="G1247" t="s">
        <v>310</v>
      </c>
      <c r="H1247" t="s">
        <v>30</v>
      </c>
      <c r="I1247" t="s">
        <v>31</v>
      </c>
      <c r="J1247" t="s">
        <v>43</v>
      </c>
      <c r="K1247" t="s">
        <v>51</v>
      </c>
      <c r="L1247" t="s">
        <v>73</v>
      </c>
      <c r="M1247" t="s">
        <v>263</v>
      </c>
      <c r="N1247" t="s">
        <v>46</v>
      </c>
      <c r="P1247" t="s">
        <v>85</v>
      </c>
      <c r="Q1247" t="s">
        <v>2481</v>
      </c>
      <c r="R1247">
        <v>42585.681458333333</v>
      </c>
      <c r="S1247">
        <v>42759.622175925928</v>
      </c>
      <c r="T1247" t="s">
        <v>317</v>
      </c>
      <c r="U1247" t="s">
        <v>35</v>
      </c>
      <c r="V1247" t="s">
        <v>35</v>
      </c>
      <c r="W1247" t="s">
        <v>69</v>
      </c>
    </row>
    <row r="1248" spans="1:23" x14ac:dyDescent="0.25">
      <c r="A1248" t="s">
        <v>665</v>
      </c>
      <c r="B1248" s="19">
        <v>11573</v>
      </c>
      <c r="C1248" s="2">
        <f>HYPERLINK(URLs!B36 &amp; 87063,87063)</f>
        <v>87063</v>
      </c>
      <c r="D1248" t="s">
        <v>3206</v>
      </c>
      <c r="E1248" t="s">
        <v>139</v>
      </c>
      <c r="F1248" t="s">
        <v>305</v>
      </c>
      <c r="G1248" t="s">
        <v>310</v>
      </c>
      <c r="H1248" t="s">
        <v>30</v>
      </c>
      <c r="I1248" t="s">
        <v>31</v>
      </c>
      <c r="J1248" t="s">
        <v>43</v>
      </c>
      <c r="K1248" t="s">
        <v>51</v>
      </c>
      <c r="L1248" t="s">
        <v>73</v>
      </c>
      <c r="M1248" t="s">
        <v>263</v>
      </c>
      <c r="N1248" t="s">
        <v>46</v>
      </c>
      <c r="O1248" t="s">
        <v>3207</v>
      </c>
      <c r="P1248" t="s">
        <v>85</v>
      </c>
      <c r="Q1248" t="s">
        <v>159</v>
      </c>
      <c r="R1248">
        <v>42585.68136574074</v>
      </c>
      <c r="S1248">
        <v>42585.683530092596</v>
      </c>
      <c r="T1248" t="s">
        <v>317</v>
      </c>
      <c r="U1248" t="s">
        <v>35</v>
      </c>
      <c r="V1248" t="s">
        <v>35</v>
      </c>
      <c r="W1248" t="s">
        <v>133</v>
      </c>
    </row>
    <row r="1249" spans="1:23" x14ac:dyDescent="0.25">
      <c r="A1249" t="s">
        <v>665</v>
      </c>
      <c r="B1249" s="19">
        <v>11573</v>
      </c>
      <c r="C1249" s="2">
        <f>HYPERLINK(URLs!B36 &amp; 86421,86421)</f>
        <v>86421</v>
      </c>
      <c r="D1249" t="s">
        <v>3199</v>
      </c>
      <c r="E1249" t="s">
        <v>139</v>
      </c>
      <c r="F1249" t="s">
        <v>305</v>
      </c>
      <c r="G1249" t="s">
        <v>304</v>
      </c>
      <c r="H1249" t="s">
        <v>30</v>
      </c>
      <c r="I1249" t="s">
        <v>31</v>
      </c>
      <c r="J1249" t="s">
        <v>43</v>
      </c>
      <c r="K1249" t="s">
        <v>51</v>
      </c>
      <c r="L1249" t="s">
        <v>73</v>
      </c>
      <c r="M1249" t="s">
        <v>263</v>
      </c>
      <c r="N1249" t="s">
        <v>46</v>
      </c>
      <c r="P1249" t="s">
        <v>85</v>
      </c>
      <c r="Q1249" t="s">
        <v>85</v>
      </c>
      <c r="R1249">
        <v>42571.433946759258</v>
      </c>
      <c r="S1249">
        <v>42634.393587962964</v>
      </c>
      <c r="T1249" t="s">
        <v>139</v>
      </c>
      <c r="U1249" t="s">
        <v>35</v>
      </c>
      <c r="V1249" t="s">
        <v>35</v>
      </c>
      <c r="W1249" t="s">
        <v>3428</v>
      </c>
    </row>
    <row r="1250" spans="1:23" x14ac:dyDescent="0.25">
      <c r="A1250" t="s">
        <v>665</v>
      </c>
      <c r="B1250" s="19">
        <v>11573</v>
      </c>
      <c r="C1250" s="2">
        <f>HYPERLINK(URLs!B36 &amp; 85449,85449)</f>
        <v>85449</v>
      </c>
      <c r="D1250" t="s">
        <v>3191</v>
      </c>
      <c r="E1250" t="s">
        <v>72</v>
      </c>
      <c r="F1250" t="s">
        <v>305</v>
      </c>
      <c r="G1250" t="s">
        <v>304</v>
      </c>
      <c r="H1250" t="s">
        <v>30</v>
      </c>
      <c r="I1250" t="s">
        <v>31</v>
      </c>
      <c r="J1250" t="s">
        <v>43</v>
      </c>
      <c r="K1250" t="s">
        <v>51</v>
      </c>
      <c r="L1250" t="s">
        <v>73</v>
      </c>
      <c r="M1250" t="s">
        <v>263</v>
      </c>
      <c r="N1250" t="s">
        <v>46</v>
      </c>
      <c r="P1250" t="s">
        <v>85</v>
      </c>
      <c r="Q1250" t="s">
        <v>159</v>
      </c>
      <c r="R1250">
        <v>42551.677800925929</v>
      </c>
      <c r="S1250">
        <v>42871.70039351852</v>
      </c>
      <c r="T1250" t="s">
        <v>86</v>
      </c>
      <c r="U1250" t="s">
        <v>35</v>
      </c>
      <c r="V1250" t="s">
        <v>35</v>
      </c>
      <c r="W1250" t="s">
        <v>4098</v>
      </c>
    </row>
    <row r="1251" spans="1:23" x14ac:dyDescent="0.25">
      <c r="A1251" t="s">
        <v>633</v>
      </c>
      <c r="B1251" s="19">
        <v>11594</v>
      </c>
      <c r="C1251" s="2">
        <f>HYPERLINK(URLs!B36 &amp; 87381,87381)</f>
        <v>87381</v>
      </c>
      <c r="D1251" t="s">
        <v>3220</v>
      </c>
      <c r="E1251" t="s">
        <v>339</v>
      </c>
      <c r="F1251" t="s">
        <v>305</v>
      </c>
      <c r="G1251" t="s">
        <v>337</v>
      </c>
      <c r="H1251" t="s">
        <v>30</v>
      </c>
      <c r="I1251" t="s">
        <v>68</v>
      </c>
      <c r="J1251" t="s">
        <v>43</v>
      </c>
      <c r="K1251" t="s">
        <v>33</v>
      </c>
      <c r="L1251" t="s">
        <v>45</v>
      </c>
      <c r="M1251" t="s">
        <v>260</v>
      </c>
      <c r="N1251" t="s">
        <v>60</v>
      </c>
      <c r="P1251" t="s">
        <v>75</v>
      </c>
      <c r="Q1251" t="s">
        <v>3067</v>
      </c>
      <c r="R1251">
        <v>42592.523402777777</v>
      </c>
      <c r="S1251">
        <v>42754.693136574075</v>
      </c>
      <c r="T1251" t="s">
        <v>341</v>
      </c>
      <c r="U1251" t="s">
        <v>35</v>
      </c>
      <c r="V1251" t="s">
        <v>35</v>
      </c>
      <c r="W1251" t="s">
        <v>428</v>
      </c>
    </row>
    <row r="1252" spans="1:23" x14ac:dyDescent="0.25">
      <c r="A1252" t="s">
        <v>633</v>
      </c>
      <c r="B1252" s="19">
        <v>11594</v>
      </c>
      <c r="C1252" s="2">
        <f>HYPERLINK(URLs!B36 &amp; 87380,87380)</f>
        <v>87380</v>
      </c>
      <c r="D1252" t="s">
        <v>3219</v>
      </c>
      <c r="E1252" t="s">
        <v>339</v>
      </c>
      <c r="F1252" t="s">
        <v>305</v>
      </c>
      <c r="G1252" t="s">
        <v>337</v>
      </c>
      <c r="H1252" t="s">
        <v>30</v>
      </c>
      <c r="I1252" t="s">
        <v>68</v>
      </c>
      <c r="J1252" t="s">
        <v>43</v>
      </c>
      <c r="K1252" t="s">
        <v>33</v>
      </c>
      <c r="L1252" t="s">
        <v>45</v>
      </c>
      <c r="M1252" t="s">
        <v>260</v>
      </c>
      <c r="N1252" t="s">
        <v>582</v>
      </c>
      <c r="P1252" t="s">
        <v>75</v>
      </c>
      <c r="Q1252" t="s">
        <v>3067</v>
      </c>
      <c r="R1252">
        <v>42592.522083333337</v>
      </c>
      <c r="S1252">
        <v>42754.695069444446</v>
      </c>
      <c r="T1252" t="s">
        <v>341</v>
      </c>
      <c r="U1252" t="s">
        <v>35</v>
      </c>
      <c r="V1252" t="s">
        <v>35</v>
      </c>
      <c r="W1252" t="s">
        <v>69</v>
      </c>
    </row>
    <row r="1253" spans="1:23" x14ac:dyDescent="0.25">
      <c r="A1253" t="s">
        <v>633</v>
      </c>
      <c r="B1253" s="19">
        <v>11594</v>
      </c>
      <c r="C1253" s="2">
        <f>HYPERLINK(URLs!B36 &amp; 87379,87379)</f>
        <v>87379</v>
      </c>
      <c r="D1253" t="s">
        <v>3218</v>
      </c>
      <c r="E1253" t="s">
        <v>339</v>
      </c>
      <c r="F1253" t="s">
        <v>305</v>
      </c>
      <c r="G1253" t="s">
        <v>337</v>
      </c>
      <c r="H1253" t="s">
        <v>30</v>
      </c>
      <c r="I1253" t="s">
        <v>68</v>
      </c>
      <c r="J1253" t="s">
        <v>43</v>
      </c>
      <c r="K1253" t="s">
        <v>33</v>
      </c>
      <c r="L1253" t="s">
        <v>45</v>
      </c>
      <c r="M1253" t="s">
        <v>260</v>
      </c>
      <c r="N1253" t="s">
        <v>60</v>
      </c>
      <c r="P1253" t="s">
        <v>75</v>
      </c>
      <c r="Q1253" t="s">
        <v>3198</v>
      </c>
      <c r="R1253">
        <v>42592.520590277774</v>
      </c>
      <c r="S1253">
        <v>42753.682743055557</v>
      </c>
      <c r="T1253" t="s">
        <v>341</v>
      </c>
      <c r="U1253" t="s">
        <v>35</v>
      </c>
      <c r="V1253" t="s">
        <v>35</v>
      </c>
      <c r="W1253" t="s">
        <v>133</v>
      </c>
    </row>
    <row r="1254" spans="1:23" x14ac:dyDescent="0.25">
      <c r="A1254" t="s">
        <v>633</v>
      </c>
      <c r="B1254" s="19">
        <v>11594</v>
      </c>
      <c r="C1254" s="2">
        <f>HYPERLINK(URLs!B36 &amp; 87378,87378)</f>
        <v>87378</v>
      </c>
      <c r="D1254" t="s">
        <v>3217</v>
      </c>
      <c r="E1254" t="s">
        <v>339</v>
      </c>
      <c r="F1254" t="s">
        <v>305</v>
      </c>
      <c r="G1254" t="s">
        <v>337</v>
      </c>
      <c r="H1254" t="s">
        <v>30</v>
      </c>
      <c r="I1254" t="s">
        <v>68</v>
      </c>
      <c r="J1254" t="s">
        <v>43</v>
      </c>
      <c r="K1254" t="s">
        <v>33</v>
      </c>
      <c r="L1254" t="s">
        <v>45</v>
      </c>
      <c r="M1254" t="s">
        <v>260</v>
      </c>
      <c r="N1254" t="s">
        <v>60</v>
      </c>
      <c r="P1254" t="s">
        <v>75</v>
      </c>
      <c r="Q1254" t="s">
        <v>3067</v>
      </c>
      <c r="R1254">
        <v>42592.514861111114</v>
      </c>
      <c r="S1254">
        <v>42752.886655092596</v>
      </c>
      <c r="T1254" t="s">
        <v>341</v>
      </c>
      <c r="U1254" t="s">
        <v>35</v>
      </c>
      <c r="V1254" t="s">
        <v>35</v>
      </c>
      <c r="W1254" t="s">
        <v>4156</v>
      </c>
    </row>
    <row r="1255" spans="1:23" x14ac:dyDescent="0.25">
      <c r="A1255" t="s">
        <v>633</v>
      </c>
      <c r="B1255" s="19">
        <v>11594</v>
      </c>
      <c r="C1255" s="2">
        <f>HYPERLINK(URLs!B36 &amp; 86304,86304)</f>
        <v>86304</v>
      </c>
      <c r="D1255" t="s">
        <v>338</v>
      </c>
      <c r="E1255" t="s">
        <v>339</v>
      </c>
      <c r="F1255" t="s">
        <v>305</v>
      </c>
      <c r="G1255" t="s">
        <v>337</v>
      </c>
      <c r="H1255" t="s">
        <v>30</v>
      </c>
      <c r="I1255" t="s">
        <v>68</v>
      </c>
      <c r="J1255" t="s">
        <v>43</v>
      </c>
      <c r="K1255" t="s">
        <v>33</v>
      </c>
      <c r="L1255" t="s">
        <v>45</v>
      </c>
      <c r="M1255" t="s">
        <v>260</v>
      </c>
      <c r="N1255" t="s">
        <v>60</v>
      </c>
      <c r="P1255" t="s">
        <v>75</v>
      </c>
      <c r="Q1255" t="s">
        <v>3198</v>
      </c>
      <c r="R1255">
        <v>42569.922164351854</v>
      </c>
      <c r="S1255">
        <v>42754.691168981481</v>
      </c>
      <c r="T1255" t="s">
        <v>162</v>
      </c>
      <c r="U1255" t="s">
        <v>35</v>
      </c>
      <c r="V1255" t="s">
        <v>35</v>
      </c>
      <c r="W1255" t="s">
        <v>4098</v>
      </c>
    </row>
    <row r="1256" spans="1:23" x14ac:dyDescent="0.25">
      <c r="A1256" t="s">
        <v>665</v>
      </c>
      <c r="B1256" s="19">
        <v>11690</v>
      </c>
      <c r="C1256" s="2">
        <f>HYPERLINK(URLs!B36 &amp; 97628,97628)</f>
        <v>97628</v>
      </c>
      <c r="D1256" t="s">
        <v>543</v>
      </c>
      <c r="E1256" t="s">
        <v>82</v>
      </c>
      <c r="F1256" t="s">
        <v>42</v>
      </c>
      <c r="H1256" t="s">
        <v>30</v>
      </c>
      <c r="I1256" t="s">
        <v>68</v>
      </c>
      <c r="J1256" t="s">
        <v>43</v>
      </c>
      <c r="K1256" t="s">
        <v>33</v>
      </c>
      <c r="L1256" t="s">
        <v>73</v>
      </c>
      <c r="M1256" t="s">
        <v>263</v>
      </c>
      <c r="N1256" t="s">
        <v>46</v>
      </c>
      <c r="P1256" t="s">
        <v>61</v>
      </c>
      <c r="R1256">
        <v>42823.802465277775</v>
      </c>
      <c r="S1256">
        <v>42958.66983796296</v>
      </c>
      <c r="T1256" t="s">
        <v>301</v>
      </c>
      <c r="U1256" t="s">
        <v>35</v>
      </c>
      <c r="V1256" t="s">
        <v>35</v>
      </c>
      <c r="W1256" t="s">
        <v>4166</v>
      </c>
    </row>
    <row r="1257" spans="1:23" x14ac:dyDescent="0.25">
      <c r="A1257" t="s">
        <v>665</v>
      </c>
      <c r="B1257" s="19">
        <v>11690</v>
      </c>
      <c r="C1257" s="2">
        <f>HYPERLINK(URLs!B36 &amp; 87144,87144)</f>
        <v>87144</v>
      </c>
      <c r="D1257" t="s">
        <v>3212</v>
      </c>
      <c r="E1257" t="s">
        <v>72</v>
      </c>
      <c r="F1257" t="s">
        <v>305</v>
      </c>
      <c r="G1257" t="s">
        <v>337</v>
      </c>
      <c r="H1257" t="s">
        <v>30</v>
      </c>
      <c r="I1257" t="s">
        <v>68</v>
      </c>
      <c r="J1257" t="s">
        <v>43</v>
      </c>
      <c r="K1257" t="s">
        <v>33</v>
      </c>
      <c r="L1257" t="s">
        <v>73</v>
      </c>
      <c r="M1257" t="s">
        <v>263</v>
      </c>
      <c r="N1257" t="s">
        <v>46</v>
      </c>
      <c r="P1257" t="s">
        <v>61</v>
      </c>
      <c r="Q1257" t="s">
        <v>3210</v>
      </c>
      <c r="R1257">
        <v>42586.673159722224</v>
      </c>
      <c r="S1257">
        <v>42599.767048611109</v>
      </c>
      <c r="T1257" t="s">
        <v>317</v>
      </c>
      <c r="U1257" t="s">
        <v>35</v>
      </c>
      <c r="V1257" t="s">
        <v>35</v>
      </c>
      <c r="W1257" t="s">
        <v>4156</v>
      </c>
    </row>
    <row r="1258" spans="1:23" x14ac:dyDescent="0.25">
      <c r="A1258" t="s">
        <v>665</v>
      </c>
      <c r="B1258" s="19">
        <v>11690</v>
      </c>
      <c r="C1258" s="2">
        <f>HYPERLINK(URLs!B36 &amp; 87143,87143)</f>
        <v>87143</v>
      </c>
      <c r="D1258" t="s">
        <v>3211</v>
      </c>
      <c r="E1258" t="s">
        <v>72</v>
      </c>
      <c r="F1258" t="s">
        <v>305</v>
      </c>
      <c r="G1258" t="s">
        <v>337</v>
      </c>
      <c r="H1258" t="s">
        <v>30</v>
      </c>
      <c r="I1258" t="s">
        <v>68</v>
      </c>
      <c r="J1258" t="s">
        <v>43</v>
      </c>
      <c r="K1258" t="s">
        <v>33</v>
      </c>
      <c r="L1258" t="s">
        <v>73</v>
      </c>
      <c r="M1258" t="s">
        <v>263</v>
      </c>
      <c r="N1258" t="s">
        <v>46</v>
      </c>
      <c r="P1258" t="s">
        <v>61</v>
      </c>
      <c r="Q1258" t="s">
        <v>65</v>
      </c>
      <c r="R1258">
        <v>42586.673055555555</v>
      </c>
      <c r="S1258">
        <v>42823.8278587963</v>
      </c>
      <c r="T1258" t="s">
        <v>317</v>
      </c>
      <c r="U1258" t="s">
        <v>35</v>
      </c>
      <c r="V1258" t="s">
        <v>35</v>
      </c>
      <c r="W1258" t="s">
        <v>69</v>
      </c>
    </row>
    <row r="1259" spans="1:23" x14ac:dyDescent="0.25">
      <c r="A1259" t="s">
        <v>665</v>
      </c>
      <c r="B1259" s="19">
        <v>11690</v>
      </c>
      <c r="C1259" s="2">
        <f>HYPERLINK(URLs!B36 &amp; 87142,87142)</f>
        <v>87142</v>
      </c>
      <c r="D1259" t="s">
        <v>3209</v>
      </c>
      <c r="E1259" t="s">
        <v>72</v>
      </c>
      <c r="F1259" t="s">
        <v>305</v>
      </c>
      <c r="G1259" t="s">
        <v>337</v>
      </c>
      <c r="H1259" t="s">
        <v>30</v>
      </c>
      <c r="I1259" t="s">
        <v>68</v>
      </c>
      <c r="J1259" t="s">
        <v>43</v>
      </c>
      <c r="K1259" t="s">
        <v>33</v>
      </c>
      <c r="L1259" t="s">
        <v>73</v>
      </c>
      <c r="M1259" t="s">
        <v>263</v>
      </c>
      <c r="N1259" t="s">
        <v>46</v>
      </c>
      <c r="P1259" t="s">
        <v>61</v>
      </c>
      <c r="Q1259" t="s">
        <v>3210</v>
      </c>
      <c r="R1259">
        <v>42586.672962962963</v>
      </c>
      <c r="S1259">
        <v>42599.834351851852</v>
      </c>
      <c r="T1259" t="s">
        <v>317</v>
      </c>
      <c r="U1259" t="s">
        <v>35</v>
      </c>
      <c r="V1259" t="s">
        <v>35</v>
      </c>
      <c r="W1259" t="s">
        <v>133</v>
      </c>
    </row>
    <row r="1260" spans="1:23" x14ac:dyDescent="0.25">
      <c r="A1260" t="s">
        <v>665</v>
      </c>
      <c r="B1260" s="19">
        <v>11690</v>
      </c>
      <c r="C1260" s="2">
        <f>HYPERLINK(URLs!B36 &amp; 87008,87008)</f>
        <v>87008</v>
      </c>
      <c r="D1260" t="s">
        <v>81</v>
      </c>
      <c r="E1260" t="s">
        <v>82</v>
      </c>
      <c r="F1260" t="s">
        <v>42</v>
      </c>
      <c r="H1260" t="s">
        <v>30</v>
      </c>
      <c r="I1260" t="s">
        <v>68</v>
      </c>
      <c r="J1260" t="s">
        <v>43</v>
      </c>
      <c r="K1260" t="s">
        <v>33</v>
      </c>
      <c r="L1260" t="s">
        <v>73</v>
      </c>
      <c r="M1260" t="s">
        <v>263</v>
      </c>
      <c r="N1260" t="s">
        <v>46</v>
      </c>
      <c r="P1260" t="s">
        <v>61</v>
      </c>
      <c r="R1260">
        <v>42584.912349537037</v>
      </c>
      <c r="S1260">
        <v>42955.29451388889</v>
      </c>
      <c r="T1260" t="s">
        <v>1</v>
      </c>
      <c r="U1260" t="s">
        <v>35</v>
      </c>
      <c r="V1260" t="s">
        <v>35</v>
      </c>
      <c r="W1260" t="s">
        <v>4098</v>
      </c>
    </row>
    <row r="1261" spans="1:23" x14ac:dyDescent="0.25">
      <c r="A1261" t="s">
        <v>665</v>
      </c>
      <c r="B1261" s="19">
        <v>11702</v>
      </c>
      <c r="C1261" s="2">
        <f>HYPERLINK(URLs!B36 &amp; 86843,86843)</f>
        <v>86843</v>
      </c>
      <c r="D1261" t="s">
        <v>3201</v>
      </c>
      <c r="E1261" t="s">
        <v>3202</v>
      </c>
      <c r="F1261" t="s">
        <v>305</v>
      </c>
      <c r="G1261" t="s">
        <v>304</v>
      </c>
      <c r="H1261" t="s">
        <v>30</v>
      </c>
      <c r="I1261" t="s">
        <v>31</v>
      </c>
      <c r="J1261" t="s">
        <v>32</v>
      </c>
      <c r="K1261" t="s">
        <v>33</v>
      </c>
      <c r="L1261" t="s">
        <v>34</v>
      </c>
      <c r="M1261" t="s">
        <v>336</v>
      </c>
      <c r="N1261" t="s">
        <v>46</v>
      </c>
      <c r="P1261" t="s">
        <v>3203</v>
      </c>
      <c r="Q1261" t="s">
        <v>3204</v>
      </c>
      <c r="R1261">
        <v>42579.708784722221</v>
      </c>
      <c r="S1261">
        <v>43056.669988425929</v>
      </c>
      <c r="T1261" t="s">
        <v>39</v>
      </c>
      <c r="U1261" t="s">
        <v>35</v>
      </c>
      <c r="V1261" t="s">
        <v>321</v>
      </c>
      <c r="W1261" t="s">
        <v>3911</v>
      </c>
    </row>
    <row r="1262" spans="1:23" x14ac:dyDescent="0.25">
      <c r="A1262" t="s">
        <v>665</v>
      </c>
      <c r="B1262" s="19">
        <v>11710</v>
      </c>
      <c r="C1262" s="2">
        <f>HYPERLINK(URLs!B36 &amp; 105109,105109)</f>
        <v>105109</v>
      </c>
      <c r="D1262" t="s">
        <v>4212</v>
      </c>
      <c r="E1262" t="s">
        <v>1</v>
      </c>
      <c r="F1262" t="s">
        <v>305</v>
      </c>
      <c r="G1262" t="s">
        <v>337</v>
      </c>
      <c r="H1262" t="s">
        <v>54</v>
      </c>
      <c r="I1262" t="s">
        <v>31</v>
      </c>
      <c r="J1262" t="s">
        <v>43</v>
      </c>
      <c r="K1262" t="s">
        <v>44</v>
      </c>
      <c r="L1262" t="s">
        <v>34</v>
      </c>
      <c r="M1262" t="s">
        <v>266</v>
      </c>
      <c r="N1262" t="s">
        <v>518</v>
      </c>
      <c r="P1262" t="s">
        <v>69</v>
      </c>
      <c r="Q1262" t="s">
        <v>89</v>
      </c>
      <c r="R1262">
        <v>43001.880358796298</v>
      </c>
      <c r="S1262">
        <v>43227.939988425926</v>
      </c>
      <c r="T1262" t="s">
        <v>53</v>
      </c>
      <c r="U1262" t="s">
        <v>35</v>
      </c>
      <c r="V1262" t="s">
        <v>35</v>
      </c>
      <c r="W1262" t="s">
        <v>307</v>
      </c>
    </row>
    <row r="1263" spans="1:23" x14ac:dyDescent="0.25">
      <c r="A1263" t="s">
        <v>665</v>
      </c>
      <c r="B1263" s="19">
        <v>11710</v>
      </c>
      <c r="C1263" s="2">
        <f>HYPERLINK(URLs!B36 &amp; 103241,103241)</f>
        <v>103241</v>
      </c>
      <c r="D1263" t="s">
        <v>566</v>
      </c>
      <c r="E1263" t="s">
        <v>175</v>
      </c>
      <c r="F1263" t="s">
        <v>305</v>
      </c>
      <c r="G1263" t="s">
        <v>310</v>
      </c>
      <c r="H1263" t="s">
        <v>30</v>
      </c>
      <c r="I1263" t="s">
        <v>31</v>
      </c>
      <c r="J1263" t="s">
        <v>43</v>
      </c>
      <c r="K1263" t="s">
        <v>51</v>
      </c>
      <c r="L1263" t="s">
        <v>34</v>
      </c>
      <c r="M1263" t="s">
        <v>266</v>
      </c>
      <c r="N1263" t="s">
        <v>518</v>
      </c>
      <c r="P1263" t="s">
        <v>69</v>
      </c>
      <c r="Q1263" t="s">
        <v>89</v>
      </c>
      <c r="R1263">
        <v>42950.988506944443</v>
      </c>
      <c r="S1263">
        <v>43192.157210648147</v>
      </c>
      <c r="T1263" t="s">
        <v>53</v>
      </c>
      <c r="U1263" t="s">
        <v>35</v>
      </c>
      <c r="V1263" t="s">
        <v>35</v>
      </c>
      <c r="W1263" t="s">
        <v>4167</v>
      </c>
    </row>
    <row r="1264" spans="1:23" x14ac:dyDescent="0.25">
      <c r="A1264" t="s">
        <v>665</v>
      </c>
      <c r="B1264" s="19">
        <v>11710</v>
      </c>
      <c r="C1264" s="2">
        <f>HYPERLINK(URLs!B36 &amp; 91210,91210)</f>
        <v>91210</v>
      </c>
      <c r="D1264" t="s">
        <v>3314</v>
      </c>
      <c r="E1264" t="s">
        <v>88</v>
      </c>
      <c r="F1264" t="s">
        <v>305</v>
      </c>
      <c r="G1264" t="s">
        <v>353</v>
      </c>
      <c r="H1264" t="s">
        <v>30</v>
      </c>
      <c r="I1264" t="s">
        <v>31</v>
      </c>
      <c r="J1264" t="s">
        <v>43</v>
      </c>
      <c r="K1264" t="s">
        <v>44</v>
      </c>
      <c r="L1264" t="s">
        <v>2529</v>
      </c>
      <c r="M1264" t="s">
        <v>266</v>
      </c>
      <c r="N1264" t="s">
        <v>60</v>
      </c>
      <c r="P1264" t="s">
        <v>75</v>
      </c>
      <c r="R1264">
        <v>42667.854502314818</v>
      </c>
      <c r="S1264">
        <v>42800.71056712963</v>
      </c>
      <c r="T1264" t="s">
        <v>288</v>
      </c>
      <c r="U1264" t="s">
        <v>3995</v>
      </c>
      <c r="V1264" t="s">
        <v>35</v>
      </c>
      <c r="W1264" t="s">
        <v>133</v>
      </c>
    </row>
    <row r="1265" spans="1:23" x14ac:dyDescent="0.25">
      <c r="A1265" t="s">
        <v>665</v>
      </c>
      <c r="B1265" s="19">
        <v>11710</v>
      </c>
      <c r="C1265" s="2">
        <f>HYPERLINK(URLs!B36 &amp; 90816,90816)</f>
        <v>90816</v>
      </c>
      <c r="D1265" t="s">
        <v>3310</v>
      </c>
      <c r="E1265" t="s">
        <v>88</v>
      </c>
      <c r="F1265" t="s">
        <v>305</v>
      </c>
      <c r="G1265" t="s">
        <v>304</v>
      </c>
      <c r="H1265" t="s">
        <v>30</v>
      </c>
      <c r="I1265" t="s">
        <v>31</v>
      </c>
      <c r="J1265" t="s">
        <v>43</v>
      </c>
      <c r="K1265" t="s">
        <v>44</v>
      </c>
      <c r="L1265" t="s">
        <v>2529</v>
      </c>
      <c r="M1265" t="s">
        <v>266</v>
      </c>
      <c r="N1265" t="s">
        <v>46</v>
      </c>
      <c r="P1265" t="s">
        <v>75</v>
      </c>
      <c r="Q1265" t="s">
        <v>65</v>
      </c>
      <c r="R1265">
        <v>42660.83421296296</v>
      </c>
      <c r="S1265">
        <v>43242.153773148151</v>
      </c>
      <c r="T1265" t="s">
        <v>1</v>
      </c>
      <c r="U1265" t="s">
        <v>35</v>
      </c>
      <c r="V1265" t="s">
        <v>35</v>
      </c>
      <c r="W1265" t="s">
        <v>4098</v>
      </c>
    </row>
    <row r="1266" spans="1:23" x14ac:dyDescent="0.25">
      <c r="A1266" t="s">
        <v>665</v>
      </c>
      <c r="B1266" s="19">
        <v>11710</v>
      </c>
      <c r="C1266" s="2">
        <f>HYPERLINK(URLs!B36 &amp; 88622,88622)</f>
        <v>88622</v>
      </c>
      <c r="D1266" t="s">
        <v>517</v>
      </c>
      <c r="E1266" t="s">
        <v>3313</v>
      </c>
      <c r="F1266" t="s">
        <v>29</v>
      </c>
      <c r="H1266" t="s">
        <v>54</v>
      </c>
      <c r="I1266" t="s">
        <v>31</v>
      </c>
      <c r="J1266" t="s">
        <v>43</v>
      </c>
      <c r="K1266" t="s">
        <v>44</v>
      </c>
      <c r="L1266" t="s">
        <v>34</v>
      </c>
      <c r="M1266" t="s">
        <v>266</v>
      </c>
      <c r="N1266" t="s">
        <v>518</v>
      </c>
      <c r="O1266" t="s">
        <v>533</v>
      </c>
      <c r="P1266" t="s">
        <v>77</v>
      </c>
      <c r="Q1266" t="s">
        <v>519</v>
      </c>
      <c r="R1266">
        <v>42619.871724537035</v>
      </c>
      <c r="S1266">
        <v>43307.703530092593</v>
      </c>
      <c r="T1266" t="s">
        <v>53</v>
      </c>
      <c r="U1266" t="s">
        <v>35</v>
      </c>
      <c r="V1266" t="s">
        <v>35</v>
      </c>
      <c r="W1266" t="s">
        <v>4143</v>
      </c>
    </row>
    <row r="1267" spans="1:23" x14ac:dyDescent="0.25">
      <c r="A1267" t="s">
        <v>665</v>
      </c>
      <c r="B1267" s="19">
        <v>11710</v>
      </c>
      <c r="C1267" s="2">
        <f>HYPERLINK(URLs!B36 &amp; 88457,88457)</f>
        <v>88457</v>
      </c>
      <c r="D1267" t="s">
        <v>3249</v>
      </c>
      <c r="E1267" t="s">
        <v>88</v>
      </c>
      <c r="F1267" t="s">
        <v>305</v>
      </c>
      <c r="G1267" t="s">
        <v>337</v>
      </c>
      <c r="H1267" t="s">
        <v>54</v>
      </c>
      <c r="I1267" t="s">
        <v>31</v>
      </c>
      <c r="J1267" t="s">
        <v>43</v>
      </c>
      <c r="K1267" t="s">
        <v>44</v>
      </c>
      <c r="L1267" t="s">
        <v>34</v>
      </c>
      <c r="M1267" t="s">
        <v>266</v>
      </c>
      <c r="N1267" t="s">
        <v>3250</v>
      </c>
      <c r="O1267" t="s">
        <v>533</v>
      </c>
      <c r="P1267" t="s">
        <v>77</v>
      </c>
      <c r="Q1267" t="s">
        <v>519</v>
      </c>
      <c r="R1267">
        <v>42614.564895833333</v>
      </c>
      <c r="S1267">
        <v>42969.48096064815</v>
      </c>
      <c r="T1267" t="s">
        <v>288</v>
      </c>
      <c r="U1267" t="s">
        <v>35</v>
      </c>
      <c r="V1267" t="s">
        <v>35</v>
      </c>
      <c r="W1267" t="s">
        <v>69</v>
      </c>
    </row>
    <row r="1268" spans="1:23" x14ac:dyDescent="0.25">
      <c r="A1268" t="s">
        <v>665</v>
      </c>
      <c r="B1268" s="19">
        <v>11710</v>
      </c>
      <c r="C1268" s="2">
        <f>HYPERLINK(URLs!B36 &amp; 88456,88456)</f>
        <v>88456</v>
      </c>
      <c r="D1268" t="s">
        <v>3247</v>
      </c>
      <c r="E1268" t="s">
        <v>88</v>
      </c>
      <c r="F1268" t="s">
        <v>305</v>
      </c>
      <c r="G1268" t="s">
        <v>337</v>
      </c>
      <c r="H1268" t="s">
        <v>54</v>
      </c>
      <c r="I1268" t="s">
        <v>31</v>
      </c>
      <c r="J1268" t="s">
        <v>43</v>
      </c>
      <c r="K1268" t="s">
        <v>44</v>
      </c>
      <c r="L1268" t="s">
        <v>2529</v>
      </c>
      <c r="M1268" t="s">
        <v>266</v>
      </c>
      <c r="N1268" t="s">
        <v>60</v>
      </c>
      <c r="P1268" t="s">
        <v>77</v>
      </c>
      <c r="Q1268" t="s">
        <v>3248</v>
      </c>
      <c r="R1268">
        <v>42614.562638888892</v>
      </c>
      <c r="S1268">
        <v>42828.90084490741</v>
      </c>
      <c r="T1268" t="s">
        <v>288</v>
      </c>
      <c r="U1268" t="s">
        <v>35</v>
      </c>
      <c r="V1268" t="s">
        <v>35</v>
      </c>
      <c r="W1268" t="s">
        <v>133</v>
      </c>
    </row>
    <row r="1269" spans="1:23" x14ac:dyDescent="0.25">
      <c r="A1269" t="s">
        <v>665</v>
      </c>
      <c r="B1269" s="19">
        <v>11710</v>
      </c>
      <c r="C1269" s="2">
        <f>HYPERLINK(URLs!B36 &amp; 88455,88455)</f>
        <v>88455</v>
      </c>
      <c r="D1269" t="s">
        <v>516</v>
      </c>
      <c r="E1269" t="s">
        <v>175</v>
      </c>
      <c r="F1269" t="s">
        <v>305</v>
      </c>
      <c r="G1269" t="s">
        <v>310</v>
      </c>
      <c r="H1269" t="s">
        <v>30</v>
      </c>
      <c r="I1269" t="s">
        <v>31</v>
      </c>
      <c r="J1269" t="s">
        <v>43</v>
      </c>
      <c r="K1269" t="s">
        <v>44</v>
      </c>
      <c r="L1269" t="s">
        <v>34</v>
      </c>
      <c r="M1269" t="s">
        <v>266</v>
      </c>
      <c r="N1269" t="s">
        <v>60</v>
      </c>
      <c r="P1269" t="s">
        <v>77</v>
      </c>
      <c r="Q1269" t="s">
        <v>65</v>
      </c>
      <c r="R1269">
        <v>42614.562615740739</v>
      </c>
      <c r="S1269">
        <v>43192.157048611109</v>
      </c>
      <c r="T1269" t="s">
        <v>288</v>
      </c>
      <c r="U1269" t="s">
        <v>35</v>
      </c>
      <c r="V1269" t="s">
        <v>35</v>
      </c>
      <c r="W1269" t="s">
        <v>4156</v>
      </c>
    </row>
    <row r="1270" spans="1:23" x14ac:dyDescent="0.25">
      <c r="A1270" t="s">
        <v>665</v>
      </c>
      <c r="B1270" s="19">
        <v>11710</v>
      </c>
      <c r="C1270" s="2">
        <f>HYPERLINK(URLs!B36 &amp; 87236,87236)</f>
        <v>87236</v>
      </c>
      <c r="D1270" t="s">
        <v>87</v>
      </c>
      <c r="E1270" t="s">
        <v>3313</v>
      </c>
      <c r="F1270" t="s">
        <v>29</v>
      </c>
      <c r="H1270" t="s">
        <v>30</v>
      </c>
      <c r="I1270" t="s">
        <v>31</v>
      </c>
      <c r="J1270" t="s">
        <v>43</v>
      </c>
      <c r="K1270" t="s">
        <v>51</v>
      </c>
      <c r="L1270" t="s">
        <v>34</v>
      </c>
      <c r="M1270" t="s">
        <v>266</v>
      </c>
      <c r="N1270" t="s">
        <v>60</v>
      </c>
      <c r="O1270" t="s">
        <v>4917</v>
      </c>
      <c r="P1270" t="s">
        <v>69</v>
      </c>
      <c r="Q1270" t="s">
        <v>89</v>
      </c>
      <c r="R1270">
        <v>42587.846736111111</v>
      </c>
      <c r="S1270">
        <v>43395.73097222222</v>
      </c>
      <c r="T1270" t="s">
        <v>3</v>
      </c>
      <c r="U1270" t="s">
        <v>35</v>
      </c>
      <c r="V1270" t="s">
        <v>35</v>
      </c>
      <c r="W1270" t="s">
        <v>4098</v>
      </c>
    </row>
    <row r="1271" spans="1:23" x14ac:dyDescent="0.25">
      <c r="A1271" t="s">
        <v>665</v>
      </c>
      <c r="B1271" s="19">
        <v>11730</v>
      </c>
      <c r="C1271" s="2">
        <f>HYPERLINK(URLs!B36 &amp; 104590,104590)</f>
        <v>104590</v>
      </c>
      <c r="D1271" t="s">
        <v>3699</v>
      </c>
      <c r="E1271" t="s">
        <v>514</v>
      </c>
      <c r="F1271" t="s">
        <v>319</v>
      </c>
      <c r="G1271" t="s">
        <v>304</v>
      </c>
      <c r="H1271" t="s">
        <v>116</v>
      </c>
      <c r="I1271" t="s">
        <v>31</v>
      </c>
      <c r="J1271" t="s">
        <v>43</v>
      </c>
      <c r="K1271" t="s">
        <v>51</v>
      </c>
      <c r="L1271" t="s">
        <v>73</v>
      </c>
      <c r="M1271" t="s">
        <v>263</v>
      </c>
      <c r="N1271" t="s">
        <v>3513</v>
      </c>
      <c r="P1271" t="s">
        <v>85</v>
      </c>
      <c r="Q1271" t="s">
        <v>85</v>
      </c>
      <c r="R1271">
        <v>42990.564155092594</v>
      </c>
      <c r="S1271">
        <v>43315.580671296295</v>
      </c>
      <c r="T1271" t="s">
        <v>514</v>
      </c>
      <c r="U1271" t="s">
        <v>4003</v>
      </c>
      <c r="V1271" t="s">
        <v>35</v>
      </c>
      <c r="W1271" t="s">
        <v>4171</v>
      </c>
    </row>
    <row r="1272" spans="1:23" x14ac:dyDescent="0.25">
      <c r="A1272" t="s">
        <v>665</v>
      </c>
      <c r="B1272" s="19">
        <v>11730</v>
      </c>
      <c r="C1272" s="2">
        <f>HYPERLINK(URLs!B36 &amp; 104100,104100)</f>
        <v>104100</v>
      </c>
      <c r="D1272" t="s">
        <v>3681</v>
      </c>
      <c r="E1272" t="s">
        <v>514</v>
      </c>
      <c r="F1272" t="s">
        <v>305</v>
      </c>
      <c r="G1272" t="s">
        <v>337</v>
      </c>
      <c r="H1272" t="s">
        <v>30</v>
      </c>
      <c r="I1272" t="s">
        <v>31</v>
      </c>
      <c r="J1272" t="s">
        <v>43</v>
      </c>
      <c r="K1272" t="s">
        <v>51</v>
      </c>
      <c r="L1272" t="s">
        <v>73</v>
      </c>
      <c r="M1272" t="s">
        <v>263</v>
      </c>
      <c r="N1272" t="s">
        <v>46</v>
      </c>
      <c r="O1272" t="s">
        <v>3682</v>
      </c>
      <c r="P1272" t="s">
        <v>85</v>
      </c>
      <c r="Q1272" t="s">
        <v>85</v>
      </c>
      <c r="R1272">
        <v>42977.246400462966</v>
      </c>
      <c r="S1272">
        <v>43215.979224537034</v>
      </c>
      <c r="T1272" t="s">
        <v>91</v>
      </c>
      <c r="U1272" t="s">
        <v>35</v>
      </c>
      <c r="V1272" t="s">
        <v>35</v>
      </c>
      <c r="W1272" t="s">
        <v>4160</v>
      </c>
    </row>
    <row r="1273" spans="1:23" x14ac:dyDescent="0.25">
      <c r="A1273" t="s">
        <v>665</v>
      </c>
      <c r="B1273" s="19">
        <v>11730</v>
      </c>
      <c r="C1273" s="2">
        <f>HYPERLINK(URLs!B36 &amp; 103155,103155)</f>
        <v>103155</v>
      </c>
      <c r="D1273" t="s">
        <v>3659</v>
      </c>
      <c r="E1273" t="s">
        <v>84</v>
      </c>
      <c r="F1273" t="s">
        <v>305</v>
      </c>
      <c r="G1273" t="s">
        <v>304</v>
      </c>
      <c r="H1273" t="s">
        <v>30</v>
      </c>
      <c r="I1273" t="s">
        <v>31</v>
      </c>
      <c r="J1273" t="s">
        <v>43</v>
      </c>
      <c r="K1273" t="s">
        <v>51</v>
      </c>
      <c r="L1273" t="s">
        <v>73</v>
      </c>
      <c r="M1273" t="s">
        <v>263</v>
      </c>
      <c r="N1273" t="s">
        <v>46</v>
      </c>
      <c r="O1273" t="s">
        <v>2895</v>
      </c>
      <c r="P1273" t="s">
        <v>85</v>
      </c>
      <c r="Q1273" t="s">
        <v>85</v>
      </c>
      <c r="R1273">
        <v>42949.502465277779</v>
      </c>
      <c r="S1273">
        <v>43215.975405092591</v>
      </c>
      <c r="T1273" t="s">
        <v>84</v>
      </c>
      <c r="U1273" t="s">
        <v>35</v>
      </c>
      <c r="V1273" t="s">
        <v>35</v>
      </c>
      <c r="W1273" t="s">
        <v>3661</v>
      </c>
    </row>
    <row r="1274" spans="1:23" x14ac:dyDescent="0.25">
      <c r="A1274" t="s">
        <v>665</v>
      </c>
      <c r="B1274" s="19">
        <v>11730</v>
      </c>
      <c r="C1274" s="2">
        <f>HYPERLINK(URLs!B36 &amp; 102533,102533)</f>
        <v>102533</v>
      </c>
      <c r="D1274" t="s">
        <v>3643</v>
      </c>
      <c r="E1274" t="s">
        <v>84</v>
      </c>
      <c r="F1274" t="s">
        <v>305</v>
      </c>
      <c r="G1274" t="s">
        <v>337</v>
      </c>
      <c r="H1274" t="s">
        <v>30</v>
      </c>
      <c r="I1274" t="s">
        <v>31</v>
      </c>
      <c r="J1274" t="s">
        <v>43</v>
      </c>
      <c r="K1274" t="s">
        <v>51</v>
      </c>
      <c r="L1274" t="s">
        <v>73</v>
      </c>
      <c r="M1274" t="s">
        <v>263</v>
      </c>
      <c r="N1274" t="s">
        <v>46</v>
      </c>
      <c r="O1274" t="s">
        <v>3604</v>
      </c>
      <c r="P1274" t="s">
        <v>85</v>
      </c>
      <c r="Q1274" t="s">
        <v>85</v>
      </c>
      <c r="R1274">
        <v>42935.531145833331</v>
      </c>
      <c r="S1274">
        <v>42996.460312499999</v>
      </c>
      <c r="T1274" t="s">
        <v>84</v>
      </c>
      <c r="U1274" t="s">
        <v>35</v>
      </c>
      <c r="V1274" t="s">
        <v>35</v>
      </c>
      <c r="W1274" t="s">
        <v>4170</v>
      </c>
    </row>
    <row r="1275" spans="1:23" x14ac:dyDescent="0.25">
      <c r="A1275" t="s">
        <v>665</v>
      </c>
      <c r="B1275" s="19">
        <v>11730</v>
      </c>
      <c r="C1275" s="2">
        <f>HYPERLINK(URLs!B36 &amp; 99929,99929)</f>
        <v>99929</v>
      </c>
      <c r="D1275" t="s">
        <v>3580</v>
      </c>
      <c r="E1275" t="s">
        <v>84</v>
      </c>
      <c r="F1275" t="s">
        <v>305</v>
      </c>
      <c r="G1275" t="s">
        <v>304</v>
      </c>
      <c r="H1275" t="s">
        <v>30</v>
      </c>
      <c r="I1275" t="s">
        <v>31</v>
      </c>
      <c r="J1275" t="s">
        <v>43</v>
      </c>
      <c r="K1275" t="s">
        <v>51</v>
      </c>
      <c r="L1275" t="s">
        <v>73</v>
      </c>
      <c r="M1275" t="s">
        <v>263</v>
      </c>
      <c r="N1275" t="s">
        <v>46</v>
      </c>
      <c r="O1275" t="s">
        <v>3581</v>
      </c>
      <c r="P1275" t="s">
        <v>85</v>
      </c>
      <c r="Q1275" t="s">
        <v>85</v>
      </c>
      <c r="R1275">
        <v>42879.597291666665</v>
      </c>
      <c r="S1275">
        <v>42929.125092592592</v>
      </c>
      <c r="T1275" t="s">
        <v>3579</v>
      </c>
      <c r="U1275" t="s">
        <v>35</v>
      </c>
      <c r="V1275" t="s">
        <v>35</v>
      </c>
      <c r="W1275" t="s">
        <v>449</v>
      </c>
    </row>
    <row r="1276" spans="1:23" x14ac:dyDescent="0.25">
      <c r="A1276" t="s">
        <v>665</v>
      </c>
      <c r="B1276" s="19">
        <v>11730</v>
      </c>
      <c r="C1276" s="2">
        <f>HYPERLINK(URLs!B36 &amp; 99657,99657)</f>
        <v>99657</v>
      </c>
      <c r="D1276" t="s">
        <v>3569</v>
      </c>
      <c r="E1276" t="s">
        <v>514</v>
      </c>
      <c r="F1276" t="s">
        <v>305</v>
      </c>
      <c r="G1276" t="s">
        <v>304</v>
      </c>
      <c r="H1276" t="s">
        <v>54</v>
      </c>
      <c r="I1276" t="s">
        <v>31</v>
      </c>
      <c r="J1276" t="s">
        <v>43</v>
      </c>
      <c r="K1276" t="s">
        <v>44</v>
      </c>
      <c r="L1276" t="s">
        <v>73</v>
      </c>
      <c r="M1276" t="s">
        <v>263</v>
      </c>
      <c r="N1276" t="s">
        <v>3549</v>
      </c>
      <c r="P1276" t="s">
        <v>85</v>
      </c>
      <c r="Q1276" t="s">
        <v>85</v>
      </c>
      <c r="R1276">
        <v>42873.334247685183</v>
      </c>
      <c r="S1276">
        <v>43214.207407407404</v>
      </c>
      <c r="T1276" t="s">
        <v>84</v>
      </c>
      <c r="U1276" t="s">
        <v>4008</v>
      </c>
      <c r="V1276" t="s">
        <v>35</v>
      </c>
      <c r="W1276" t="s">
        <v>307</v>
      </c>
    </row>
    <row r="1277" spans="1:23" x14ac:dyDescent="0.25">
      <c r="A1277" t="s">
        <v>665</v>
      </c>
      <c r="B1277" s="19">
        <v>11730</v>
      </c>
      <c r="C1277" s="2">
        <f>HYPERLINK(URLs!B36 &amp; 91401,91401)</f>
        <v>91401</v>
      </c>
      <c r="D1277" t="s">
        <v>3316</v>
      </c>
      <c r="E1277" t="s">
        <v>84</v>
      </c>
      <c r="F1277" t="s">
        <v>305</v>
      </c>
      <c r="G1277" t="s">
        <v>304</v>
      </c>
      <c r="H1277" t="s">
        <v>30</v>
      </c>
      <c r="I1277" t="s">
        <v>31</v>
      </c>
      <c r="J1277" t="s">
        <v>43</v>
      </c>
      <c r="K1277" t="s">
        <v>51</v>
      </c>
      <c r="L1277" t="s">
        <v>73</v>
      </c>
      <c r="M1277" t="s">
        <v>263</v>
      </c>
      <c r="N1277" t="s">
        <v>3317</v>
      </c>
      <c r="P1277" t="s">
        <v>85</v>
      </c>
      <c r="Q1277" t="s">
        <v>85</v>
      </c>
      <c r="R1277">
        <v>42670.209930555553</v>
      </c>
      <c r="S1277">
        <v>43207.451006944444</v>
      </c>
      <c r="T1277" t="s">
        <v>72</v>
      </c>
      <c r="U1277" t="s">
        <v>35</v>
      </c>
      <c r="V1277" t="s">
        <v>35</v>
      </c>
      <c r="W1277" t="s">
        <v>3555</v>
      </c>
    </row>
    <row r="1278" spans="1:23" x14ac:dyDescent="0.25">
      <c r="A1278" t="s">
        <v>665</v>
      </c>
      <c r="B1278" s="19">
        <v>11730</v>
      </c>
      <c r="C1278" s="2">
        <f>HYPERLINK(URLs!B36 &amp; 87140,87140)</f>
        <v>87140</v>
      </c>
      <c r="D1278" t="s">
        <v>513</v>
      </c>
      <c r="E1278" t="s">
        <v>514</v>
      </c>
      <c r="F1278" t="s">
        <v>305</v>
      </c>
      <c r="G1278" t="s">
        <v>337</v>
      </c>
      <c r="H1278" t="s">
        <v>54</v>
      </c>
      <c r="I1278" t="s">
        <v>68</v>
      </c>
      <c r="J1278" t="s">
        <v>43</v>
      </c>
      <c r="K1278" t="s">
        <v>33</v>
      </c>
      <c r="L1278" t="s">
        <v>73</v>
      </c>
      <c r="M1278" t="s">
        <v>263</v>
      </c>
      <c r="N1278" t="s">
        <v>60</v>
      </c>
      <c r="O1278" t="s">
        <v>515</v>
      </c>
      <c r="P1278" t="s">
        <v>85</v>
      </c>
      <c r="Q1278" t="s">
        <v>3708</v>
      </c>
      <c r="R1278">
        <v>42586.671087962961</v>
      </c>
      <c r="S1278">
        <v>43423.872465277775</v>
      </c>
      <c r="T1278" t="s">
        <v>317</v>
      </c>
      <c r="U1278" t="s">
        <v>35</v>
      </c>
      <c r="V1278" t="s">
        <v>35</v>
      </c>
      <c r="W1278" t="s">
        <v>4158</v>
      </c>
    </row>
    <row r="1279" spans="1:23" x14ac:dyDescent="0.25">
      <c r="A1279" t="s">
        <v>665</v>
      </c>
      <c r="B1279" s="19">
        <v>11730</v>
      </c>
      <c r="C1279" s="2">
        <f>HYPERLINK(URLs!B36 &amp; 87060,87060)</f>
        <v>87060</v>
      </c>
      <c r="D1279" t="s">
        <v>83</v>
      </c>
      <c r="E1279" t="s">
        <v>84</v>
      </c>
      <c r="F1279" t="s">
        <v>319</v>
      </c>
      <c r="G1279" t="s">
        <v>304</v>
      </c>
      <c r="H1279" t="s">
        <v>30</v>
      </c>
      <c r="I1279" t="s">
        <v>31</v>
      </c>
      <c r="J1279" t="s">
        <v>43</v>
      </c>
      <c r="K1279" t="s">
        <v>51</v>
      </c>
      <c r="L1279" t="s">
        <v>73</v>
      </c>
      <c r="M1279" t="s">
        <v>263</v>
      </c>
      <c r="N1279" t="s">
        <v>46</v>
      </c>
      <c r="P1279" t="s">
        <v>85</v>
      </c>
      <c r="Q1279" t="s">
        <v>85</v>
      </c>
      <c r="R1279">
        <v>42585.667581018519</v>
      </c>
      <c r="S1279">
        <v>43423.928773148145</v>
      </c>
      <c r="T1279" t="s">
        <v>86</v>
      </c>
      <c r="U1279" t="s">
        <v>35</v>
      </c>
      <c r="V1279" t="s">
        <v>35</v>
      </c>
      <c r="W1279" t="s">
        <v>4098</v>
      </c>
    </row>
    <row r="1280" spans="1:23" x14ac:dyDescent="0.25">
      <c r="A1280" t="s">
        <v>633</v>
      </c>
      <c r="B1280" s="19">
        <v>11767</v>
      </c>
      <c r="C1280" s="2">
        <f>HYPERLINK(URLs!B36 &amp; 87987,87987)</f>
        <v>87987</v>
      </c>
      <c r="D1280" t="s">
        <v>3905</v>
      </c>
      <c r="E1280" t="s">
        <v>371</v>
      </c>
      <c r="F1280" t="s">
        <v>305</v>
      </c>
      <c r="G1280" t="s">
        <v>353</v>
      </c>
      <c r="H1280" t="s">
        <v>30</v>
      </c>
      <c r="I1280" t="s">
        <v>57</v>
      </c>
      <c r="J1280" t="s">
        <v>58</v>
      </c>
      <c r="K1280" t="s">
        <v>33</v>
      </c>
      <c r="L1280" t="s">
        <v>34</v>
      </c>
      <c r="M1280" t="s">
        <v>368</v>
      </c>
      <c r="N1280" t="s">
        <v>46</v>
      </c>
      <c r="P1280" t="s">
        <v>2216</v>
      </c>
      <c r="Q1280" t="s">
        <v>3509</v>
      </c>
      <c r="R1280">
        <v>42605.533310185187</v>
      </c>
      <c r="S1280">
        <v>42916.290949074071</v>
      </c>
      <c r="T1280" t="s">
        <v>2387</v>
      </c>
      <c r="U1280" t="s">
        <v>35</v>
      </c>
      <c r="V1280" t="s">
        <v>35</v>
      </c>
      <c r="W1280" t="s">
        <v>4126</v>
      </c>
    </row>
    <row r="1281" spans="1:23" x14ac:dyDescent="0.25">
      <c r="A1281" t="s">
        <v>633</v>
      </c>
      <c r="B1281" s="19">
        <v>11774</v>
      </c>
      <c r="C1281" s="2">
        <f>HYPERLINK(URLs!B36 &amp; 87684,87684)</f>
        <v>87684</v>
      </c>
      <c r="D1281" t="s">
        <v>3228</v>
      </c>
      <c r="E1281" t="s">
        <v>1</v>
      </c>
      <c r="F1281" t="s">
        <v>305</v>
      </c>
      <c r="G1281" t="s">
        <v>1621</v>
      </c>
      <c r="H1281" t="s">
        <v>30</v>
      </c>
      <c r="I1281" t="s">
        <v>31</v>
      </c>
      <c r="J1281" t="s">
        <v>32</v>
      </c>
      <c r="K1281" t="s">
        <v>33</v>
      </c>
      <c r="L1281" t="s">
        <v>34</v>
      </c>
      <c r="M1281" t="s">
        <v>2691</v>
      </c>
      <c r="N1281" t="s">
        <v>60</v>
      </c>
      <c r="P1281" t="s">
        <v>75</v>
      </c>
      <c r="Q1281" t="s">
        <v>3229</v>
      </c>
      <c r="R1281">
        <v>42599.025659722225</v>
      </c>
      <c r="S1281">
        <v>43171.783726851849</v>
      </c>
      <c r="T1281" t="s">
        <v>4</v>
      </c>
      <c r="U1281" t="s">
        <v>35</v>
      </c>
      <c r="V1281" t="s">
        <v>321</v>
      </c>
      <c r="W1281" t="s">
        <v>4126</v>
      </c>
    </row>
    <row r="1282" spans="1:23" x14ac:dyDescent="0.25">
      <c r="A1282" t="s">
        <v>633</v>
      </c>
      <c r="B1282" s="19">
        <v>11800</v>
      </c>
      <c r="C1282" s="2">
        <f>HYPERLINK(URLs!B36 &amp; 100824,100824)</f>
        <v>100824</v>
      </c>
      <c r="D1282" t="s">
        <v>4814</v>
      </c>
      <c r="E1282" t="s">
        <v>376</v>
      </c>
      <c r="F1282" t="s">
        <v>67</v>
      </c>
      <c r="H1282" t="s">
        <v>30</v>
      </c>
      <c r="I1282" t="s">
        <v>57</v>
      </c>
      <c r="J1282" t="s">
        <v>58</v>
      </c>
      <c r="K1282" t="s">
        <v>33</v>
      </c>
      <c r="L1282" t="s">
        <v>34</v>
      </c>
      <c r="M1282" t="s">
        <v>4815</v>
      </c>
      <c r="N1282" t="s">
        <v>46</v>
      </c>
      <c r="O1282" t="s">
        <v>4816</v>
      </c>
      <c r="P1282" t="s">
        <v>3187</v>
      </c>
      <c r="R1282">
        <v>42899.423194444447</v>
      </c>
      <c r="S1282">
        <v>43369.706238425926</v>
      </c>
      <c r="T1282" t="s">
        <v>4817</v>
      </c>
      <c r="U1282" t="s">
        <v>35</v>
      </c>
      <c r="V1282" t="s">
        <v>35</v>
      </c>
      <c r="W1282" t="s">
        <v>4143</v>
      </c>
    </row>
    <row r="1283" spans="1:23" x14ac:dyDescent="0.25">
      <c r="A1283" t="s">
        <v>633</v>
      </c>
      <c r="B1283" s="19">
        <v>11820</v>
      </c>
      <c r="C1283" s="2">
        <f>HYPERLINK(URLs!B36 &amp; 88797,88797)</f>
        <v>88797</v>
      </c>
      <c r="D1283" t="s">
        <v>3266</v>
      </c>
      <c r="E1283" t="s">
        <v>387</v>
      </c>
      <c r="F1283" t="s">
        <v>305</v>
      </c>
      <c r="G1283" t="s">
        <v>310</v>
      </c>
      <c r="H1283" t="s">
        <v>30</v>
      </c>
      <c r="I1283" t="s">
        <v>31</v>
      </c>
      <c r="J1283" t="s">
        <v>43</v>
      </c>
      <c r="K1283" t="s">
        <v>44</v>
      </c>
      <c r="L1283" t="s">
        <v>45</v>
      </c>
      <c r="M1283" t="s">
        <v>260</v>
      </c>
      <c r="N1283" t="s">
        <v>60</v>
      </c>
      <c r="P1283" t="s">
        <v>61</v>
      </c>
      <c r="Q1283" t="s">
        <v>3229</v>
      </c>
      <c r="R1283">
        <v>42622.441087962965</v>
      </c>
      <c r="S1283">
        <v>42803.621990740743</v>
      </c>
      <c r="T1283" t="s">
        <v>387</v>
      </c>
      <c r="U1283" t="s">
        <v>35</v>
      </c>
      <c r="V1283" t="s">
        <v>35</v>
      </c>
      <c r="W1283" t="s">
        <v>69</v>
      </c>
    </row>
    <row r="1284" spans="1:23" x14ac:dyDescent="0.25">
      <c r="A1284" t="s">
        <v>633</v>
      </c>
      <c r="B1284" s="19">
        <v>11820</v>
      </c>
      <c r="C1284" s="2">
        <f>HYPERLINK(URLs!B36 &amp; 88796,88796)</f>
        <v>88796</v>
      </c>
      <c r="D1284" t="s">
        <v>3265</v>
      </c>
      <c r="E1284" t="s">
        <v>387</v>
      </c>
      <c r="F1284" t="s">
        <v>305</v>
      </c>
      <c r="G1284" t="s">
        <v>310</v>
      </c>
      <c r="H1284" t="s">
        <v>30</v>
      </c>
      <c r="I1284" t="s">
        <v>31</v>
      </c>
      <c r="J1284" t="s">
        <v>43</v>
      </c>
      <c r="K1284" t="s">
        <v>44</v>
      </c>
      <c r="L1284" t="s">
        <v>45</v>
      </c>
      <c r="M1284" t="s">
        <v>260</v>
      </c>
      <c r="N1284" t="s">
        <v>60</v>
      </c>
      <c r="P1284" t="s">
        <v>61</v>
      </c>
      <c r="Q1284" t="s">
        <v>394</v>
      </c>
      <c r="R1284">
        <v>42622.437488425923</v>
      </c>
      <c r="S1284">
        <v>42765.30574074074</v>
      </c>
      <c r="T1284" t="s">
        <v>387</v>
      </c>
      <c r="U1284" t="s">
        <v>35</v>
      </c>
      <c r="V1284" t="s">
        <v>35</v>
      </c>
      <c r="W1284" t="s">
        <v>133</v>
      </c>
    </row>
    <row r="1285" spans="1:23" x14ac:dyDescent="0.25">
      <c r="A1285" t="s">
        <v>633</v>
      </c>
      <c r="B1285" s="19">
        <v>11820</v>
      </c>
      <c r="C1285" s="2">
        <f>HYPERLINK(URLs!B36 &amp; 88277,88277)</f>
        <v>88277</v>
      </c>
      <c r="D1285" t="s">
        <v>3236</v>
      </c>
      <c r="E1285" t="s">
        <v>387</v>
      </c>
      <c r="F1285" t="s">
        <v>305</v>
      </c>
      <c r="G1285" t="s">
        <v>310</v>
      </c>
      <c r="H1285" t="s">
        <v>30</v>
      </c>
      <c r="I1285" t="s">
        <v>31</v>
      </c>
      <c r="J1285" t="s">
        <v>43</v>
      </c>
      <c r="K1285" t="s">
        <v>44</v>
      </c>
      <c r="L1285" t="s">
        <v>45</v>
      </c>
      <c r="M1285" t="s">
        <v>260</v>
      </c>
      <c r="N1285" t="s">
        <v>60</v>
      </c>
      <c r="O1285" t="s">
        <v>325</v>
      </c>
      <c r="P1285" t="s">
        <v>61</v>
      </c>
      <c r="Q1285" t="s">
        <v>3229</v>
      </c>
      <c r="R1285">
        <v>42612.154409722221</v>
      </c>
      <c r="S1285">
        <v>42928.594189814816</v>
      </c>
      <c r="T1285" t="s">
        <v>2</v>
      </c>
      <c r="U1285" t="s">
        <v>35</v>
      </c>
      <c r="V1285" t="s">
        <v>35</v>
      </c>
      <c r="W1285" t="s">
        <v>4098</v>
      </c>
    </row>
    <row r="1286" spans="1:23" x14ac:dyDescent="0.25">
      <c r="A1286" t="s">
        <v>633</v>
      </c>
      <c r="B1286" s="19">
        <v>11853</v>
      </c>
      <c r="C1286" s="2">
        <f>HYPERLINK(URLs!B36 &amp; 91546,91546)</f>
        <v>91546</v>
      </c>
      <c r="D1286" t="s">
        <v>3320</v>
      </c>
      <c r="E1286" t="s">
        <v>327</v>
      </c>
      <c r="F1286" t="s">
        <v>305</v>
      </c>
      <c r="G1286" t="s">
        <v>304</v>
      </c>
      <c r="H1286" t="s">
        <v>30</v>
      </c>
      <c r="I1286" t="s">
        <v>31</v>
      </c>
      <c r="J1286" t="s">
        <v>32</v>
      </c>
      <c r="K1286" t="s">
        <v>33</v>
      </c>
      <c r="L1286" t="s">
        <v>195</v>
      </c>
      <c r="M1286" t="s">
        <v>324</v>
      </c>
      <c r="N1286" t="s">
        <v>46</v>
      </c>
      <c r="P1286" t="s">
        <v>75</v>
      </c>
      <c r="Q1286" t="s">
        <v>3260</v>
      </c>
      <c r="R1286">
        <v>42671.816724537035</v>
      </c>
      <c r="S1286">
        <v>42718.641041666669</v>
      </c>
      <c r="T1286" t="s">
        <v>53</v>
      </c>
      <c r="U1286" t="s">
        <v>316</v>
      </c>
      <c r="V1286" t="s">
        <v>321</v>
      </c>
      <c r="W1286" t="s">
        <v>107</v>
      </c>
    </row>
    <row r="1287" spans="1:23" x14ac:dyDescent="0.25">
      <c r="A1287" t="s">
        <v>633</v>
      </c>
      <c r="B1287" s="19">
        <v>11853</v>
      </c>
      <c r="C1287" s="2">
        <f>HYPERLINK(URLs!B36 &amp; 89753,89753)</f>
        <v>89753</v>
      </c>
      <c r="D1287" t="s">
        <v>3288</v>
      </c>
      <c r="E1287" t="s">
        <v>134</v>
      </c>
      <c r="F1287" t="s">
        <v>305</v>
      </c>
      <c r="G1287" t="s">
        <v>304</v>
      </c>
      <c r="H1287" t="s">
        <v>116</v>
      </c>
      <c r="I1287" t="s">
        <v>31</v>
      </c>
      <c r="J1287" t="s">
        <v>32</v>
      </c>
      <c r="K1287" t="s">
        <v>44</v>
      </c>
      <c r="L1287" t="s">
        <v>195</v>
      </c>
      <c r="M1287" t="s">
        <v>324</v>
      </c>
      <c r="N1287" t="s">
        <v>510</v>
      </c>
      <c r="P1287" t="s">
        <v>75</v>
      </c>
      <c r="Q1287" t="s">
        <v>2305</v>
      </c>
      <c r="R1287">
        <v>42641.483611111114</v>
      </c>
      <c r="S1287">
        <v>43206.798831018517</v>
      </c>
      <c r="T1287" t="s">
        <v>387</v>
      </c>
      <c r="U1287" t="s">
        <v>3993</v>
      </c>
      <c r="V1287" t="s">
        <v>35</v>
      </c>
      <c r="W1287" t="s">
        <v>307</v>
      </c>
    </row>
    <row r="1288" spans="1:23" x14ac:dyDescent="0.25">
      <c r="A1288" t="s">
        <v>633</v>
      </c>
      <c r="B1288" s="19">
        <v>11853</v>
      </c>
      <c r="C1288" s="2">
        <f>HYPERLINK(URLs!B36 &amp; 89743,89743)</f>
        <v>89743</v>
      </c>
      <c r="D1288" t="s">
        <v>3286</v>
      </c>
      <c r="E1288" t="s">
        <v>327</v>
      </c>
      <c r="F1288" t="s">
        <v>305</v>
      </c>
      <c r="G1288" t="s">
        <v>304</v>
      </c>
      <c r="H1288" t="s">
        <v>30</v>
      </c>
      <c r="I1288" t="s">
        <v>31</v>
      </c>
      <c r="J1288" t="s">
        <v>32</v>
      </c>
      <c r="K1288" t="s">
        <v>33</v>
      </c>
      <c r="L1288" t="s">
        <v>195</v>
      </c>
      <c r="M1288" t="s">
        <v>324</v>
      </c>
      <c r="N1288" t="s">
        <v>60</v>
      </c>
      <c r="P1288" t="s">
        <v>75</v>
      </c>
      <c r="Q1288" t="s">
        <v>3287</v>
      </c>
      <c r="R1288">
        <v>42641.352476851855</v>
      </c>
      <c r="S1288">
        <v>42941.844849537039</v>
      </c>
      <c r="T1288" t="s">
        <v>387</v>
      </c>
      <c r="U1288" t="s">
        <v>3991</v>
      </c>
      <c r="V1288" t="s">
        <v>321</v>
      </c>
      <c r="W1288" t="s">
        <v>133</v>
      </c>
    </row>
    <row r="1289" spans="1:23" x14ac:dyDescent="0.25">
      <c r="A1289" t="s">
        <v>633</v>
      </c>
      <c r="B1289" s="19">
        <v>11853</v>
      </c>
      <c r="C1289" s="2">
        <f>HYPERLINK(URLs!B36 &amp; 88689,88689)</f>
        <v>88689</v>
      </c>
      <c r="D1289" t="s">
        <v>326</v>
      </c>
      <c r="E1289" t="s">
        <v>327</v>
      </c>
      <c r="F1289" t="s">
        <v>305</v>
      </c>
      <c r="G1289" t="s">
        <v>304</v>
      </c>
      <c r="H1289" t="s">
        <v>30</v>
      </c>
      <c r="I1289" t="s">
        <v>31</v>
      </c>
      <c r="J1289" t="s">
        <v>32</v>
      </c>
      <c r="K1289" t="s">
        <v>33</v>
      </c>
      <c r="L1289" t="s">
        <v>195</v>
      </c>
      <c r="M1289" t="s">
        <v>324</v>
      </c>
      <c r="N1289" t="s">
        <v>60</v>
      </c>
      <c r="O1289" t="s">
        <v>325</v>
      </c>
      <c r="P1289" t="s">
        <v>75</v>
      </c>
      <c r="Q1289" t="s">
        <v>3260</v>
      </c>
      <c r="R1289">
        <v>42620.60465277778</v>
      </c>
      <c r="S1289">
        <v>43235.160775462966</v>
      </c>
      <c r="T1289" t="s">
        <v>1</v>
      </c>
      <c r="U1289" t="s">
        <v>35</v>
      </c>
      <c r="V1289" t="s">
        <v>321</v>
      </c>
      <c r="W1289" t="s">
        <v>4098</v>
      </c>
    </row>
    <row r="1290" spans="1:23" x14ac:dyDescent="0.25">
      <c r="A1290" t="s">
        <v>633</v>
      </c>
      <c r="B1290" s="19">
        <v>11853</v>
      </c>
      <c r="C1290" s="2">
        <f>HYPERLINK(URLs!B36 &amp; 88402,88402)</f>
        <v>88402</v>
      </c>
      <c r="D1290" t="s">
        <v>3246</v>
      </c>
      <c r="E1290" t="s">
        <v>64</v>
      </c>
      <c r="F1290" t="s">
        <v>305</v>
      </c>
      <c r="G1290" t="s">
        <v>310</v>
      </c>
      <c r="H1290" t="s">
        <v>30</v>
      </c>
      <c r="I1290" t="s">
        <v>31</v>
      </c>
      <c r="J1290" t="s">
        <v>32</v>
      </c>
      <c r="K1290" t="s">
        <v>51</v>
      </c>
      <c r="L1290" t="s">
        <v>380</v>
      </c>
      <c r="M1290" t="s">
        <v>379</v>
      </c>
      <c r="N1290" t="s">
        <v>60</v>
      </c>
      <c r="P1290" t="s">
        <v>75</v>
      </c>
      <c r="Q1290" t="s">
        <v>65</v>
      </c>
      <c r="R1290">
        <v>42613.751296296294</v>
      </c>
      <c r="S1290">
        <v>42647.856759259259</v>
      </c>
      <c r="T1290" t="s">
        <v>317</v>
      </c>
      <c r="U1290" t="s">
        <v>35</v>
      </c>
      <c r="V1290" t="s">
        <v>35</v>
      </c>
      <c r="W1290" t="s">
        <v>4156</v>
      </c>
    </row>
    <row r="1291" spans="1:23" x14ac:dyDescent="0.25">
      <c r="A1291" t="s">
        <v>633</v>
      </c>
      <c r="B1291" s="19">
        <v>11853</v>
      </c>
      <c r="C1291" s="2">
        <f>HYPERLINK(URLs!B36 &amp; 88401,88401)</f>
        <v>88401</v>
      </c>
      <c r="D1291" t="s">
        <v>3245</v>
      </c>
      <c r="E1291" t="s">
        <v>64</v>
      </c>
      <c r="F1291" t="s">
        <v>305</v>
      </c>
      <c r="G1291" t="s">
        <v>310</v>
      </c>
      <c r="H1291" t="s">
        <v>30</v>
      </c>
      <c r="I1291" t="s">
        <v>31</v>
      </c>
      <c r="J1291" t="s">
        <v>32</v>
      </c>
      <c r="K1291" t="s">
        <v>51</v>
      </c>
      <c r="L1291" t="s">
        <v>380</v>
      </c>
      <c r="M1291" t="s">
        <v>379</v>
      </c>
      <c r="N1291" t="s">
        <v>582</v>
      </c>
      <c r="P1291" t="s">
        <v>75</v>
      </c>
      <c r="Q1291" t="s">
        <v>65</v>
      </c>
      <c r="R1291">
        <v>42613.751203703701</v>
      </c>
      <c r="S1291">
        <v>42647.860231481478</v>
      </c>
      <c r="T1291" t="s">
        <v>317</v>
      </c>
      <c r="U1291" t="s">
        <v>35</v>
      </c>
      <c r="V1291" t="s">
        <v>35</v>
      </c>
      <c r="W1291" t="s">
        <v>69</v>
      </c>
    </row>
    <row r="1292" spans="1:23" x14ac:dyDescent="0.25">
      <c r="A1292" t="s">
        <v>633</v>
      </c>
      <c r="B1292" s="19">
        <v>11853</v>
      </c>
      <c r="C1292" s="2">
        <f>HYPERLINK(URLs!B36 &amp; 88400,88400)</f>
        <v>88400</v>
      </c>
      <c r="D1292" t="s">
        <v>3244</v>
      </c>
      <c r="E1292" t="s">
        <v>64</v>
      </c>
      <c r="F1292" t="s">
        <v>305</v>
      </c>
      <c r="G1292" t="s">
        <v>310</v>
      </c>
      <c r="H1292" t="s">
        <v>30</v>
      </c>
      <c r="I1292" t="s">
        <v>31</v>
      </c>
      <c r="J1292" t="s">
        <v>32</v>
      </c>
      <c r="K1292" t="s">
        <v>51</v>
      </c>
      <c r="L1292" t="s">
        <v>380</v>
      </c>
      <c r="M1292" t="s">
        <v>379</v>
      </c>
      <c r="N1292" t="s">
        <v>60</v>
      </c>
      <c r="P1292" t="s">
        <v>75</v>
      </c>
      <c r="Q1292" t="s">
        <v>65</v>
      </c>
      <c r="R1292">
        <v>42613.751099537039</v>
      </c>
      <c r="S1292">
        <v>42647.861550925925</v>
      </c>
      <c r="T1292" t="s">
        <v>317</v>
      </c>
      <c r="U1292" t="s">
        <v>35</v>
      </c>
      <c r="V1292" t="s">
        <v>35</v>
      </c>
      <c r="W1292" t="s">
        <v>133</v>
      </c>
    </row>
    <row r="1293" spans="1:23" x14ac:dyDescent="0.25">
      <c r="A1293" t="s">
        <v>633</v>
      </c>
      <c r="B1293" s="19">
        <v>11853</v>
      </c>
      <c r="C1293" s="2">
        <f>HYPERLINK(URLs!B36 &amp; 88284,88284)</f>
        <v>88284</v>
      </c>
      <c r="D1293" t="s">
        <v>3238</v>
      </c>
      <c r="E1293" t="s">
        <v>64</v>
      </c>
      <c r="F1293" t="s">
        <v>305</v>
      </c>
      <c r="G1293" t="s">
        <v>310</v>
      </c>
      <c r="H1293" t="s">
        <v>30</v>
      </c>
      <c r="I1293" t="s">
        <v>31</v>
      </c>
      <c r="J1293" t="s">
        <v>32</v>
      </c>
      <c r="K1293" t="s">
        <v>51</v>
      </c>
      <c r="L1293" t="s">
        <v>380</v>
      </c>
      <c r="M1293" t="s">
        <v>379</v>
      </c>
      <c r="N1293" t="s">
        <v>60</v>
      </c>
      <c r="P1293" t="s">
        <v>75</v>
      </c>
      <c r="Q1293" t="s">
        <v>65</v>
      </c>
      <c r="R1293">
        <v>42612.260578703703</v>
      </c>
      <c r="S1293">
        <v>42647.863599537035</v>
      </c>
      <c r="T1293" t="s">
        <v>2</v>
      </c>
      <c r="U1293" t="s">
        <v>35</v>
      </c>
      <c r="V1293" t="s">
        <v>35</v>
      </c>
      <c r="W1293" t="s">
        <v>4098</v>
      </c>
    </row>
    <row r="1294" spans="1:23" x14ac:dyDescent="0.25">
      <c r="A1294" t="s">
        <v>665</v>
      </c>
      <c r="B1294" s="19">
        <v>11878</v>
      </c>
      <c r="C1294" s="2">
        <f>HYPERLINK(URLs!B36 &amp; 98531,98531)</f>
        <v>98531</v>
      </c>
      <c r="D1294" t="s">
        <v>545</v>
      </c>
      <c r="E1294" t="s">
        <v>91</v>
      </c>
      <c r="F1294" t="s">
        <v>67</v>
      </c>
      <c r="H1294" t="s">
        <v>30</v>
      </c>
      <c r="I1294" t="s">
        <v>68</v>
      </c>
      <c r="J1294" t="s">
        <v>43</v>
      </c>
      <c r="K1294" t="s">
        <v>33</v>
      </c>
      <c r="L1294" t="s">
        <v>73</v>
      </c>
      <c r="M1294" t="s">
        <v>263</v>
      </c>
      <c r="N1294" t="s">
        <v>46</v>
      </c>
      <c r="P1294" t="s">
        <v>92</v>
      </c>
      <c r="R1294">
        <v>42845.389537037037</v>
      </c>
      <c r="S1294">
        <v>42859.373425925929</v>
      </c>
      <c r="T1294" t="s">
        <v>84</v>
      </c>
      <c r="U1294" t="s">
        <v>35</v>
      </c>
      <c r="V1294" t="s">
        <v>35</v>
      </c>
      <c r="W1294" t="s">
        <v>4168</v>
      </c>
    </row>
    <row r="1295" spans="1:23" x14ac:dyDescent="0.25">
      <c r="A1295" t="s">
        <v>665</v>
      </c>
      <c r="B1295" s="19">
        <v>11878</v>
      </c>
      <c r="C1295" s="2">
        <f>HYPERLINK(URLs!B36 &amp; 88793,88793)</f>
        <v>88793</v>
      </c>
      <c r="D1295" t="s">
        <v>520</v>
      </c>
      <c r="E1295" t="s">
        <v>521</v>
      </c>
      <c r="F1295" t="s">
        <v>305</v>
      </c>
      <c r="G1295" t="s">
        <v>337</v>
      </c>
      <c r="H1295" t="s">
        <v>30</v>
      </c>
      <c r="I1295" t="s">
        <v>68</v>
      </c>
      <c r="J1295" t="s">
        <v>43</v>
      </c>
      <c r="K1295" t="s">
        <v>33</v>
      </c>
      <c r="L1295" t="s">
        <v>73</v>
      </c>
      <c r="M1295" t="s">
        <v>263</v>
      </c>
      <c r="N1295" t="s">
        <v>46</v>
      </c>
      <c r="P1295" t="s">
        <v>92</v>
      </c>
      <c r="Q1295" t="s">
        <v>159</v>
      </c>
      <c r="R1295">
        <v>42622.384212962963</v>
      </c>
      <c r="S1295">
        <v>43207.43990740741</v>
      </c>
      <c r="T1295" t="s">
        <v>72</v>
      </c>
      <c r="U1295" t="s">
        <v>35</v>
      </c>
      <c r="V1295" t="s">
        <v>35</v>
      </c>
      <c r="W1295" t="s">
        <v>3555</v>
      </c>
    </row>
    <row r="1296" spans="1:23" x14ac:dyDescent="0.25">
      <c r="A1296" t="s">
        <v>665</v>
      </c>
      <c r="B1296" s="19">
        <v>11878</v>
      </c>
      <c r="C1296" s="2">
        <f>HYPERLINK(URLs!B36 &amp; 88792,88792)</f>
        <v>88792</v>
      </c>
      <c r="D1296" t="s">
        <v>3263</v>
      </c>
      <c r="E1296" t="s">
        <v>84</v>
      </c>
      <c r="F1296" t="s">
        <v>305</v>
      </c>
      <c r="G1296" t="s">
        <v>328</v>
      </c>
      <c r="H1296" t="s">
        <v>30</v>
      </c>
      <c r="I1296" t="s">
        <v>68</v>
      </c>
      <c r="J1296" t="s">
        <v>43</v>
      </c>
      <c r="K1296" t="s">
        <v>33</v>
      </c>
      <c r="L1296" t="s">
        <v>73</v>
      </c>
      <c r="M1296" t="s">
        <v>263</v>
      </c>
      <c r="N1296" t="s">
        <v>46</v>
      </c>
      <c r="P1296" t="s">
        <v>92</v>
      </c>
      <c r="Q1296" t="s">
        <v>92</v>
      </c>
      <c r="R1296">
        <v>42622.383784722224</v>
      </c>
      <c r="S1296">
        <v>42667.617696759262</v>
      </c>
      <c r="T1296" t="s">
        <v>72</v>
      </c>
      <c r="U1296" t="s">
        <v>35</v>
      </c>
      <c r="V1296" t="s">
        <v>35</v>
      </c>
      <c r="W1296" t="s">
        <v>3428</v>
      </c>
    </row>
    <row r="1297" spans="1:23" x14ac:dyDescent="0.25">
      <c r="A1297" t="s">
        <v>665</v>
      </c>
      <c r="B1297" s="19">
        <v>11878</v>
      </c>
      <c r="C1297" s="2">
        <f>HYPERLINK(URLs!B36 &amp; 88791,88791)</f>
        <v>88791</v>
      </c>
      <c r="D1297" t="s">
        <v>3262</v>
      </c>
      <c r="E1297" t="s">
        <v>84</v>
      </c>
      <c r="F1297" t="s">
        <v>305</v>
      </c>
      <c r="G1297" t="s">
        <v>328</v>
      </c>
      <c r="H1297" t="s">
        <v>30</v>
      </c>
      <c r="I1297" t="s">
        <v>68</v>
      </c>
      <c r="J1297" t="s">
        <v>43</v>
      </c>
      <c r="K1297" t="s">
        <v>33</v>
      </c>
      <c r="L1297" t="s">
        <v>73</v>
      </c>
      <c r="M1297" t="s">
        <v>263</v>
      </c>
      <c r="N1297" t="s">
        <v>46</v>
      </c>
      <c r="P1297" t="s">
        <v>92</v>
      </c>
      <c r="Q1297" t="s">
        <v>92</v>
      </c>
      <c r="R1297">
        <v>42622.383449074077</v>
      </c>
      <c r="S1297">
        <v>42859.374502314815</v>
      </c>
      <c r="T1297" t="s">
        <v>72</v>
      </c>
      <c r="U1297" t="s">
        <v>35</v>
      </c>
      <c r="V1297" t="s">
        <v>35</v>
      </c>
      <c r="W1297" t="s">
        <v>4162</v>
      </c>
    </row>
    <row r="1298" spans="1:23" x14ac:dyDescent="0.25">
      <c r="A1298" t="s">
        <v>665</v>
      </c>
      <c r="B1298" s="19">
        <v>11878</v>
      </c>
      <c r="C1298" s="2">
        <f>HYPERLINK(URLs!B36 &amp; 87735,87735)</f>
        <v>87735</v>
      </c>
      <c r="D1298" t="s">
        <v>90</v>
      </c>
      <c r="E1298" t="s">
        <v>91</v>
      </c>
      <c r="F1298" t="s">
        <v>42</v>
      </c>
      <c r="H1298" t="s">
        <v>30</v>
      </c>
      <c r="I1298" t="s">
        <v>68</v>
      </c>
      <c r="J1298" t="s">
        <v>43</v>
      </c>
      <c r="K1298" t="s">
        <v>33</v>
      </c>
      <c r="L1298" t="s">
        <v>73</v>
      </c>
      <c r="M1298" t="s">
        <v>263</v>
      </c>
      <c r="N1298" t="s">
        <v>46</v>
      </c>
      <c r="P1298" t="s">
        <v>92</v>
      </c>
      <c r="R1298">
        <v>42599.664907407408</v>
      </c>
      <c r="S1298">
        <v>42873.546527777777</v>
      </c>
      <c r="T1298" t="s">
        <v>86</v>
      </c>
      <c r="U1298" t="s">
        <v>35</v>
      </c>
      <c r="V1298" t="s">
        <v>35</v>
      </c>
      <c r="W1298" t="s">
        <v>4098</v>
      </c>
    </row>
    <row r="1299" spans="1:23" x14ac:dyDescent="0.25">
      <c r="B1299" s="19">
        <v>11902</v>
      </c>
      <c r="C1299" s="2">
        <f>HYPERLINK(URLs!B36 &amp; 113462,113462)</f>
        <v>113462</v>
      </c>
      <c r="D1299" t="s">
        <v>4430</v>
      </c>
      <c r="E1299" t="s">
        <v>387</v>
      </c>
      <c r="F1299" t="s">
        <v>305</v>
      </c>
      <c r="G1299" t="s">
        <v>310</v>
      </c>
      <c r="H1299" t="s">
        <v>116</v>
      </c>
      <c r="I1299" t="s">
        <v>31</v>
      </c>
      <c r="J1299" t="s">
        <v>32</v>
      </c>
      <c r="K1299" t="s">
        <v>51</v>
      </c>
      <c r="L1299" t="s">
        <v>73</v>
      </c>
      <c r="M1299" t="s">
        <v>263</v>
      </c>
      <c r="N1299" t="s">
        <v>60</v>
      </c>
      <c r="P1299" t="s">
        <v>47</v>
      </c>
      <c r="Q1299" t="s">
        <v>159</v>
      </c>
      <c r="R1299">
        <v>43231.357361111113</v>
      </c>
      <c r="S1299">
        <v>43307.617314814815</v>
      </c>
      <c r="T1299" t="s">
        <v>171</v>
      </c>
      <c r="U1299" t="s">
        <v>35</v>
      </c>
      <c r="V1299" t="s">
        <v>321</v>
      </c>
      <c r="W1299" t="s">
        <v>4171</v>
      </c>
    </row>
    <row r="1300" spans="1:23" x14ac:dyDescent="0.25">
      <c r="B1300" s="19">
        <v>11902</v>
      </c>
      <c r="C1300" s="2">
        <f>HYPERLINK(URLs!B36 &amp; 88610,88610)</f>
        <v>88610</v>
      </c>
      <c r="D1300" t="s">
        <v>3259</v>
      </c>
      <c r="E1300" t="s">
        <v>314</v>
      </c>
      <c r="F1300" t="s">
        <v>305</v>
      </c>
      <c r="G1300" t="s">
        <v>353</v>
      </c>
      <c r="H1300" t="s">
        <v>30</v>
      </c>
      <c r="I1300" t="s">
        <v>31</v>
      </c>
      <c r="J1300" t="s">
        <v>32</v>
      </c>
      <c r="K1300" t="s">
        <v>51</v>
      </c>
      <c r="L1300" t="s">
        <v>73</v>
      </c>
      <c r="M1300" t="s">
        <v>273</v>
      </c>
      <c r="N1300" t="s">
        <v>46</v>
      </c>
      <c r="P1300" t="s">
        <v>77</v>
      </c>
      <c r="Q1300" t="s">
        <v>394</v>
      </c>
      <c r="R1300">
        <v>42619.756701388891</v>
      </c>
      <c r="S1300">
        <v>42759.63548611111</v>
      </c>
      <c r="T1300" t="s">
        <v>317</v>
      </c>
      <c r="U1300" t="s">
        <v>35</v>
      </c>
      <c r="V1300" t="s">
        <v>35</v>
      </c>
      <c r="W1300" t="s">
        <v>4156</v>
      </c>
    </row>
    <row r="1301" spans="1:23" x14ac:dyDescent="0.25">
      <c r="B1301" s="19">
        <v>11902</v>
      </c>
      <c r="C1301" s="2">
        <f>HYPERLINK(URLs!B36 &amp; 88609,88609)</f>
        <v>88609</v>
      </c>
      <c r="D1301" t="s">
        <v>3258</v>
      </c>
      <c r="E1301" t="s">
        <v>314</v>
      </c>
      <c r="F1301" t="s">
        <v>305</v>
      </c>
      <c r="G1301" t="s">
        <v>353</v>
      </c>
      <c r="H1301" t="s">
        <v>30</v>
      </c>
      <c r="I1301" t="s">
        <v>31</v>
      </c>
      <c r="J1301" t="s">
        <v>32</v>
      </c>
      <c r="K1301" t="s">
        <v>51</v>
      </c>
      <c r="L1301" t="s">
        <v>73</v>
      </c>
      <c r="M1301" t="s">
        <v>273</v>
      </c>
      <c r="N1301" t="s">
        <v>582</v>
      </c>
      <c r="P1301" t="s">
        <v>77</v>
      </c>
      <c r="Q1301" t="s">
        <v>394</v>
      </c>
      <c r="R1301">
        <v>42619.756643518522</v>
      </c>
      <c r="S1301">
        <v>42759.635567129626</v>
      </c>
      <c r="T1301" t="s">
        <v>317</v>
      </c>
      <c r="U1301" t="s">
        <v>35</v>
      </c>
      <c r="V1301" t="s">
        <v>35</v>
      </c>
      <c r="W1301" t="s">
        <v>69</v>
      </c>
    </row>
    <row r="1302" spans="1:23" x14ac:dyDescent="0.25">
      <c r="B1302" s="19">
        <v>11902</v>
      </c>
      <c r="C1302" s="2">
        <f>HYPERLINK(URLs!B36 &amp; 88608,88608)</f>
        <v>88608</v>
      </c>
      <c r="D1302" t="s">
        <v>3257</v>
      </c>
      <c r="E1302" t="s">
        <v>314</v>
      </c>
      <c r="F1302" t="s">
        <v>305</v>
      </c>
      <c r="G1302" t="s">
        <v>353</v>
      </c>
      <c r="H1302" t="s">
        <v>30</v>
      </c>
      <c r="I1302" t="s">
        <v>31</v>
      </c>
      <c r="J1302" t="s">
        <v>32</v>
      </c>
      <c r="K1302" t="s">
        <v>51</v>
      </c>
      <c r="L1302" t="s">
        <v>73</v>
      </c>
      <c r="M1302" t="s">
        <v>273</v>
      </c>
      <c r="N1302" t="s">
        <v>60</v>
      </c>
      <c r="P1302" t="s">
        <v>77</v>
      </c>
      <c r="Q1302" t="s">
        <v>394</v>
      </c>
      <c r="R1302">
        <v>42619.756597222222</v>
      </c>
      <c r="S1302">
        <v>42759.635509259257</v>
      </c>
      <c r="T1302" t="s">
        <v>317</v>
      </c>
      <c r="U1302" t="s">
        <v>35</v>
      </c>
      <c r="V1302" t="s">
        <v>35</v>
      </c>
      <c r="W1302" t="s">
        <v>133</v>
      </c>
    </row>
    <row r="1303" spans="1:23" x14ac:dyDescent="0.25">
      <c r="B1303" s="19">
        <v>11902</v>
      </c>
      <c r="C1303" s="2">
        <f>HYPERLINK(URLs!B36 &amp; 88552,88552)</f>
        <v>88552</v>
      </c>
      <c r="D1303" t="s">
        <v>3255</v>
      </c>
      <c r="E1303" t="s">
        <v>314</v>
      </c>
      <c r="F1303" t="s">
        <v>305</v>
      </c>
      <c r="G1303" t="s">
        <v>353</v>
      </c>
      <c r="H1303" t="s">
        <v>30</v>
      </c>
      <c r="I1303" t="s">
        <v>31</v>
      </c>
      <c r="J1303" t="s">
        <v>32</v>
      </c>
      <c r="K1303" t="s">
        <v>51</v>
      </c>
      <c r="L1303" t="s">
        <v>73</v>
      </c>
      <c r="M1303" t="s">
        <v>273</v>
      </c>
      <c r="N1303" t="s">
        <v>46</v>
      </c>
      <c r="P1303" t="s">
        <v>77</v>
      </c>
      <c r="Q1303" t="s">
        <v>394</v>
      </c>
      <c r="R1303">
        <v>42619.251840277779</v>
      </c>
      <c r="S1303">
        <v>42759.635046296295</v>
      </c>
      <c r="T1303" t="s">
        <v>4</v>
      </c>
      <c r="U1303" t="s">
        <v>35</v>
      </c>
      <c r="V1303" t="s">
        <v>35</v>
      </c>
      <c r="W1303" t="s">
        <v>4098</v>
      </c>
    </row>
    <row r="1304" spans="1:23" x14ac:dyDescent="0.25">
      <c r="B1304" s="19">
        <v>11902</v>
      </c>
      <c r="C1304" s="2">
        <f>HYPERLINK(URLs!B36 &amp; 79784,79784)</f>
        <v>79784</v>
      </c>
      <c r="D1304" t="s">
        <v>3064</v>
      </c>
      <c r="E1304" t="s">
        <v>91</v>
      </c>
      <c r="F1304" t="s">
        <v>305</v>
      </c>
      <c r="G1304" t="s">
        <v>304</v>
      </c>
      <c r="H1304" t="s">
        <v>54</v>
      </c>
      <c r="I1304" t="s">
        <v>31</v>
      </c>
      <c r="J1304" t="s">
        <v>32</v>
      </c>
      <c r="K1304" t="s">
        <v>51</v>
      </c>
      <c r="L1304" t="s">
        <v>73</v>
      </c>
      <c r="M1304" t="s">
        <v>263</v>
      </c>
      <c r="N1304" t="s">
        <v>518</v>
      </c>
      <c r="P1304" t="s">
        <v>47</v>
      </c>
      <c r="Q1304" t="s">
        <v>159</v>
      </c>
      <c r="R1304">
        <v>42459.281458333331</v>
      </c>
      <c r="S1304">
        <v>42948.938587962963</v>
      </c>
      <c r="T1304" t="s">
        <v>361</v>
      </c>
      <c r="U1304" t="s">
        <v>35</v>
      </c>
      <c r="V1304" t="s">
        <v>321</v>
      </c>
      <c r="W1304" t="s">
        <v>69</v>
      </c>
    </row>
    <row r="1305" spans="1:23" x14ac:dyDescent="0.25">
      <c r="B1305" s="19">
        <v>11902</v>
      </c>
      <c r="C1305" s="2">
        <f>HYPERLINK(URLs!B36 &amp; 76257,76257)</f>
        <v>76257</v>
      </c>
      <c r="D1305" t="s">
        <v>2923</v>
      </c>
      <c r="E1305" t="s">
        <v>131</v>
      </c>
      <c r="F1305" t="s">
        <v>305</v>
      </c>
      <c r="G1305" t="s">
        <v>337</v>
      </c>
      <c r="H1305" t="s">
        <v>30</v>
      </c>
      <c r="I1305" t="s">
        <v>31</v>
      </c>
      <c r="J1305" t="s">
        <v>32</v>
      </c>
      <c r="K1305" t="s">
        <v>51</v>
      </c>
      <c r="L1305" t="s">
        <v>73</v>
      </c>
      <c r="M1305" t="s">
        <v>263</v>
      </c>
      <c r="N1305" t="s">
        <v>46</v>
      </c>
      <c r="P1305" t="s">
        <v>47</v>
      </c>
      <c r="Q1305" t="s">
        <v>159</v>
      </c>
      <c r="R1305">
        <v>42397.822905092595</v>
      </c>
      <c r="S1305">
        <v>42745.156643518516</v>
      </c>
      <c r="T1305" t="s">
        <v>317</v>
      </c>
      <c r="U1305" t="s">
        <v>35</v>
      </c>
      <c r="V1305" t="s">
        <v>321</v>
      </c>
      <c r="W1305" t="s">
        <v>4156</v>
      </c>
    </row>
    <row r="1306" spans="1:23" x14ac:dyDescent="0.25">
      <c r="B1306" s="19">
        <v>11902</v>
      </c>
      <c r="C1306" s="2">
        <f>HYPERLINK(URLs!B36 &amp; 75649,75649)</f>
        <v>75649</v>
      </c>
      <c r="D1306" t="s">
        <v>2891</v>
      </c>
      <c r="E1306" t="s">
        <v>91</v>
      </c>
      <c r="F1306" t="s">
        <v>305</v>
      </c>
      <c r="G1306" t="s">
        <v>337</v>
      </c>
      <c r="H1306" t="s">
        <v>54</v>
      </c>
      <c r="I1306" t="s">
        <v>31</v>
      </c>
      <c r="J1306" t="s">
        <v>32</v>
      </c>
      <c r="K1306" t="s">
        <v>51</v>
      </c>
      <c r="L1306" t="s">
        <v>73</v>
      </c>
      <c r="M1306" t="s">
        <v>263</v>
      </c>
      <c r="N1306" t="s">
        <v>518</v>
      </c>
      <c r="O1306" t="s">
        <v>132</v>
      </c>
      <c r="P1306" t="s">
        <v>47</v>
      </c>
      <c r="Q1306" t="s">
        <v>159</v>
      </c>
      <c r="R1306">
        <v>42390.811759259261</v>
      </c>
      <c r="S1306">
        <v>42830.709560185183</v>
      </c>
      <c r="T1306" t="s">
        <v>317</v>
      </c>
      <c r="U1306" t="s">
        <v>35</v>
      </c>
      <c r="V1306" t="s">
        <v>321</v>
      </c>
      <c r="W1306" t="s">
        <v>133</v>
      </c>
    </row>
    <row r="1307" spans="1:23" x14ac:dyDescent="0.25">
      <c r="B1307" s="19">
        <v>11902</v>
      </c>
      <c r="C1307" s="2">
        <f>HYPERLINK(URLs!B36 &amp; 67205,67205)</f>
        <v>67205</v>
      </c>
      <c r="D1307" t="s">
        <v>507</v>
      </c>
      <c r="E1307" t="s">
        <v>91</v>
      </c>
      <c r="F1307" t="s">
        <v>29</v>
      </c>
      <c r="H1307" t="s">
        <v>30</v>
      </c>
      <c r="I1307" t="s">
        <v>31</v>
      </c>
      <c r="J1307" t="s">
        <v>32</v>
      </c>
      <c r="K1307" t="s">
        <v>51</v>
      </c>
      <c r="L1307" t="s">
        <v>73</v>
      </c>
      <c r="M1307" t="s">
        <v>263</v>
      </c>
      <c r="N1307" t="s">
        <v>60</v>
      </c>
      <c r="O1307" t="s">
        <v>132</v>
      </c>
      <c r="P1307" t="s">
        <v>47</v>
      </c>
      <c r="Q1307" t="s">
        <v>159</v>
      </c>
      <c r="R1307">
        <v>42233.738043981481</v>
      </c>
      <c r="S1307">
        <v>43382.661238425928</v>
      </c>
      <c r="T1307" t="s">
        <v>1</v>
      </c>
      <c r="U1307" t="s">
        <v>35</v>
      </c>
      <c r="V1307" t="s">
        <v>321</v>
      </c>
      <c r="W1307" t="s">
        <v>4098</v>
      </c>
    </row>
    <row r="1308" spans="1:23" x14ac:dyDescent="0.25">
      <c r="B1308" s="19">
        <v>11906</v>
      </c>
      <c r="C1308" s="2">
        <f>HYPERLINK(URLs!B36 &amp; 98046,98046)</f>
        <v>98046</v>
      </c>
      <c r="D1308" t="s">
        <v>3494</v>
      </c>
      <c r="E1308" t="s">
        <v>84</v>
      </c>
      <c r="F1308" t="s">
        <v>305</v>
      </c>
      <c r="G1308" t="s">
        <v>304</v>
      </c>
      <c r="H1308" t="s">
        <v>30</v>
      </c>
      <c r="I1308" t="s">
        <v>68</v>
      </c>
      <c r="J1308" t="s">
        <v>43</v>
      </c>
      <c r="K1308" t="s">
        <v>33</v>
      </c>
      <c r="L1308" t="s">
        <v>73</v>
      </c>
      <c r="M1308" t="s">
        <v>263</v>
      </c>
      <c r="N1308" t="s">
        <v>46</v>
      </c>
      <c r="P1308" t="s">
        <v>85</v>
      </c>
      <c r="Q1308" t="s">
        <v>85</v>
      </c>
      <c r="R1308">
        <v>42832.576585648145</v>
      </c>
      <c r="S1308">
        <v>43406.138020833336</v>
      </c>
      <c r="T1308" t="s">
        <v>84</v>
      </c>
      <c r="U1308" t="s">
        <v>35</v>
      </c>
      <c r="V1308" t="s">
        <v>35</v>
      </c>
      <c r="W1308" t="s">
        <v>4168</v>
      </c>
    </row>
    <row r="1309" spans="1:23" x14ac:dyDescent="0.25">
      <c r="B1309" s="19">
        <v>11906</v>
      </c>
      <c r="C1309" s="2">
        <f>HYPERLINK(URLs!B36 &amp; 88785,88785)</f>
        <v>88785</v>
      </c>
      <c r="D1309" t="s">
        <v>3261</v>
      </c>
      <c r="E1309" t="s">
        <v>84</v>
      </c>
      <c r="F1309" t="s">
        <v>305</v>
      </c>
      <c r="G1309" t="s">
        <v>353</v>
      </c>
      <c r="H1309" t="s">
        <v>30</v>
      </c>
      <c r="I1309" t="s">
        <v>31</v>
      </c>
      <c r="J1309" t="s">
        <v>43</v>
      </c>
      <c r="K1309" t="s">
        <v>44</v>
      </c>
      <c r="L1309" t="s">
        <v>73</v>
      </c>
      <c r="M1309" t="s">
        <v>263</v>
      </c>
      <c r="N1309" t="s">
        <v>46</v>
      </c>
      <c r="P1309" t="s">
        <v>85</v>
      </c>
      <c r="Q1309" t="s">
        <v>85</v>
      </c>
      <c r="R1309">
        <v>42622.345902777779</v>
      </c>
      <c r="S1309">
        <v>42634.40425925926</v>
      </c>
      <c r="T1309" t="s">
        <v>171</v>
      </c>
      <c r="U1309" t="s">
        <v>35</v>
      </c>
      <c r="V1309" t="s">
        <v>35</v>
      </c>
      <c r="W1309" t="s">
        <v>3428</v>
      </c>
    </row>
    <row r="1310" spans="1:23" x14ac:dyDescent="0.25">
      <c r="B1310" s="19">
        <v>11906</v>
      </c>
      <c r="C1310" s="2">
        <f>HYPERLINK(URLs!B36 &amp; 88599,88599)</f>
        <v>88599</v>
      </c>
      <c r="D1310" t="s">
        <v>3256</v>
      </c>
      <c r="E1310" t="s">
        <v>84</v>
      </c>
      <c r="F1310" t="s">
        <v>305</v>
      </c>
      <c r="G1310" t="s">
        <v>353</v>
      </c>
      <c r="H1310" t="s">
        <v>30</v>
      </c>
      <c r="I1310" t="s">
        <v>31</v>
      </c>
      <c r="J1310" t="s">
        <v>43</v>
      </c>
      <c r="K1310" t="s">
        <v>44</v>
      </c>
      <c r="L1310" t="s">
        <v>73</v>
      </c>
      <c r="M1310" t="s">
        <v>263</v>
      </c>
      <c r="N1310" t="s">
        <v>46</v>
      </c>
      <c r="P1310" t="s">
        <v>85</v>
      </c>
      <c r="Q1310" t="s">
        <v>85</v>
      </c>
      <c r="R1310">
        <v>42619.592314814814</v>
      </c>
      <c r="S1310">
        <v>42759.635474537034</v>
      </c>
      <c r="T1310" t="s">
        <v>86</v>
      </c>
      <c r="U1310" t="s">
        <v>35</v>
      </c>
      <c r="V1310" t="s">
        <v>35</v>
      </c>
      <c r="W1310" t="s">
        <v>4098</v>
      </c>
    </row>
    <row r="1311" spans="1:23" x14ac:dyDescent="0.25">
      <c r="B1311" s="19">
        <v>11906</v>
      </c>
      <c r="C1311" s="2">
        <f>HYPERLINK(URLs!B36 &amp; 87437,87437)</f>
        <v>87437</v>
      </c>
      <c r="D1311" t="s">
        <v>3222</v>
      </c>
      <c r="E1311" t="s">
        <v>490</v>
      </c>
      <c r="F1311" t="s">
        <v>305</v>
      </c>
      <c r="G1311" t="s">
        <v>337</v>
      </c>
      <c r="H1311" t="s">
        <v>30</v>
      </c>
      <c r="I1311" t="s">
        <v>68</v>
      </c>
      <c r="J1311" t="s">
        <v>43</v>
      </c>
      <c r="K1311" t="s">
        <v>33</v>
      </c>
      <c r="L1311" t="s">
        <v>73</v>
      </c>
      <c r="M1311" t="s">
        <v>263</v>
      </c>
      <c r="N1311" t="s">
        <v>46</v>
      </c>
      <c r="O1311" t="s">
        <v>3223</v>
      </c>
      <c r="P1311" t="s">
        <v>85</v>
      </c>
      <c r="Q1311" t="s">
        <v>85</v>
      </c>
      <c r="R1311">
        <v>42593.374791666669</v>
      </c>
      <c r="S1311">
        <v>42678.357222222221</v>
      </c>
      <c r="T1311" t="s">
        <v>171</v>
      </c>
      <c r="U1311" t="s">
        <v>35</v>
      </c>
      <c r="V1311" t="s">
        <v>35</v>
      </c>
      <c r="W1311" t="s">
        <v>3428</v>
      </c>
    </row>
    <row r="1312" spans="1:23" x14ac:dyDescent="0.25">
      <c r="A1312" t="s">
        <v>633</v>
      </c>
      <c r="B1312" s="19">
        <v>11924</v>
      </c>
      <c r="C1312" s="2">
        <f>HYPERLINK(URLs!B36 &amp; 88810,88810)</f>
        <v>88810</v>
      </c>
      <c r="D1312" t="s">
        <v>3267</v>
      </c>
      <c r="E1312" t="s">
        <v>72</v>
      </c>
      <c r="F1312" t="s">
        <v>305</v>
      </c>
      <c r="G1312" t="s">
        <v>337</v>
      </c>
      <c r="H1312" t="s">
        <v>30</v>
      </c>
      <c r="I1312" t="s">
        <v>31</v>
      </c>
      <c r="J1312" t="s">
        <v>32</v>
      </c>
      <c r="K1312" t="s">
        <v>44</v>
      </c>
      <c r="L1312" t="s">
        <v>73</v>
      </c>
      <c r="M1312" t="s">
        <v>263</v>
      </c>
      <c r="N1312" t="s">
        <v>60</v>
      </c>
      <c r="P1312" t="s">
        <v>61</v>
      </c>
      <c r="Q1312" t="s">
        <v>3210</v>
      </c>
      <c r="R1312">
        <v>42622.665023148147</v>
      </c>
      <c r="S1312">
        <v>42633.729155092595</v>
      </c>
      <c r="T1312" t="s">
        <v>3125</v>
      </c>
      <c r="U1312" t="s">
        <v>35</v>
      </c>
      <c r="V1312" t="s">
        <v>321</v>
      </c>
      <c r="W1312" t="s">
        <v>4156</v>
      </c>
    </row>
    <row r="1313" spans="1:23" x14ac:dyDescent="0.25">
      <c r="A1313" t="s">
        <v>633</v>
      </c>
      <c r="B1313" s="19">
        <v>11924</v>
      </c>
      <c r="C1313" s="2">
        <f>HYPERLINK(URLs!B36 &amp; 87635,87635)</f>
        <v>87635</v>
      </c>
      <c r="D1313" t="s">
        <v>3226</v>
      </c>
      <c r="E1313" t="s">
        <v>3079</v>
      </c>
      <c r="F1313" t="s">
        <v>305</v>
      </c>
      <c r="G1313" t="s">
        <v>353</v>
      </c>
      <c r="H1313" t="s">
        <v>54</v>
      </c>
      <c r="I1313" t="s">
        <v>31</v>
      </c>
      <c r="J1313" t="s">
        <v>32</v>
      </c>
      <c r="K1313" t="s">
        <v>44</v>
      </c>
      <c r="L1313" t="s">
        <v>73</v>
      </c>
      <c r="M1313" t="s">
        <v>263</v>
      </c>
      <c r="N1313" t="s">
        <v>518</v>
      </c>
      <c r="P1313" t="s">
        <v>61</v>
      </c>
      <c r="Q1313" t="s">
        <v>61</v>
      </c>
      <c r="R1313">
        <v>42598.260752314818</v>
      </c>
      <c r="S1313">
        <v>42923.438101851854</v>
      </c>
      <c r="T1313" t="s">
        <v>53</v>
      </c>
      <c r="U1313" t="s">
        <v>35</v>
      </c>
      <c r="V1313" t="s">
        <v>321</v>
      </c>
      <c r="W1313" t="s">
        <v>69</v>
      </c>
    </row>
    <row r="1314" spans="1:23" x14ac:dyDescent="0.25">
      <c r="A1314" t="s">
        <v>633</v>
      </c>
      <c r="B1314" s="19">
        <v>11924</v>
      </c>
      <c r="C1314" s="2">
        <f>HYPERLINK(URLs!B36 &amp; 87278,87278)</f>
        <v>87278</v>
      </c>
      <c r="D1314" t="s">
        <v>3215</v>
      </c>
      <c r="E1314" t="s">
        <v>94</v>
      </c>
      <c r="F1314" t="s">
        <v>305</v>
      </c>
      <c r="G1314" t="s">
        <v>337</v>
      </c>
      <c r="H1314" t="s">
        <v>54</v>
      </c>
      <c r="I1314" t="s">
        <v>31</v>
      </c>
      <c r="J1314" t="s">
        <v>32</v>
      </c>
      <c r="K1314" t="s">
        <v>44</v>
      </c>
      <c r="L1314" t="s">
        <v>73</v>
      </c>
      <c r="M1314" t="s">
        <v>263</v>
      </c>
      <c r="N1314" t="s">
        <v>60</v>
      </c>
      <c r="O1314" t="s">
        <v>3216</v>
      </c>
      <c r="P1314" t="s">
        <v>61</v>
      </c>
      <c r="Q1314" t="s">
        <v>2481</v>
      </c>
      <c r="R1314">
        <v>42590.75571759259</v>
      </c>
      <c r="S1314">
        <v>42831.73741898148</v>
      </c>
      <c r="T1314" t="s">
        <v>317</v>
      </c>
      <c r="U1314" t="s">
        <v>35</v>
      </c>
      <c r="V1314" t="s">
        <v>321</v>
      </c>
      <c r="W1314" t="s">
        <v>133</v>
      </c>
    </row>
    <row r="1315" spans="1:23" x14ac:dyDescent="0.25">
      <c r="A1315" t="s">
        <v>633</v>
      </c>
      <c r="B1315" s="19">
        <v>11924</v>
      </c>
      <c r="C1315" s="2">
        <f>HYPERLINK(URLs!B36 &amp; 87238,87238)</f>
        <v>87238</v>
      </c>
      <c r="D1315" t="s">
        <v>3214</v>
      </c>
      <c r="E1315" t="s">
        <v>3079</v>
      </c>
      <c r="F1315" t="s">
        <v>305</v>
      </c>
      <c r="G1315" t="s">
        <v>353</v>
      </c>
      <c r="H1315" t="s">
        <v>30</v>
      </c>
      <c r="I1315" t="s">
        <v>31</v>
      </c>
      <c r="J1315" t="s">
        <v>32</v>
      </c>
      <c r="K1315" t="s">
        <v>44</v>
      </c>
      <c r="L1315" t="s">
        <v>73</v>
      </c>
      <c r="M1315" t="s">
        <v>263</v>
      </c>
      <c r="N1315" t="s">
        <v>60</v>
      </c>
      <c r="P1315" t="s">
        <v>61</v>
      </c>
      <c r="Q1315" t="s">
        <v>61</v>
      </c>
      <c r="R1315">
        <v>42587.869537037041</v>
      </c>
      <c r="S1315">
        <v>42871.700601851851</v>
      </c>
      <c r="T1315" t="s">
        <v>1</v>
      </c>
      <c r="U1315" t="s">
        <v>35</v>
      </c>
      <c r="V1315" t="s">
        <v>321</v>
      </c>
      <c r="W1315" t="s">
        <v>4098</v>
      </c>
    </row>
    <row r="1316" spans="1:23" x14ac:dyDescent="0.25">
      <c r="A1316" t="s">
        <v>665</v>
      </c>
      <c r="B1316" s="19">
        <v>11934</v>
      </c>
      <c r="C1316" s="2">
        <f>HYPERLINK(URLs!B36 &amp; 89568,89568)</f>
        <v>89568</v>
      </c>
      <c r="D1316" t="s">
        <v>3285</v>
      </c>
      <c r="E1316" t="s">
        <v>521</v>
      </c>
      <c r="F1316" t="s">
        <v>305</v>
      </c>
      <c r="G1316" t="s">
        <v>304</v>
      </c>
      <c r="H1316" t="s">
        <v>30</v>
      </c>
      <c r="I1316" t="s">
        <v>31</v>
      </c>
      <c r="J1316" t="s">
        <v>43</v>
      </c>
      <c r="K1316" t="s">
        <v>51</v>
      </c>
      <c r="L1316" t="s">
        <v>96</v>
      </c>
      <c r="M1316" t="s">
        <v>275</v>
      </c>
      <c r="N1316" t="s">
        <v>60</v>
      </c>
      <c r="P1316" t="s">
        <v>77</v>
      </c>
      <c r="Q1316" t="s">
        <v>77</v>
      </c>
      <c r="R1316">
        <v>42636.654687499999</v>
      </c>
      <c r="S1316">
        <v>42719.617534722223</v>
      </c>
      <c r="T1316" t="s">
        <v>3125</v>
      </c>
      <c r="U1316" t="s">
        <v>316</v>
      </c>
      <c r="V1316" t="s">
        <v>35</v>
      </c>
      <c r="W1316" t="s">
        <v>107</v>
      </c>
    </row>
    <row r="1317" spans="1:23" x14ac:dyDescent="0.25">
      <c r="A1317" t="s">
        <v>665</v>
      </c>
      <c r="B1317" s="19">
        <v>11934</v>
      </c>
      <c r="C1317" s="2">
        <f>HYPERLINK(URLs!B36 &amp; 88901,88901)</f>
        <v>88901</v>
      </c>
      <c r="D1317" t="s">
        <v>3269</v>
      </c>
      <c r="E1317" t="s">
        <v>350</v>
      </c>
      <c r="F1317" t="s">
        <v>305</v>
      </c>
      <c r="G1317" t="s">
        <v>304</v>
      </c>
      <c r="H1317" t="s">
        <v>30</v>
      </c>
      <c r="I1317" t="s">
        <v>31</v>
      </c>
      <c r="J1317" t="s">
        <v>43</v>
      </c>
      <c r="K1317" t="s">
        <v>51</v>
      </c>
      <c r="L1317" t="s">
        <v>73</v>
      </c>
      <c r="M1317" t="s">
        <v>273</v>
      </c>
      <c r="N1317" t="s">
        <v>582</v>
      </c>
      <c r="P1317" t="s">
        <v>77</v>
      </c>
      <c r="Q1317" t="s">
        <v>524</v>
      </c>
      <c r="R1317">
        <v>42625.977488425924</v>
      </c>
      <c r="S1317">
        <v>42948.881793981483</v>
      </c>
      <c r="T1317" t="s">
        <v>317</v>
      </c>
      <c r="U1317" t="s">
        <v>3988</v>
      </c>
      <c r="V1317" t="s">
        <v>35</v>
      </c>
      <c r="W1317" t="s">
        <v>69</v>
      </c>
    </row>
    <row r="1318" spans="1:23" x14ac:dyDescent="0.25">
      <c r="A1318" t="s">
        <v>665</v>
      </c>
      <c r="B1318" s="19">
        <v>11934</v>
      </c>
      <c r="C1318" s="2">
        <f>HYPERLINK(URLs!B36 &amp; 88900,88900)</f>
        <v>88900</v>
      </c>
      <c r="D1318" t="s">
        <v>3268</v>
      </c>
      <c r="E1318" t="s">
        <v>91</v>
      </c>
      <c r="F1318" t="s">
        <v>305</v>
      </c>
      <c r="G1318" t="s">
        <v>304</v>
      </c>
      <c r="H1318" t="s">
        <v>30</v>
      </c>
      <c r="I1318" t="s">
        <v>31</v>
      </c>
      <c r="J1318" t="s">
        <v>43</v>
      </c>
      <c r="K1318" t="s">
        <v>51</v>
      </c>
      <c r="L1318" t="s">
        <v>96</v>
      </c>
      <c r="M1318" t="s">
        <v>275</v>
      </c>
      <c r="N1318" t="s">
        <v>60</v>
      </c>
      <c r="P1318" t="s">
        <v>77</v>
      </c>
      <c r="Q1318" t="s">
        <v>524</v>
      </c>
      <c r="R1318">
        <v>42625.977384259262</v>
      </c>
      <c r="S1318">
        <v>42794.87809027778</v>
      </c>
      <c r="T1318" t="s">
        <v>317</v>
      </c>
      <c r="U1318" t="s">
        <v>3987</v>
      </c>
      <c r="V1318" t="s">
        <v>35</v>
      </c>
      <c r="W1318" t="s">
        <v>133</v>
      </c>
    </row>
    <row r="1319" spans="1:23" x14ac:dyDescent="0.25">
      <c r="A1319" t="s">
        <v>665</v>
      </c>
      <c r="B1319" s="19">
        <v>11934</v>
      </c>
      <c r="C1319" s="2">
        <f>HYPERLINK(URLs!B36 &amp; 88795,88795)</f>
        <v>88795</v>
      </c>
      <c r="D1319" t="s">
        <v>323</v>
      </c>
      <c r="E1319" t="s">
        <v>91</v>
      </c>
      <c r="F1319" t="s">
        <v>305</v>
      </c>
      <c r="G1319" t="s">
        <v>304</v>
      </c>
      <c r="H1319" t="s">
        <v>30</v>
      </c>
      <c r="I1319" t="s">
        <v>31</v>
      </c>
      <c r="J1319" t="s">
        <v>43</v>
      </c>
      <c r="K1319" t="s">
        <v>51</v>
      </c>
      <c r="L1319" t="s">
        <v>96</v>
      </c>
      <c r="M1319" t="s">
        <v>275</v>
      </c>
      <c r="N1319" t="s">
        <v>60</v>
      </c>
      <c r="P1319" t="s">
        <v>77</v>
      </c>
      <c r="Q1319" t="s">
        <v>77</v>
      </c>
      <c r="R1319">
        <v>42622.433495370373</v>
      </c>
      <c r="S1319">
        <v>43244.160601851851</v>
      </c>
      <c r="T1319" t="s">
        <v>4</v>
      </c>
      <c r="U1319" t="s">
        <v>35</v>
      </c>
      <c r="V1319" t="s">
        <v>35</v>
      </c>
      <c r="W1319" t="s">
        <v>4098</v>
      </c>
    </row>
    <row r="1320" spans="1:23" x14ac:dyDescent="0.25">
      <c r="A1320" t="s">
        <v>633</v>
      </c>
      <c r="B1320" s="19">
        <v>11943</v>
      </c>
      <c r="C1320" s="2">
        <f>HYPERLINK(URLs!B36 &amp; 88397,88397)</f>
        <v>88397</v>
      </c>
      <c r="D1320" t="s">
        <v>3243</v>
      </c>
      <c r="E1320" t="s">
        <v>330</v>
      </c>
      <c r="F1320" t="s">
        <v>305</v>
      </c>
      <c r="G1320" t="s">
        <v>328</v>
      </c>
      <c r="H1320" t="s">
        <v>30</v>
      </c>
      <c r="I1320" t="s">
        <v>31</v>
      </c>
      <c r="J1320" t="s">
        <v>32</v>
      </c>
      <c r="K1320" t="s">
        <v>33</v>
      </c>
      <c r="L1320" t="s">
        <v>96</v>
      </c>
      <c r="M1320" t="s">
        <v>269</v>
      </c>
      <c r="N1320" t="s">
        <v>60</v>
      </c>
      <c r="P1320" t="s">
        <v>65</v>
      </c>
      <c r="Q1320" t="s">
        <v>2481</v>
      </c>
      <c r="R1320">
        <v>42613.747824074075</v>
      </c>
      <c r="S1320">
        <v>42650.712650462963</v>
      </c>
      <c r="T1320" t="s">
        <v>317</v>
      </c>
      <c r="U1320" t="s">
        <v>35</v>
      </c>
      <c r="V1320" t="s">
        <v>321</v>
      </c>
      <c r="W1320" t="s">
        <v>4156</v>
      </c>
    </row>
    <row r="1321" spans="1:23" x14ac:dyDescent="0.25">
      <c r="A1321" t="s">
        <v>633</v>
      </c>
      <c r="B1321" s="19">
        <v>11943</v>
      </c>
      <c r="C1321" s="2">
        <f>HYPERLINK(URLs!B36 &amp; 88396,88396)</f>
        <v>88396</v>
      </c>
      <c r="D1321" t="s">
        <v>3242</v>
      </c>
      <c r="E1321" t="s">
        <v>330</v>
      </c>
      <c r="F1321" t="s">
        <v>305</v>
      </c>
      <c r="G1321" t="s">
        <v>328</v>
      </c>
      <c r="H1321" t="s">
        <v>30</v>
      </c>
      <c r="I1321" t="s">
        <v>31</v>
      </c>
      <c r="J1321" t="s">
        <v>32</v>
      </c>
      <c r="K1321" t="s">
        <v>33</v>
      </c>
      <c r="L1321" t="s">
        <v>96</v>
      </c>
      <c r="M1321" t="s">
        <v>269</v>
      </c>
      <c r="N1321" t="s">
        <v>582</v>
      </c>
      <c r="P1321" t="s">
        <v>65</v>
      </c>
      <c r="Q1321" t="s">
        <v>2481</v>
      </c>
      <c r="R1321">
        <v>42613.747731481482</v>
      </c>
      <c r="S1321">
        <v>42650.717557870368</v>
      </c>
      <c r="T1321" t="s">
        <v>317</v>
      </c>
      <c r="U1321" t="s">
        <v>35</v>
      </c>
      <c r="V1321" t="s">
        <v>321</v>
      </c>
      <c r="W1321" t="s">
        <v>69</v>
      </c>
    </row>
    <row r="1322" spans="1:23" x14ac:dyDescent="0.25">
      <c r="A1322" t="s">
        <v>633</v>
      </c>
      <c r="B1322" s="19">
        <v>11943</v>
      </c>
      <c r="C1322" s="2">
        <f>HYPERLINK(URLs!B36 &amp; 88395,88395)</f>
        <v>88395</v>
      </c>
      <c r="D1322" t="s">
        <v>3241</v>
      </c>
      <c r="E1322" t="s">
        <v>330</v>
      </c>
      <c r="F1322" t="s">
        <v>305</v>
      </c>
      <c r="G1322" t="s">
        <v>328</v>
      </c>
      <c r="H1322" t="s">
        <v>30</v>
      </c>
      <c r="I1322" t="s">
        <v>31</v>
      </c>
      <c r="J1322" t="s">
        <v>32</v>
      </c>
      <c r="K1322" t="s">
        <v>33</v>
      </c>
      <c r="L1322" t="s">
        <v>96</v>
      </c>
      <c r="M1322" t="s">
        <v>269</v>
      </c>
      <c r="N1322" t="s">
        <v>60</v>
      </c>
      <c r="P1322" t="s">
        <v>65</v>
      </c>
      <c r="Q1322" t="s">
        <v>2481</v>
      </c>
      <c r="R1322">
        <v>42613.747650462959</v>
      </c>
      <c r="S1322">
        <v>42650.718506944446</v>
      </c>
      <c r="T1322" t="s">
        <v>317</v>
      </c>
      <c r="U1322" t="s">
        <v>35</v>
      </c>
      <c r="V1322" t="s">
        <v>321</v>
      </c>
      <c r="W1322" t="s">
        <v>133</v>
      </c>
    </row>
    <row r="1323" spans="1:23" x14ac:dyDescent="0.25">
      <c r="A1323" t="s">
        <v>633</v>
      </c>
      <c r="B1323" s="19">
        <v>11943</v>
      </c>
      <c r="C1323" s="2">
        <f>HYPERLINK(URLs!B36 &amp; 88200,88200)</f>
        <v>88200</v>
      </c>
      <c r="D1323" t="s">
        <v>329</v>
      </c>
      <c r="E1323" t="s">
        <v>330</v>
      </c>
      <c r="F1323" t="s">
        <v>305</v>
      </c>
      <c r="G1323" t="s">
        <v>328</v>
      </c>
      <c r="H1323" t="s">
        <v>30</v>
      </c>
      <c r="I1323" t="s">
        <v>31</v>
      </c>
      <c r="J1323" t="s">
        <v>32</v>
      </c>
      <c r="K1323" t="s">
        <v>33</v>
      </c>
      <c r="L1323" t="s">
        <v>96</v>
      </c>
      <c r="M1323" t="s">
        <v>269</v>
      </c>
      <c r="N1323" t="s">
        <v>60</v>
      </c>
      <c r="P1323" t="s">
        <v>65</v>
      </c>
      <c r="Q1323" t="s">
        <v>2481</v>
      </c>
      <c r="R1323">
        <v>42608.722951388889</v>
      </c>
      <c r="S1323">
        <v>42650.719224537039</v>
      </c>
      <c r="T1323" t="s">
        <v>1</v>
      </c>
      <c r="U1323" t="s">
        <v>35</v>
      </c>
      <c r="V1323" t="s">
        <v>321</v>
      </c>
      <c r="W1323" t="s">
        <v>4098</v>
      </c>
    </row>
    <row r="1324" spans="1:23" x14ac:dyDescent="0.25">
      <c r="A1324" t="s">
        <v>633</v>
      </c>
      <c r="B1324" s="19">
        <v>11999</v>
      </c>
      <c r="C1324" s="2">
        <f>HYPERLINK(URLs!B36 &amp; 89393,89393)</f>
        <v>89393</v>
      </c>
      <c r="D1324" t="s">
        <v>3274</v>
      </c>
      <c r="E1324" t="s">
        <v>94</v>
      </c>
      <c r="F1324" t="s">
        <v>305</v>
      </c>
      <c r="G1324" t="s">
        <v>304</v>
      </c>
      <c r="H1324" t="s">
        <v>30</v>
      </c>
      <c r="I1324" t="s">
        <v>31</v>
      </c>
      <c r="J1324" t="s">
        <v>32</v>
      </c>
      <c r="K1324" t="s">
        <v>33</v>
      </c>
      <c r="L1324" t="s">
        <v>73</v>
      </c>
      <c r="M1324" t="s">
        <v>273</v>
      </c>
      <c r="N1324" t="s">
        <v>46</v>
      </c>
      <c r="P1324" t="s">
        <v>77</v>
      </c>
      <c r="Q1324" t="s">
        <v>159</v>
      </c>
      <c r="R1324">
        <v>42634.562152777777</v>
      </c>
      <c r="S1324">
        <v>42718.678877314815</v>
      </c>
      <c r="T1324" t="s">
        <v>317</v>
      </c>
      <c r="U1324" t="s">
        <v>3977</v>
      </c>
      <c r="V1324" t="s">
        <v>321</v>
      </c>
      <c r="W1324" t="s">
        <v>107</v>
      </c>
    </row>
    <row r="1325" spans="1:23" x14ac:dyDescent="0.25">
      <c r="A1325" t="s">
        <v>633</v>
      </c>
      <c r="B1325" s="19">
        <v>11999</v>
      </c>
      <c r="C1325" s="2">
        <f>HYPERLINK(URLs!B36 &amp; 89392,89392)</f>
        <v>89392</v>
      </c>
      <c r="D1325" t="s">
        <v>3273</v>
      </c>
      <c r="E1325" t="s">
        <v>94</v>
      </c>
      <c r="F1325" t="s">
        <v>305</v>
      </c>
      <c r="G1325" t="s">
        <v>304</v>
      </c>
      <c r="H1325" t="s">
        <v>30</v>
      </c>
      <c r="I1325" t="s">
        <v>31</v>
      </c>
      <c r="J1325" t="s">
        <v>32</v>
      </c>
      <c r="K1325" t="s">
        <v>33</v>
      </c>
      <c r="L1325" t="s">
        <v>73</v>
      </c>
      <c r="M1325" t="s">
        <v>273</v>
      </c>
      <c r="N1325" t="s">
        <v>60</v>
      </c>
      <c r="P1325" t="s">
        <v>77</v>
      </c>
      <c r="Q1325" t="s">
        <v>159</v>
      </c>
      <c r="R1325">
        <v>42634.562048611115</v>
      </c>
      <c r="S1325">
        <v>42948.870393518519</v>
      </c>
      <c r="T1325" t="s">
        <v>317</v>
      </c>
      <c r="U1325" t="s">
        <v>3990</v>
      </c>
      <c r="V1325" t="s">
        <v>321</v>
      </c>
      <c r="W1325" t="s">
        <v>69</v>
      </c>
    </row>
    <row r="1326" spans="1:23" x14ac:dyDescent="0.25">
      <c r="A1326" t="s">
        <v>633</v>
      </c>
      <c r="B1326" s="19">
        <v>11999</v>
      </c>
      <c r="C1326" s="2">
        <f>HYPERLINK(URLs!B36 &amp; 89391,89391)</f>
        <v>89391</v>
      </c>
      <c r="D1326" t="s">
        <v>3272</v>
      </c>
      <c r="E1326" t="s">
        <v>94</v>
      </c>
      <c r="F1326" t="s">
        <v>305</v>
      </c>
      <c r="G1326" t="s">
        <v>304</v>
      </c>
      <c r="H1326" t="s">
        <v>30</v>
      </c>
      <c r="I1326" t="s">
        <v>31</v>
      </c>
      <c r="J1326" t="s">
        <v>32</v>
      </c>
      <c r="K1326" t="s">
        <v>33</v>
      </c>
      <c r="L1326" t="s">
        <v>73</v>
      </c>
      <c r="M1326" t="s">
        <v>273</v>
      </c>
      <c r="N1326" t="s">
        <v>60</v>
      </c>
      <c r="P1326" t="s">
        <v>77</v>
      </c>
      <c r="Q1326" t="s">
        <v>159</v>
      </c>
      <c r="R1326">
        <v>42634.561956018515</v>
      </c>
      <c r="S1326">
        <v>42794.877465277779</v>
      </c>
      <c r="T1326" t="s">
        <v>317</v>
      </c>
      <c r="U1326" t="s">
        <v>3989</v>
      </c>
      <c r="V1326" t="s">
        <v>321</v>
      </c>
      <c r="W1326" t="s">
        <v>133</v>
      </c>
    </row>
    <row r="1327" spans="1:23" x14ac:dyDescent="0.25">
      <c r="A1327" t="s">
        <v>633</v>
      </c>
      <c r="B1327" s="19">
        <v>11999</v>
      </c>
      <c r="C1327" s="2">
        <f>HYPERLINK(URLs!B36 &amp; 89343,89343)</f>
        <v>89343</v>
      </c>
      <c r="D1327" t="s">
        <v>322</v>
      </c>
      <c r="E1327" t="s">
        <v>94</v>
      </c>
      <c r="F1327" t="s">
        <v>305</v>
      </c>
      <c r="G1327" t="s">
        <v>304</v>
      </c>
      <c r="H1327" t="s">
        <v>30</v>
      </c>
      <c r="I1327" t="s">
        <v>31</v>
      </c>
      <c r="J1327" t="s">
        <v>32</v>
      </c>
      <c r="K1327" t="s">
        <v>33</v>
      </c>
      <c r="L1327" t="s">
        <v>73</v>
      </c>
      <c r="M1327" t="s">
        <v>263</v>
      </c>
      <c r="N1327" t="s">
        <v>46</v>
      </c>
      <c r="P1327" t="s">
        <v>77</v>
      </c>
      <c r="Q1327" t="s">
        <v>159</v>
      </c>
      <c r="R1327">
        <v>42633.804490740738</v>
      </c>
      <c r="S1327">
        <v>42871.700277777774</v>
      </c>
      <c r="T1327" t="s">
        <v>3</v>
      </c>
      <c r="U1327" t="s">
        <v>35</v>
      </c>
      <c r="V1327" t="s">
        <v>321</v>
      </c>
      <c r="W1327" t="s">
        <v>4098</v>
      </c>
    </row>
    <row r="1328" spans="1:23" x14ac:dyDescent="0.25">
      <c r="A1328" t="s">
        <v>633</v>
      </c>
      <c r="B1328" s="19">
        <v>12004</v>
      </c>
      <c r="C1328" s="2">
        <f>HYPERLINK(URLs!B36 &amp; 89455,89455)</f>
        <v>89455</v>
      </c>
      <c r="D1328" t="s">
        <v>318</v>
      </c>
      <c r="E1328" t="s">
        <v>78</v>
      </c>
      <c r="F1328" t="s">
        <v>305</v>
      </c>
      <c r="G1328" t="s">
        <v>304</v>
      </c>
      <c r="H1328" t="s">
        <v>30</v>
      </c>
      <c r="I1328" t="s">
        <v>31</v>
      </c>
      <c r="J1328" t="s">
        <v>32</v>
      </c>
      <c r="K1328" t="s">
        <v>33</v>
      </c>
      <c r="L1328" t="s">
        <v>96</v>
      </c>
      <c r="M1328" t="s">
        <v>269</v>
      </c>
      <c r="N1328" t="s">
        <v>46</v>
      </c>
      <c r="P1328" t="s">
        <v>77</v>
      </c>
      <c r="Q1328" t="s">
        <v>65</v>
      </c>
      <c r="R1328">
        <v>42635.552361111113</v>
      </c>
      <c r="S1328">
        <v>42933.91479166667</v>
      </c>
      <c r="T1328" t="s">
        <v>317</v>
      </c>
      <c r="U1328" t="s">
        <v>316</v>
      </c>
      <c r="V1328" t="s">
        <v>35</v>
      </c>
      <c r="W1328" t="s">
        <v>107</v>
      </c>
    </row>
    <row r="1329" spans="1:23" x14ac:dyDescent="0.25">
      <c r="A1329" t="s">
        <v>633</v>
      </c>
      <c r="B1329" s="19">
        <v>12004</v>
      </c>
      <c r="C1329" s="2">
        <f>HYPERLINK(URLs!B36 &amp; 89454,89454)</f>
        <v>89454</v>
      </c>
      <c r="D1329" t="s">
        <v>3280</v>
      </c>
      <c r="E1329" t="s">
        <v>78</v>
      </c>
      <c r="F1329" t="s">
        <v>305</v>
      </c>
      <c r="G1329" t="s">
        <v>304</v>
      </c>
      <c r="H1329" t="s">
        <v>30</v>
      </c>
      <c r="I1329" t="s">
        <v>31</v>
      </c>
      <c r="J1329" t="s">
        <v>32</v>
      </c>
      <c r="K1329" t="s">
        <v>33</v>
      </c>
      <c r="L1329" t="s">
        <v>96</v>
      </c>
      <c r="M1329" t="s">
        <v>269</v>
      </c>
      <c r="N1329" t="s">
        <v>582</v>
      </c>
      <c r="P1329" t="s">
        <v>77</v>
      </c>
      <c r="Q1329" t="s">
        <v>65</v>
      </c>
      <c r="R1329">
        <v>42635.552245370367</v>
      </c>
      <c r="S1329">
        <v>42947.882951388892</v>
      </c>
      <c r="T1329" t="s">
        <v>317</v>
      </c>
      <c r="U1329" t="s">
        <v>3992</v>
      </c>
      <c r="V1329" t="s">
        <v>35</v>
      </c>
      <c r="W1329" t="s">
        <v>69</v>
      </c>
    </row>
    <row r="1330" spans="1:23" x14ac:dyDescent="0.25">
      <c r="A1330" t="s">
        <v>633</v>
      </c>
      <c r="B1330" s="19">
        <v>12004</v>
      </c>
      <c r="C1330" s="2">
        <f>HYPERLINK(URLs!B36 &amp; 89453,89453)</f>
        <v>89453</v>
      </c>
      <c r="D1330" t="s">
        <v>3278</v>
      </c>
      <c r="E1330" t="s">
        <v>78</v>
      </c>
      <c r="F1330" t="s">
        <v>305</v>
      </c>
      <c r="G1330" t="s">
        <v>304</v>
      </c>
      <c r="H1330" t="s">
        <v>30</v>
      </c>
      <c r="I1330" t="s">
        <v>31</v>
      </c>
      <c r="J1330" t="s">
        <v>32</v>
      </c>
      <c r="K1330" t="s">
        <v>33</v>
      </c>
      <c r="L1330" t="s">
        <v>96</v>
      </c>
      <c r="M1330" t="s">
        <v>269</v>
      </c>
      <c r="N1330" t="s">
        <v>60</v>
      </c>
      <c r="O1330" t="s">
        <v>3279</v>
      </c>
      <c r="P1330" t="s">
        <v>77</v>
      </c>
      <c r="Q1330" t="s">
        <v>65</v>
      </c>
      <c r="R1330">
        <v>42635.552118055559</v>
      </c>
      <c r="S1330">
        <v>42933.915081018517</v>
      </c>
      <c r="T1330" t="s">
        <v>317</v>
      </c>
      <c r="U1330" t="s">
        <v>3991</v>
      </c>
      <c r="V1330" t="s">
        <v>35</v>
      </c>
      <c r="W1330" t="s">
        <v>4163</v>
      </c>
    </row>
    <row r="1331" spans="1:23" x14ac:dyDescent="0.25">
      <c r="A1331" t="s">
        <v>633</v>
      </c>
      <c r="B1331" s="19">
        <v>12004</v>
      </c>
      <c r="C1331" s="2">
        <f>HYPERLINK(URLs!B36 &amp; 89408,89408)</f>
        <v>89408</v>
      </c>
      <c r="D1331" t="s">
        <v>3276</v>
      </c>
      <c r="E1331" t="s">
        <v>78</v>
      </c>
      <c r="F1331" t="s">
        <v>319</v>
      </c>
      <c r="G1331" t="s">
        <v>304</v>
      </c>
      <c r="H1331" t="s">
        <v>30</v>
      </c>
      <c r="I1331" t="s">
        <v>31</v>
      </c>
      <c r="J1331" t="s">
        <v>32</v>
      </c>
      <c r="K1331" t="s">
        <v>33</v>
      </c>
      <c r="L1331" t="s">
        <v>96</v>
      </c>
      <c r="M1331" t="s">
        <v>269</v>
      </c>
      <c r="N1331" t="s">
        <v>331</v>
      </c>
      <c r="P1331" t="s">
        <v>77</v>
      </c>
      <c r="Q1331" t="s">
        <v>65</v>
      </c>
      <c r="R1331">
        <v>42634.643182870372</v>
      </c>
      <c r="S1331">
        <v>42933.914085648146</v>
      </c>
      <c r="T1331" t="s">
        <v>3</v>
      </c>
      <c r="U1331" t="s">
        <v>35</v>
      </c>
      <c r="V1331" t="s">
        <v>35</v>
      </c>
      <c r="W1331" t="s">
        <v>4098</v>
      </c>
    </row>
    <row r="1332" spans="1:23" x14ac:dyDescent="0.25">
      <c r="A1332" t="s">
        <v>665</v>
      </c>
      <c r="B1332" s="19">
        <v>12007</v>
      </c>
      <c r="C1332" s="2">
        <f>HYPERLINK(URLs!B36 &amp; 89797,89797)</f>
        <v>89797</v>
      </c>
      <c r="D1332" t="s">
        <v>3297</v>
      </c>
      <c r="E1332" t="s">
        <v>105</v>
      </c>
      <c r="F1332" t="s">
        <v>305</v>
      </c>
      <c r="G1332" t="s">
        <v>304</v>
      </c>
      <c r="H1332" t="s">
        <v>30</v>
      </c>
      <c r="I1332" t="s">
        <v>31</v>
      </c>
      <c r="J1332" t="s">
        <v>43</v>
      </c>
      <c r="K1332" t="s">
        <v>44</v>
      </c>
      <c r="L1332" t="s">
        <v>106</v>
      </c>
      <c r="M1332" t="s">
        <v>270</v>
      </c>
      <c r="N1332" t="s">
        <v>60</v>
      </c>
      <c r="P1332" t="s">
        <v>75</v>
      </c>
      <c r="Q1332" t="s">
        <v>3298</v>
      </c>
      <c r="R1332">
        <v>42641.758530092593</v>
      </c>
      <c r="S1332">
        <v>42719.436122685183</v>
      </c>
      <c r="T1332" t="s">
        <v>288</v>
      </c>
      <c r="U1332" t="s">
        <v>316</v>
      </c>
      <c r="V1332" t="s">
        <v>35</v>
      </c>
      <c r="W1332" t="s">
        <v>107</v>
      </c>
    </row>
    <row r="1333" spans="1:23" x14ac:dyDescent="0.25">
      <c r="A1333" t="s">
        <v>665</v>
      </c>
      <c r="B1333" s="19">
        <v>12007</v>
      </c>
      <c r="C1333" s="2">
        <f>HYPERLINK(URLs!B36 &amp; 89796,89796)</f>
        <v>89796</v>
      </c>
      <c r="D1333" t="s">
        <v>3296</v>
      </c>
      <c r="E1333" t="s">
        <v>136</v>
      </c>
      <c r="F1333" t="s">
        <v>305</v>
      </c>
      <c r="G1333" t="s">
        <v>310</v>
      </c>
      <c r="H1333" t="s">
        <v>30</v>
      </c>
      <c r="I1333" t="s">
        <v>31</v>
      </c>
      <c r="J1333" t="s">
        <v>43</v>
      </c>
      <c r="K1333" t="s">
        <v>44</v>
      </c>
      <c r="L1333" t="s">
        <v>106</v>
      </c>
      <c r="M1333" t="s">
        <v>270</v>
      </c>
      <c r="N1333" t="s">
        <v>60</v>
      </c>
      <c r="P1333" t="s">
        <v>75</v>
      </c>
      <c r="Q1333" t="s">
        <v>1503</v>
      </c>
      <c r="R1333">
        <v>42641.758518518516</v>
      </c>
      <c r="S1333">
        <v>42766.639502314814</v>
      </c>
      <c r="T1333" t="s">
        <v>288</v>
      </c>
      <c r="U1333" t="s">
        <v>35</v>
      </c>
      <c r="V1333" t="s">
        <v>35</v>
      </c>
      <c r="W1333" t="s">
        <v>133</v>
      </c>
    </row>
    <row r="1334" spans="1:23" x14ac:dyDescent="0.25">
      <c r="A1334" t="s">
        <v>665</v>
      </c>
      <c r="B1334" s="19">
        <v>12007</v>
      </c>
      <c r="C1334" s="2">
        <f>HYPERLINK(URLs!B36 &amp; 89421,89421)</f>
        <v>89421</v>
      </c>
      <c r="D1334" t="s">
        <v>320</v>
      </c>
      <c r="E1334" t="s">
        <v>136</v>
      </c>
      <c r="F1334" t="s">
        <v>305</v>
      </c>
      <c r="G1334" t="s">
        <v>304</v>
      </c>
      <c r="H1334" t="s">
        <v>30</v>
      </c>
      <c r="I1334" t="s">
        <v>31</v>
      </c>
      <c r="J1334" t="s">
        <v>43</v>
      </c>
      <c r="K1334" t="s">
        <v>44</v>
      </c>
      <c r="L1334" t="s">
        <v>106</v>
      </c>
      <c r="M1334" t="s">
        <v>270</v>
      </c>
      <c r="N1334" t="s">
        <v>60</v>
      </c>
      <c r="P1334" t="s">
        <v>75</v>
      </c>
      <c r="Q1334" t="s">
        <v>65</v>
      </c>
      <c r="R1334">
        <v>42634.865752314814</v>
      </c>
      <c r="S1334">
        <v>43307.158483796295</v>
      </c>
      <c r="T1334" t="s">
        <v>2</v>
      </c>
      <c r="U1334" t="s">
        <v>35</v>
      </c>
      <c r="V1334" t="s">
        <v>35</v>
      </c>
      <c r="W1334" t="s">
        <v>4098</v>
      </c>
    </row>
    <row r="1335" spans="1:23" x14ac:dyDescent="0.25">
      <c r="A1335" t="s">
        <v>633</v>
      </c>
      <c r="B1335" s="19">
        <v>12021</v>
      </c>
      <c r="C1335" s="2">
        <f>HYPERLINK(URLs!B36 &amp; 89790,89790)</f>
        <v>89790</v>
      </c>
      <c r="D1335" t="s">
        <v>3294</v>
      </c>
      <c r="E1335" t="s">
        <v>115</v>
      </c>
      <c r="F1335" t="s">
        <v>305</v>
      </c>
      <c r="G1335" t="s">
        <v>328</v>
      </c>
      <c r="H1335" t="s">
        <v>30</v>
      </c>
      <c r="I1335" t="s">
        <v>31</v>
      </c>
      <c r="J1335" t="s">
        <v>32</v>
      </c>
      <c r="K1335" t="s">
        <v>51</v>
      </c>
      <c r="L1335" t="s">
        <v>195</v>
      </c>
      <c r="M1335" t="s">
        <v>3293</v>
      </c>
      <c r="N1335" t="s">
        <v>582</v>
      </c>
      <c r="O1335" t="s">
        <v>3295</v>
      </c>
      <c r="P1335" t="s">
        <v>77</v>
      </c>
      <c r="Q1335" t="s">
        <v>2481</v>
      </c>
      <c r="R1335">
        <v>42641.651979166665</v>
      </c>
      <c r="S1335">
        <v>42929.387916666667</v>
      </c>
      <c r="T1335" t="s">
        <v>149</v>
      </c>
      <c r="U1335" t="s">
        <v>35</v>
      </c>
      <c r="V1335" t="s">
        <v>321</v>
      </c>
      <c r="W1335" t="s">
        <v>307</v>
      </c>
    </row>
    <row r="1336" spans="1:23" x14ac:dyDescent="0.25">
      <c r="A1336" t="s">
        <v>633</v>
      </c>
      <c r="B1336" s="19">
        <v>12021</v>
      </c>
      <c r="C1336" s="2">
        <f>HYPERLINK(URLs!B36 &amp; 89789,89789)</f>
        <v>89789</v>
      </c>
      <c r="D1336" t="s">
        <v>3292</v>
      </c>
      <c r="E1336" t="s">
        <v>2</v>
      </c>
      <c r="F1336" t="s">
        <v>305</v>
      </c>
      <c r="G1336" t="s">
        <v>328</v>
      </c>
      <c r="H1336" t="s">
        <v>30</v>
      </c>
      <c r="I1336" t="s">
        <v>31</v>
      </c>
      <c r="J1336" t="s">
        <v>32</v>
      </c>
      <c r="K1336" t="s">
        <v>51</v>
      </c>
      <c r="L1336" t="s">
        <v>195</v>
      </c>
      <c r="M1336" t="s">
        <v>3293</v>
      </c>
      <c r="N1336" t="s">
        <v>46</v>
      </c>
      <c r="P1336" t="s">
        <v>77</v>
      </c>
      <c r="Q1336" t="s">
        <v>2481</v>
      </c>
      <c r="R1336">
        <v>42641.651898148149</v>
      </c>
      <c r="S1336">
        <v>42745.157060185185</v>
      </c>
      <c r="T1336" t="s">
        <v>149</v>
      </c>
      <c r="U1336" t="s">
        <v>35</v>
      </c>
      <c r="V1336" t="s">
        <v>321</v>
      </c>
      <c r="W1336" t="s">
        <v>4156</v>
      </c>
    </row>
    <row r="1337" spans="1:23" x14ac:dyDescent="0.25">
      <c r="A1337" t="s">
        <v>633</v>
      </c>
      <c r="B1337" s="19">
        <v>12021</v>
      </c>
      <c r="C1337" s="2">
        <f>HYPERLINK(URLs!B36 &amp; 89788,89788)</f>
        <v>89788</v>
      </c>
      <c r="D1337" t="s">
        <v>3290</v>
      </c>
      <c r="E1337" t="s">
        <v>3147</v>
      </c>
      <c r="F1337" t="s">
        <v>305</v>
      </c>
      <c r="G1337" t="s">
        <v>328</v>
      </c>
      <c r="H1337" t="s">
        <v>30</v>
      </c>
      <c r="I1337" t="s">
        <v>31</v>
      </c>
      <c r="J1337" t="s">
        <v>32</v>
      </c>
      <c r="K1337" t="s">
        <v>51</v>
      </c>
      <c r="L1337" t="s">
        <v>45</v>
      </c>
      <c r="M1337" t="s">
        <v>260</v>
      </c>
      <c r="N1337" t="s">
        <v>582</v>
      </c>
      <c r="O1337" t="s">
        <v>3291</v>
      </c>
      <c r="P1337" t="s">
        <v>77</v>
      </c>
      <c r="Q1337" t="s">
        <v>2481</v>
      </c>
      <c r="R1337">
        <v>42641.651724537034</v>
      </c>
      <c r="S1337">
        <v>42804.705694444441</v>
      </c>
      <c r="T1337" t="s">
        <v>149</v>
      </c>
      <c r="U1337" t="s">
        <v>35</v>
      </c>
      <c r="V1337" t="s">
        <v>321</v>
      </c>
      <c r="W1337" t="s">
        <v>69</v>
      </c>
    </row>
    <row r="1338" spans="1:23" x14ac:dyDescent="0.25">
      <c r="A1338" t="s">
        <v>633</v>
      </c>
      <c r="B1338" s="19">
        <v>12021</v>
      </c>
      <c r="C1338" s="2">
        <f>HYPERLINK(URLs!B36 &amp; 89787,89787)</f>
        <v>89787</v>
      </c>
      <c r="D1338" t="s">
        <v>3289</v>
      </c>
      <c r="E1338" t="s">
        <v>62</v>
      </c>
      <c r="F1338" t="s">
        <v>305</v>
      </c>
      <c r="G1338" t="s">
        <v>328</v>
      </c>
      <c r="H1338" t="s">
        <v>30</v>
      </c>
      <c r="I1338" t="s">
        <v>31</v>
      </c>
      <c r="J1338" t="s">
        <v>32</v>
      </c>
      <c r="K1338" t="s">
        <v>51</v>
      </c>
      <c r="L1338" t="s">
        <v>45</v>
      </c>
      <c r="M1338" t="s">
        <v>260</v>
      </c>
      <c r="N1338" t="s">
        <v>60</v>
      </c>
      <c r="P1338" t="s">
        <v>77</v>
      </c>
      <c r="Q1338" t="s">
        <v>2481</v>
      </c>
      <c r="R1338">
        <v>42641.651562500003</v>
      </c>
      <c r="S1338">
        <v>42695.962789351855</v>
      </c>
      <c r="T1338" t="s">
        <v>149</v>
      </c>
      <c r="U1338" t="s">
        <v>35</v>
      </c>
      <c r="V1338" t="s">
        <v>321</v>
      </c>
      <c r="W1338" t="s">
        <v>133</v>
      </c>
    </row>
    <row r="1339" spans="1:23" x14ac:dyDescent="0.25">
      <c r="A1339" t="s">
        <v>633</v>
      </c>
      <c r="B1339" s="19">
        <v>12021</v>
      </c>
      <c r="C1339" s="2">
        <f>HYPERLINK(URLs!B36 &amp; 89490,89490)</f>
        <v>89490</v>
      </c>
      <c r="D1339" t="s">
        <v>3282</v>
      </c>
      <c r="E1339" t="s">
        <v>2</v>
      </c>
      <c r="F1339" t="s">
        <v>305</v>
      </c>
      <c r="G1339" t="s">
        <v>328</v>
      </c>
      <c r="H1339" t="s">
        <v>30</v>
      </c>
      <c r="I1339" t="s">
        <v>31</v>
      </c>
      <c r="J1339" t="s">
        <v>32</v>
      </c>
      <c r="K1339" t="s">
        <v>51</v>
      </c>
      <c r="L1339" t="s">
        <v>45</v>
      </c>
      <c r="M1339" t="s">
        <v>260</v>
      </c>
      <c r="N1339" t="s">
        <v>46</v>
      </c>
      <c r="P1339" t="s">
        <v>77</v>
      </c>
      <c r="Q1339" t="s">
        <v>2481</v>
      </c>
      <c r="R1339">
        <v>42635.806967592594</v>
      </c>
      <c r="S1339">
        <v>42929.388194444444</v>
      </c>
      <c r="T1339" t="s">
        <v>2</v>
      </c>
      <c r="U1339" t="s">
        <v>35</v>
      </c>
      <c r="V1339" t="s">
        <v>321</v>
      </c>
      <c r="W1339" t="s">
        <v>4098</v>
      </c>
    </row>
    <row r="1340" spans="1:23" x14ac:dyDescent="0.25">
      <c r="A1340" t="s">
        <v>633</v>
      </c>
      <c r="B1340" s="19">
        <v>12078</v>
      </c>
      <c r="C1340" s="2">
        <f>HYPERLINK(URLs!B36 &amp; 89907,89907)</f>
        <v>89907</v>
      </c>
      <c r="D1340" t="s">
        <v>3907</v>
      </c>
      <c r="E1340" t="s">
        <v>3184</v>
      </c>
      <c r="F1340" t="s">
        <v>305</v>
      </c>
      <c r="G1340" t="s">
        <v>353</v>
      </c>
      <c r="H1340" t="s">
        <v>30</v>
      </c>
      <c r="I1340" t="s">
        <v>31</v>
      </c>
      <c r="J1340" t="s">
        <v>32</v>
      </c>
      <c r="K1340" t="s">
        <v>33</v>
      </c>
      <c r="L1340" t="s">
        <v>34</v>
      </c>
      <c r="M1340" t="s">
        <v>368</v>
      </c>
      <c r="N1340" t="s">
        <v>46</v>
      </c>
      <c r="O1340" t="s">
        <v>3908</v>
      </c>
      <c r="P1340" t="s">
        <v>3187</v>
      </c>
      <c r="Q1340" t="s">
        <v>3909</v>
      </c>
      <c r="R1340">
        <v>42643.613668981481</v>
      </c>
      <c r="S1340">
        <v>42698.646273148152</v>
      </c>
      <c r="T1340" t="s">
        <v>171</v>
      </c>
      <c r="U1340" t="s">
        <v>35</v>
      </c>
      <c r="V1340" t="s">
        <v>35</v>
      </c>
      <c r="W1340" t="s">
        <v>92</v>
      </c>
    </row>
    <row r="1341" spans="1:23" x14ac:dyDescent="0.25">
      <c r="A1341" t="s">
        <v>633</v>
      </c>
      <c r="B1341" s="19">
        <v>12104</v>
      </c>
      <c r="C1341" s="2">
        <f>HYPERLINK(URLs!B36 &amp; 90132,90132)</f>
        <v>90132</v>
      </c>
      <c r="D1341" t="s">
        <v>3306</v>
      </c>
      <c r="E1341" t="s">
        <v>4</v>
      </c>
      <c r="F1341" t="s">
        <v>305</v>
      </c>
      <c r="G1341" t="s">
        <v>310</v>
      </c>
      <c r="H1341" t="s">
        <v>30</v>
      </c>
      <c r="I1341" t="s">
        <v>31</v>
      </c>
      <c r="J1341" t="s">
        <v>43</v>
      </c>
      <c r="K1341" t="s">
        <v>44</v>
      </c>
      <c r="L1341" t="s">
        <v>2529</v>
      </c>
      <c r="M1341" t="s">
        <v>3307</v>
      </c>
      <c r="N1341" t="s">
        <v>60</v>
      </c>
      <c r="P1341" t="s">
        <v>75</v>
      </c>
      <c r="Q1341" t="s">
        <v>3308</v>
      </c>
      <c r="R1341">
        <v>42648.399641203701</v>
      </c>
      <c r="S1341">
        <v>42669.574062500003</v>
      </c>
      <c r="T1341" t="s">
        <v>4</v>
      </c>
      <c r="U1341" t="s">
        <v>35</v>
      </c>
      <c r="V1341" t="s">
        <v>35</v>
      </c>
      <c r="W1341" t="s">
        <v>4156</v>
      </c>
    </row>
    <row r="1342" spans="1:23" x14ac:dyDescent="0.25">
      <c r="A1342" t="s">
        <v>633</v>
      </c>
      <c r="B1342" s="19">
        <v>12145</v>
      </c>
      <c r="C1342" s="2">
        <f>HYPERLINK(URLs!B36 &amp; 89896,89896)</f>
        <v>89896</v>
      </c>
      <c r="D1342" t="s">
        <v>3303</v>
      </c>
      <c r="E1342" t="s">
        <v>134</v>
      </c>
      <c r="F1342" t="s">
        <v>305</v>
      </c>
      <c r="G1342" t="s">
        <v>304</v>
      </c>
      <c r="H1342" t="s">
        <v>116</v>
      </c>
      <c r="I1342" t="s">
        <v>31</v>
      </c>
      <c r="J1342" t="s">
        <v>43</v>
      </c>
      <c r="K1342" t="s">
        <v>44</v>
      </c>
      <c r="L1342" t="s">
        <v>34</v>
      </c>
      <c r="M1342" t="s">
        <v>3304</v>
      </c>
      <c r="N1342" t="s">
        <v>510</v>
      </c>
      <c r="O1342" t="s">
        <v>533</v>
      </c>
      <c r="P1342" t="s">
        <v>369</v>
      </c>
      <c r="Q1342" t="s">
        <v>61</v>
      </c>
      <c r="R1342">
        <v>42643.523912037039</v>
      </c>
      <c r="S1342">
        <v>42902.701273148145</v>
      </c>
      <c r="T1342" t="s">
        <v>149</v>
      </c>
      <c r="U1342" t="s">
        <v>3982</v>
      </c>
      <c r="V1342" t="s">
        <v>35</v>
      </c>
      <c r="W1342" t="s">
        <v>4143</v>
      </c>
    </row>
    <row r="1343" spans="1:23" x14ac:dyDescent="0.25">
      <c r="A1343" t="s">
        <v>633</v>
      </c>
      <c r="B1343" s="19">
        <v>12145</v>
      </c>
      <c r="C1343" s="2">
        <f>HYPERLINK(URLs!B36 &amp; 89895,89895)</f>
        <v>89895</v>
      </c>
      <c r="D1343" t="s">
        <v>3302</v>
      </c>
      <c r="E1343" t="s">
        <v>405</v>
      </c>
      <c r="F1343" t="s">
        <v>305</v>
      </c>
      <c r="G1343" t="s">
        <v>304</v>
      </c>
      <c r="H1343" t="s">
        <v>30</v>
      </c>
      <c r="I1343" t="s">
        <v>31</v>
      </c>
      <c r="J1343" t="s">
        <v>43</v>
      </c>
      <c r="K1343" t="s">
        <v>44</v>
      </c>
      <c r="L1343" t="s">
        <v>34</v>
      </c>
      <c r="M1343" t="s">
        <v>402</v>
      </c>
      <c r="N1343" t="s">
        <v>46</v>
      </c>
      <c r="P1343" t="s">
        <v>369</v>
      </c>
      <c r="Q1343" t="s">
        <v>369</v>
      </c>
      <c r="R1343">
        <v>42643.52380787037</v>
      </c>
      <c r="S1343">
        <v>42695.671886574077</v>
      </c>
      <c r="T1343" t="s">
        <v>149</v>
      </c>
      <c r="U1343" t="s">
        <v>3977</v>
      </c>
      <c r="V1343" t="s">
        <v>35</v>
      </c>
      <c r="W1343" t="s">
        <v>107</v>
      </c>
    </row>
    <row r="1344" spans="1:23" x14ac:dyDescent="0.25">
      <c r="A1344" t="s">
        <v>633</v>
      </c>
      <c r="B1344" s="19">
        <v>12145</v>
      </c>
      <c r="C1344" s="2">
        <f>HYPERLINK(URLs!B36 &amp; 89894,89894)</f>
        <v>89894</v>
      </c>
      <c r="D1344" t="s">
        <v>3301</v>
      </c>
      <c r="E1344" t="s">
        <v>405</v>
      </c>
      <c r="F1344" t="s">
        <v>305</v>
      </c>
      <c r="G1344" t="s">
        <v>304</v>
      </c>
      <c r="H1344" t="s">
        <v>30</v>
      </c>
      <c r="I1344" t="s">
        <v>31</v>
      </c>
      <c r="J1344" t="s">
        <v>43</v>
      </c>
      <c r="K1344" t="s">
        <v>44</v>
      </c>
      <c r="L1344" t="s">
        <v>34</v>
      </c>
      <c r="M1344" t="s">
        <v>402</v>
      </c>
      <c r="N1344" t="s">
        <v>582</v>
      </c>
      <c r="O1344" t="s">
        <v>3300</v>
      </c>
      <c r="P1344" t="s">
        <v>369</v>
      </c>
      <c r="Q1344" t="s">
        <v>369</v>
      </c>
      <c r="R1344">
        <v>42643.523692129631</v>
      </c>
      <c r="S1344">
        <v>42933.845775462964</v>
      </c>
      <c r="T1344" t="s">
        <v>149</v>
      </c>
      <c r="U1344" t="s">
        <v>3988</v>
      </c>
      <c r="V1344" t="s">
        <v>35</v>
      </c>
      <c r="W1344" t="s">
        <v>69</v>
      </c>
    </row>
    <row r="1345" spans="1:23" x14ac:dyDescent="0.25">
      <c r="A1345" t="s">
        <v>633</v>
      </c>
      <c r="B1345" s="19">
        <v>12145</v>
      </c>
      <c r="C1345" s="2">
        <f>HYPERLINK(URLs!B36 &amp; 89893,89893)</f>
        <v>89893</v>
      </c>
      <c r="D1345" t="s">
        <v>3299</v>
      </c>
      <c r="E1345" t="s">
        <v>405</v>
      </c>
      <c r="F1345" t="s">
        <v>305</v>
      </c>
      <c r="G1345" t="s">
        <v>304</v>
      </c>
      <c r="H1345" t="s">
        <v>30</v>
      </c>
      <c r="I1345" t="s">
        <v>31</v>
      </c>
      <c r="J1345" t="s">
        <v>43</v>
      </c>
      <c r="K1345" t="s">
        <v>44</v>
      </c>
      <c r="L1345" t="s">
        <v>34</v>
      </c>
      <c r="M1345" t="s">
        <v>402</v>
      </c>
      <c r="N1345" t="s">
        <v>60</v>
      </c>
      <c r="O1345" t="s">
        <v>3300</v>
      </c>
      <c r="P1345" t="s">
        <v>369</v>
      </c>
      <c r="Q1345" t="s">
        <v>369</v>
      </c>
      <c r="R1345">
        <v>42643.523576388892</v>
      </c>
      <c r="S1345">
        <v>42794.873067129629</v>
      </c>
      <c r="T1345" t="s">
        <v>149</v>
      </c>
      <c r="U1345" t="s">
        <v>3994</v>
      </c>
      <c r="V1345" t="s">
        <v>35</v>
      </c>
      <c r="W1345" t="s">
        <v>133</v>
      </c>
    </row>
    <row r="1346" spans="1:23" x14ac:dyDescent="0.25">
      <c r="A1346" t="s">
        <v>633</v>
      </c>
      <c r="B1346" s="19">
        <v>12145</v>
      </c>
      <c r="C1346" s="2">
        <f>HYPERLINK(URLs!B36 &amp; 62726,62726)</f>
        <v>62726</v>
      </c>
      <c r="D1346" t="s">
        <v>404</v>
      </c>
      <c r="E1346" t="s">
        <v>405</v>
      </c>
      <c r="F1346" t="s">
        <v>305</v>
      </c>
      <c r="G1346" t="s">
        <v>304</v>
      </c>
      <c r="H1346" t="s">
        <v>30</v>
      </c>
      <c r="I1346" t="s">
        <v>31</v>
      </c>
      <c r="J1346" t="s">
        <v>43</v>
      </c>
      <c r="K1346" t="s">
        <v>44</v>
      </c>
      <c r="L1346" t="s">
        <v>34</v>
      </c>
      <c r="M1346" t="s">
        <v>402</v>
      </c>
      <c r="N1346" t="s">
        <v>46</v>
      </c>
      <c r="O1346" t="s">
        <v>403</v>
      </c>
      <c r="P1346" t="s">
        <v>369</v>
      </c>
      <c r="Q1346" t="s">
        <v>61</v>
      </c>
      <c r="R1346">
        <v>42144.885034722225</v>
      </c>
      <c r="S1346">
        <v>43020.934247685182</v>
      </c>
      <c r="T1346" t="s">
        <v>1</v>
      </c>
      <c r="U1346" t="s">
        <v>35</v>
      </c>
      <c r="V1346" t="s">
        <v>35</v>
      </c>
      <c r="W1346" t="s">
        <v>4098</v>
      </c>
    </row>
    <row r="1347" spans="1:23" x14ac:dyDescent="0.25">
      <c r="A1347" t="s">
        <v>665</v>
      </c>
      <c r="B1347" s="19">
        <v>12267</v>
      </c>
      <c r="C1347" s="2">
        <f>HYPERLINK(URLs!B36 &amp; 92141,92141)</f>
        <v>92141</v>
      </c>
      <c r="D1347" t="s">
        <v>3339</v>
      </c>
      <c r="E1347" t="s">
        <v>72</v>
      </c>
      <c r="F1347" t="s">
        <v>305</v>
      </c>
      <c r="G1347" t="s">
        <v>328</v>
      </c>
      <c r="H1347" t="s">
        <v>30</v>
      </c>
      <c r="I1347" t="s">
        <v>31</v>
      </c>
      <c r="J1347" t="s">
        <v>43</v>
      </c>
      <c r="K1347" t="s">
        <v>44</v>
      </c>
      <c r="L1347" t="s">
        <v>73</v>
      </c>
      <c r="M1347" t="s">
        <v>263</v>
      </c>
      <c r="N1347" t="s">
        <v>60</v>
      </c>
      <c r="P1347" t="s">
        <v>75</v>
      </c>
      <c r="Q1347" t="s">
        <v>2481</v>
      </c>
      <c r="R1347">
        <v>42684.864537037036</v>
      </c>
      <c r="S1347">
        <v>42745.156064814815</v>
      </c>
      <c r="T1347" t="s">
        <v>3125</v>
      </c>
      <c r="U1347" t="s">
        <v>35</v>
      </c>
      <c r="V1347" t="s">
        <v>35</v>
      </c>
      <c r="W1347" t="s">
        <v>4156</v>
      </c>
    </row>
    <row r="1348" spans="1:23" x14ac:dyDescent="0.25">
      <c r="A1348" t="s">
        <v>665</v>
      </c>
      <c r="B1348" s="19">
        <v>12267</v>
      </c>
      <c r="C1348" s="2">
        <f>HYPERLINK(URLs!B36 &amp; 91603,91603)</f>
        <v>91603</v>
      </c>
      <c r="D1348" t="s">
        <v>3328</v>
      </c>
      <c r="E1348" t="s">
        <v>110</v>
      </c>
      <c r="F1348" t="s">
        <v>305</v>
      </c>
      <c r="G1348" t="s">
        <v>328</v>
      </c>
      <c r="H1348" t="s">
        <v>30</v>
      </c>
      <c r="I1348" t="s">
        <v>31</v>
      </c>
      <c r="J1348" t="s">
        <v>43</v>
      </c>
      <c r="K1348" t="s">
        <v>44</v>
      </c>
      <c r="L1348" t="s">
        <v>73</v>
      </c>
      <c r="M1348" t="s">
        <v>263</v>
      </c>
      <c r="N1348" t="s">
        <v>582</v>
      </c>
      <c r="P1348" t="s">
        <v>75</v>
      </c>
      <c r="Q1348" t="s">
        <v>2481</v>
      </c>
      <c r="R1348">
        <v>42675.467546296299</v>
      </c>
      <c r="S1348">
        <v>42759.631469907406</v>
      </c>
      <c r="T1348" t="s">
        <v>317</v>
      </c>
      <c r="U1348" t="s">
        <v>35</v>
      </c>
      <c r="V1348" t="s">
        <v>321</v>
      </c>
      <c r="W1348" t="s">
        <v>69</v>
      </c>
    </row>
    <row r="1349" spans="1:23" x14ac:dyDescent="0.25">
      <c r="A1349" t="s">
        <v>665</v>
      </c>
      <c r="B1349" s="19">
        <v>12267</v>
      </c>
      <c r="C1349" s="2">
        <f>HYPERLINK(URLs!B36 &amp; 91602,91602)</f>
        <v>91602</v>
      </c>
      <c r="D1349" t="s">
        <v>3326</v>
      </c>
      <c r="E1349" t="s">
        <v>139</v>
      </c>
      <c r="F1349" t="s">
        <v>305</v>
      </c>
      <c r="G1349" t="s">
        <v>328</v>
      </c>
      <c r="H1349" t="s">
        <v>54</v>
      </c>
      <c r="I1349" t="s">
        <v>31</v>
      </c>
      <c r="J1349" t="s">
        <v>43</v>
      </c>
      <c r="K1349" t="s">
        <v>44</v>
      </c>
      <c r="L1349" t="s">
        <v>73</v>
      </c>
      <c r="M1349" t="s">
        <v>263</v>
      </c>
      <c r="N1349" t="s">
        <v>60</v>
      </c>
      <c r="O1349" t="s">
        <v>3327</v>
      </c>
      <c r="P1349" t="s">
        <v>75</v>
      </c>
      <c r="Q1349" t="s">
        <v>2481</v>
      </c>
      <c r="R1349">
        <v>42675.467418981483</v>
      </c>
      <c r="S1349">
        <v>42759.631053240744</v>
      </c>
      <c r="T1349" t="s">
        <v>317</v>
      </c>
      <c r="U1349" t="s">
        <v>35</v>
      </c>
      <c r="V1349" t="s">
        <v>35</v>
      </c>
      <c r="W1349" t="s">
        <v>133</v>
      </c>
    </row>
    <row r="1350" spans="1:23" x14ac:dyDescent="0.25">
      <c r="A1350" t="s">
        <v>665</v>
      </c>
      <c r="B1350" s="19">
        <v>12267</v>
      </c>
      <c r="C1350" s="2">
        <f>HYPERLINK(URLs!B36 &amp; 91552,91552)</f>
        <v>91552</v>
      </c>
      <c r="D1350" t="s">
        <v>3322</v>
      </c>
      <c r="E1350" t="s">
        <v>139</v>
      </c>
      <c r="F1350" t="s">
        <v>305</v>
      </c>
      <c r="G1350" t="s">
        <v>328</v>
      </c>
      <c r="H1350" t="s">
        <v>30</v>
      </c>
      <c r="I1350" t="s">
        <v>31</v>
      </c>
      <c r="J1350" t="s">
        <v>43</v>
      </c>
      <c r="K1350" t="s">
        <v>44</v>
      </c>
      <c r="L1350" t="s">
        <v>73</v>
      </c>
      <c r="M1350" t="s">
        <v>263</v>
      </c>
      <c r="N1350" t="s">
        <v>60</v>
      </c>
      <c r="O1350" t="s">
        <v>3323</v>
      </c>
      <c r="P1350" t="s">
        <v>75</v>
      </c>
      <c r="Q1350" t="s">
        <v>2481</v>
      </c>
      <c r="R1350">
        <v>42671.918217592596</v>
      </c>
      <c r="S1350">
        <v>42759.63140046296</v>
      </c>
      <c r="T1350" t="s">
        <v>2</v>
      </c>
      <c r="U1350" t="s">
        <v>35</v>
      </c>
      <c r="V1350" t="s">
        <v>35</v>
      </c>
      <c r="W1350" t="s">
        <v>4098</v>
      </c>
    </row>
    <row r="1351" spans="1:23" x14ac:dyDescent="0.25">
      <c r="B1351" s="19">
        <v>12270</v>
      </c>
      <c r="C1351" s="2">
        <f>HYPERLINK(URLs!B36 &amp; 91627,91627)</f>
        <v>91627</v>
      </c>
      <c r="D1351" t="s">
        <v>3331</v>
      </c>
      <c r="E1351" t="s">
        <v>72</v>
      </c>
      <c r="F1351" t="s">
        <v>305</v>
      </c>
      <c r="G1351" t="s">
        <v>353</v>
      </c>
      <c r="H1351" t="s">
        <v>30</v>
      </c>
      <c r="I1351" t="s">
        <v>31</v>
      </c>
      <c r="J1351" t="s">
        <v>43</v>
      </c>
      <c r="K1351" t="s">
        <v>44</v>
      </c>
      <c r="L1351" t="s">
        <v>73</v>
      </c>
      <c r="M1351" t="s">
        <v>263</v>
      </c>
      <c r="N1351" t="s">
        <v>46</v>
      </c>
      <c r="P1351" t="s">
        <v>75</v>
      </c>
      <c r="Q1351" t="s">
        <v>65</v>
      </c>
      <c r="R1351">
        <v>42675.873414351852</v>
      </c>
      <c r="S1351">
        <v>42684.865624999999</v>
      </c>
      <c r="T1351" t="s">
        <v>317</v>
      </c>
      <c r="U1351" t="s">
        <v>35</v>
      </c>
      <c r="V1351" t="s">
        <v>35</v>
      </c>
      <c r="W1351" t="s">
        <v>4156</v>
      </c>
    </row>
    <row r="1352" spans="1:23" x14ac:dyDescent="0.25">
      <c r="B1352" s="19">
        <v>12270</v>
      </c>
      <c r="C1352" s="2">
        <f>HYPERLINK(URLs!B36 &amp; 91626,91626)</f>
        <v>91626</v>
      </c>
      <c r="D1352" t="s">
        <v>3330</v>
      </c>
      <c r="E1352" t="s">
        <v>72</v>
      </c>
      <c r="F1352" t="s">
        <v>305</v>
      </c>
      <c r="G1352" t="s">
        <v>353</v>
      </c>
      <c r="H1352" t="s">
        <v>30</v>
      </c>
      <c r="I1352" t="s">
        <v>31</v>
      </c>
      <c r="J1352" t="s">
        <v>43</v>
      </c>
      <c r="K1352" t="s">
        <v>44</v>
      </c>
      <c r="L1352" t="s">
        <v>73</v>
      </c>
      <c r="M1352" t="s">
        <v>263</v>
      </c>
      <c r="N1352" t="s">
        <v>46</v>
      </c>
      <c r="P1352" t="s">
        <v>75</v>
      </c>
      <c r="Q1352" t="s">
        <v>65</v>
      </c>
      <c r="R1352">
        <v>42675.873310185183</v>
      </c>
      <c r="S1352">
        <v>42684.863842592589</v>
      </c>
      <c r="T1352" t="s">
        <v>317</v>
      </c>
      <c r="U1352" t="s">
        <v>35</v>
      </c>
      <c r="V1352" t="s">
        <v>35</v>
      </c>
      <c r="W1352" t="s">
        <v>69</v>
      </c>
    </row>
    <row r="1353" spans="1:23" x14ac:dyDescent="0.25">
      <c r="B1353" s="19">
        <v>12270</v>
      </c>
      <c r="C1353" s="2">
        <f>HYPERLINK(URLs!B36 &amp; 91625,91625)</f>
        <v>91625</v>
      </c>
      <c r="D1353" t="s">
        <v>3329</v>
      </c>
      <c r="E1353" t="s">
        <v>72</v>
      </c>
      <c r="F1353" t="s">
        <v>305</v>
      </c>
      <c r="G1353" t="s">
        <v>353</v>
      </c>
      <c r="H1353" t="s">
        <v>30</v>
      </c>
      <c r="I1353" t="s">
        <v>31</v>
      </c>
      <c r="J1353" t="s">
        <v>43</v>
      </c>
      <c r="K1353" t="s">
        <v>44</v>
      </c>
      <c r="L1353" t="s">
        <v>73</v>
      </c>
      <c r="M1353" t="s">
        <v>263</v>
      </c>
      <c r="N1353" t="s">
        <v>46</v>
      </c>
      <c r="P1353" t="s">
        <v>75</v>
      </c>
      <c r="Q1353" t="s">
        <v>65</v>
      </c>
      <c r="R1353">
        <v>42675.873217592591</v>
      </c>
      <c r="S1353">
        <v>42678.634652777779</v>
      </c>
      <c r="T1353" t="s">
        <v>317</v>
      </c>
      <c r="U1353" t="s">
        <v>35</v>
      </c>
      <c r="V1353" t="s">
        <v>35</v>
      </c>
      <c r="W1353" t="s">
        <v>133</v>
      </c>
    </row>
    <row r="1354" spans="1:23" x14ac:dyDescent="0.25">
      <c r="B1354" s="19">
        <v>12270</v>
      </c>
      <c r="C1354" s="2">
        <f>HYPERLINK(URLs!B36 &amp; 91561,91561)</f>
        <v>91561</v>
      </c>
      <c r="D1354" t="s">
        <v>3325</v>
      </c>
      <c r="E1354" t="s">
        <v>72</v>
      </c>
      <c r="F1354" t="s">
        <v>305</v>
      </c>
      <c r="G1354" t="s">
        <v>353</v>
      </c>
      <c r="H1354" t="s">
        <v>30</v>
      </c>
      <c r="I1354" t="s">
        <v>31</v>
      </c>
      <c r="J1354" t="s">
        <v>43</v>
      </c>
      <c r="K1354" t="s">
        <v>44</v>
      </c>
      <c r="L1354" t="s">
        <v>73</v>
      </c>
      <c r="M1354" t="s">
        <v>263</v>
      </c>
      <c r="N1354" t="s">
        <v>46</v>
      </c>
      <c r="P1354" t="s">
        <v>75</v>
      </c>
      <c r="Q1354" t="s">
        <v>65</v>
      </c>
      <c r="R1354">
        <v>42674.181747685187</v>
      </c>
      <c r="S1354">
        <v>42678.638333333336</v>
      </c>
      <c r="T1354" t="s">
        <v>4</v>
      </c>
      <c r="U1354" t="s">
        <v>35</v>
      </c>
      <c r="V1354" t="s">
        <v>35</v>
      </c>
      <c r="W1354" t="s">
        <v>4098</v>
      </c>
    </row>
    <row r="1355" spans="1:23" x14ac:dyDescent="0.25">
      <c r="A1355" t="s">
        <v>633</v>
      </c>
      <c r="B1355" s="19">
        <v>12271</v>
      </c>
      <c r="C1355" s="2">
        <f>HYPERLINK(URLs!B36 &amp; 98613,98613)</f>
        <v>98613</v>
      </c>
      <c r="D1355" t="s">
        <v>553</v>
      </c>
      <c r="E1355" t="s">
        <v>387</v>
      </c>
      <c r="F1355" t="s">
        <v>305</v>
      </c>
      <c r="G1355" t="s">
        <v>337</v>
      </c>
      <c r="H1355" t="s">
        <v>30</v>
      </c>
      <c r="I1355" t="s">
        <v>31</v>
      </c>
      <c r="J1355" t="s">
        <v>43</v>
      </c>
      <c r="K1355" t="s">
        <v>44</v>
      </c>
      <c r="L1355" t="s">
        <v>73</v>
      </c>
      <c r="M1355" t="s">
        <v>263</v>
      </c>
      <c r="N1355" t="s">
        <v>523</v>
      </c>
      <c r="P1355" t="s">
        <v>77</v>
      </c>
      <c r="Q1355" t="s">
        <v>3708</v>
      </c>
      <c r="R1355">
        <v>42846.767118055555</v>
      </c>
      <c r="S1355">
        <v>43423.866747685184</v>
      </c>
      <c r="T1355" t="s">
        <v>548</v>
      </c>
      <c r="U1355" t="s">
        <v>35</v>
      </c>
      <c r="V1355" t="s">
        <v>35</v>
      </c>
      <c r="W1355" t="s">
        <v>4163</v>
      </c>
    </row>
    <row r="1356" spans="1:23" x14ac:dyDescent="0.25">
      <c r="A1356" t="s">
        <v>633</v>
      </c>
      <c r="B1356" s="19">
        <v>12271</v>
      </c>
      <c r="C1356" s="2">
        <f>HYPERLINK(URLs!B36 &amp; 98599,98599)</f>
        <v>98599</v>
      </c>
      <c r="D1356" t="s">
        <v>3512</v>
      </c>
      <c r="E1356" t="s">
        <v>94</v>
      </c>
      <c r="F1356" t="s">
        <v>305</v>
      </c>
      <c r="G1356" t="s">
        <v>304</v>
      </c>
      <c r="H1356" t="s">
        <v>116</v>
      </c>
      <c r="I1356" t="s">
        <v>31</v>
      </c>
      <c r="J1356" t="s">
        <v>43</v>
      </c>
      <c r="K1356" t="s">
        <v>44</v>
      </c>
      <c r="L1356" t="s">
        <v>73</v>
      </c>
      <c r="M1356" t="s">
        <v>263</v>
      </c>
      <c r="N1356" t="s">
        <v>3513</v>
      </c>
      <c r="P1356" t="s">
        <v>77</v>
      </c>
      <c r="Q1356" t="s">
        <v>562</v>
      </c>
      <c r="R1356">
        <v>42846.633969907409</v>
      </c>
      <c r="S1356">
        <v>43230.941574074073</v>
      </c>
      <c r="T1356" t="s">
        <v>301</v>
      </c>
      <c r="U1356" t="s">
        <v>4013</v>
      </c>
      <c r="V1356" t="s">
        <v>35</v>
      </c>
      <c r="W1356" t="s">
        <v>307</v>
      </c>
    </row>
    <row r="1357" spans="1:23" x14ac:dyDescent="0.25">
      <c r="A1357" t="s">
        <v>633</v>
      </c>
      <c r="B1357" s="19">
        <v>12271</v>
      </c>
      <c r="C1357" s="2">
        <f>HYPERLINK(URLs!B36 &amp; 91630,91630)</f>
        <v>91630</v>
      </c>
      <c r="D1357" t="s">
        <v>522</v>
      </c>
      <c r="E1357" t="s">
        <v>94</v>
      </c>
      <c r="F1357" t="s">
        <v>305</v>
      </c>
      <c r="G1357" t="s">
        <v>337</v>
      </c>
      <c r="H1357" t="s">
        <v>30</v>
      </c>
      <c r="I1357" t="s">
        <v>31</v>
      </c>
      <c r="J1357" t="s">
        <v>43</v>
      </c>
      <c r="K1357" t="s">
        <v>44</v>
      </c>
      <c r="L1357" t="s">
        <v>73</v>
      </c>
      <c r="M1357" t="s">
        <v>273</v>
      </c>
      <c r="N1357" t="s">
        <v>523</v>
      </c>
      <c r="P1357" t="s">
        <v>77</v>
      </c>
      <c r="Q1357" t="s">
        <v>3708</v>
      </c>
      <c r="R1357">
        <v>42675.873831018522</v>
      </c>
      <c r="S1357">
        <v>43423.863518518519</v>
      </c>
      <c r="T1357" t="s">
        <v>317</v>
      </c>
      <c r="U1357" t="s">
        <v>35</v>
      </c>
      <c r="V1357" t="s">
        <v>35</v>
      </c>
      <c r="W1357" t="s">
        <v>4156</v>
      </c>
    </row>
    <row r="1358" spans="1:23" x14ac:dyDescent="0.25">
      <c r="A1358" t="s">
        <v>633</v>
      </c>
      <c r="B1358" s="19">
        <v>12271</v>
      </c>
      <c r="C1358" s="2">
        <f>HYPERLINK(URLs!B36 &amp; 91629,91629)</f>
        <v>91629</v>
      </c>
      <c r="D1358" t="s">
        <v>3334</v>
      </c>
      <c r="E1358" t="s">
        <v>94</v>
      </c>
      <c r="F1358" t="s">
        <v>305</v>
      </c>
      <c r="G1358" t="s">
        <v>304</v>
      </c>
      <c r="H1358" t="s">
        <v>54</v>
      </c>
      <c r="I1358" t="s">
        <v>31</v>
      </c>
      <c r="J1358" t="s">
        <v>43</v>
      </c>
      <c r="K1358" t="s">
        <v>44</v>
      </c>
      <c r="L1358" t="s">
        <v>73</v>
      </c>
      <c r="M1358" t="s">
        <v>273</v>
      </c>
      <c r="N1358" t="s">
        <v>518</v>
      </c>
      <c r="P1358" t="s">
        <v>77</v>
      </c>
      <c r="Q1358" t="s">
        <v>562</v>
      </c>
      <c r="R1358">
        <v>42675.873761574076</v>
      </c>
      <c r="S1358">
        <v>42948.862604166665</v>
      </c>
      <c r="T1358" t="s">
        <v>317</v>
      </c>
      <c r="U1358" t="s">
        <v>3996</v>
      </c>
      <c r="V1358" t="s">
        <v>35</v>
      </c>
      <c r="W1358" t="s">
        <v>69</v>
      </c>
    </row>
    <row r="1359" spans="1:23" x14ac:dyDescent="0.25">
      <c r="A1359" t="s">
        <v>633</v>
      </c>
      <c r="B1359" s="19">
        <v>12271</v>
      </c>
      <c r="C1359" s="2">
        <f>HYPERLINK(URLs!B36 &amp; 91628,91628)</f>
        <v>91628</v>
      </c>
      <c r="D1359" t="s">
        <v>3332</v>
      </c>
      <c r="E1359" t="s">
        <v>94</v>
      </c>
      <c r="F1359" t="s">
        <v>305</v>
      </c>
      <c r="G1359" t="s">
        <v>337</v>
      </c>
      <c r="H1359" t="s">
        <v>54</v>
      </c>
      <c r="I1359" t="s">
        <v>31</v>
      </c>
      <c r="J1359" t="s">
        <v>43</v>
      </c>
      <c r="K1359" t="s">
        <v>44</v>
      </c>
      <c r="L1359" t="s">
        <v>73</v>
      </c>
      <c r="M1359" t="s">
        <v>263</v>
      </c>
      <c r="N1359" t="s">
        <v>60</v>
      </c>
      <c r="O1359" t="s">
        <v>3333</v>
      </c>
      <c r="P1359" t="s">
        <v>77</v>
      </c>
      <c r="Q1359" t="s">
        <v>2481</v>
      </c>
      <c r="R1359">
        <v>42675.873692129629</v>
      </c>
      <c r="S1359">
        <v>42831.667395833334</v>
      </c>
      <c r="T1359" t="s">
        <v>317</v>
      </c>
      <c r="U1359" t="s">
        <v>35</v>
      </c>
      <c r="V1359" t="s">
        <v>35</v>
      </c>
      <c r="W1359" t="s">
        <v>133</v>
      </c>
    </row>
    <row r="1360" spans="1:23" x14ac:dyDescent="0.25">
      <c r="A1360" t="s">
        <v>633</v>
      </c>
      <c r="B1360" s="19">
        <v>12271</v>
      </c>
      <c r="C1360" s="2">
        <f>HYPERLINK(URLs!B36 &amp; 91565,91565)</f>
        <v>91565</v>
      </c>
      <c r="D1360" t="s">
        <v>93</v>
      </c>
      <c r="E1360" t="s">
        <v>94</v>
      </c>
      <c r="F1360" t="s">
        <v>319</v>
      </c>
      <c r="G1360" t="s">
        <v>304</v>
      </c>
      <c r="H1360" t="s">
        <v>30</v>
      </c>
      <c r="I1360" t="s">
        <v>31</v>
      </c>
      <c r="J1360" t="s">
        <v>43</v>
      </c>
      <c r="K1360" t="s">
        <v>44</v>
      </c>
      <c r="L1360" t="s">
        <v>73</v>
      </c>
      <c r="M1360" t="s">
        <v>263</v>
      </c>
      <c r="N1360" t="s">
        <v>46</v>
      </c>
      <c r="P1360" t="s">
        <v>77</v>
      </c>
      <c r="Q1360" t="s">
        <v>3708</v>
      </c>
      <c r="R1360">
        <v>42674.344664351855</v>
      </c>
      <c r="S1360">
        <v>43423.896238425928</v>
      </c>
      <c r="T1360" t="s">
        <v>4</v>
      </c>
      <c r="U1360" t="s">
        <v>35</v>
      </c>
      <c r="V1360" t="s">
        <v>35</v>
      </c>
      <c r="W1360" t="s">
        <v>4098</v>
      </c>
    </row>
    <row r="1361" spans="1:23" x14ac:dyDescent="0.25">
      <c r="A1361" t="s">
        <v>665</v>
      </c>
      <c r="B1361" s="19">
        <v>12294</v>
      </c>
      <c r="C1361" s="2">
        <f>HYPERLINK(URLs!B36 &amp; 88000,88000)</f>
        <v>88000</v>
      </c>
      <c r="D1361" t="s">
        <v>3232</v>
      </c>
      <c r="E1361" t="s">
        <v>139</v>
      </c>
      <c r="F1361" t="s">
        <v>305</v>
      </c>
      <c r="G1361" t="s">
        <v>304</v>
      </c>
      <c r="H1361" t="s">
        <v>30</v>
      </c>
      <c r="I1361" t="s">
        <v>31</v>
      </c>
      <c r="J1361" t="s">
        <v>43</v>
      </c>
      <c r="K1361" t="s">
        <v>44</v>
      </c>
      <c r="L1361" t="s">
        <v>73</v>
      </c>
      <c r="M1361" t="s">
        <v>263</v>
      </c>
      <c r="N1361" t="s">
        <v>46</v>
      </c>
      <c r="P1361" t="s">
        <v>3233</v>
      </c>
      <c r="Q1361" t="s">
        <v>3120</v>
      </c>
      <c r="R1361">
        <v>42605.59946759259</v>
      </c>
      <c r="S1361">
        <v>42871.700775462959</v>
      </c>
      <c r="T1361" t="s">
        <v>86</v>
      </c>
      <c r="U1361" t="s">
        <v>35</v>
      </c>
      <c r="V1361" t="s">
        <v>35</v>
      </c>
      <c r="W1361" t="s">
        <v>4098</v>
      </c>
    </row>
    <row r="1362" spans="1:23" x14ac:dyDescent="0.25">
      <c r="B1362" s="19">
        <v>12367</v>
      </c>
      <c r="C1362" s="2">
        <f>HYPERLINK(URLs!B36 &amp; 88358,88358)</f>
        <v>88358</v>
      </c>
      <c r="D1362" t="s">
        <v>3240</v>
      </c>
      <c r="E1362" t="s">
        <v>139</v>
      </c>
      <c r="F1362" t="s">
        <v>305</v>
      </c>
      <c r="G1362" t="s">
        <v>304</v>
      </c>
      <c r="H1362" t="s">
        <v>30</v>
      </c>
      <c r="I1362" t="s">
        <v>68</v>
      </c>
      <c r="J1362" t="s">
        <v>43</v>
      </c>
      <c r="K1362" t="s">
        <v>33</v>
      </c>
      <c r="L1362" t="s">
        <v>73</v>
      </c>
      <c r="M1362" t="s">
        <v>263</v>
      </c>
      <c r="N1362" t="s">
        <v>60</v>
      </c>
      <c r="P1362" t="s">
        <v>3233</v>
      </c>
      <c r="R1362">
        <v>42613.277870370373</v>
      </c>
      <c r="S1362">
        <v>42789.895266203705</v>
      </c>
      <c r="T1362" t="s">
        <v>53</v>
      </c>
      <c r="U1362" t="s">
        <v>3986</v>
      </c>
      <c r="V1362" t="s">
        <v>35</v>
      </c>
      <c r="W1362" t="s">
        <v>133</v>
      </c>
    </row>
    <row r="1363" spans="1:23" x14ac:dyDescent="0.25">
      <c r="A1363" t="s">
        <v>665</v>
      </c>
      <c r="B1363" s="19">
        <v>12371</v>
      </c>
      <c r="C1363" s="2">
        <f>HYPERLINK(URLs!B36 &amp; 93282,93282)</f>
        <v>93282</v>
      </c>
      <c r="D1363" t="s">
        <v>3364</v>
      </c>
      <c r="E1363" t="s">
        <v>3365</v>
      </c>
      <c r="F1363" t="s">
        <v>305</v>
      </c>
      <c r="G1363" t="s">
        <v>304</v>
      </c>
      <c r="H1363" t="s">
        <v>30</v>
      </c>
      <c r="I1363" t="s">
        <v>68</v>
      </c>
      <c r="J1363" t="s">
        <v>43</v>
      </c>
      <c r="K1363" t="s">
        <v>33</v>
      </c>
      <c r="L1363" t="s">
        <v>34</v>
      </c>
      <c r="M1363" t="s">
        <v>2888</v>
      </c>
      <c r="N1363" t="s">
        <v>46</v>
      </c>
      <c r="O1363" t="s">
        <v>533</v>
      </c>
      <c r="P1363" t="s">
        <v>75</v>
      </c>
      <c r="Q1363" t="s">
        <v>133</v>
      </c>
      <c r="R1363">
        <v>42710.041655092595</v>
      </c>
      <c r="S1363">
        <v>42831.635960648149</v>
      </c>
      <c r="T1363" t="s">
        <v>149</v>
      </c>
      <c r="U1363" t="s">
        <v>35</v>
      </c>
      <c r="V1363" t="s">
        <v>35</v>
      </c>
      <c r="W1363" t="s">
        <v>4143</v>
      </c>
    </row>
    <row r="1364" spans="1:23" x14ac:dyDescent="0.25">
      <c r="A1364" t="s">
        <v>665</v>
      </c>
      <c r="B1364" s="19">
        <v>12371</v>
      </c>
      <c r="C1364" s="2">
        <f>HYPERLINK(URLs!B36 &amp; 93281,93281)</f>
        <v>93281</v>
      </c>
      <c r="D1364" t="s">
        <v>3363</v>
      </c>
      <c r="E1364" t="s">
        <v>3337</v>
      </c>
      <c r="F1364" t="s">
        <v>305</v>
      </c>
      <c r="G1364" t="s">
        <v>337</v>
      </c>
      <c r="H1364" t="s">
        <v>30</v>
      </c>
      <c r="I1364" t="s">
        <v>68</v>
      </c>
      <c r="J1364" t="s">
        <v>43</v>
      </c>
      <c r="K1364" t="s">
        <v>33</v>
      </c>
      <c r="L1364" t="s">
        <v>34</v>
      </c>
      <c r="M1364" t="s">
        <v>2888</v>
      </c>
      <c r="N1364" t="s">
        <v>46</v>
      </c>
      <c r="O1364" t="s">
        <v>3361</v>
      </c>
      <c r="P1364" t="s">
        <v>75</v>
      </c>
      <c r="Q1364" t="s">
        <v>3067</v>
      </c>
      <c r="R1364">
        <v>42710.041539351849</v>
      </c>
      <c r="S1364">
        <v>42929.388495370367</v>
      </c>
      <c r="T1364" t="s">
        <v>149</v>
      </c>
      <c r="U1364" t="s">
        <v>35</v>
      </c>
      <c r="V1364" t="s">
        <v>35</v>
      </c>
      <c r="W1364" t="s">
        <v>4156</v>
      </c>
    </row>
    <row r="1365" spans="1:23" x14ac:dyDescent="0.25">
      <c r="A1365" t="s">
        <v>665</v>
      </c>
      <c r="B1365" s="19">
        <v>12371</v>
      </c>
      <c r="C1365" s="2">
        <f>HYPERLINK(URLs!B36 &amp; 93280,93280)</f>
        <v>93280</v>
      </c>
      <c r="D1365" t="s">
        <v>3362</v>
      </c>
      <c r="E1365" t="s">
        <v>3337</v>
      </c>
      <c r="F1365" t="s">
        <v>305</v>
      </c>
      <c r="G1365" t="s">
        <v>337</v>
      </c>
      <c r="H1365" t="s">
        <v>30</v>
      </c>
      <c r="I1365" t="s">
        <v>68</v>
      </c>
      <c r="J1365" t="s">
        <v>43</v>
      </c>
      <c r="K1365" t="s">
        <v>33</v>
      </c>
      <c r="L1365" t="s">
        <v>34</v>
      </c>
      <c r="M1365" t="s">
        <v>2888</v>
      </c>
      <c r="N1365" t="s">
        <v>46</v>
      </c>
      <c r="O1365" t="s">
        <v>533</v>
      </c>
      <c r="P1365" t="s">
        <v>75</v>
      </c>
      <c r="Q1365" t="s">
        <v>528</v>
      </c>
      <c r="R1365">
        <v>42710.041400462964</v>
      </c>
      <c r="S1365">
        <v>42933.857974537037</v>
      </c>
      <c r="T1365" t="s">
        <v>149</v>
      </c>
      <c r="U1365" t="s">
        <v>35</v>
      </c>
      <c r="V1365" t="s">
        <v>35</v>
      </c>
      <c r="W1365" t="s">
        <v>4155</v>
      </c>
    </row>
    <row r="1366" spans="1:23" x14ac:dyDescent="0.25">
      <c r="A1366" t="s">
        <v>665</v>
      </c>
      <c r="B1366" s="19">
        <v>12371</v>
      </c>
      <c r="C1366" s="2">
        <f>HYPERLINK(URLs!B36 &amp; 93279,93279)</f>
        <v>93279</v>
      </c>
      <c r="D1366" t="s">
        <v>3360</v>
      </c>
      <c r="E1366" t="s">
        <v>3337</v>
      </c>
      <c r="F1366" t="s">
        <v>305</v>
      </c>
      <c r="G1366" t="s">
        <v>337</v>
      </c>
      <c r="H1366" t="s">
        <v>30</v>
      </c>
      <c r="I1366" t="s">
        <v>68</v>
      </c>
      <c r="J1366" t="s">
        <v>43</v>
      </c>
      <c r="K1366" t="s">
        <v>33</v>
      </c>
      <c r="L1366" t="s">
        <v>34</v>
      </c>
      <c r="M1366" t="s">
        <v>2888</v>
      </c>
      <c r="N1366" t="s">
        <v>46</v>
      </c>
      <c r="O1366" t="s">
        <v>3361</v>
      </c>
      <c r="P1366" t="s">
        <v>75</v>
      </c>
      <c r="Q1366" t="s">
        <v>3067</v>
      </c>
      <c r="R1366">
        <v>42710.041261574072</v>
      </c>
      <c r="S1366">
        <v>42941.878576388888</v>
      </c>
      <c r="T1366" t="s">
        <v>149</v>
      </c>
      <c r="U1366" t="s">
        <v>35</v>
      </c>
      <c r="V1366" t="s">
        <v>35</v>
      </c>
      <c r="W1366" t="s">
        <v>133</v>
      </c>
    </row>
    <row r="1367" spans="1:23" x14ac:dyDescent="0.25">
      <c r="A1367" t="s">
        <v>665</v>
      </c>
      <c r="B1367" s="19">
        <v>12371</v>
      </c>
      <c r="C1367" s="2">
        <f>HYPERLINK(URLs!B36 &amp; 92069,92069)</f>
        <v>92069</v>
      </c>
      <c r="D1367" t="s">
        <v>3336</v>
      </c>
      <c r="E1367" t="s">
        <v>3337</v>
      </c>
      <c r="F1367" t="s">
        <v>305</v>
      </c>
      <c r="G1367" t="s">
        <v>304</v>
      </c>
      <c r="H1367" t="s">
        <v>30</v>
      </c>
      <c r="I1367" t="s">
        <v>68</v>
      </c>
      <c r="J1367" t="s">
        <v>43</v>
      </c>
      <c r="K1367" t="s">
        <v>33</v>
      </c>
      <c r="L1367" t="s">
        <v>34</v>
      </c>
      <c r="M1367" t="s">
        <v>2888</v>
      </c>
      <c r="N1367" t="s">
        <v>46</v>
      </c>
      <c r="O1367" t="s">
        <v>3338</v>
      </c>
      <c r="P1367" t="s">
        <v>75</v>
      </c>
      <c r="Q1367" t="s">
        <v>2731</v>
      </c>
      <c r="R1367">
        <v>42683.717141203706</v>
      </c>
      <c r="S1367">
        <v>43187.160497685189</v>
      </c>
      <c r="T1367" t="s">
        <v>2850</v>
      </c>
      <c r="U1367" t="s">
        <v>35</v>
      </c>
      <c r="V1367" t="s">
        <v>35</v>
      </c>
      <c r="W1367" t="s">
        <v>4098</v>
      </c>
    </row>
    <row r="1368" spans="1:23" x14ac:dyDescent="0.25">
      <c r="A1368" t="s">
        <v>665</v>
      </c>
      <c r="B1368" s="19">
        <v>12452</v>
      </c>
      <c r="C1368" s="2">
        <f>HYPERLINK(URLs!B36 &amp; 94695,94695)</f>
        <v>94695</v>
      </c>
      <c r="D1368" t="s">
        <v>3403</v>
      </c>
      <c r="E1368" t="s">
        <v>527</v>
      </c>
      <c r="F1368" t="s">
        <v>305</v>
      </c>
      <c r="G1368" t="s">
        <v>304</v>
      </c>
      <c r="H1368" t="s">
        <v>116</v>
      </c>
      <c r="I1368" t="s">
        <v>31</v>
      </c>
      <c r="J1368" t="s">
        <v>32</v>
      </c>
      <c r="K1368" t="s">
        <v>33</v>
      </c>
      <c r="L1368" t="s">
        <v>106</v>
      </c>
      <c r="M1368" t="s">
        <v>270</v>
      </c>
      <c r="N1368" t="s">
        <v>510</v>
      </c>
      <c r="P1368" t="s">
        <v>107</v>
      </c>
      <c r="Q1368" t="s">
        <v>528</v>
      </c>
      <c r="R1368">
        <v>42753.482893518521</v>
      </c>
      <c r="S1368">
        <v>42929.531261574077</v>
      </c>
      <c r="T1368" t="s">
        <v>108</v>
      </c>
      <c r="U1368" t="s">
        <v>4002</v>
      </c>
      <c r="V1368" t="s">
        <v>35</v>
      </c>
      <c r="W1368" t="s">
        <v>69</v>
      </c>
    </row>
    <row r="1369" spans="1:23" x14ac:dyDescent="0.25">
      <c r="A1369" t="s">
        <v>665</v>
      </c>
      <c r="B1369" s="19">
        <v>12452</v>
      </c>
      <c r="C1369" s="2">
        <f>HYPERLINK(URLs!B36 &amp; 94694,94694)</f>
        <v>94694</v>
      </c>
      <c r="D1369" t="s">
        <v>3402</v>
      </c>
      <c r="E1369" t="s">
        <v>105</v>
      </c>
      <c r="F1369" t="s">
        <v>305</v>
      </c>
      <c r="G1369" t="s">
        <v>304</v>
      </c>
      <c r="H1369" t="s">
        <v>54</v>
      </c>
      <c r="I1369" t="s">
        <v>31</v>
      </c>
      <c r="J1369" t="s">
        <v>32</v>
      </c>
      <c r="K1369" t="s">
        <v>33</v>
      </c>
      <c r="L1369" t="s">
        <v>106</v>
      </c>
      <c r="M1369" t="s">
        <v>270</v>
      </c>
      <c r="N1369" t="s">
        <v>60</v>
      </c>
      <c r="P1369" t="s">
        <v>107</v>
      </c>
      <c r="R1369">
        <v>42753.482835648145</v>
      </c>
      <c r="S1369">
        <v>42941.881412037037</v>
      </c>
      <c r="T1369" t="s">
        <v>108</v>
      </c>
      <c r="U1369" t="s">
        <v>35</v>
      </c>
      <c r="V1369" t="s">
        <v>35</v>
      </c>
      <c r="W1369" t="s">
        <v>133</v>
      </c>
    </row>
    <row r="1370" spans="1:23" x14ac:dyDescent="0.25">
      <c r="A1370" t="s">
        <v>665</v>
      </c>
      <c r="B1370" s="19">
        <v>12452</v>
      </c>
      <c r="C1370" s="2">
        <f>HYPERLINK(URLs!B36 &amp; 94693,94693)</f>
        <v>94693</v>
      </c>
      <c r="D1370" t="s">
        <v>526</v>
      </c>
      <c r="E1370" t="s">
        <v>527</v>
      </c>
      <c r="F1370" t="s">
        <v>305</v>
      </c>
      <c r="G1370" t="s">
        <v>337</v>
      </c>
      <c r="H1370" t="s">
        <v>54</v>
      </c>
      <c r="I1370" t="s">
        <v>31</v>
      </c>
      <c r="J1370" t="s">
        <v>32</v>
      </c>
      <c r="K1370" t="s">
        <v>33</v>
      </c>
      <c r="L1370" t="s">
        <v>106</v>
      </c>
      <c r="M1370" t="s">
        <v>270</v>
      </c>
      <c r="N1370" t="s">
        <v>523</v>
      </c>
      <c r="P1370" t="s">
        <v>107</v>
      </c>
      <c r="Q1370" t="s">
        <v>3708</v>
      </c>
      <c r="R1370">
        <v>42753.482789351852</v>
      </c>
      <c r="S1370">
        <v>43423.863611111112</v>
      </c>
      <c r="T1370" t="s">
        <v>108</v>
      </c>
      <c r="U1370" t="s">
        <v>35</v>
      </c>
      <c r="V1370" t="s">
        <v>35</v>
      </c>
      <c r="W1370" t="s">
        <v>4156</v>
      </c>
    </row>
    <row r="1371" spans="1:23" x14ac:dyDescent="0.25">
      <c r="A1371" t="s">
        <v>665</v>
      </c>
      <c r="B1371" s="19">
        <v>12452</v>
      </c>
      <c r="C1371" s="2">
        <f>HYPERLINK(URLs!B36 &amp; 94687,94687)</f>
        <v>94687</v>
      </c>
      <c r="D1371" t="s">
        <v>104</v>
      </c>
      <c r="E1371" t="s">
        <v>105</v>
      </c>
      <c r="F1371" t="s">
        <v>319</v>
      </c>
      <c r="G1371" t="s">
        <v>304</v>
      </c>
      <c r="H1371" t="s">
        <v>54</v>
      </c>
      <c r="I1371" t="s">
        <v>31</v>
      </c>
      <c r="J1371" t="s">
        <v>32</v>
      </c>
      <c r="K1371" t="s">
        <v>33</v>
      </c>
      <c r="L1371" t="s">
        <v>106</v>
      </c>
      <c r="M1371" t="s">
        <v>270</v>
      </c>
      <c r="N1371" t="s">
        <v>46</v>
      </c>
      <c r="P1371" t="s">
        <v>107</v>
      </c>
      <c r="Q1371" t="s">
        <v>3708</v>
      </c>
      <c r="R1371">
        <v>42753.419571759259</v>
      </c>
      <c r="S1371">
        <v>43423.885428240741</v>
      </c>
      <c r="T1371" t="s">
        <v>108</v>
      </c>
      <c r="U1371" t="s">
        <v>35</v>
      </c>
      <c r="V1371" t="s">
        <v>35</v>
      </c>
      <c r="W1371" t="s">
        <v>4098</v>
      </c>
    </row>
    <row r="1372" spans="1:23" x14ac:dyDescent="0.25">
      <c r="A1372" t="s">
        <v>665</v>
      </c>
      <c r="B1372" s="19">
        <v>12452</v>
      </c>
      <c r="C1372" s="2">
        <f>HYPERLINK(URLs!B36 &amp; 94268,94268)</f>
        <v>94268</v>
      </c>
      <c r="D1372" t="s">
        <v>3401</v>
      </c>
      <c r="E1372" t="s">
        <v>134</v>
      </c>
      <c r="F1372" t="s">
        <v>305</v>
      </c>
      <c r="G1372" t="s">
        <v>304</v>
      </c>
      <c r="H1372" t="s">
        <v>54</v>
      </c>
      <c r="I1372" t="s">
        <v>31</v>
      </c>
      <c r="J1372" t="s">
        <v>32</v>
      </c>
      <c r="K1372" t="s">
        <v>33</v>
      </c>
      <c r="L1372" t="s">
        <v>106</v>
      </c>
      <c r="M1372" t="s">
        <v>270</v>
      </c>
      <c r="N1372" t="s">
        <v>518</v>
      </c>
      <c r="P1372" t="s">
        <v>77</v>
      </c>
      <c r="Q1372" t="s">
        <v>3298</v>
      </c>
      <c r="R1372">
        <v>42741.538564814815</v>
      </c>
      <c r="S1372">
        <v>42929.529027777775</v>
      </c>
      <c r="T1372" t="s">
        <v>108</v>
      </c>
      <c r="U1372" t="s">
        <v>4001</v>
      </c>
      <c r="V1372" t="s">
        <v>35</v>
      </c>
      <c r="W1372" t="s">
        <v>69</v>
      </c>
    </row>
    <row r="1373" spans="1:23" x14ac:dyDescent="0.25">
      <c r="A1373" t="s">
        <v>665</v>
      </c>
      <c r="B1373" s="19">
        <v>12452</v>
      </c>
      <c r="C1373" s="2">
        <f>HYPERLINK(URLs!B36 &amp; 94267,94267)</f>
        <v>94267</v>
      </c>
      <c r="D1373" t="s">
        <v>3400</v>
      </c>
      <c r="E1373" t="s">
        <v>105</v>
      </c>
      <c r="F1373" t="s">
        <v>305</v>
      </c>
      <c r="G1373" t="s">
        <v>337</v>
      </c>
      <c r="H1373" t="s">
        <v>54</v>
      </c>
      <c r="I1373" t="s">
        <v>31</v>
      </c>
      <c r="J1373" t="s">
        <v>32</v>
      </c>
      <c r="K1373" t="s">
        <v>33</v>
      </c>
      <c r="L1373" t="s">
        <v>106</v>
      </c>
      <c r="M1373" t="s">
        <v>270</v>
      </c>
      <c r="N1373" t="s">
        <v>60</v>
      </c>
      <c r="P1373" t="s">
        <v>77</v>
      </c>
      <c r="Q1373" t="s">
        <v>3298</v>
      </c>
      <c r="R1373">
        <v>42741.538449074076</v>
      </c>
      <c r="S1373">
        <v>42941.9606712963</v>
      </c>
      <c r="T1373" t="s">
        <v>108</v>
      </c>
      <c r="U1373" t="s">
        <v>35</v>
      </c>
      <c r="V1373" t="s">
        <v>35</v>
      </c>
      <c r="W1373" t="s">
        <v>133</v>
      </c>
    </row>
    <row r="1374" spans="1:23" x14ac:dyDescent="0.25">
      <c r="A1374" t="s">
        <v>665</v>
      </c>
      <c r="B1374" s="19">
        <v>12452</v>
      </c>
      <c r="C1374" s="2">
        <f>HYPERLINK(URLs!B36 &amp; 94266,94266)</f>
        <v>94266</v>
      </c>
      <c r="D1374" t="s">
        <v>3399</v>
      </c>
      <c r="E1374" t="s">
        <v>105</v>
      </c>
      <c r="F1374" t="s">
        <v>305</v>
      </c>
      <c r="G1374" t="s">
        <v>337</v>
      </c>
      <c r="H1374" t="s">
        <v>54</v>
      </c>
      <c r="I1374" t="s">
        <v>31</v>
      </c>
      <c r="J1374" t="s">
        <v>32</v>
      </c>
      <c r="K1374" t="s">
        <v>33</v>
      </c>
      <c r="L1374" t="s">
        <v>106</v>
      </c>
      <c r="M1374" t="s">
        <v>270</v>
      </c>
      <c r="N1374" t="s">
        <v>60</v>
      </c>
      <c r="P1374" t="s">
        <v>77</v>
      </c>
      <c r="Q1374" t="s">
        <v>3298</v>
      </c>
      <c r="R1374">
        <v>42741.538368055553</v>
      </c>
      <c r="S1374">
        <v>42759.743888888886</v>
      </c>
      <c r="T1374" t="s">
        <v>108</v>
      </c>
      <c r="U1374" t="s">
        <v>35</v>
      </c>
      <c r="V1374" t="s">
        <v>35</v>
      </c>
      <c r="W1374" t="s">
        <v>4156</v>
      </c>
    </row>
    <row r="1375" spans="1:23" x14ac:dyDescent="0.25">
      <c r="A1375" t="s">
        <v>665</v>
      </c>
      <c r="B1375" s="19">
        <v>12452</v>
      </c>
      <c r="C1375" s="2">
        <f>HYPERLINK(URLs!B36 &amp; 92740,92740)</f>
        <v>92740</v>
      </c>
      <c r="D1375" t="s">
        <v>3343</v>
      </c>
      <c r="E1375" t="s">
        <v>105</v>
      </c>
      <c r="F1375" t="s">
        <v>305</v>
      </c>
      <c r="G1375" t="s">
        <v>304</v>
      </c>
      <c r="H1375" t="s">
        <v>54</v>
      </c>
      <c r="I1375" t="s">
        <v>31</v>
      </c>
      <c r="J1375" t="s">
        <v>32</v>
      </c>
      <c r="K1375" t="s">
        <v>33</v>
      </c>
      <c r="L1375" t="s">
        <v>106</v>
      </c>
      <c r="M1375" t="s">
        <v>270</v>
      </c>
      <c r="N1375" t="s">
        <v>60</v>
      </c>
      <c r="P1375" t="s">
        <v>77</v>
      </c>
      <c r="Q1375" t="s">
        <v>3298</v>
      </c>
      <c r="R1375">
        <v>42696.881203703706</v>
      </c>
      <c r="S1375">
        <v>42866.401597222219</v>
      </c>
      <c r="T1375" t="s">
        <v>1</v>
      </c>
      <c r="U1375" t="s">
        <v>35</v>
      </c>
      <c r="V1375" t="s">
        <v>35</v>
      </c>
      <c r="W1375" t="s">
        <v>4098</v>
      </c>
    </row>
    <row r="1376" spans="1:23" x14ac:dyDescent="0.25">
      <c r="A1376" t="s">
        <v>665</v>
      </c>
      <c r="B1376" s="19">
        <v>12464</v>
      </c>
      <c r="C1376" s="2">
        <f>HYPERLINK(URLs!B36 &amp; 93056,93056)</f>
        <v>93056</v>
      </c>
      <c r="D1376" t="s">
        <v>3352</v>
      </c>
      <c r="E1376" t="s">
        <v>82</v>
      </c>
      <c r="F1376" t="s">
        <v>305</v>
      </c>
      <c r="G1376" t="s">
        <v>304</v>
      </c>
      <c r="H1376" t="s">
        <v>30</v>
      </c>
      <c r="I1376" t="s">
        <v>31</v>
      </c>
      <c r="J1376" t="s">
        <v>43</v>
      </c>
      <c r="K1376" t="s">
        <v>44</v>
      </c>
      <c r="L1376" t="s">
        <v>73</v>
      </c>
      <c r="M1376" t="s">
        <v>263</v>
      </c>
      <c r="N1376" t="s">
        <v>121</v>
      </c>
      <c r="O1376" t="s">
        <v>3353</v>
      </c>
      <c r="P1376" t="s">
        <v>77</v>
      </c>
      <c r="Q1376" t="s">
        <v>77</v>
      </c>
      <c r="R1376">
        <v>42703.958703703705</v>
      </c>
      <c r="S1376">
        <v>42922.687974537039</v>
      </c>
      <c r="T1376" t="s">
        <v>3125</v>
      </c>
      <c r="U1376" t="s">
        <v>35</v>
      </c>
      <c r="V1376" t="s">
        <v>35</v>
      </c>
      <c r="W1376" t="s">
        <v>190</v>
      </c>
    </row>
    <row r="1377" spans="1:23" x14ac:dyDescent="0.25">
      <c r="A1377" t="s">
        <v>665</v>
      </c>
      <c r="B1377" s="19">
        <v>12464</v>
      </c>
      <c r="C1377" s="2">
        <f>HYPERLINK(URLs!B36 &amp; 92968,92968)</f>
        <v>92968</v>
      </c>
      <c r="D1377" t="s">
        <v>3348</v>
      </c>
      <c r="E1377" t="s">
        <v>94</v>
      </c>
      <c r="F1377" t="s">
        <v>305</v>
      </c>
      <c r="G1377" t="s">
        <v>304</v>
      </c>
      <c r="H1377" t="s">
        <v>116</v>
      </c>
      <c r="I1377" t="s">
        <v>31</v>
      </c>
      <c r="J1377" t="s">
        <v>43</v>
      </c>
      <c r="K1377" t="s">
        <v>44</v>
      </c>
      <c r="L1377" t="s">
        <v>73</v>
      </c>
      <c r="M1377" t="s">
        <v>263</v>
      </c>
      <c r="N1377" t="s">
        <v>510</v>
      </c>
      <c r="P1377" t="s">
        <v>77</v>
      </c>
      <c r="Q1377" t="s">
        <v>3349</v>
      </c>
      <c r="R1377">
        <v>42702.692118055558</v>
      </c>
      <c r="S1377">
        <v>42948.503379629627</v>
      </c>
      <c r="T1377" t="s">
        <v>317</v>
      </c>
      <c r="U1377" t="s">
        <v>3997</v>
      </c>
      <c r="V1377" t="s">
        <v>35</v>
      </c>
      <c r="W1377" t="s">
        <v>69</v>
      </c>
    </row>
    <row r="1378" spans="1:23" x14ac:dyDescent="0.25">
      <c r="A1378" t="s">
        <v>665</v>
      </c>
      <c r="B1378" s="19">
        <v>12464</v>
      </c>
      <c r="C1378" s="2">
        <f>HYPERLINK(URLs!B36 &amp; 92967,92967)</f>
        <v>92967</v>
      </c>
      <c r="D1378" t="s">
        <v>3347</v>
      </c>
      <c r="E1378" t="s">
        <v>94</v>
      </c>
      <c r="F1378" t="s">
        <v>305</v>
      </c>
      <c r="G1378" t="s">
        <v>304</v>
      </c>
      <c r="H1378" t="s">
        <v>30</v>
      </c>
      <c r="I1378" t="s">
        <v>31</v>
      </c>
      <c r="J1378" t="s">
        <v>43</v>
      </c>
      <c r="K1378" t="s">
        <v>44</v>
      </c>
      <c r="L1378" t="s">
        <v>73</v>
      </c>
      <c r="M1378" t="s">
        <v>263</v>
      </c>
      <c r="N1378" t="s">
        <v>60</v>
      </c>
      <c r="P1378" t="s">
        <v>77</v>
      </c>
      <c r="Q1378" t="s">
        <v>65</v>
      </c>
      <c r="R1378">
        <v>42702.692025462966</v>
      </c>
      <c r="S1378">
        <v>42841.995486111111</v>
      </c>
      <c r="T1378" t="s">
        <v>317</v>
      </c>
      <c r="U1378" t="s">
        <v>3971</v>
      </c>
      <c r="V1378" t="s">
        <v>35</v>
      </c>
      <c r="W1378" t="s">
        <v>133</v>
      </c>
    </row>
    <row r="1379" spans="1:23" x14ac:dyDescent="0.25">
      <c r="A1379" t="s">
        <v>665</v>
      </c>
      <c r="B1379" s="19">
        <v>12464</v>
      </c>
      <c r="C1379" s="2">
        <f>HYPERLINK(URLs!B36 &amp; 92816,92816)</f>
        <v>92816</v>
      </c>
      <c r="D1379" t="s">
        <v>3345</v>
      </c>
      <c r="E1379" t="s">
        <v>94</v>
      </c>
      <c r="F1379" t="s">
        <v>305</v>
      </c>
      <c r="G1379" t="s">
        <v>304</v>
      </c>
      <c r="H1379" t="s">
        <v>30</v>
      </c>
      <c r="I1379" t="s">
        <v>31</v>
      </c>
      <c r="J1379" t="s">
        <v>43</v>
      </c>
      <c r="K1379" t="s">
        <v>44</v>
      </c>
      <c r="L1379" t="s">
        <v>73</v>
      </c>
      <c r="M1379" t="s">
        <v>263</v>
      </c>
      <c r="N1379" t="s">
        <v>60</v>
      </c>
      <c r="P1379" t="s">
        <v>77</v>
      </c>
      <c r="Q1379" t="s">
        <v>3346</v>
      </c>
      <c r="R1379">
        <v>42697.898530092592</v>
      </c>
      <c r="S1379">
        <v>42948.494826388887</v>
      </c>
      <c r="T1379" t="s">
        <v>94</v>
      </c>
      <c r="U1379" t="s">
        <v>3971</v>
      </c>
      <c r="V1379" t="s">
        <v>35</v>
      </c>
      <c r="W1379" t="s">
        <v>4098</v>
      </c>
    </row>
    <row r="1380" spans="1:23" x14ac:dyDescent="0.25">
      <c r="A1380" t="s">
        <v>633</v>
      </c>
      <c r="B1380" s="19">
        <v>12478</v>
      </c>
      <c r="C1380" s="2">
        <f>HYPERLINK(URLs!B36 &amp; 93702,93702)</f>
        <v>93702</v>
      </c>
      <c r="D1380" t="s">
        <v>3370</v>
      </c>
      <c r="E1380" t="s">
        <v>72</v>
      </c>
      <c r="F1380" t="s">
        <v>305</v>
      </c>
      <c r="G1380" t="s">
        <v>337</v>
      </c>
      <c r="H1380" t="s">
        <v>30</v>
      </c>
      <c r="I1380" t="s">
        <v>68</v>
      </c>
      <c r="J1380" t="s">
        <v>43</v>
      </c>
      <c r="K1380" t="s">
        <v>33</v>
      </c>
      <c r="L1380" t="s">
        <v>96</v>
      </c>
      <c r="M1380" t="s">
        <v>267</v>
      </c>
      <c r="N1380" t="s">
        <v>60</v>
      </c>
      <c r="P1380" t="s">
        <v>77</v>
      </c>
      <c r="Q1380" t="s">
        <v>1503</v>
      </c>
      <c r="R1380">
        <v>42718.002199074072</v>
      </c>
      <c r="S1380">
        <v>42741.766099537039</v>
      </c>
      <c r="T1380" t="s">
        <v>3125</v>
      </c>
      <c r="U1380" t="s">
        <v>35</v>
      </c>
      <c r="V1380" t="s">
        <v>35</v>
      </c>
      <c r="W1380" t="s">
        <v>4156</v>
      </c>
    </row>
    <row r="1381" spans="1:23" x14ac:dyDescent="0.25">
      <c r="A1381" t="s">
        <v>633</v>
      </c>
      <c r="B1381" s="19">
        <v>12478</v>
      </c>
      <c r="C1381" s="2">
        <f>HYPERLINK(URLs!B36 &amp; 93701,93701)</f>
        <v>93701</v>
      </c>
      <c r="D1381" t="s">
        <v>3369</v>
      </c>
      <c r="E1381" t="s">
        <v>72</v>
      </c>
      <c r="F1381" t="s">
        <v>305</v>
      </c>
      <c r="G1381" t="s">
        <v>337</v>
      </c>
      <c r="H1381" t="s">
        <v>30</v>
      </c>
      <c r="I1381" t="s">
        <v>68</v>
      </c>
      <c r="J1381" t="s">
        <v>43</v>
      </c>
      <c r="K1381" t="s">
        <v>33</v>
      </c>
      <c r="L1381" t="s">
        <v>96</v>
      </c>
      <c r="M1381" t="s">
        <v>267</v>
      </c>
      <c r="N1381" t="s">
        <v>60</v>
      </c>
      <c r="P1381" t="s">
        <v>77</v>
      </c>
      <c r="Q1381" t="s">
        <v>1503</v>
      </c>
      <c r="R1381">
        <v>42718.001030092593</v>
      </c>
      <c r="S1381">
        <v>42941.879247685189</v>
      </c>
      <c r="T1381" t="s">
        <v>3125</v>
      </c>
      <c r="U1381" t="s">
        <v>35</v>
      </c>
      <c r="V1381" t="s">
        <v>35</v>
      </c>
      <c r="W1381" t="s">
        <v>133</v>
      </c>
    </row>
    <row r="1382" spans="1:23" x14ac:dyDescent="0.25">
      <c r="A1382" t="s">
        <v>633</v>
      </c>
      <c r="B1382" s="19">
        <v>12478</v>
      </c>
      <c r="C1382" s="2">
        <f>HYPERLINK(URLs!B36 &amp; 93104,93104)</f>
        <v>93104</v>
      </c>
      <c r="D1382" t="s">
        <v>3354</v>
      </c>
      <c r="E1382" t="s">
        <v>70</v>
      </c>
      <c r="F1382" t="s">
        <v>305</v>
      </c>
      <c r="G1382" t="s">
        <v>337</v>
      </c>
      <c r="H1382" t="s">
        <v>30</v>
      </c>
      <c r="I1382" t="s">
        <v>68</v>
      </c>
      <c r="J1382" t="s">
        <v>43</v>
      </c>
      <c r="K1382" t="s">
        <v>33</v>
      </c>
      <c r="L1382" t="s">
        <v>96</v>
      </c>
      <c r="M1382" t="s">
        <v>267</v>
      </c>
      <c r="N1382" t="s">
        <v>60</v>
      </c>
      <c r="O1382" t="s">
        <v>97</v>
      </c>
      <c r="P1382" t="s">
        <v>77</v>
      </c>
      <c r="Q1382" t="s">
        <v>65</v>
      </c>
      <c r="R1382">
        <v>42704.593032407407</v>
      </c>
      <c r="S1382">
        <v>42823.827881944446</v>
      </c>
      <c r="T1382" t="s">
        <v>317</v>
      </c>
      <c r="U1382" t="s">
        <v>35</v>
      </c>
      <c r="V1382" t="s">
        <v>35</v>
      </c>
      <c r="W1382" t="s">
        <v>69</v>
      </c>
    </row>
    <row r="1383" spans="1:23" x14ac:dyDescent="0.25">
      <c r="A1383" t="s">
        <v>633</v>
      </c>
      <c r="B1383" s="19">
        <v>12478</v>
      </c>
      <c r="C1383" s="2">
        <f>HYPERLINK(URLs!B36 &amp; 92975,92975)</f>
        <v>92975</v>
      </c>
      <c r="D1383" t="s">
        <v>95</v>
      </c>
      <c r="E1383" t="s">
        <v>70</v>
      </c>
      <c r="F1383" t="s">
        <v>305</v>
      </c>
      <c r="G1383" t="s">
        <v>304</v>
      </c>
      <c r="H1383" t="s">
        <v>30</v>
      </c>
      <c r="I1383" t="s">
        <v>68</v>
      </c>
      <c r="J1383" t="s">
        <v>43</v>
      </c>
      <c r="K1383" t="s">
        <v>33</v>
      </c>
      <c r="L1383" t="s">
        <v>96</v>
      </c>
      <c r="M1383" t="s">
        <v>267</v>
      </c>
      <c r="N1383" t="s">
        <v>60</v>
      </c>
      <c r="O1383" t="s">
        <v>97</v>
      </c>
      <c r="P1383" t="s">
        <v>77</v>
      </c>
      <c r="Q1383" t="s">
        <v>159</v>
      </c>
      <c r="R1383">
        <v>42702.792881944442</v>
      </c>
      <c r="S1383">
        <v>43187.160671296297</v>
      </c>
      <c r="T1383" t="s">
        <v>98</v>
      </c>
      <c r="U1383" t="s">
        <v>35</v>
      </c>
      <c r="V1383" t="s">
        <v>35</v>
      </c>
      <c r="W1383" t="s">
        <v>4098</v>
      </c>
    </row>
    <row r="1384" spans="1:23" x14ac:dyDescent="0.25">
      <c r="A1384" t="s">
        <v>633</v>
      </c>
      <c r="B1384" s="19">
        <v>12514</v>
      </c>
      <c r="C1384" s="2">
        <f>HYPERLINK(URLs!B36 &amp; 93129,93129)</f>
        <v>93129</v>
      </c>
      <c r="D1384" t="s">
        <v>3358</v>
      </c>
      <c r="E1384" t="s">
        <v>314</v>
      </c>
      <c r="F1384" t="s">
        <v>305</v>
      </c>
      <c r="G1384" t="s">
        <v>304</v>
      </c>
      <c r="H1384" t="s">
        <v>30</v>
      </c>
      <c r="I1384" t="s">
        <v>31</v>
      </c>
      <c r="J1384" t="s">
        <v>43</v>
      </c>
      <c r="K1384" t="s">
        <v>44</v>
      </c>
      <c r="L1384" t="s">
        <v>73</v>
      </c>
      <c r="M1384" t="s">
        <v>264</v>
      </c>
      <c r="N1384" t="s">
        <v>121</v>
      </c>
      <c r="P1384" t="s">
        <v>61</v>
      </c>
      <c r="Q1384" t="s">
        <v>3351</v>
      </c>
      <c r="R1384">
        <v>42704.95212962963</v>
      </c>
      <c r="S1384">
        <v>42922.68513888889</v>
      </c>
      <c r="T1384" t="s">
        <v>317</v>
      </c>
      <c r="U1384" t="s">
        <v>35</v>
      </c>
      <c r="V1384" t="s">
        <v>35</v>
      </c>
      <c r="W1384" t="s">
        <v>190</v>
      </c>
    </row>
    <row r="1385" spans="1:23" x14ac:dyDescent="0.25">
      <c r="A1385" t="s">
        <v>633</v>
      </c>
      <c r="B1385" s="19">
        <v>12514</v>
      </c>
      <c r="C1385" s="2">
        <f>HYPERLINK(URLs!B36 &amp; 93128,93128)</f>
        <v>93128</v>
      </c>
      <c r="D1385" t="s">
        <v>3357</v>
      </c>
      <c r="E1385" t="s">
        <v>314</v>
      </c>
      <c r="F1385" t="s">
        <v>305</v>
      </c>
      <c r="G1385" t="s">
        <v>304</v>
      </c>
      <c r="H1385" t="s">
        <v>30</v>
      </c>
      <c r="I1385" t="s">
        <v>31</v>
      </c>
      <c r="J1385" t="s">
        <v>43</v>
      </c>
      <c r="K1385" t="s">
        <v>44</v>
      </c>
      <c r="L1385" t="s">
        <v>73</v>
      </c>
      <c r="M1385" t="s">
        <v>264</v>
      </c>
      <c r="N1385" t="s">
        <v>582</v>
      </c>
      <c r="P1385" t="s">
        <v>61</v>
      </c>
      <c r="Q1385" t="s">
        <v>3356</v>
      </c>
      <c r="R1385">
        <v>42704.952060185184</v>
      </c>
      <c r="S1385">
        <v>42948.44023148148</v>
      </c>
      <c r="T1385" t="s">
        <v>317</v>
      </c>
      <c r="U1385" t="s">
        <v>3999</v>
      </c>
      <c r="V1385" t="s">
        <v>35</v>
      </c>
      <c r="W1385" t="s">
        <v>69</v>
      </c>
    </row>
    <row r="1386" spans="1:23" x14ac:dyDescent="0.25">
      <c r="A1386" t="s">
        <v>633</v>
      </c>
      <c r="B1386" s="19">
        <v>12514</v>
      </c>
      <c r="C1386" s="2">
        <f>HYPERLINK(URLs!B36 &amp; 93127,93127)</f>
        <v>93127</v>
      </c>
      <c r="D1386" t="s">
        <v>3355</v>
      </c>
      <c r="E1386" t="s">
        <v>314</v>
      </c>
      <c r="F1386" t="s">
        <v>305</v>
      </c>
      <c r="G1386" t="s">
        <v>304</v>
      </c>
      <c r="H1386" t="s">
        <v>116</v>
      </c>
      <c r="I1386" t="s">
        <v>31</v>
      </c>
      <c r="J1386" t="s">
        <v>43</v>
      </c>
      <c r="K1386" t="s">
        <v>44</v>
      </c>
      <c r="L1386" t="s">
        <v>73</v>
      </c>
      <c r="M1386" t="s">
        <v>264</v>
      </c>
      <c r="N1386" t="s">
        <v>60</v>
      </c>
      <c r="P1386" t="s">
        <v>61</v>
      </c>
      <c r="Q1386" t="s">
        <v>3356</v>
      </c>
      <c r="R1386">
        <v>42704.951990740738</v>
      </c>
      <c r="S1386">
        <v>42941.905868055554</v>
      </c>
      <c r="T1386" t="s">
        <v>317</v>
      </c>
      <c r="U1386" t="s">
        <v>3998</v>
      </c>
      <c r="V1386" t="s">
        <v>35</v>
      </c>
      <c r="W1386" t="s">
        <v>133</v>
      </c>
    </row>
    <row r="1387" spans="1:23" x14ac:dyDescent="0.25">
      <c r="A1387" t="s">
        <v>633</v>
      </c>
      <c r="B1387" s="19">
        <v>12514</v>
      </c>
      <c r="C1387" s="2">
        <f>HYPERLINK(URLs!B36 &amp; 93032,93032)</f>
        <v>93032</v>
      </c>
      <c r="D1387" t="s">
        <v>313</v>
      </c>
      <c r="E1387" t="s">
        <v>314</v>
      </c>
      <c r="F1387" t="s">
        <v>305</v>
      </c>
      <c r="G1387" t="s">
        <v>304</v>
      </c>
      <c r="H1387" t="s">
        <v>30</v>
      </c>
      <c r="I1387" t="s">
        <v>31</v>
      </c>
      <c r="J1387" t="s">
        <v>43</v>
      </c>
      <c r="K1387" t="s">
        <v>44</v>
      </c>
      <c r="L1387" t="s">
        <v>73</v>
      </c>
      <c r="M1387" t="s">
        <v>264</v>
      </c>
      <c r="N1387" t="s">
        <v>579</v>
      </c>
      <c r="P1387" t="s">
        <v>61</v>
      </c>
      <c r="Q1387" t="s">
        <v>3351</v>
      </c>
      <c r="R1387">
        <v>42703.614027777781</v>
      </c>
      <c r="S1387">
        <v>42871.700810185182</v>
      </c>
      <c r="T1387" t="s">
        <v>312</v>
      </c>
      <c r="U1387" t="s">
        <v>35</v>
      </c>
      <c r="V1387" t="s">
        <v>35</v>
      </c>
      <c r="W1387" t="s">
        <v>4098</v>
      </c>
    </row>
    <row r="1388" spans="1:23" x14ac:dyDescent="0.25">
      <c r="A1388" t="s">
        <v>665</v>
      </c>
      <c r="B1388" s="19">
        <v>12561</v>
      </c>
      <c r="C1388" s="2">
        <f>HYPERLINK(URLs!B36 &amp; 93777,93777)</f>
        <v>93777</v>
      </c>
      <c r="D1388" t="s">
        <v>3374</v>
      </c>
      <c r="E1388" t="s">
        <v>134</v>
      </c>
      <c r="F1388" t="s">
        <v>305</v>
      </c>
      <c r="G1388" t="s">
        <v>304</v>
      </c>
      <c r="H1388" t="s">
        <v>116</v>
      </c>
      <c r="I1388" t="s">
        <v>31</v>
      </c>
      <c r="J1388" t="s">
        <v>32</v>
      </c>
      <c r="K1388" t="s">
        <v>51</v>
      </c>
      <c r="L1388" t="s">
        <v>34</v>
      </c>
      <c r="M1388" t="s">
        <v>268</v>
      </c>
      <c r="N1388" t="s">
        <v>510</v>
      </c>
      <c r="O1388" t="s">
        <v>533</v>
      </c>
      <c r="P1388" t="s">
        <v>77</v>
      </c>
      <c r="Q1388" t="s">
        <v>3372</v>
      </c>
      <c r="R1388">
        <v>42719.624050925922</v>
      </c>
      <c r="S1388">
        <v>42922.534131944441</v>
      </c>
      <c r="T1388" t="s">
        <v>149</v>
      </c>
      <c r="U1388" t="s">
        <v>3982</v>
      </c>
      <c r="V1388" t="s">
        <v>35</v>
      </c>
      <c r="W1388" t="s">
        <v>4143</v>
      </c>
    </row>
    <row r="1389" spans="1:23" x14ac:dyDescent="0.25">
      <c r="A1389" t="s">
        <v>665</v>
      </c>
      <c r="B1389" s="19">
        <v>12561</v>
      </c>
      <c r="C1389" s="2">
        <f>HYPERLINK(URLs!B36 &amp; 93776,93776)</f>
        <v>93776</v>
      </c>
      <c r="D1389" t="s">
        <v>4184</v>
      </c>
      <c r="E1389" t="s">
        <v>100</v>
      </c>
      <c r="F1389" t="s">
        <v>305</v>
      </c>
      <c r="G1389" t="s">
        <v>337</v>
      </c>
      <c r="H1389" t="s">
        <v>116</v>
      </c>
      <c r="I1389" t="s">
        <v>31</v>
      </c>
      <c r="J1389" t="s">
        <v>32</v>
      </c>
      <c r="K1389" t="s">
        <v>51</v>
      </c>
      <c r="L1389" t="s">
        <v>34</v>
      </c>
      <c r="M1389" t="s">
        <v>268</v>
      </c>
      <c r="N1389" t="s">
        <v>46</v>
      </c>
      <c r="P1389" t="s">
        <v>77</v>
      </c>
      <c r="Q1389" t="s">
        <v>3708</v>
      </c>
      <c r="R1389">
        <v>42719.623935185184</v>
      </c>
      <c r="S1389">
        <v>43423.863564814812</v>
      </c>
      <c r="T1389" t="s">
        <v>149</v>
      </c>
      <c r="U1389" t="s">
        <v>35</v>
      </c>
      <c r="V1389" t="s">
        <v>35</v>
      </c>
      <c r="W1389" t="s">
        <v>4156</v>
      </c>
    </row>
    <row r="1390" spans="1:23" x14ac:dyDescent="0.25">
      <c r="A1390" t="s">
        <v>665</v>
      </c>
      <c r="B1390" s="19">
        <v>12561</v>
      </c>
      <c r="C1390" s="2">
        <f>HYPERLINK(URLs!B36 &amp; 93775,93775)</f>
        <v>93775</v>
      </c>
      <c r="D1390" t="s">
        <v>3373</v>
      </c>
      <c r="E1390" t="s">
        <v>100</v>
      </c>
      <c r="F1390" t="s">
        <v>305</v>
      </c>
      <c r="G1390" t="s">
        <v>337</v>
      </c>
      <c r="H1390" t="s">
        <v>116</v>
      </c>
      <c r="I1390" t="s">
        <v>31</v>
      </c>
      <c r="J1390" t="s">
        <v>32</v>
      </c>
      <c r="K1390" t="s">
        <v>51</v>
      </c>
      <c r="L1390" t="s">
        <v>34</v>
      </c>
      <c r="M1390" t="s">
        <v>268</v>
      </c>
      <c r="N1390" t="s">
        <v>46</v>
      </c>
      <c r="O1390" t="s">
        <v>533</v>
      </c>
      <c r="P1390" t="s">
        <v>77</v>
      </c>
      <c r="Q1390" t="s">
        <v>3372</v>
      </c>
      <c r="R1390">
        <v>42719.623831018522</v>
      </c>
      <c r="S1390">
        <v>42929.391944444447</v>
      </c>
      <c r="T1390" t="s">
        <v>149</v>
      </c>
      <c r="U1390" t="s">
        <v>35</v>
      </c>
      <c r="V1390" t="s">
        <v>35</v>
      </c>
      <c r="W1390" t="s">
        <v>4155</v>
      </c>
    </row>
    <row r="1391" spans="1:23" x14ac:dyDescent="0.25">
      <c r="A1391" t="s">
        <v>665</v>
      </c>
      <c r="B1391" s="19">
        <v>12561</v>
      </c>
      <c r="C1391" s="2">
        <f>HYPERLINK(URLs!B36 &amp; 93774,93774)</f>
        <v>93774</v>
      </c>
      <c r="D1391" t="s">
        <v>3371</v>
      </c>
      <c r="E1391" t="s">
        <v>100</v>
      </c>
      <c r="F1391" t="s">
        <v>305</v>
      </c>
      <c r="G1391" t="s">
        <v>304</v>
      </c>
      <c r="H1391" t="s">
        <v>116</v>
      </c>
      <c r="I1391" t="s">
        <v>31</v>
      </c>
      <c r="J1391" t="s">
        <v>32</v>
      </c>
      <c r="K1391" t="s">
        <v>51</v>
      </c>
      <c r="L1391" t="s">
        <v>34</v>
      </c>
      <c r="M1391" t="s">
        <v>268</v>
      </c>
      <c r="N1391" t="s">
        <v>60</v>
      </c>
      <c r="O1391" t="s">
        <v>533</v>
      </c>
      <c r="P1391" t="s">
        <v>77</v>
      </c>
      <c r="Q1391" t="s">
        <v>3372</v>
      </c>
      <c r="R1391">
        <v>42719.623738425929</v>
      </c>
      <c r="S1391">
        <v>42793.603344907409</v>
      </c>
      <c r="T1391" t="s">
        <v>149</v>
      </c>
      <c r="U1391" t="s">
        <v>4000</v>
      </c>
      <c r="V1391" t="s">
        <v>35</v>
      </c>
      <c r="W1391" t="s">
        <v>133</v>
      </c>
    </row>
    <row r="1392" spans="1:23" x14ac:dyDescent="0.25">
      <c r="A1392" t="s">
        <v>665</v>
      </c>
      <c r="B1392" s="19">
        <v>12561</v>
      </c>
      <c r="C1392" s="2">
        <f>HYPERLINK(URLs!B36 &amp; 93566,93566)</f>
        <v>93566</v>
      </c>
      <c r="D1392" t="s">
        <v>99</v>
      </c>
      <c r="E1392" t="s">
        <v>100</v>
      </c>
      <c r="F1392" t="s">
        <v>319</v>
      </c>
      <c r="G1392" t="s">
        <v>304</v>
      </c>
      <c r="H1392" t="s">
        <v>30</v>
      </c>
      <c r="I1392" t="s">
        <v>31</v>
      </c>
      <c r="J1392" t="s">
        <v>32</v>
      </c>
      <c r="K1392" t="s">
        <v>51</v>
      </c>
      <c r="L1392" t="s">
        <v>34</v>
      </c>
      <c r="M1392" t="s">
        <v>268</v>
      </c>
      <c r="N1392" t="s">
        <v>46</v>
      </c>
      <c r="O1392" t="s">
        <v>101</v>
      </c>
      <c r="P1392" t="s">
        <v>77</v>
      </c>
      <c r="Q1392" t="s">
        <v>1503</v>
      </c>
      <c r="R1392">
        <v>42713.720567129632</v>
      </c>
      <c r="S1392">
        <v>43423.88212962963</v>
      </c>
      <c r="T1392" t="s">
        <v>1</v>
      </c>
      <c r="U1392" t="s">
        <v>35</v>
      </c>
      <c r="V1392" t="s">
        <v>35</v>
      </c>
      <c r="W1392" t="s">
        <v>4098</v>
      </c>
    </row>
    <row r="1393" spans="1:23" x14ac:dyDescent="0.25">
      <c r="A1393" t="s">
        <v>665</v>
      </c>
      <c r="B1393" s="19">
        <v>12685</v>
      </c>
      <c r="C1393" s="2">
        <f>HYPERLINK(URLs!B36 &amp; 103157,103157)</f>
        <v>103157</v>
      </c>
      <c r="D1393" t="s">
        <v>3660</v>
      </c>
      <c r="E1393" t="s">
        <v>84</v>
      </c>
      <c r="F1393" t="s">
        <v>305</v>
      </c>
      <c r="G1393" t="s">
        <v>304</v>
      </c>
      <c r="H1393" t="s">
        <v>54</v>
      </c>
      <c r="I1393" t="s">
        <v>31</v>
      </c>
      <c r="J1393" t="s">
        <v>32</v>
      </c>
      <c r="K1393" t="s">
        <v>33</v>
      </c>
      <c r="L1393" t="s">
        <v>73</v>
      </c>
      <c r="M1393" t="s">
        <v>263</v>
      </c>
      <c r="N1393" t="s">
        <v>579</v>
      </c>
      <c r="O1393" t="s">
        <v>2895</v>
      </c>
      <c r="P1393" t="s">
        <v>3233</v>
      </c>
      <c r="Q1393" t="s">
        <v>3661</v>
      </c>
      <c r="R1393">
        <v>42949.505046296297</v>
      </c>
      <c r="S1393">
        <v>43215.976030092592</v>
      </c>
      <c r="T1393" t="s">
        <v>84</v>
      </c>
      <c r="U1393" t="s">
        <v>35</v>
      </c>
      <c r="V1393" t="s">
        <v>321</v>
      </c>
      <c r="W1393" t="s">
        <v>3661</v>
      </c>
    </row>
    <row r="1394" spans="1:23" x14ac:dyDescent="0.25">
      <c r="A1394" t="s">
        <v>665</v>
      </c>
      <c r="B1394" s="19">
        <v>12685</v>
      </c>
      <c r="C1394" s="2">
        <f>HYPERLINK(URLs!B36 &amp; 101181,101181)</f>
        <v>101181</v>
      </c>
      <c r="D1394" t="s">
        <v>3603</v>
      </c>
      <c r="E1394" t="s">
        <v>84</v>
      </c>
      <c r="F1394" t="s">
        <v>305</v>
      </c>
      <c r="G1394" t="s">
        <v>337</v>
      </c>
      <c r="H1394" t="s">
        <v>54</v>
      </c>
      <c r="I1394" t="s">
        <v>31</v>
      </c>
      <c r="J1394" t="s">
        <v>32</v>
      </c>
      <c r="K1394" t="s">
        <v>33</v>
      </c>
      <c r="L1394" t="s">
        <v>73</v>
      </c>
      <c r="M1394" t="s">
        <v>263</v>
      </c>
      <c r="N1394" t="s">
        <v>579</v>
      </c>
      <c r="O1394" t="s">
        <v>3604</v>
      </c>
      <c r="P1394" t="s">
        <v>3233</v>
      </c>
      <c r="Q1394" t="s">
        <v>3605</v>
      </c>
      <c r="R1394">
        <v>42906.560567129629</v>
      </c>
      <c r="S1394">
        <v>42996.486168981479</v>
      </c>
      <c r="T1394" t="s">
        <v>84</v>
      </c>
      <c r="U1394" t="s">
        <v>35</v>
      </c>
      <c r="V1394" t="s">
        <v>321</v>
      </c>
      <c r="W1394" t="s">
        <v>4170</v>
      </c>
    </row>
    <row r="1395" spans="1:23" x14ac:dyDescent="0.25">
      <c r="A1395" t="s">
        <v>665</v>
      </c>
      <c r="B1395" s="19">
        <v>12685</v>
      </c>
      <c r="C1395" s="2">
        <f>HYPERLINK(URLs!B36 &amp; 100166,100166)</f>
        <v>100166</v>
      </c>
      <c r="D1395" t="s">
        <v>3595</v>
      </c>
      <c r="E1395" t="s">
        <v>84</v>
      </c>
      <c r="F1395" t="s">
        <v>305</v>
      </c>
      <c r="G1395" t="s">
        <v>304</v>
      </c>
      <c r="H1395" t="s">
        <v>54</v>
      </c>
      <c r="I1395" t="s">
        <v>31</v>
      </c>
      <c r="J1395" t="s">
        <v>32</v>
      </c>
      <c r="K1395" t="s">
        <v>33</v>
      </c>
      <c r="L1395" t="s">
        <v>73</v>
      </c>
      <c r="M1395" t="s">
        <v>263</v>
      </c>
      <c r="N1395" t="s">
        <v>579</v>
      </c>
      <c r="P1395" t="s">
        <v>3233</v>
      </c>
      <c r="Q1395" t="s">
        <v>3041</v>
      </c>
      <c r="R1395">
        <v>42886.356226851851</v>
      </c>
      <c r="S1395">
        <v>42958.483275462961</v>
      </c>
      <c r="T1395" t="s">
        <v>84</v>
      </c>
      <c r="U1395" t="s">
        <v>4007</v>
      </c>
      <c r="V1395" t="s">
        <v>321</v>
      </c>
      <c r="W1395" t="s">
        <v>69</v>
      </c>
    </row>
    <row r="1396" spans="1:23" x14ac:dyDescent="0.25">
      <c r="A1396" t="s">
        <v>665</v>
      </c>
      <c r="B1396" s="19">
        <v>12685</v>
      </c>
      <c r="C1396" s="2">
        <f>HYPERLINK(URLs!B36 &amp; 99928,99928)</f>
        <v>99928</v>
      </c>
      <c r="D1396" t="s">
        <v>3577</v>
      </c>
      <c r="E1396" t="s">
        <v>84</v>
      </c>
      <c r="F1396" t="s">
        <v>305</v>
      </c>
      <c r="G1396" t="s">
        <v>304</v>
      </c>
      <c r="H1396" t="s">
        <v>54</v>
      </c>
      <c r="I1396" t="s">
        <v>31</v>
      </c>
      <c r="J1396" t="s">
        <v>32</v>
      </c>
      <c r="K1396" t="s">
        <v>33</v>
      </c>
      <c r="L1396" t="s">
        <v>73</v>
      </c>
      <c r="M1396" t="s">
        <v>263</v>
      </c>
      <c r="N1396" t="s">
        <v>579</v>
      </c>
      <c r="O1396" t="s">
        <v>3578</v>
      </c>
      <c r="P1396" t="s">
        <v>3233</v>
      </c>
      <c r="Q1396" t="s">
        <v>3233</v>
      </c>
      <c r="R1396">
        <v>42879.594826388886</v>
      </c>
      <c r="S1396">
        <v>42929.125092592592</v>
      </c>
      <c r="T1396" t="s">
        <v>3579</v>
      </c>
      <c r="U1396" t="s">
        <v>35</v>
      </c>
      <c r="V1396" t="s">
        <v>321</v>
      </c>
      <c r="W1396" t="s">
        <v>449</v>
      </c>
    </row>
    <row r="1397" spans="1:23" x14ac:dyDescent="0.25">
      <c r="A1397" t="s">
        <v>665</v>
      </c>
      <c r="B1397" s="19">
        <v>12685</v>
      </c>
      <c r="C1397" s="2">
        <f>HYPERLINK(URLs!B36 &amp; 98988,98988)</f>
        <v>98988</v>
      </c>
      <c r="D1397" t="s">
        <v>3548</v>
      </c>
      <c r="E1397" t="s">
        <v>72</v>
      </c>
      <c r="F1397" t="s">
        <v>305</v>
      </c>
      <c r="G1397" t="s">
        <v>304</v>
      </c>
      <c r="H1397" t="s">
        <v>54</v>
      </c>
      <c r="I1397" t="s">
        <v>31</v>
      </c>
      <c r="J1397" t="s">
        <v>32</v>
      </c>
      <c r="K1397" t="s">
        <v>33</v>
      </c>
      <c r="L1397" t="s">
        <v>73</v>
      </c>
      <c r="M1397" t="s">
        <v>263</v>
      </c>
      <c r="N1397" t="s">
        <v>4192</v>
      </c>
      <c r="P1397" t="s">
        <v>307</v>
      </c>
      <c r="Q1397" t="s">
        <v>3550</v>
      </c>
      <c r="R1397">
        <v>42857.933888888889</v>
      </c>
      <c r="S1397">
        <v>43214.207372685189</v>
      </c>
      <c r="T1397" t="s">
        <v>3313</v>
      </c>
      <c r="U1397" t="s">
        <v>4004</v>
      </c>
      <c r="V1397" t="s">
        <v>321</v>
      </c>
      <c r="W1397" t="s">
        <v>307</v>
      </c>
    </row>
    <row r="1398" spans="1:23" x14ac:dyDescent="0.25">
      <c r="A1398" t="s">
        <v>665</v>
      </c>
      <c r="B1398" s="19">
        <v>12685</v>
      </c>
      <c r="C1398" s="2">
        <f>HYPERLINK(URLs!B36 &amp; 97936,97936)</f>
        <v>97936</v>
      </c>
      <c r="D1398" t="s">
        <v>3488</v>
      </c>
      <c r="E1398" t="s">
        <v>84</v>
      </c>
      <c r="F1398" t="s">
        <v>319</v>
      </c>
      <c r="G1398" t="s">
        <v>304</v>
      </c>
      <c r="H1398" t="s">
        <v>54</v>
      </c>
      <c r="I1398" t="s">
        <v>31</v>
      </c>
      <c r="J1398" t="s">
        <v>32</v>
      </c>
      <c r="K1398" t="s">
        <v>33</v>
      </c>
      <c r="L1398" t="s">
        <v>73</v>
      </c>
      <c r="M1398" t="s">
        <v>263</v>
      </c>
      <c r="N1398" t="s">
        <v>579</v>
      </c>
      <c r="P1398" t="s">
        <v>3233</v>
      </c>
      <c r="Q1398" t="s">
        <v>3041</v>
      </c>
      <c r="R1398">
        <v>42830.438344907408</v>
      </c>
      <c r="S1398">
        <v>42893.426111111112</v>
      </c>
      <c r="T1398" t="s">
        <v>84</v>
      </c>
      <c r="U1398" t="s">
        <v>35</v>
      </c>
      <c r="V1398" t="s">
        <v>321</v>
      </c>
      <c r="W1398" t="s">
        <v>4168</v>
      </c>
    </row>
    <row r="1399" spans="1:23" x14ac:dyDescent="0.25">
      <c r="A1399" t="s">
        <v>665</v>
      </c>
      <c r="B1399" s="19">
        <v>12685</v>
      </c>
      <c r="C1399" s="2">
        <f>HYPERLINK(URLs!B36 &amp; 91470,91470)</f>
        <v>91470</v>
      </c>
      <c r="D1399" t="s">
        <v>3318</v>
      </c>
      <c r="E1399" t="s">
        <v>490</v>
      </c>
      <c r="F1399" t="s">
        <v>305</v>
      </c>
      <c r="G1399" t="s">
        <v>304</v>
      </c>
      <c r="H1399" t="s">
        <v>54</v>
      </c>
      <c r="I1399" t="s">
        <v>31</v>
      </c>
      <c r="J1399" t="s">
        <v>32</v>
      </c>
      <c r="K1399" t="s">
        <v>33</v>
      </c>
      <c r="L1399" t="s">
        <v>73</v>
      </c>
      <c r="M1399" t="s">
        <v>263</v>
      </c>
      <c r="N1399" t="s">
        <v>3319</v>
      </c>
      <c r="P1399" t="s">
        <v>3233</v>
      </c>
      <c r="Q1399" t="s">
        <v>3041</v>
      </c>
      <c r="R1399">
        <v>42670.679722222223</v>
      </c>
      <c r="S1399">
        <v>43207.452245370368</v>
      </c>
      <c r="T1399" t="s">
        <v>317</v>
      </c>
      <c r="U1399" t="s">
        <v>35</v>
      </c>
      <c r="V1399" t="s">
        <v>321</v>
      </c>
      <c r="W1399" t="s">
        <v>3555</v>
      </c>
    </row>
    <row r="1400" spans="1:23" x14ac:dyDescent="0.25">
      <c r="A1400" t="s">
        <v>665</v>
      </c>
      <c r="B1400" s="19">
        <v>12685</v>
      </c>
      <c r="C1400" s="2">
        <f>HYPERLINK(URLs!B36 &amp; 91086,91086)</f>
        <v>91086</v>
      </c>
      <c r="D1400" t="s">
        <v>3312</v>
      </c>
      <c r="E1400" t="s">
        <v>3313</v>
      </c>
      <c r="F1400" t="s">
        <v>305</v>
      </c>
      <c r="G1400" t="s">
        <v>304</v>
      </c>
      <c r="H1400" t="s">
        <v>54</v>
      </c>
      <c r="I1400" t="s">
        <v>31</v>
      </c>
      <c r="J1400" t="s">
        <v>32</v>
      </c>
      <c r="K1400" t="s">
        <v>33</v>
      </c>
      <c r="L1400" t="s">
        <v>73</v>
      </c>
      <c r="M1400" t="s">
        <v>263</v>
      </c>
      <c r="N1400" t="s">
        <v>579</v>
      </c>
      <c r="O1400" t="s">
        <v>1717</v>
      </c>
      <c r="P1400" t="s">
        <v>3233</v>
      </c>
      <c r="Q1400" t="s">
        <v>159</v>
      </c>
      <c r="R1400">
        <v>42664.55978009259</v>
      </c>
      <c r="S1400">
        <v>43215.976030092592</v>
      </c>
      <c r="T1400" t="s">
        <v>86</v>
      </c>
      <c r="U1400" t="s">
        <v>35</v>
      </c>
      <c r="V1400" t="s">
        <v>321</v>
      </c>
      <c r="W1400" t="s">
        <v>4098</v>
      </c>
    </row>
    <row r="1401" spans="1:23" x14ac:dyDescent="0.25">
      <c r="A1401" t="s">
        <v>665</v>
      </c>
      <c r="B1401" s="19">
        <v>12846</v>
      </c>
      <c r="C1401" s="2">
        <f>HYPERLINK(URLs!B36 &amp; 93935,93935)</f>
        <v>93935</v>
      </c>
      <c r="D1401" t="s">
        <v>3382</v>
      </c>
      <c r="E1401" t="s">
        <v>3383</v>
      </c>
      <c r="F1401" t="s">
        <v>305</v>
      </c>
      <c r="G1401" t="s">
        <v>304</v>
      </c>
      <c r="H1401" t="s">
        <v>30</v>
      </c>
      <c r="I1401" t="s">
        <v>68</v>
      </c>
      <c r="J1401" t="s">
        <v>58</v>
      </c>
      <c r="K1401" t="s">
        <v>51</v>
      </c>
      <c r="L1401" t="s">
        <v>34</v>
      </c>
      <c r="M1401" t="s">
        <v>2691</v>
      </c>
      <c r="N1401" t="s">
        <v>46</v>
      </c>
      <c r="O1401" t="s">
        <v>3384</v>
      </c>
      <c r="P1401" t="s">
        <v>77</v>
      </c>
      <c r="Q1401" t="s">
        <v>159</v>
      </c>
      <c r="R1401">
        <v>42724.663611111115</v>
      </c>
      <c r="S1401">
        <v>42950.138310185182</v>
      </c>
      <c r="T1401" t="s">
        <v>53</v>
      </c>
      <c r="U1401" t="s">
        <v>3982</v>
      </c>
      <c r="V1401" t="s">
        <v>35</v>
      </c>
      <c r="W1401" t="s">
        <v>4143</v>
      </c>
    </row>
    <row r="1402" spans="1:23" x14ac:dyDescent="0.25">
      <c r="A1402" t="s">
        <v>665</v>
      </c>
      <c r="B1402" s="19">
        <v>12846</v>
      </c>
      <c r="C1402" s="2">
        <f>HYPERLINK(URLs!B36 &amp; 93934,93934)</f>
        <v>93934</v>
      </c>
      <c r="D1402" t="s">
        <v>3381</v>
      </c>
      <c r="E1402" t="s">
        <v>125</v>
      </c>
      <c r="F1402" t="s">
        <v>305</v>
      </c>
      <c r="G1402" t="s">
        <v>337</v>
      </c>
      <c r="H1402" t="s">
        <v>30</v>
      </c>
      <c r="I1402" t="s">
        <v>68</v>
      </c>
      <c r="J1402" t="s">
        <v>58</v>
      </c>
      <c r="K1402" t="s">
        <v>51</v>
      </c>
      <c r="L1402" t="s">
        <v>34</v>
      </c>
      <c r="M1402" t="s">
        <v>2691</v>
      </c>
      <c r="N1402" t="s">
        <v>46</v>
      </c>
      <c r="O1402" t="s">
        <v>533</v>
      </c>
      <c r="P1402" t="s">
        <v>77</v>
      </c>
      <c r="Q1402" t="s">
        <v>528</v>
      </c>
      <c r="R1402">
        <v>42724.663518518515</v>
      </c>
      <c r="S1402">
        <v>42929.392453703702</v>
      </c>
      <c r="T1402" t="s">
        <v>53</v>
      </c>
      <c r="U1402" t="s">
        <v>35</v>
      </c>
      <c r="V1402" t="s">
        <v>35</v>
      </c>
      <c r="W1402" t="s">
        <v>4155</v>
      </c>
    </row>
    <row r="1403" spans="1:23" x14ac:dyDescent="0.25">
      <c r="A1403" t="s">
        <v>665</v>
      </c>
      <c r="B1403" s="19">
        <v>12846</v>
      </c>
      <c r="C1403" s="2">
        <f>HYPERLINK(URLs!B36 &amp; 93933,93933)</f>
        <v>93933</v>
      </c>
      <c r="D1403" t="s">
        <v>3380</v>
      </c>
      <c r="E1403" t="s">
        <v>125</v>
      </c>
      <c r="F1403" t="s">
        <v>305</v>
      </c>
      <c r="G1403" t="s">
        <v>337</v>
      </c>
      <c r="H1403" t="s">
        <v>30</v>
      </c>
      <c r="I1403" t="s">
        <v>68</v>
      </c>
      <c r="J1403" t="s">
        <v>58</v>
      </c>
      <c r="K1403" t="s">
        <v>51</v>
      </c>
      <c r="L1403" t="s">
        <v>34</v>
      </c>
      <c r="M1403" t="s">
        <v>2691</v>
      </c>
      <c r="N1403" t="s">
        <v>46</v>
      </c>
      <c r="O1403" t="s">
        <v>533</v>
      </c>
      <c r="P1403" t="s">
        <v>77</v>
      </c>
      <c r="Q1403" t="s">
        <v>3379</v>
      </c>
      <c r="R1403">
        <v>42724.663437499999</v>
      </c>
      <c r="S1403">
        <v>42746.714525462965</v>
      </c>
      <c r="T1403" t="s">
        <v>53</v>
      </c>
      <c r="U1403" t="s">
        <v>35</v>
      </c>
      <c r="V1403" t="s">
        <v>35</v>
      </c>
      <c r="W1403" t="s">
        <v>133</v>
      </c>
    </row>
    <row r="1404" spans="1:23" x14ac:dyDescent="0.25">
      <c r="A1404" t="s">
        <v>665</v>
      </c>
      <c r="B1404" s="19">
        <v>12846</v>
      </c>
      <c r="C1404" s="2">
        <f>HYPERLINK(URLs!B36 &amp; 93932,93932)</f>
        <v>93932</v>
      </c>
      <c r="D1404" t="s">
        <v>3378</v>
      </c>
      <c r="E1404" t="s">
        <v>125</v>
      </c>
      <c r="F1404" t="s">
        <v>305</v>
      </c>
      <c r="G1404" t="s">
        <v>337</v>
      </c>
      <c r="H1404" t="s">
        <v>30</v>
      </c>
      <c r="I1404" t="s">
        <v>68</v>
      </c>
      <c r="J1404" t="s">
        <v>58</v>
      </c>
      <c r="K1404" t="s">
        <v>51</v>
      </c>
      <c r="L1404" t="s">
        <v>34</v>
      </c>
      <c r="M1404" t="s">
        <v>2691</v>
      </c>
      <c r="N1404" t="s">
        <v>46</v>
      </c>
      <c r="O1404" t="s">
        <v>533</v>
      </c>
      <c r="P1404" t="s">
        <v>77</v>
      </c>
      <c r="Q1404" t="s">
        <v>3379</v>
      </c>
      <c r="R1404">
        <v>42724.663368055553</v>
      </c>
      <c r="S1404">
        <v>42759.837708333333</v>
      </c>
      <c r="T1404" t="s">
        <v>53</v>
      </c>
      <c r="U1404" t="s">
        <v>35</v>
      </c>
      <c r="V1404" t="s">
        <v>35</v>
      </c>
      <c r="W1404" t="s">
        <v>4156</v>
      </c>
    </row>
    <row r="1405" spans="1:23" x14ac:dyDescent="0.25">
      <c r="A1405" t="s">
        <v>665</v>
      </c>
      <c r="B1405" s="19">
        <v>12846</v>
      </c>
      <c r="C1405" s="2">
        <f>HYPERLINK(URLs!B36 &amp; 93901,93901)</f>
        <v>93901</v>
      </c>
      <c r="D1405" t="s">
        <v>3376</v>
      </c>
      <c r="E1405" t="s">
        <v>125</v>
      </c>
      <c r="F1405" t="s">
        <v>305</v>
      </c>
      <c r="G1405" t="s">
        <v>304</v>
      </c>
      <c r="H1405" t="s">
        <v>30</v>
      </c>
      <c r="I1405" t="s">
        <v>68</v>
      </c>
      <c r="J1405" t="s">
        <v>58</v>
      </c>
      <c r="K1405" t="s">
        <v>51</v>
      </c>
      <c r="L1405" t="s">
        <v>34</v>
      </c>
      <c r="M1405" t="s">
        <v>2691</v>
      </c>
      <c r="N1405" t="s">
        <v>46</v>
      </c>
      <c r="O1405" t="s">
        <v>3377</v>
      </c>
      <c r="P1405" t="s">
        <v>77</v>
      </c>
      <c r="Q1405" t="s">
        <v>2416</v>
      </c>
      <c r="R1405">
        <v>42724.199756944443</v>
      </c>
      <c r="S1405">
        <v>43187.160821759258</v>
      </c>
      <c r="T1405" t="s">
        <v>4</v>
      </c>
      <c r="U1405" t="s">
        <v>35</v>
      </c>
      <c r="V1405" t="s">
        <v>35</v>
      </c>
      <c r="W1405" t="s">
        <v>4098</v>
      </c>
    </row>
    <row r="1406" spans="1:23" x14ac:dyDescent="0.25">
      <c r="A1406" t="s">
        <v>665</v>
      </c>
      <c r="B1406" s="19">
        <v>12886</v>
      </c>
      <c r="C1406" s="2">
        <f>HYPERLINK(URLs!B36 &amp; 111883,111883)</f>
        <v>111883</v>
      </c>
      <c r="D1406" t="s">
        <v>4401</v>
      </c>
      <c r="E1406" t="s">
        <v>387</v>
      </c>
      <c r="F1406" t="s">
        <v>305</v>
      </c>
      <c r="G1406" t="s">
        <v>337</v>
      </c>
      <c r="H1406" t="s">
        <v>54</v>
      </c>
      <c r="I1406" t="s">
        <v>31</v>
      </c>
      <c r="J1406" t="s">
        <v>43</v>
      </c>
      <c r="K1406" t="s">
        <v>33</v>
      </c>
      <c r="L1406" t="s">
        <v>73</v>
      </c>
      <c r="M1406" t="s">
        <v>263</v>
      </c>
      <c r="N1406" t="s">
        <v>60</v>
      </c>
      <c r="O1406" t="s">
        <v>4733</v>
      </c>
      <c r="P1406" t="s">
        <v>56</v>
      </c>
      <c r="Q1406" t="s">
        <v>2028</v>
      </c>
      <c r="R1406">
        <v>43192.495208333334</v>
      </c>
      <c r="S1406">
        <v>43392.143796296295</v>
      </c>
      <c r="T1406" t="s">
        <v>490</v>
      </c>
      <c r="U1406" t="s">
        <v>35</v>
      </c>
      <c r="V1406" t="s">
        <v>321</v>
      </c>
      <c r="W1406" t="s">
        <v>4210</v>
      </c>
    </row>
    <row r="1407" spans="1:23" x14ac:dyDescent="0.25">
      <c r="A1407" t="s">
        <v>665</v>
      </c>
      <c r="B1407" s="19">
        <v>12886</v>
      </c>
      <c r="C1407" s="2">
        <f>HYPERLINK(URLs!B36 &amp; 105272,105272)</f>
        <v>105272</v>
      </c>
      <c r="D1407" t="s">
        <v>3717</v>
      </c>
      <c r="E1407" t="s">
        <v>288</v>
      </c>
      <c r="F1407" t="s">
        <v>305</v>
      </c>
      <c r="G1407" t="s">
        <v>304</v>
      </c>
      <c r="H1407" t="s">
        <v>116</v>
      </c>
      <c r="I1407" t="s">
        <v>31</v>
      </c>
      <c r="J1407" t="s">
        <v>32</v>
      </c>
      <c r="K1407" t="s">
        <v>44</v>
      </c>
      <c r="L1407" t="s">
        <v>96</v>
      </c>
      <c r="M1407" t="s">
        <v>269</v>
      </c>
      <c r="N1407" t="s">
        <v>518</v>
      </c>
      <c r="P1407" t="s">
        <v>77</v>
      </c>
      <c r="Q1407" t="s">
        <v>77</v>
      </c>
      <c r="R1407">
        <v>43004.694189814814</v>
      </c>
      <c r="S1407">
        <v>43283.739502314813</v>
      </c>
      <c r="T1407" t="s">
        <v>53</v>
      </c>
      <c r="U1407" t="s">
        <v>4023</v>
      </c>
      <c r="V1407" t="s">
        <v>321</v>
      </c>
      <c r="W1407" t="s">
        <v>4172</v>
      </c>
    </row>
    <row r="1408" spans="1:23" x14ac:dyDescent="0.25">
      <c r="A1408" t="s">
        <v>665</v>
      </c>
      <c r="B1408" s="19">
        <v>12886</v>
      </c>
      <c r="C1408" s="2">
        <f>HYPERLINK(URLs!B36 &amp; 105256,105256)</f>
        <v>105256</v>
      </c>
      <c r="D1408" t="s">
        <v>3716</v>
      </c>
      <c r="E1408" t="s">
        <v>139</v>
      </c>
      <c r="F1408" t="s">
        <v>319</v>
      </c>
      <c r="G1408" t="s">
        <v>304</v>
      </c>
      <c r="H1408" t="s">
        <v>116</v>
      </c>
      <c r="I1408" t="s">
        <v>31</v>
      </c>
      <c r="J1408" t="s">
        <v>32</v>
      </c>
      <c r="K1408" t="s">
        <v>44</v>
      </c>
      <c r="L1408" t="s">
        <v>96</v>
      </c>
      <c r="M1408" t="s">
        <v>269</v>
      </c>
      <c r="N1408" t="s">
        <v>3513</v>
      </c>
      <c r="P1408" t="s">
        <v>77</v>
      </c>
      <c r="Q1408" t="s">
        <v>77</v>
      </c>
      <c r="R1408">
        <v>43004.643935185188</v>
      </c>
      <c r="S1408">
        <v>43404.493703703702</v>
      </c>
      <c r="T1408" t="s">
        <v>288</v>
      </c>
      <c r="U1408" t="s">
        <v>4027</v>
      </c>
      <c r="V1408" t="s">
        <v>321</v>
      </c>
      <c r="W1408" t="s">
        <v>4171</v>
      </c>
    </row>
    <row r="1409" spans="1:23" x14ac:dyDescent="0.25">
      <c r="A1409" t="s">
        <v>665</v>
      </c>
      <c r="B1409" s="19">
        <v>12886</v>
      </c>
      <c r="C1409" s="2">
        <f>HYPERLINK(URLs!B36 &amp; 99290,99290)</f>
        <v>99290</v>
      </c>
      <c r="D1409" t="s">
        <v>3559</v>
      </c>
      <c r="E1409" t="s">
        <v>139</v>
      </c>
      <c r="F1409" t="s">
        <v>305</v>
      </c>
      <c r="G1409" t="s">
        <v>304</v>
      </c>
      <c r="H1409" t="s">
        <v>116</v>
      </c>
      <c r="I1409" t="s">
        <v>31</v>
      </c>
      <c r="J1409" t="s">
        <v>32</v>
      </c>
      <c r="K1409" t="s">
        <v>44</v>
      </c>
      <c r="L1409" t="s">
        <v>96</v>
      </c>
      <c r="M1409" t="s">
        <v>269</v>
      </c>
      <c r="N1409" t="s">
        <v>3560</v>
      </c>
      <c r="P1409" t="s">
        <v>77</v>
      </c>
      <c r="Q1409" t="s">
        <v>77</v>
      </c>
      <c r="R1409">
        <v>42865.747650462959</v>
      </c>
      <c r="S1409">
        <v>43206.798819444448</v>
      </c>
      <c r="T1409" t="s">
        <v>288</v>
      </c>
      <c r="U1409" t="s">
        <v>4017</v>
      </c>
      <c r="V1409" t="s">
        <v>321</v>
      </c>
      <c r="W1409" t="s">
        <v>307</v>
      </c>
    </row>
    <row r="1410" spans="1:23" x14ac:dyDescent="0.25">
      <c r="A1410" t="s">
        <v>665</v>
      </c>
      <c r="B1410" s="19">
        <v>12886</v>
      </c>
      <c r="C1410" s="2">
        <f>HYPERLINK(URLs!B36 &amp; 94192,94192)</f>
        <v>94192</v>
      </c>
      <c r="D1410" t="s">
        <v>525</v>
      </c>
      <c r="E1410" t="s">
        <v>103</v>
      </c>
      <c r="F1410" t="s">
        <v>305</v>
      </c>
      <c r="G1410" t="s">
        <v>337</v>
      </c>
      <c r="H1410" t="s">
        <v>54</v>
      </c>
      <c r="I1410" t="s">
        <v>31</v>
      </c>
      <c r="J1410" t="s">
        <v>32</v>
      </c>
      <c r="K1410" t="s">
        <v>33</v>
      </c>
      <c r="L1410" t="s">
        <v>96</v>
      </c>
      <c r="M1410" t="s">
        <v>281</v>
      </c>
      <c r="N1410" t="s">
        <v>60</v>
      </c>
      <c r="P1410" t="s">
        <v>77</v>
      </c>
      <c r="Q1410" t="s">
        <v>3708</v>
      </c>
      <c r="R1410">
        <v>42740.289479166669</v>
      </c>
      <c r="S1410">
        <v>43423.863495370373</v>
      </c>
      <c r="T1410" t="s">
        <v>317</v>
      </c>
      <c r="U1410" t="s">
        <v>35</v>
      </c>
      <c r="V1410" t="s">
        <v>321</v>
      </c>
      <c r="W1410" t="s">
        <v>4156</v>
      </c>
    </row>
    <row r="1411" spans="1:23" x14ac:dyDescent="0.25">
      <c r="A1411" t="s">
        <v>665</v>
      </c>
      <c r="B1411" s="19">
        <v>12886</v>
      </c>
      <c r="C1411" s="2">
        <f>HYPERLINK(URLs!B36 &amp; 94191,94191)</f>
        <v>94191</v>
      </c>
      <c r="D1411" t="s">
        <v>3398</v>
      </c>
      <c r="E1411" t="s">
        <v>103</v>
      </c>
      <c r="F1411" t="s">
        <v>305</v>
      </c>
      <c r="G1411" t="s">
        <v>337</v>
      </c>
      <c r="H1411" t="s">
        <v>116</v>
      </c>
      <c r="I1411" t="s">
        <v>31</v>
      </c>
      <c r="J1411" t="s">
        <v>32</v>
      </c>
      <c r="K1411" t="s">
        <v>33</v>
      </c>
      <c r="L1411" t="s">
        <v>96</v>
      </c>
      <c r="M1411" t="s">
        <v>269</v>
      </c>
      <c r="N1411" t="s">
        <v>518</v>
      </c>
      <c r="P1411" t="s">
        <v>77</v>
      </c>
      <c r="Q1411" t="s">
        <v>1503</v>
      </c>
      <c r="R1411">
        <v>42740.289351851854</v>
      </c>
      <c r="S1411">
        <v>42986.589675925927</v>
      </c>
      <c r="T1411" t="s">
        <v>317</v>
      </c>
      <c r="U1411" t="s">
        <v>35</v>
      </c>
      <c r="V1411" t="s">
        <v>321</v>
      </c>
      <c r="W1411" t="s">
        <v>69</v>
      </c>
    </row>
    <row r="1412" spans="1:23" x14ac:dyDescent="0.25">
      <c r="A1412" t="s">
        <v>665</v>
      </c>
      <c r="B1412" s="19">
        <v>12886</v>
      </c>
      <c r="C1412" s="2">
        <f>HYPERLINK(URLs!B36 &amp; 94190,94190)</f>
        <v>94190</v>
      </c>
      <c r="D1412" t="s">
        <v>3396</v>
      </c>
      <c r="E1412" t="s">
        <v>3397</v>
      </c>
      <c r="F1412" t="s">
        <v>305</v>
      </c>
      <c r="G1412" t="s">
        <v>337</v>
      </c>
      <c r="H1412" t="s">
        <v>54</v>
      </c>
      <c r="I1412" t="s">
        <v>31</v>
      </c>
      <c r="J1412" t="s">
        <v>32</v>
      </c>
      <c r="K1412" t="s">
        <v>33</v>
      </c>
      <c r="L1412" t="s">
        <v>96</v>
      </c>
      <c r="M1412" t="s">
        <v>267</v>
      </c>
      <c r="N1412" t="s">
        <v>60</v>
      </c>
      <c r="P1412" t="s">
        <v>77</v>
      </c>
      <c r="Q1412" t="s">
        <v>65</v>
      </c>
      <c r="R1412">
        <v>42740.289247685185</v>
      </c>
      <c r="S1412">
        <v>42941.880069444444</v>
      </c>
      <c r="T1412" t="s">
        <v>317</v>
      </c>
      <c r="U1412" t="s">
        <v>35</v>
      </c>
      <c r="V1412" t="s">
        <v>321</v>
      </c>
      <c r="W1412" t="s">
        <v>133</v>
      </c>
    </row>
    <row r="1413" spans="1:23" x14ac:dyDescent="0.25">
      <c r="A1413" t="s">
        <v>665</v>
      </c>
      <c r="B1413" s="19">
        <v>12886</v>
      </c>
      <c r="C1413" s="2">
        <f>HYPERLINK(URLs!B36 &amp; 94074,94074)</f>
        <v>94074</v>
      </c>
      <c r="D1413" t="s">
        <v>102</v>
      </c>
      <c r="E1413" t="s">
        <v>103</v>
      </c>
      <c r="F1413" t="s">
        <v>319</v>
      </c>
      <c r="G1413" t="s">
        <v>304</v>
      </c>
      <c r="H1413" t="s">
        <v>54</v>
      </c>
      <c r="I1413" t="s">
        <v>31</v>
      </c>
      <c r="J1413" t="s">
        <v>32</v>
      </c>
      <c r="K1413" t="s">
        <v>33</v>
      </c>
      <c r="L1413" t="s">
        <v>96</v>
      </c>
      <c r="M1413" t="s">
        <v>269</v>
      </c>
      <c r="N1413" t="s">
        <v>60</v>
      </c>
      <c r="P1413" t="s">
        <v>77</v>
      </c>
      <c r="Q1413" t="s">
        <v>3708</v>
      </c>
      <c r="R1413">
        <v>42738.692731481482</v>
      </c>
      <c r="S1413">
        <v>43423.88484953704</v>
      </c>
      <c r="T1413" t="s">
        <v>1</v>
      </c>
      <c r="U1413" t="s">
        <v>35</v>
      </c>
      <c r="V1413" t="s">
        <v>321</v>
      </c>
      <c r="W1413" t="s">
        <v>4098</v>
      </c>
    </row>
    <row r="1414" spans="1:23" x14ac:dyDescent="0.25">
      <c r="A1414" t="s">
        <v>633</v>
      </c>
      <c r="B1414" s="19">
        <v>12887</v>
      </c>
      <c r="C1414" s="2">
        <f>HYPERLINK(URLs!B36 &amp; 94169,94169)</f>
        <v>94169</v>
      </c>
      <c r="D1414" t="s">
        <v>3395</v>
      </c>
      <c r="E1414" t="s">
        <v>175</v>
      </c>
      <c r="F1414" t="s">
        <v>305</v>
      </c>
      <c r="G1414" t="s">
        <v>395</v>
      </c>
      <c r="H1414" t="s">
        <v>54</v>
      </c>
      <c r="I1414" t="s">
        <v>68</v>
      </c>
      <c r="J1414" t="s">
        <v>43</v>
      </c>
      <c r="K1414" t="s">
        <v>33</v>
      </c>
      <c r="L1414" t="s">
        <v>2529</v>
      </c>
      <c r="M1414" t="s">
        <v>3387</v>
      </c>
      <c r="N1414" t="s">
        <v>60</v>
      </c>
      <c r="P1414" t="s">
        <v>107</v>
      </c>
      <c r="Q1414" t="s">
        <v>3389</v>
      </c>
      <c r="R1414">
        <v>42739.797384259262</v>
      </c>
      <c r="S1414">
        <v>42871.458738425928</v>
      </c>
      <c r="T1414" t="s">
        <v>288</v>
      </c>
      <c r="U1414" t="s">
        <v>35</v>
      </c>
      <c r="V1414" t="s">
        <v>35</v>
      </c>
      <c r="W1414" t="s">
        <v>69</v>
      </c>
    </row>
    <row r="1415" spans="1:23" x14ac:dyDescent="0.25">
      <c r="A1415" t="s">
        <v>633</v>
      </c>
      <c r="B1415" s="19">
        <v>12887</v>
      </c>
      <c r="C1415" s="2">
        <f>HYPERLINK(URLs!B36 &amp; 94168,94168)</f>
        <v>94168</v>
      </c>
      <c r="D1415" t="s">
        <v>3394</v>
      </c>
      <c r="E1415" t="s">
        <v>194</v>
      </c>
      <c r="F1415" t="s">
        <v>305</v>
      </c>
      <c r="G1415" t="s">
        <v>395</v>
      </c>
      <c r="H1415" t="s">
        <v>54</v>
      </c>
      <c r="I1415" t="s">
        <v>68</v>
      </c>
      <c r="J1415" t="s">
        <v>43</v>
      </c>
      <c r="K1415" t="s">
        <v>33</v>
      </c>
      <c r="L1415" t="s">
        <v>2529</v>
      </c>
      <c r="M1415" t="s">
        <v>3387</v>
      </c>
      <c r="N1415" t="s">
        <v>60</v>
      </c>
      <c r="P1415" t="s">
        <v>107</v>
      </c>
      <c r="Q1415" t="s">
        <v>3389</v>
      </c>
      <c r="R1415">
        <v>42739.797407407408</v>
      </c>
      <c r="S1415">
        <v>43291.150405092594</v>
      </c>
      <c r="T1415" t="s">
        <v>288</v>
      </c>
      <c r="U1415" t="s">
        <v>35</v>
      </c>
      <c r="V1415" t="s">
        <v>35</v>
      </c>
      <c r="W1415" t="s">
        <v>4098</v>
      </c>
    </row>
    <row r="1416" spans="1:23" x14ac:dyDescent="0.25">
      <c r="A1416" t="s">
        <v>633</v>
      </c>
      <c r="B1416" s="19">
        <v>12887</v>
      </c>
      <c r="C1416" s="2">
        <f>HYPERLINK(URLs!B36 &amp; 94085,94085)</f>
        <v>94085</v>
      </c>
      <c r="D1416" t="s">
        <v>3386</v>
      </c>
      <c r="E1416" t="s">
        <v>175</v>
      </c>
      <c r="F1416" t="s">
        <v>305</v>
      </c>
      <c r="G1416" t="s">
        <v>395</v>
      </c>
      <c r="H1416" t="s">
        <v>54</v>
      </c>
      <c r="I1416" t="s">
        <v>68</v>
      </c>
      <c r="J1416" t="s">
        <v>43</v>
      </c>
      <c r="K1416" t="s">
        <v>33</v>
      </c>
      <c r="L1416" t="s">
        <v>2529</v>
      </c>
      <c r="M1416" t="s">
        <v>3387</v>
      </c>
      <c r="N1416" t="s">
        <v>60</v>
      </c>
      <c r="O1416" t="s">
        <v>3388</v>
      </c>
      <c r="P1416" t="s">
        <v>107</v>
      </c>
      <c r="Q1416" t="s">
        <v>3389</v>
      </c>
      <c r="R1416">
        <v>42738.748067129629</v>
      </c>
      <c r="S1416">
        <v>42745.867210648146</v>
      </c>
      <c r="T1416" t="s">
        <v>1</v>
      </c>
      <c r="U1416" t="s">
        <v>35</v>
      </c>
      <c r="V1416" t="s">
        <v>35</v>
      </c>
      <c r="W1416" t="s">
        <v>133</v>
      </c>
    </row>
    <row r="1417" spans="1:23" x14ac:dyDescent="0.25">
      <c r="A1417" t="s">
        <v>641</v>
      </c>
      <c r="B1417" s="19">
        <v>13183</v>
      </c>
      <c r="C1417" s="2">
        <f>HYPERLINK(URLs!B36 &amp; 106473,106473)</f>
        <v>106473</v>
      </c>
      <c r="D1417" t="s">
        <v>4223</v>
      </c>
      <c r="E1417" t="s">
        <v>387</v>
      </c>
      <c r="F1417" t="s">
        <v>305</v>
      </c>
      <c r="G1417" t="s">
        <v>337</v>
      </c>
      <c r="H1417" t="s">
        <v>54</v>
      </c>
      <c r="I1417" t="s">
        <v>68</v>
      </c>
      <c r="J1417" t="s">
        <v>43</v>
      </c>
      <c r="K1417" t="s">
        <v>33</v>
      </c>
      <c r="L1417" t="s">
        <v>73</v>
      </c>
      <c r="M1417" t="s">
        <v>263</v>
      </c>
      <c r="N1417" t="s">
        <v>518</v>
      </c>
      <c r="P1417" t="s">
        <v>107</v>
      </c>
      <c r="Q1417" t="s">
        <v>3708</v>
      </c>
      <c r="R1417">
        <v>43032.675775462965</v>
      </c>
      <c r="S1417">
        <v>43423.872499999998</v>
      </c>
      <c r="T1417" t="s">
        <v>53</v>
      </c>
      <c r="U1417" t="s">
        <v>35</v>
      </c>
      <c r="V1417" t="s">
        <v>35</v>
      </c>
      <c r="W1417" t="s">
        <v>4158</v>
      </c>
    </row>
    <row r="1418" spans="1:23" x14ac:dyDescent="0.25">
      <c r="A1418" t="s">
        <v>641</v>
      </c>
      <c r="B1418" s="19">
        <v>13183</v>
      </c>
      <c r="C1418" s="2">
        <f>HYPERLINK(URLs!B36 &amp; 106447,106447)</f>
        <v>106447</v>
      </c>
      <c r="D1418" t="s">
        <v>4222</v>
      </c>
      <c r="E1418" t="s">
        <v>110</v>
      </c>
      <c r="F1418" t="s">
        <v>67</v>
      </c>
      <c r="H1418" t="s">
        <v>54</v>
      </c>
      <c r="I1418" t="s">
        <v>68</v>
      </c>
      <c r="J1418" t="s">
        <v>43</v>
      </c>
      <c r="K1418" t="s">
        <v>33</v>
      </c>
      <c r="L1418" t="s">
        <v>73</v>
      </c>
      <c r="M1418" t="s">
        <v>263</v>
      </c>
      <c r="N1418" t="s">
        <v>60</v>
      </c>
      <c r="P1418" t="s">
        <v>107</v>
      </c>
      <c r="Q1418" t="s">
        <v>107</v>
      </c>
      <c r="R1418">
        <v>43032.495057870372</v>
      </c>
      <c r="S1418">
        <v>43382.661192129628</v>
      </c>
      <c r="T1418" t="s">
        <v>110</v>
      </c>
      <c r="U1418" t="s">
        <v>35</v>
      </c>
      <c r="V1418" t="s">
        <v>35</v>
      </c>
      <c r="W1418" t="s">
        <v>4171</v>
      </c>
    </row>
    <row r="1419" spans="1:23" x14ac:dyDescent="0.25">
      <c r="A1419" t="s">
        <v>641</v>
      </c>
      <c r="B1419" s="19">
        <v>13183</v>
      </c>
      <c r="C1419" s="2">
        <f>HYPERLINK(URLs!B36 &amp; 101890,101890)</f>
        <v>101890</v>
      </c>
      <c r="D1419" t="s">
        <v>4198</v>
      </c>
      <c r="E1419" t="s">
        <v>110</v>
      </c>
      <c r="F1419" t="s">
        <v>305</v>
      </c>
      <c r="G1419" t="s">
        <v>337</v>
      </c>
      <c r="H1419" t="s">
        <v>54</v>
      </c>
      <c r="I1419" t="s">
        <v>31</v>
      </c>
      <c r="J1419" t="s">
        <v>43</v>
      </c>
      <c r="K1419" t="s">
        <v>44</v>
      </c>
      <c r="L1419" t="s">
        <v>73</v>
      </c>
      <c r="M1419" t="s">
        <v>263</v>
      </c>
      <c r="N1419" t="s">
        <v>4199</v>
      </c>
      <c r="O1419" t="s">
        <v>3625</v>
      </c>
      <c r="P1419" t="s">
        <v>107</v>
      </c>
      <c r="Q1419" t="s">
        <v>107</v>
      </c>
      <c r="R1419">
        <v>42922.24790509259</v>
      </c>
      <c r="S1419">
        <v>43204.161585648151</v>
      </c>
      <c r="T1419" t="s">
        <v>301</v>
      </c>
      <c r="U1419" t="s">
        <v>35</v>
      </c>
      <c r="V1419" t="s">
        <v>35</v>
      </c>
      <c r="W1419" t="s">
        <v>307</v>
      </c>
    </row>
    <row r="1420" spans="1:23" x14ac:dyDescent="0.25">
      <c r="A1420" t="s">
        <v>641</v>
      </c>
      <c r="B1420" s="19">
        <v>13183</v>
      </c>
      <c r="C1420" s="2">
        <f>HYPERLINK(URLs!B36 &amp; 100009,100009)</f>
        <v>100009</v>
      </c>
      <c r="D1420" t="s">
        <v>3586</v>
      </c>
      <c r="E1420" t="s">
        <v>110</v>
      </c>
      <c r="F1420" t="s">
        <v>305</v>
      </c>
      <c r="G1420" t="s">
        <v>353</v>
      </c>
      <c r="H1420" t="s">
        <v>54</v>
      </c>
      <c r="I1420" t="s">
        <v>31</v>
      </c>
      <c r="J1420" t="s">
        <v>32</v>
      </c>
      <c r="K1420" t="s">
        <v>33</v>
      </c>
      <c r="L1420" t="s">
        <v>73</v>
      </c>
      <c r="M1420" t="s">
        <v>263</v>
      </c>
      <c r="N1420" t="s">
        <v>518</v>
      </c>
      <c r="P1420" t="s">
        <v>107</v>
      </c>
      <c r="Q1420" t="s">
        <v>107</v>
      </c>
      <c r="R1420">
        <v>42880.823634259257</v>
      </c>
      <c r="S1420">
        <v>43129.148888888885</v>
      </c>
      <c r="T1420" t="s">
        <v>301</v>
      </c>
      <c r="U1420" t="s">
        <v>35</v>
      </c>
      <c r="V1420" t="s">
        <v>321</v>
      </c>
      <c r="W1420" t="s">
        <v>307</v>
      </c>
    </row>
    <row r="1421" spans="1:23" x14ac:dyDescent="0.25">
      <c r="A1421" t="s">
        <v>641</v>
      </c>
      <c r="B1421" s="19">
        <v>13183</v>
      </c>
      <c r="C1421" s="2">
        <f>HYPERLINK(URLs!B36 &amp; 98891,98891)</f>
        <v>98891</v>
      </c>
      <c r="D1421" t="s">
        <v>4191</v>
      </c>
      <c r="E1421" t="s">
        <v>110</v>
      </c>
      <c r="F1421" t="s">
        <v>29</v>
      </c>
      <c r="H1421" t="s">
        <v>54</v>
      </c>
      <c r="I1421" t="s">
        <v>68</v>
      </c>
      <c r="J1421" t="s">
        <v>43</v>
      </c>
      <c r="K1421" t="s">
        <v>33</v>
      </c>
      <c r="L1421" t="s">
        <v>73</v>
      </c>
      <c r="M1421" t="s">
        <v>263</v>
      </c>
      <c r="N1421" t="s">
        <v>157</v>
      </c>
      <c r="O1421" t="s">
        <v>132</v>
      </c>
      <c r="P1421" t="s">
        <v>107</v>
      </c>
      <c r="Q1421" t="s">
        <v>107</v>
      </c>
      <c r="R1421">
        <v>42853.872870370367</v>
      </c>
      <c r="S1421">
        <v>43423.887615740743</v>
      </c>
      <c r="T1421" t="s">
        <v>1</v>
      </c>
      <c r="U1421" t="s">
        <v>35</v>
      </c>
      <c r="V1421" t="s">
        <v>35</v>
      </c>
      <c r="W1421" t="s">
        <v>4098</v>
      </c>
    </row>
    <row r="1422" spans="1:23" x14ac:dyDescent="0.25">
      <c r="A1422" t="s">
        <v>641</v>
      </c>
      <c r="B1422" s="19">
        <v>13183</v>
      </c>
      <c r="C1422" s="2">
        <f>HYPERLINK(URLs!B36 &amp; 94836,94836)</f>
        <v>94836</v>
      </c>
      <c r="D1422" t="s">
        <v>529</v>
      </c>
      <c r="E1422" t="s">
        <v>110</v>
      </c>
      <c r="F1422" t="s">
        <v>305</v>
      </c>
      <c r="G1422" t="s">
        <v>337</v>
      </c>
      <c r="H1422" t="s">
        <v>54</v>
      </c>
      <c r="I1422" t="s">
        <v>31</v>
      </c>
      <c r="J1422" t="s">
        <v>32</v>
      </c>
      <c r="K1422" t="s">
        <v>33</v>
      </c>
      <c r="L1422" t="s">
        <v>73</v>
      </c>
      <c r="M1422" t="s">
        <v>263</v>
      </c>
      <c r="N1422" t="s">
        <v>60</v>
      </c>
      <c r="P1422" t="s">
        <v>107</v>
      </c>
      <c r="Q1422" t="s">
        <v>3708</v>
      </c>
      <c r="R1422">
        <v>42755.776631944442</v>
      </c>
      <c r="S1422">
        <v>43423.863587962966</v>
      </c>
      <c r="T1422" t="s">
        <v>317</v>
      </c>
      <c r="U1422" t="s">
        <v>35</v>
      </c>
      <c r="V1422" t="s">
        <v>321</v>
      </c>
      <c r="W1422" t="s">
        <v>4156</v>
      </c>
    </row>
    <row r="1423" spans="1:23" x14ac:dyDescent="0.25">
      <c r="A1423" t="s">
        <v>641</v>
      </c>
      <c r="B1423" s="19">
        <v>13183</v>
      </c>
      <c r="C1423" s="2">
        <f>HYPERLINK(URLs!B36 &amp; 94835,94835)</f>
        <v>94835</v>
      </c>
      <c r="D1423" t="s">
        <v>3406</v>
      </c>
      <c r="E1423" t="s">
        <v>155</v>
      </c>
      <c r="F1423" t="s">
        <v>305</v>
      </c>
      <c r="G1423" t="s">
        <v>337</v>
      </c>
      <c r="H1423" t="s">
        <v>54</v>
      </c>
      <c r="I1423" t="s">
        <v>31</v>
      </c>
      <c r="J1423" t="s">
        <v>32</v>
      </c>
      <c r="K1423" t="s">
        <v>33</v>
      </c>
      <c r="L1423" t="s">
        <v>73</v>
      </c>
      <c r="M1423" t="s">
        <v>263</v>
      </c>
      <c r="N1423" t="s">
        <v>518</v>
      </c>
      <c r="O1423" t="s">
        <v>3407</v>
      </c>
      <c r="P1423" t="s">
        <v>107</v>
      </c>
      <c r="Q1423" t="s">
        <v>2481</v>
      </c>
      <c r="R1423">
        <v>42755.776539351849</v>
      </c>
      <c r="S1423">
        <v>42986.584317129629</v>
      </c>
      <c r="T1423" t="s">
        <v>317</v>
      </c>
      <c r="U1423" t="s">
        <v>35</v>
      </c>
      <c r="V1423" t="s">
        <v>321</v>
      </c>
      <c r="W1423" t="s">
        <v>69</v>
      </c>
    </row>
    <row r="1424" spans="1:23" x14ac:dyDescent="0.25">
      <c r="A1424" t="s">
        <v>641</v>
      </c>
      <c r="B1424" s="19">
        <v>13183</v>
      </c>
      <c r="C1424" s="2">
        <f>HYPERLINK(URLs!B36 &amp; 94834,94834)</f>
        <v>94834</v>
      </c>
      <c r="D1424" t="s">
        <v>3404</v>
      </c>
      <c r="E1424" t="s">
        <v>94</v>
      </c>
      <c r="F1424" t="s">
        <v>305</v>
      </c>
      <c r="G1424" t="s">
        <v>337</v>
      </c>
      <c r="H1424" t="s">
        <v>54</v>
      </c>
      <c r="I1424" t="s">
        <v>31</v>
      </c>
      <c r="J1424" t="s">
        <v>32</v>
      </c>
      <c r="K1424" t="s">
        <v>33</v>
      </c>
      <c r="L1424" t="s">
        <v>73</v>
      </c>
      <c r="M1424" t="s">
        <v>263</v>
      </c>
      <c r="N1424" t="s">
        <v>60</v>
      </c>
      <c r="P1424" t="s">
        <v>107</v>
      </c>
      <c r="Q1424" t="s">
        <v>65</v>
      </c>
      <c r="R1424">
        <v>42755.776435185187</v>
      </c>
      <c r="S1424">
        <v>42829.689502314817</v>
      </c>
      <c r="T1424" t="s">
        <v>317</v>
      </c>
      <c r="U1424" t="s">
        <v>35</v>
      </c>
      <c r="V1424" t="s">
        <v>321</v>
      </c>
      <c r="W1424" t="s">
        <v>133</v>
      </c>
    </row>
    <row r="1425" spans="1:23" x14ac:dyDescent="0.25">
      <c r="A1425" t="s">
        <v>641</v>
      </c>
      <c r="B1425" s="19">
        <v>13183</v>
      </c>
      <c r="C1425" s="2">
        <f>HYPERLINK(URLs!B36 &amp; 94830,94830)</f>
        <v>94830</v>
      </c>
      <c r="D1425" t="s">
        <v>109</v>
      </c>
      <c r="E1425" t="s">
        <v>110</v>
      </c>
      <c r="F1425" t="s">
        <v>319</v>
      </c>
      <c r="G1425" t="s">
        <v>353</v>
      </c>
      <c r="H1425" t="s">
        <v>54</v>
      </c>
      <c r="I1425" t="s">
        <v>31</v>
      </c>
      <c r="J1425" t="s">
        <v>32</v>
      </c>
      <c r="K1425" t="s">
        <v>33</v>
      </c>
      <c r="L1425" t="s">
        <v>73</v>
      </c>
      <c r="M1425" t="s">
        <v>263</v>
      </c>
      <c r="N1425" t="s">
        <v>60</v>
      </c>
      <c r="P1425" t="s">
        <v>107</v>
      </c>
      <c r="Q1425" t="s">
        <v>3708</v>
      </c>
      <c r="R1425">
        <v>42755.74523148148</v>
      </c>
      <c r="S1425">
        <v>43423.887615740743</v>
      </c>
      <c r="T1425" t="s">
        <v>1</v>
      </c>
      <c r="U1425" t="s">
        <v>35</v>
      </c>
      <c r="V1425" t="s">
        <v>321</v>
      </c>
      <c r="W1425" t="s">
        <v>4098</v>
      </c>
    </row>
    <row r="1426" spans="1:23" x14ac:dyDescent="0.25">
      <c r="A1426" t="s">
        <v>665</v>
      </c>
      <c r="B1426" s="19">
        <v>13192</v>
      </c>
      <c r="C1426" s="2">
        <f>HYPERLINK(URLs!B36 &amp; 95432,95432)</f>
        <v>95432</v>
      </c>
      <c r="D1426" t="s">
        <v>3422</v>
      </c>
      <c r="E1426" t="s">
        <v>3423</v>
      </c>
      <c r="F1426" t="s">
        <v>305</v>
      </c>
      <c r="G1426" t="s">
        <v>304</v>
      </c>
      <c r="H1426" t="s">
        <v>56</v>
      </c>
      <c r="I1426" t="s">
        <v>68</v>
      </c>
      <c r="J1426" t="s">
        <v>43</v>
      </c>
      <c r="K1426" t="s">
        <v>33</v>
      </c>
      <c r="L1426" t="s">
        <v>34</v>
      </c>
      <c r="M1426" t="s">
        <v>3411</v>
      </c>
      <c r="N1426" t="s">
        <v>46</v>
      </c>
      <c r="O1426" t="s">
        <v>3424</v>
      </c>
      <c r="P1426" t="s">
        <v>2475</v>
      </c>
      <c r="Q1426" t="s">
        <v>3413</v>
      </c>
      <c r="R1426">
        <v>42769.604629629626</v>
      </c>
      <c r="S1426">
        <v>43270.409594907411</v>
      </c>
      <c r="T1426" t="s">
        <v>1917</v>
      </c>
      <c r="U1426" t="s">
        <v>35</v>
      </c>
      <c r="V1426" t="s">
        <v>35</v>
      </c>
      <c r="W1426" t="s">
        <v>4165</v>
      </c>
    </row>
    <row r="1427" spans="1:23" x14ac:dyDescent="0.25">
      <c r="A1427" t="s">
        <v>665</v>
      </c>
      <c r="B1427" s="19">
        <v>13192</v>
      </c>
      <c r="C1427" s="2">
        <f>HYPERLINK(URLs!B36 &amp; 94841,94841)</f>
        <v>94841</v>
      </c>
      <c r="D1427" t="s">
        <v>3409</v>
      </c>
      <c r="E1427" t="s">
        <v>3410</v>
      </c>
      <c r="F1427" t="s">
        <v>319</v>
      </c>
      <c r="G1427" t="s">
        <v>304</v>
      </c>
      <c r="H1427" t="s">
        <v>56</v>
      </c>
      <c r="I1427" t="s">
        <v>68</v>
      </c>
      <c r="J1427" t="s">
        <v>43</v>
      </c>
      <c r="K1427" t="s">
        <v>33</v>
      </c>
      <c r="L1427" t="s">
        <v>34</v>
      </c>
      <c r="M1427" t="s">
        <v>3411</v>
      </c>
      <c r="N1427" t="s">
        <v>46</v>
      </c>
      <c r="O1427" t="s">
        <v>3412</v>
      </c>
      <c r="P1427" t="s">
        <v>56</v>
      </c>
      <c r="Q1427" t="s">
        <v>3413</v>
      </c>
      <c r="R1427">
        <v>42755.88585648148</v>
      </c>
      <c r="S1427">
        <v>43270.409594907411</v>
      </c>
      <c r="T1427" t="s">
        <v>3410</v>
      </c>
      <c r="U1427" t="s">
        <v>35</v>
      </c>
      <c r="V1427" t="s">
        <v>35</v>
      </c>
      <c r="W1427" t="s">
        <v>4098</v>
      </c>
    </row>
    <row r="1428" spans="1:23" x14ac:dyDescent="0.25">
      <c r="A1428" t="s">
        <v>665</v>
      </c>
      <c r="B1428" s="19">
        <v>13204</v>
      </c>
      <c r="C1428" s="2">
        <f>HYPERLINK(URLs!B36 &amp; 104601,104601)</f>
        <v>104601</v>
      </c>
      <c r="D1428" t="s">
        <v>3700</v>
      </c>
      <c r="E1428" t="s">
        <v>112</v>
      </c>
      <c r="F1428" t="s">
        <v>319</v>
      </c>
      <c r="G1428" t="s">
        <v>304</v>
      </c>
      <c r="H1428" t="s">
        <v>54</v>
      </c>
      <c r="I1428" t="s">
        <v>31</v>
      </c>
      <c r="J1428" t="s">
        <v>43</v>
      </c>
      <c r="K1428" t="s">
        <v>44</v>
      </c>
      <c r="L1428" t="s">
        <v>73</v>
      </c>
      <c r="M1428" t="s">
        <v>263</v>
      </c>
      <c r="N1428" t="s">
        <v>3513</v>
      </c>
      <c r="P1428" t="s">
        <v>107</v>
      </c>
      <c r="Q1428" t="s">
        <v>107</v>
      </c>
      <c r="R1428">
        <v>42990.73940972222</v>
      </c>
      <c r="S1428">
        <v>43405.942280092589</v>
      </c>
      <c r="T1428" t="s">
        <v>70</v>
      </c>
      <c r="U1428" t="s">
        <v>4003</v>
      </c>
      <c r="V1428" t="s">
        <v>35</v>
      </c>
      <c r="W1428" t="s">
        <v>4171</v>
      </c>
    </row>
    <row r="1429" spans="1:23" x14ac:dyDescent="0.25">
      <c r="A1429" t="s">
        <v>665</v>
      </c>
      <c r="B1429" s="19">
        <v>13204</v>
      </c>
      <c r="C1429" s="2">
        <f>HYPERLINK(URLs!B36 &amp; 104544,104544)</f>
        <v>104544</v>
      </c>
      <c r="D1429" t="s">
        <v>3697</v>
      </c>
      <c r="E1429" t="s">
        <v>112</v>
      </c>
      <c r="F1429" t="s">
        <v>305</v>
      </c>
      <c r="G1429" t="s">
        <v>304</v>
      </c>
      <c r="H1429" t="s">
        <v>54</v>
      </c>
      <c r="I1429" t="s">
        <v>31</v>
      </c>
      <c r="J1429" t="s">
        <v>43</v>
      </c>
      <c r="K1429" t="s">
        <v>44</v>
      </c>
      <c r="L1429" t="s">
        <v>73</v>
      </c>
      <c r="M1429" t="s">
        <v>263</v>
      </c>
      <c r="N1429" t="s">
        <v>579</v>
      </c>
      <c r="P1429" t="s">
        <v>107</v>
      </c>
      <c r="Q1429" t="s">
        <v>3698</v>
      </c>
      <c r="R1429">
        <v>42989.557291666664</v>
      </c>
      <c r="S1429">
        <v>43039.808645833335</v>
      </c>
      <c r="T1429" t="s">
        <v>53</v>
      </c>
      <c r="U1429" t="s">
        <v>4027</v>
      </c>
      <c r="V1429" t="s">
        <v>35</v>
      </c>
      <c r="W1429" t="s">
        <v>4172</v>
      </c>
    </row>
    <row r="1430" spans="1:23" x14ac:dyDescent="0.25">
      <c r="A1430" t="s">
        <v>665</v>
      </c>
      <c r="B1430" s="19">
        <v>13204</v>
      </c>
      <c r="C1430" s="2">
        <f>HYPERLINK(URLs!B36 &amp; 97636,97636)</f>
        <v>97636</v>
      </c>
      <c r="D1430" t="s">
        <v>3475</v>
      </c>
      <c r="E1430" t="s">
        <v>112</v>
      </c>
      <c r="F1430" t="s">
        <v>305</v>
      </c>
      <c r="G1430" t="s">
        <v>304</v>
      </c>
      <c r="H1430" t="s">
        <v>54</v>
      </c>
      <c r="I1430" t="s">
        <v>31</v>
      </c>
      <c r="J1430" t="s">
        <v>43</v>
      </c>
      <c r="K1430" t="s">
        <v>44</v>
      </c>
      <c r="L1430" t="s">
        <v>73</v>
      </c>
      <c r="M1430" t="s">
        <v>263</v>
      </c>
      <c r="N1430" t="s">
        <v>579</v>
      </c>
      <c r="P1430" t="s">
        <v>107</v>
      </c>
      <c r="Q1430" t="s">
        <v>107</v>
      </c>
      <c r="R1430">
        <v>42823.811956018515</v>
      </c>
      <c r="S1430">
        <v>43214.207337962966</v>
      </c>
      <c r="T1430" t="s">
        <v>301</v>
      </c>
      <c r="U1430" t="s">
        <v>4008</v>
      </c>
      <c r="V1430" t="s">
        <v>35</v>
      </c>
      <c r="W1430" t="s">
        <v>307</v>
      </c>
    </row>
    <row r="1431" spans="1:23" x14ac:dyDescent="0.25">
      <c r="A1431" t="s">
        <v>665</v>
      </c>
      <c r="B1431" s="19">
        <v>13204</v>
      </c>
      <c r="C1431" s="2">
        <f>HYPERLINK(URLs!B36 &amp; 94974,94974)</f>
        <v>94974</v>
      </c>
      <c r="D1431" t="s">
        <v>531</v>
      </c>
      <c r="E1431" t="s">
        <v>387</v>
      </c>
      <c r="F1431" t="s">
        <v>305</v>
      </c>
      <c r="G1431" t="s">
        <v>337</v>
      </c>
      <c r="H1431" t="s">
        <v>54</v>
      </c>
      <c r="I1431" t="s">
        <v>31</v>
      </c>
      <c r="J1431" t="s">
        <v>43</v>
      </c>
      <c r="K1431" t="s">
        <v>44</v>
      </c>
      <c r="L1431" t="s">
        <v>73</v>
      </c>
      <c r="M1431" t="s">
        <v>263</v>
      </c>
      <c r="N1431" t="s">
        <v>60</v>
      </c>
      <c r="P1431" t="s">
        <v>107</v>
      </c>
      <c r="Q1431" t="s">
        <v>3708</v>
      </c>
      <c r="R1431">
        <v>42759.783310185187</v>
      </c>
      <c r="S1431">
        <v>43423.863622685189</v>
      </c>
      <c r="T1431" t="s">
        <v>317</v>
      </c>
      <c r="U1431" t="s">
        <v>35</v>
      </c>
      <c r="V1431" t="s">
        <v>35</v>
      </c>
      <c r="W1431" t="s">
        <v>4156</v>
      </c>
    </row>
    <row r="1432" spans="1:23" x14ac:dyDescent="0.25">
      <c r="A1432" t="s">
        <v>665</v>
      </c>
      <c r="B1432" s="19">
        <v>13204</v>
      </c>
      <c r="C1432" s="2">
        <f>HYPERLINK(URLs!B36 &amp; 94973,94973)</f>
        <v>94973</v>
      </c>
      <c r="D1432" t="s">
        <v>3417</v>
      </c>
      <c r="E1432" t="s">
        <v>72</v>
      </c>
      <c r="F1432" t="s">
        <v>305</v>
      </c>
      <c r="G1432" t="s">
        <v>337</v>
      </c>
      <c r="H1432" t="s">
        <v>54</v>
      </c>
      <c r="I1432" t="s">
        <v>68</v>
      </c>
      <c r="J1432" t="s">
        <v>43</v>
      </c>
      <c r="K1432" t="s">
        <v>33</v>
      </c>
      <c r="L1432" t="s">
        <v>73</v>
      </c>
      <c r="M1432" t="s">
        <v>263</v>
      </c>
      <c r="N1432" t="s">
        <v>60</v>
      </c>
      <c r="P1432" t="s">
        <v>107</v>
      </c>
      <c r="Q1432" t="s">
        <v>65</v>
      </c>
      <c r="R1432">
        <v>42759.782094907408</v>
      </c>
      <c r="S1432">
        <v>42983.354548611111</v>
      </c>
      <c r="T1432" t="s">
        <v>317</v>
      </c>
      <c r="U1432" t="s">
        <v>35</v>
      </c>
      <c r="V1432" t="s">
        <v>35</v>
      </c>
      <c r="W1432" t="s">
        <v>69</v>
      </c>
    </row>
    <row r="1433" spans="1:23" x14ac:dyDescent="0.25">
      <c r="A1433" t="s">
        <v>665</v>
      </c>
      <c r="B1433" s="19">
        <v>13204</v>
      </c>
      <c r="C1433" s="2">
        <f>HYPERLINK(URLs!B36 &amp; 94972,94972)</f>
        <v>94972</v>
      </c>
      <c r="D1433" t="s">
        <v>3415</v>
      </c>
      <c r="E1433" t="s">
        <v>72</v>
      </c>
      <c r="F1433" t="s">
        <v>305</v>
      </c>
      <c r="G1433" t="s">
        <v>337</v>
      </c>
      <c r="H1433" t="s">
        <v>54</v>
      </c>
      <c r="I1433" t="s">
        <v>68</v>
      </c>
      <c r="J1433" t="s">
        <v>43</v>
      </c>
      <c r="K1433" t="s">
        <v>33</v>
      </c>
      <c r="L1433" t="s">
        <v>73</v>
      </c>
      <c r="M1433" t="s">
        <v>263</v>
      </c>
      <c r="N1433" t="s">
        <v>60</v>
      </c>
      <c r="O1433" t="s">
        <v>3416</v>
      </c>
      <c r="P1433" t="s">
        <v>107</v>
      </c>
      <c r="Q1433" t="s">
        <v>3389</v>
      </c>
      <c r="R1433">
        <v>42759.782013888886</v>
      </c>
      <c r="S1433">
        <v>42760.661817129629</v>
      </c>
      <c r="T1433" t="s">
        <v>317</v>
      </c>
      <c r="U1433" t="s">
        <v>35</v>
      </c>
      <c r="V1433" t="s">
        <v>35</v>
      </c>
      <c r="W1433" t="s">
        <v>133</v>
      </c>
    </row>
    <row r="1434" spans="1:23" x14ac:dyDescent="0.25">
      <c r="A1434" t="s">
        <v>665</v>
      </c>
      <c r="B1434" s="19">
        <v>13204</v>
      </c>
      <c r="C1434" s="2">
        <f>HYPERLINK(URLs!B36 &amp; 94968,94968)</f>
        <v>94968</v>
      </c>
      <c r="D1434" t="s">
        <v>111</v>
      </c>
      <c r="E1434" t="s">
        <v>112</v>
      </c>
      <c r="F1434" t="s">
        <v>319</v>
      </c>
      <c r="G1434" t="s">
        <v>304</v>
      </c>
      <c r="H1434" t="s">
        <v>54</v>
      </c>
      <c r="I1434" t="s">
        <v>31</v>
      </c>
      <c r="J1434" t="s">
        <v>43</v>
      </c>
      <c r="K1434" t="s">
        <v>44</v>
      </c>
      <c r="L1434" t="s">
        <v>73</v>
      </c>
      <c r="M1434" t="s">
        <v>263</v>
      </c>
      <c r="N1434" t="s">
        <v>60</v>
      </c>
      <c r="P1434" t="s">
        <v>107</v>
      </c>
      <c r="Q1434" t="s">
        <v>3708</v>
      </c>
      <c r="R1434">
        <v>42759.680289351854</v>
      </c>
      <c r="S1434">
        <v>43423.896527777775</v>
      </c>
      <c r="T1434" t="s">
        <v>1</v>
      </c>
      <c r="U1434" t="s">
        <v>4003</v>
      </c>
      <c r="V1434" t="s">
        <v>35</v>
      </c>
      <c r="W1434" t="s">
        <v>4098</v>
      </c>
    </row>
    <row r="1435" spans="1:23" x14ac:dyDescent="0.25">
      <c r="A1435" t="s">
        <v>618</v>
      </c>
      <c r="B1435" s="19">
        <v>13205</v>
      </c>
      <c r="C1435" s="2">
        <f>HYPERLINK(URLs!B36 &amp; 101035,101035)</f>
        <v>101035</v>
      </c>
      <c r="D1435" t="s">
        <v>5096</v>
      </c>
      <c r="E1435" t="s">
        <v>170</v>
      </c>
      <c r="F1435" t="s">
        <v>67</v>
      </c>
      <c r="H1435" t="s">
        <v>30</v>
      </c>
      <c r="I1435" t="s">
        <v>68</v>
      </c>
      <c r="J1435" t="s">
        <v>43</v>
      </c>
      <c r="K1435" t="s">
        <v>33</v>
      </c>
      <c r="L1435" t="s">
        <v>73</v>
      </c>
      <c r="M1435" t="s">
        <v>263</v>
      </c>
      <c r="N1435" t="s">
        <v>46</v>
      </c>
      <c r="O1435" t="s">
        <v>132</v>
      </c>
      <c r="P1435" t="s">
        <v>107</v>
      </c>
      <c r="R1435">
        <v>42902.420937499999</v>
      </c>
      <c r="S1435">
        <v>43423.897962962961</v>
      </c>
      <c r="T1435" t="s">
        <v>171</v>
      </c>
      <c r="U1435" t="s">
        <v>35</v>
      </c>
      <c r="V1435" t="s">
        <v>35</v>
      </c>
      <c r="W1435" t="s">
        <v>4166</v>
      </c>
    </row>
    <row r="1436" spans="1:23" x14ac:dyDescent="0.25">
      <c r="A1436" t="s">
        <v>618</v>
      </c>
      <c r="B1436" s="19">
        <v>13205</v>
      </c>
      <c r="C1436" s="2">
        <f>HYPERLINK(URLs!B36 &amp; 101034,101034)</f>
        <v>101034</v>
      </c>
      <c r="D1436" t="s">
        <v>3602</v>
      </c>
      <c r="E1436" t="s">
        <v>72</v>
      </c>
      <c r="F1436" t="s">
        <v>305</v>
      </c>
      <c r="G1436" t="s">
        <v>337</v>
      </c>
      <c r="H1436" t="s">
        <v>30</v>
      </c>
      <c r="I1436" t="s">
        <v>68</v>
      </c>
      <c r="J1436" t="s">
        <v>43</v>
      </c>
      <c r="K1436" t="s">
        <v>33</v>
      </c>
      <c r="L1436" t="s">
        <v>73</v>
      </c>
      <c r="M1436" t="s">
        <v>263</v>
      </c>
      <c r="N1436" t="s">
        <v>46</v>
      </c>
      <c r="O1436" t="s">
        <v>132</v>
      </c>
      <c r="P1436" t="s">
        <v>107</v>
      </c>
      <c r="Q1436" t="s">
        <v>2481</v>
      </c>
      <c r="R1436">
        <v>42902.419675925928</v>
      </c>
      <c r="S1436">
        <v>42927.365960648145</v>
      </c>
      <c r="T1436" t="s">
        <v>171</v>
      </c>
      <c r="U1436" t="s">
        <v>35</v>
      </c>
      <c r="V1436" t="s">
        <v>35</v>
      </c>
      <c r="W1436" t="s">
        <v>69</v>
      </c>
    </row>
    <row r="1437" spans="1:23" x14ac:dyDescent="0.25">
      <c r="A1437" t="s">
        <v>618</v>
      </c>
      <c r="B1437" s="19">
        <v>13205</v>
      </c>
      <c r="C1437" s="2">
        <f>HYPERLINK(URLs!B36 &amp; 101033,101033)</f>
        <v>101033</v>
      </c>
      <c r="D1437" t="s">
        <v>169</v>
      </c>
      <c r="E1437" t="s">
        <v>170</v>
      </c>
      <c r="F1437" t="s">
        <v>67</v>
      </c>
      <c r="H1437" t="s">
        <v>30</v>
      </c>
      <c r="I1437" t="s">
        <v>68</v>
      </c>
      <c r="J1437" t="s">
        <v>43</v>
      </c>
      <c r="K1437" t="s">
        <v>33</v>
      </c>
      <c r="L1437" t="s">
        <v>73</v>
      </c>
      <c r="M1437" t="s">
        <v>263</v>
      </c>
      <c r="N1437" t="s">
        <v>46</v>
      </c>
      <c r="O1437" t="s">
        <v>132</v>
      </c>
      <c r="P1437" t="s">
        <v>107</v>
      </c>
      <c r="R1437">
        <v>42902.419687499998</v>
      </c>
      <c r="S1437">
        <v>42955.324131944442</v>
      </c>
      <c r="T1437" t="s">
        <v>171</v>
      </c>
      <c r="U1437" t="s">
        <v>35</v>
      </c>
      <c r="V1437" t="s">
        <v>35</v>
      </c>
      <c r="W1437" t="s">
        <v>4098</v>
      </c>
    </row>
    <row r="1438" spans="1:23" x14ac:dyDescent="0.25">
      <c r="A1438" t="s">
        <v>618</v>
      </c>
      <c r="B1438" s="19">
        <v>13205</v>
      </c>
      <c r="C1438" s="2">
        <f>HYPERLINK(URLs!B36 &amp; 94912,94912)</f>
        <v>94912</v>
      </c>
      <c r="D1438" t="s">
        <v>530</v>
      </c>
      <c r="E1438" t="s">
        <v>170</v>
      </c>
      <c r="F1438" t="s">
        <v>305</v>
      </c>
      <c r="G1438" t="s">
        <v>337</v>
      </c>
      <c r="H1438" t="s">
        <v>30</v>
      </c>
      <c r="I1438" t="s">
        <v>68</v>
      </c>
      <c r="J1438" t="s">
        <v>43</v>
      </c>
      <c r="K1438" t="s">
        <v>33</v>
      </c>
      <c r="L1438" t="s">
        <v>73</v>
      </c>
      <c r="M1438" t="s">
        <v>263</v>
      </c>
      <c r="N1438" t="s">
        <v>46</v>
      </c>
      <c r="P1438" t="s">
        <v>107</v>
      </c>
      <c r="Q1438" t="s">
        <v>3708</v>
      </c>
      <c r="R1438">
        <v>42758.743067129632</v>
      </c>
      <c r="S1438">
        <v>43423.863518518519</v>
      </c>
      <c r="T1438" t="s">
        <v>94</v>
      </c>
      <c r="U1438" t="s">
        <v>35</v>
      </c>
      <c r="V1438" t="s">
        <v>35</v>
      </c>
      <c r="W1438" t="s">
        <v>4156</v>
      </c>
    </row>
    <row r="1439" spans="1:23" x14ac:dyDescent="0.25">
      <c r="B1439" s="19">
        <v>13235</v>
      </c>
      <c r="C1439" s="2">
        <f>HYPERLINK(URLs!B36 &amp; 95777,95777)</f>
        <v>95777</v>
      </c>
      <c r="D1439" t="s">
        <v>3433</v>
      </c>
      <c r="E1439" t="s">
        <v>115</v>
      </c>
      <c r="F1439" t="s">
        <v>305</v>
      </c>
      <c r="G1439" t="s">
        <v>304</v>
      </c>
      <c r="H1439" t="s">
        <v>116</v>
      </c>
      <c r="I1439" t="s">
        <v>31</v>
      </c>
      <c r="J1439" t="s">
        <v>32</v>
      </c>
      <c r="K1439" t="s">
        <v>33</v>
      </c>
      <c r="L1439" t="s">
        <v>34</v>
      </c>
      <c r="M1439" t="s">
        <v>268</v>
      </c>
      <c r="N1439" t="s">
        <v>510</v>
      </c>
      <c r="O1439" t="s">
        <v>3434</v>
      </c>
      <c r="P1439" t="s">
        <v>118</v>
      </c>
      <c r="Q1439" t="s">
        <v>2305</v>
      </c>
      <c r="R1439">
        <v>42779.390694444446</v>
      </c>
      <c r="S1439">
        <v>42851.126701388886</v>
      </c>
      <c r="T1439" t="s">
        <v>119</v>
      </c>
      <c r="U1439" t="s">
        <v>3978</v>
      </c>
      <c r="V1439" t="s">
        <v>35</v>
      </c>
      <c r="W1439" t="s">
        <v>4167</v>
      </c>
    </row>
    <row r="1440" spans="1:23" x14ac:dyDescent="0.25">
      <c r="B1440" s="19">
        <v>13235</v>
      </c>
      <c r="C1440" s="2">
        <f>HYPERLINK(URLs!B36 &amp; 95776,95776)</f>
        <v>95776</v>
      </c>
      <c r="D1440" t="s">
        <v>3431</v>
      </c>
      <c r="E1440" t="s">
        <v>115</v>
      </c>
      <c r="F1440" t="s">
        <v>305</v>
      </c>
      <c r="G1440" t="s">
        <v>304</v>
      </c>
      <c r="H1440" t="s">
        <v>116</v>
      </c>
      <c r="I1440" t="s">
        <v>31</v>
      </c>
      <c r="J1440" t="s">
        <v>32</v>
      </c>
      <c r="K1440" t="s">
        <v>33</v>
      </c>
      <c r="L1440" t="s">
        <v>34</v>
      </c>
      <c r="M1440" t="s">
        <v>268</v>
      </c>
      <c r="N1440" t="s">
        <v>60</v>
      </c>
      <c r="P1440" t="s">
        <v>118</v>
      </c>
      <c r="Q1440" t="s">
        <v>3432</v>
      </c>
      <c r="R1440">
        <v>42779.389837962961</v>
      </c>
      <c r="S1440">
        <v>42941.851851851854</v>
      </c>
      <c r="T1440" t="s">
        <v>119</v>
      </c>
      <c r="U1440" t="s">
        <v>4005</v>
      </c>
      <c r="V1440" t="s">
        <v>35</v>
      </c>
      <c r="W1440" t="s">
        <v>133</v>
      </c>
    </row>
    <row r="1441" spans="1:23" x14ac:dyDescent="0.25">
      <c r="B1441" s="19">
        <v>13235</v>
      </c>
      <c r="C1441" s="2">
        <f>HYPERLINK(URLs!B36 &amp; 95772,95772)</f>
        <v>95772</v>
      </c>
      <c r="D1441" t="s">
        <v>532</v>
      </c>
      <c r="E1441" t="s">
        <v>115</v>
      </c>
      <c r="F1441" t="s">
        <v>305</v>
      </c>
      <c r="G1441" t="s">
        <v>337</v>
      </c>
      <c r="H1441" t="s">
        <v>116</v>
      </c>
      <c r="I1441" t="s">
        <v>31</v>
      </c>
      <c r="J1441" t="s">
        <v>32</v>
      </c>
      <c r="K1441" t="s">
        <v>33</v>
      </c>
      <c r="L1441" t="s">
        <v>34</v>
      </c>
      <c r="M1441" t="s">
        <v>268</v>
      </c>
      <c r="N1441" t="s">
        <v>60</v>
      </c>
      <c r="O1441" t="s">
        <v>533</v>
      </c>
      <c r="P1441" t="s">
        <v>118</v>
      </c>
      <c r="Q1441" t="s">
        <v>3708</v>
      </c>
      <c r="R1441">
        <v>42779.358703703707</v>
      </c>
      <c r="S1441">
        <v>43423.863645833335</v>
      </c>
      <c r="T1441" t="s">
        <v>119</v>
      </c>
      <c r="U1441" t="s">
        <v>35</v>
      </c>
      <c r="V1441" t="s">
        <v>35</v>
      </c>
      <c r="W1441" t="s">
        <v>4156</v>
      </c>
    </row>
    <row r="1442" spans="1:23" x14ac:dyDescent="0.25">
      <c r="B1442" s="19">
        <v>13235</v>
      </c>
      <c r="C1442" s="2">
        <f>HYPERLINK(URLs!B36 &amp; 95771,95771)</f>
        <v>95771</v>
      </c>
      <c r="D1442" t="s">
        <v>114</v>
      </c>
      <c r="E1442" t="s">
        <v>115</v>
      </c>
      <c r="F1442" t="s">
        <v>319</v>
      </c>
      <c r="G1442" t="s">
        <v>304</v>
      </c>
      <c r="H1442" t="s">
        <v>116</v>
      </c>
      <c r="I1442" t="s">
        <v>31</v>
      </c>
      <c r="J1442" t="s">
        <v>32</v>
      </c>
      <c r="K1442" t="s">
        <v>33</v>
      </c>
      <c r="L1442" t="s">
        <v>34</v>
      </c>
      <c r="M1442" t="s">
        <v>268</v>
      </c>
      <c r="N1442" t="s">
        <v>60</v>
      </c>
      <c r="O1442" t="s">
        <v>117</v>
      </c>
      <c r="P1442" t="s">
        <v>118</v>
      </c>
      <c r="Q1442" t="s">
        <v>3708</v>
      </c>
      <c r="R1442">
        <v>42779.358715277776</v>
      </c>
      <c r="S1442">
        <v>43423.887928240743</v>
      </c>
      <c r="T1442" t="s">
        <v>119</v>
      </c>
      <c r="U1442" t="s">
        <v>35</v>
      </c>
      <c r="V1442" t="s">
        <v>321</v>
      </c>
      <c r="W1442" t="s">
        <v>4098</v>
      </c>
    </row>
    <row r="1443" spans="1:23" x14ac:dyDescent="0.25">
      <c r="B1443" s="19">
        <v>13235</v>
      </c>
      <c r="C1443" s="2">
        <f>HYPERLINK(URLs!B36 &amp; 95715,95715)</f>
        <v>95715</v>
      </c>
      <c r="D1443" t="s">
        <v>3429</v>
      </c>
      <c r="E1443" t="s">
        <v>134</v>
      </c>
      <c r="F1443" t="s">
        <v>305</v>
      </c>
      <c r="G1443" t="s">
        <v>304</v>
      </c>
      <c r="H1443" t="s">
        <v>116</v>
      </c>
      <c r="I1443" t="s">
        <v>31</v>
      </c>
      <c r="J1443" t="s">
        <v>32</v>
      </c>
      <c r="K1443" t="s">
        <v>33</v>
      </c>
      <c r="L1443" t="s">
        <v>34</v>
      </c>
      <c r="M1443" t="s">
        <v>268</v>
      </c>
      <c r="N1443" t="s">
        <v>510</v>
      </c>
      <c r="O1443" t="s">
        <v>533</v>
      </c>
      <c r="P1443" t="s">
        <v>118</v>
      </c>
      <c r="Q1443" t="s">
        <v>2305</v>
      </c>
      <c r="R1443">
        <v>42776.460879629631</v>
      </c>
      <c r="S1443">
        <v>43111.583113425928</v>
      </c>
      <c r="T1443" t="s">
        <v>119</v>
      </c>
      <c r="U1443" t="s">
        <v>4004</v>
      </c>
      <c r="V1443" t="s">
        <v>35</v>
      </c>
      <c r="W1443" t="s">
        <v>4143</v>
      </c>
    </row>
    <row r="1444" spans="1:23" x14ac:dyDescent="0.25">
      <c r="A1444" t="s">
        <v>633</v>
      </c>
      <c r="B1444" s="19">
        <v>16212</v>
      </c>
      <c r="C1444" s="2">
        <f>HYPERLINK(URLs!B36 &amp; 95765,95765)</f>
        <v>95765</v>
      </c>
      <c r="D1444" t="s">
        <v>113</v>
      </c>
      <c r="E1444" t="s">
        <v>80</v>
      </c>
      <c r="F1444" t="s">
        <v>42</v>
      </c>
      <c r="H1444" t="s">
        <v>30</v>
      </c>
      <c r="I1444" t="s">
        <v>68</v>
      </c>
      <c r="J1444" t="s">
        <v>43</v>
      </c>
      <c r="K1444" t="s">
        <v>33</v>
      </c>
      <c r="L1444" t="s">
        <v>45</v>
      </c>
      <c r="M1444" t="s">
        <v>265</v>
      </c>
      <c r="N1444" t="s">
        <v>46</v>
      </c>
      <c r="O1444" t="s">
        <v>4918</v>
      </c>
      <c r="P1444" t="s">
        <v>107</v>
      </c>
      <c r="R1444">
        <v>42779.258287037039</v>
      </c>
      <c r="S1444">
        <v>43403.302430555559</v>
      </c>
      <c r="T1444" t="s">
        <v>4</v>
      </c>
      <c r="U1444" t="s">
        <v>35</v>
      </c>
      <c r="V1444" t="s">
        <v>35</v>
      </c>
      <c r="W1444" t="s">
        <v>4166</v>
      </c>
    </row>
    <row r="1445" spans="1:23" x14ac:dyDescent="0.25">
      <c r="A1445" t="s">
        <v>633</v>
      </c>
      <c r="B1445" s="19">
        <v>16394</v>
      </c>
      <c r="C1445" s="2">
        <f>HYPERLINK(URLs!B36 &amp; 99300,99300)</f>
        <v>99300</v>
      </c>
      <c r="D1445" t="s">
        <v>3564</v>
      </c>
      <c r="E1445" t="s">
        <v>78</v>
      </c>
      <c r="F1445" t="s">
        <v>305</v>
      </c>
      <c r="G1445" t="s">
        <v>304</v>
      </c>
      <c r="H1445" t="s">
        <v>54</v>
      </c>
      <c r="I1445" t="s">
        <v>31</v>
      </c>
      <c r="J1445" t="s">
        <v>43</v>
      </c>
      <c r="K1445" t="s">
        <v>44</v>
      </c>
      <c r="L1445" t="s">
        <v>73</v>
      </c>
      <c r="M1445" t="s">
        <v>263</v>
      </c>
      <c r="N1445" t="s">
        <v>60</v>
      </c>
      <c r="P1445" t="s">
        <v>107</v>
      </c>
      <c r="Q1445" t="s">
        <v>547</v>
      </c>
      <c r="R1445">
        <v>42865.777615740742</v>
      </c>
      <c r="S1445">
        <v>43424.143865740742</v>
      </c>
      <c r="T1445" t="s">
        <v>301</v>
      </c>
      <c r="U1445" t="s">
        <v>35</v>
      </c>
      <c r="V1445" t="s">
        <v>35</v>
      </c>
      <c r="W1445" t="s">
        <v>4163</v>
      </c>
    </row>
    <row r="1446" spans="1:23" x14ac:dyDescent="0.25">
      <c r="A1446" t="s">
        <v>633</v>
      </c>
      <c r="B1446" s="19">
        <v>16394</v>
      </c>
      <c r="C1446" s="2">
        <f>HYPERLINK(URLs!B36 &amp; 99299,99299)</f>
        <v>99299</v>
      </c>
      <c r="D1446" t="s">
        <v>3563</v>
      </c>
      <c r="E1446" t="s">
        <v>78</v>
      </c>
      <c r="F1446" t="s">
        <v>305</v>
      </c>
      <c r="G1446" t="s">
        <v>304</v>
      </c>
      <c r="H1446" t="s">
        <v>54</v>
      </c>
      <c r="I1446" t="s">
        <v>31</v>
      </c>
      <c r="J1446" t="s">
        <v>43</v>
      </c>
      <c r="K1446" t="s">
        <v>44</v>
      </c>
      <c r="L1446" t="s">
        <v>73</v>
      </c>
      <c r="M1446" t="s">
        <v>263</v>
      </c>
      <c r="N1446" t="s">
        <v>121</v>
      </c>
      <c r="P1446" t="s">
        <v>107</v>
      </c>
      <c r="Q1446" t="s">
        <v>547</v>
      </c>
      <c r="R1446">
        <v>42865.776990740742</v>
      </c>
      <c r="S1446">
        <v>42922.686585648145</v>
      </c>
      <c r="T1446" t="s">
        <v>301</v>
      </c>
      <c r="U1446" t="s">
        <v>35</v>
      </c>
      <c r="V1446" t="s">
        <v>35</v>
      </c>
      <c r="W1446" t="s">
        <v>190</v>
      </c>
    </row>
    <row r="1447" spans="1:23" x14ac:dyDescent="0.25">
      <c r="A1447" t="s">
        <v>633</v>
      </c>
      <c r="B1447" s="19">
        <v>16394</v>
      </c>
      <c r="C1447" s="2">
        <f>HYPERLINK(URLs!B36 &amp; 99298,99298)</f>
        <v>99298</v>
      </c>
      <c r="D1447" t="s">
        <v>3562</v>
      </c>
      <c r="E1447" t="s">
        <v>78</v>
      </c>
      <c r="F1447" t="s">
        <v>305</v>
      </c>
      <c r="G1447" t="s">
        <v>304</v>
      </c>
      <c r="H1447" t="s">
        <v>116</v>
      </c>
      <c r="I1447" t="s">
        <v>31</v>
      </c>
      <c r="J1447" t="s">
        <v>43</v>
      </c>
      <c r="K1447" t="s">
        <v>44</v>
      </c>
      <c r="L1447" t="s">
        <v>73</v>
      </c>
      <c r="M1447" t="s">
        <v>263</v>
      </c>
      <c r="N1447" t="s">
        <v>510</v>
      </c>
      <c r="P1447" t="s">
        <v>107</v>
      </c>
      <c r="Q1447" t="s">
        <v>2416</v>
      </c>
      <c r="R1447">
        <v>42865.776030092595</v>
      </c>
      <c r="S1447">
        <v>43230.977037037039</v>
      </c>
      <c r="T1447" t="s">
        <v>301</v>
      </c>
      <c r="U1447" t="s">
        <v>4018</v>
      </c>
      <c r="V1447" t="s">
        <v>35</v>
      </c>
      <c r="W1447" t="s">
        <v>307</v>
      </c>
    </row>
    <row r="1448" spans="1:23" x14ac:dyDescent="0.25">
      <c r="A1448" t="s">
        <v>633</v>
      </c>
      <c r="B1448" s="19">
        <v>16394</v>
      </c>
      <c r="C1448" s="2">
        <f>HYPERLINK(URLs!B36 &amp; 99297,99297)</f>
        <v>99297</v>
      </c>
      <c r="D1448" t="s">
        <v>3561</v>
      </c>
      <c r="E1448" t="s">
        <v>78</v>
      </c>
      <c r="F1448" t="s">
        <v>305</v>
      </c>
      <c r="G1448" t="s">
        <v>304</v>
      </c>
      <c r="H1448" t="s">
        <v>116</v>
      </c>
      <c r="I1448" t="s">
        <v>31</v>
      </c>
      <c r="J1448" t="s">
        <v>43</v>
      </c>
      <c r="K1448" t="s">
        <v>44</v>
      </c>
      <c r="L1448" t="s">
        <v>73</v>
      </c>
      <c r="M1448" t="s">
        <v>263</v>
      </c>
      <c r="N1448" t="s">
        <v>510</v>
      </c>
      <c r="P1448" t="s">
        <v>107</v>
      </c>
      <c r="Q1448" t="s">
        <v>547</v>
      </c>
      <c r="R1448">
        <v>42865.775138888886</v>
      </c>
      <c r="S1448">
        <v>42947.793923611112</v>
      </c>
      <c r="T1448" t="s">
        <v>301</v>
      </c>
      <c r="U1448" t="s">
        <v>4010</v>
      </c>
      <c r="V1448" t="s">
        <v>35</v>
      </c>
      <c r="W1448" t="s">
        <v>69</v>
      </c>
    </row>
    <row r="1449" spans="1:23" x14ac:dyDescent="0.25">
      <c r="A1449" t="s">
        <v>633</v>
      </c>
      <c r="B1449" s="19">
        <v>16394</v>
      </c>
      <c r="C1449" s="2">
        <f>HYPERLINK(URLs!B36 &amp; 98708,98708)</f>
        <v>98708</v>
      </c>
      <c r="D1449" t="s">
        <v>3517</v>
      </c>
      <c r="E1449" t="s">
        <v>78</v>
      </c>
      <c r="F1449" t="s">
        <v>305</v>
      </c>
      <c r="G1449" t="s">
        <v>304</v>
      </c>
      <c r="H1449" t="s">
        <v>54</v>
      </c>
      <c r="I1449" t="s">
        <v>31</v>
      </c>
      <c r="J1449" t="s">
        <v>43</v>
      </c>
      <c r="K1449" t="s">
        <v>44</v>
      </c>
      <c r="L1449" t="s">
        <v>73</v>
      </c>
      <c r="M1449" t="s">
        <v>263</v>
      </c>
      <c r="N1449" t="s">
        <v>3518</v>
      </c>
      <c r="P1449" t="s">
        <v>107</v>
      </c>
      <c r="Q1449" t="s">
        <v>159</v>
      </c>
      <c r="R1449">
        <v>42850.626377314817</v>
      </c>
      <c r="S1449">
        <v>42998.932523148149</v>
      </c>
      <c r="T1449" t="s">
        <v>78</v>
      </c>
      <c r="U1449" t="s">
        <v>35</v>
      </c>
      <c r="V1449" t="s">
        <v>35</v>
      </c>
      <c r="W1449" t="s">
        <v>4098</v>
      </c>
    </row>
    <row r="1450" spans="1:23" x14ac:dyDescent="0.25">
      <c r="A1450" t="s">
        <v>633</v>
      </c>
      <c r="B1450" s="19">
        <v>16394</v>
      </c>
      <c r="C1450" s="2">
        <f>HYPERLINK(URLs!B36 &amp; 98605,98605)</f>
        <v>98605</v>
      </c>
      <c r="D1450" t="s">
        <v>3514</v>
      </c>
      <c r="E1450" t="s">
        <v>78</v>
      </c>
      <c r="F1450" t="s">
        <v>305</v>
      </c>
      <c r="G1450" t="s">
        <v>304</v>
      </c>
      <c r="H1450" t="s">
        <v>54</v>
      </c>
      <c r="I1450" t="s">
        <v>68</v>
      </c>
      <c r="J1450" t="s">
        <v>43</v>
      </c>
      <c r="K1450" t="s">
        <v>33</v>
      </c>
      <c r="L1450" t="s">
        <v>73</v>
      </c>
      <c r="M1450" t="s">
        <v>263</v>
      </c>
      <c r="N1450" t="s">
        <v>121</v>
      </c>
      <c r="P1450" t="s">
        <v>107</v>
      </c>
      <c r="Q1450" t="s">
        <v>547</v>
      </c>
      <c r="R1450">
        <v>42846.727546296293</v>
      </c>
      <c r="S1450">
        <v>43424.143842592595</v>
      </c>
      <c r="T1450" t="s">
        <v>548</v>
      </c>
      <c r="U1450" t="s">
        <v>35</v>
      </c>
      <c r="V1450" t="s">
        <v>35</v>
      </c>
      <c r="W1450" t="s">
        <v>4163</v>
      </c>
    </row>
    <row r="1451" spans="1:23" x14ac:dyDescent="0.25">
      <c r="A1451" t="s">
        <v>633</v>
      </c>
      <c r="B1451" s="19">
        <v>16394</v>
      </c>
      <c r="C1451" s="2">
        <f>HYPERLINK(URLs!B36 &amp; 98603,98603)</f>
        <v>98603</v>
      </c>
      <c r="D1451" t="s">
        <v>546</v>
      </c>
      <c r="E1451" t="s">
        <v>78</v>
      </c>
      <c r="F1451" t="s">
        <v>319</v>
      </c>
      <c r="G1451" t="s">
        <v>304</v>
      </c>
      <c r="H1451" t="s">
        <v>54</v>
      </c>
      <c r="I1451" t="s">
        <v>68</v>
      </c>
      <c r="J1451" t="s">
        <v>43</v>
      </c>
      <c r="K1451" t="s">
        <v>33</v>
      </c>
      <c r="L1451" t="s">
        <v>73</v>
      </c>
      <c r="M1451" t="s">
        <v>263</v>
      </c>
      <c r="N1451" t="s">
        <v>121</v>
      </c>
      <c r="P1451" t="s">
        <v>107</v>
      </c>
      <c r="Q1451" t="s">
        <v>547</v>
      </c>
      <c r="R1451">
        <v>42846.724699074075</v>
      </c>
      <c r="S1451">
        <v>43423.857395833336</v>
      </c>
      <c r="T1451" t="s">
        <v>548</v>
      </c>
      <c r="U1451" t="s">
        <v>35</v>
      </c>
      <c r="V1451" t="s">
        <v>35</v>
      </c>
      <c r="W1451" t="s">
        <v>4156</v>
      </c>
    </row>
    <row r="1452" spans="1:23" x14ac:dyDescent="0.25">
      <c r="A1452" t="s">
        <v>633</v>
      </c>
      <c r="B1452" s="19">
        <v>16394</v>
      </c>
      <c r="C1452" s="2">
        <f>HYPERLINK(URLs!B36 &amp; 96032,96032)</f>
        <v>96032</v>
      </c>
      <c r="D1452" t="s">
        <v>3437</v>
      </c>
      <c r="E1452" t="s">
        <v>78</v>
      </c>
      <c r="F1452" t="s">
        <v>305</v>
      </c>
      <c r="G1452" t="s">
        <v>304</v>
      </c>
      <c r="H1452" t="s">
        <v>54</v>
      </c>
      <c r="I1452" t="s">
        <v>31</v>
      </c>
      <c r="J1452" t="s">
        <v>43</v>
      </c>
      <c r="K1452" t="s">
        <v>44</v>
      </c>
      <c r="L1452" t="s">
        <v>73</v>
      </c>
      <c r="M1452" t="s">
        <v>263</v>
      </c>
      <c r="N1452" t="s">
        <v>518</v>
      </c>
      <c r="P1452" t="s">
        <v>107</v>
      </c>
      <c r="Q1452" t="s">
        <v>69</v>
      </c>
      <c r="R1452">
        <v>42782.539988425924</v>
      </c>
      <c r="S1452">
        <v>42947.789988425924</v>
      </c>
      <c r="T1452" t="s">
        <v>317</v>
      </c>
      <c r="U1452" t="s">
        <v>3978</v>
      </c>
      <c r="V1452" t="s">
        <v>35</v>
      </c>
      <c r="W1452" t="s">
        <v>69</v>
      </c>
    </row>
    <row r="1453" spans="1:23" x14ac:dyDescent="0.25">
      <c r="A1453" t="s">
        <v>633</v>
      </c>
      <c r="B1453" s="19">
        <v>16394</v>
      </c>
      <c r="C1453" s="2">
        <f>HYPERLINK(URLs!B36 &amp; 96031,96031)</f>
        <v>96031</v>
      </c>
      <c r="D1453" t="s">
        <v>3436</v>
      </c>
      <c r="E1453" t="s">
        <v>78</v>
      </c>
      <c r="F1453" t="s">
        <v>305</v>
      </c>
      <c r="G1453" t="s">
        <v>337</v>
      </c>
      <c r="H1453" t="s">
        <v>54</v>
      </c>
      <c r="I1453" t="s">
        <v>31</v>
      </c>
      <c r="J1453" t="s">
        <v>43</v>
      </c>
      <c r="K1453" t="s">
        <v>44</v>
      </c>
      <c r="L1453" t="s">
        <v>73</v>
      </c>
      <c r="M1453" t="s">
        <v>263</v>
      </c>
      <c r="N1453" t="s">
        <v>60</v>
      </c>
      <c r="P1453" t="s">
        <v>107</v>
      </c>
      <c r="Q1453" t="s">
        <v>65</v>
      </c>
      <c r="R1453">
        <v>42782.539872685185</v>
      </c>
      <c r="S1453">
        <v>42829.731631944444</v>
      </c>
      <c r="T1453" t="s">
        <v>317</v>
      </c>
      <c r="U1453" t="s">
        <v>35</v>
      </c>
      <c r="V1453" t="s">
        <v>35</v>
      </c>
      <c r="W1453" t="s">
        <v>133</v>
      </c>
    </row>
    <row r="1454" spans="1:23" x14ac:dyDescent="0.25">
      <c r="A1454" t="s">
        <v>633</v>
      </c>
      <c r="B1454" s="19">
        <v>16394</v>
      </c>
      <c r="C1454" s="2">
        <f>HYPERLINK(URLs!B36 &amp; 95967,95967)</f>
        <v>95967</v>
      </c>
      <c r="D1454" t="s">
        <v>120</v>
      </c>
      <c r="E1454" t="s">
        <v>78</v>
      </c>
      <c r="F1454" t="s">
        <v>42</v>
      </c>
      <c r="H1454" t="s">
        <v>54</v>
      </c>
      <c r="I1454" t="s">
        <v>68</v>
      </c>
      <c r="J1454" t="s">
        <v>43</v>
      </c>
      <c r="K1454" t="s">
        <v>33</v>
      </c>
      <c r="L1454" t="s">
        <v>73</v>
      </c>
      <c r="M1454" t="s">
        <v>263</v>
      </c>
      <c r="N1454" t="s">
        <v>121</v>
      </c>
      <c r="P1454" t="s">
        <v>107</v>
      </c>
      <c r="R1454">
        <v>42781.928854166668</v>
      </c>
      <c r="S1454">
        <v>42998.932233796295</v>
      </c>
      <c r="T1454" t="s">
        <v>1</v>
      </c>
      <c r="U1454" t="s">
        <v>35</v>
      </c>
      <c r="V1454" t="s">
        <v>35</v>
      </c>
      <c r="W1454" t="s">
        <v>4098</v>
      </c>
    </row>
    <row r="1455" spans="1:23" x14ac:dyDescent="0.25">
      <c r="A1455" t="s">
        <v>665</v>
      </c>
      <c r="B1455" s="19">
        <v>16597</v>
      </c>
      <c r="C1455" s="2">
        <f>HYPERLINK(URLs!B36 &amp; 98997,98997)</f>
        <v>98997</v>
      </c>
      <c r="D1455" t="s">
        <v>308</v>
      </c>
      <c r="E1455" t="s">
        <v>309</v>
      </c>
      <c r="F1455" t="s">
        <v>305</v>
      </c>
      <c r="G1455" t="s">
        <v>304</v>
      </c>
      <c r="H1455" t="s">
        <v>30</v>
      </c>
      <c r="I1455" t="s">
        <v>68</v>
      </c>
      <c r="J1455" t="s">
        <v>58</v>
      </c>
      <c r="K1455" t="s">
        <v>51</v>
      </c>
      <c r="L1455" t="s">
        <v>303</v>
      </c>
      <c r="M1455" t="s">
        <v>302</v>
      </c>
      <c r="N1455" t="s">
        <v>46</v>
      </c>
      <c r="P1455" t="s">
        <v>61</v>
      </c>
      <c r="R1455">
        <v>42858.356747685182</v>
      </c>
      <c r="S1455">
        <v>43222.877743055556</v>
      </c>
      <c r="T1455" t="s">
        <v>306</v>
      </c>
      <c r="U1455" t="s">
        <v>35</v>
      </c>
      <c r="V1455" t="s">
        <v>35</v>
      </c>
      <c r="W1455" t="s">
        <v>307</v>
      </c>
    </row>
    <row r="1456" spans="1:23" x14ac:dyDescent="0.25">
      <c r="A1456" t="s">
        <v>665</v>
      </c>
      <c r="B1456" s="19">
        <v>16597</v>
      </c>
      <c r="C1456" s="2">
        <f>HYPERLINK(URLs!B36 &amp; 74118,74118)</f>
        <v>74118</v>
      </c>
      <c r="D1456" t="s">
        <v>2846</v>
      </c>
      <c r="E1456" t="s">
        <v>2675</v>
      </c>
      <c r="F1456" t="s">
        <v>305</v>
      </c>
      <c r="G1456" t="s">
        <v>337</v>
      </c>
      <c r="H1456" t="s">
        <v>30</v>
      </c>
      <c r="I1456" t="s">
        <v>68</v>
      </c>
      <c r="J1456" t="s">
        <v>58</v>
      </c>
      <c r="K1456" t="s">
        <v>51</v>
      </c>
      <c r="L1456" t="s">
        <v>303</v>
      </c>
      <c r="M1456" t="s">
        <v>302</v>
      </c>
      <c r="N1456" t="s">
        <v>46</v>
      </c>
      <c r="P1456" t="s">
        <v>61</v>
      </c>
      <c r="Q1456" t="s">
        <v>528</v>
      </c>
      <c r="R1456">
        <v>42353.28392361111</v>
      </c>
      <c r="S1456">
        <v>42991.126168981478</v>
      </c>
      <c r="T1456" t="s">
        <v>2675</v>
      </c>
      <c r="U1456" t="s">
        <v>3963</v>
      </c>
      <c r="V1456" t="s">
        <v>35</v>
      </c>
      <c r="W1456" t="s">
        <v>133</v>
      </c>
    </row>
    <row r="1457" spans="1:23" x14ac:dyDescent="0.25">
      <c r="A1457" t="s">
        <v>633</v>
      </c>
      <c r="B1457" s="19">
        <v>16612</v>
      </c>
      <c r="C1457" s="2">
        <f>HYPERLINK(URLs!B36 &amp; 97837,97837)</f>
        <v>97837</v>
      </c>
      <c r="D1457" t="s">
        <v>3487</v>
      </c>
      <c r="E1457" t="s">
        <v>3440</v>
      </c>
      <c r="F1457" t="s">
        <v>305</v>
      </c>
      <c r="G1457" t="s">
        <v>304</v>
      </c>
      <c r="H1457" t="s">
        <v>116</v>
      </c>
      <c r="I1457" t="s">
        <v>31</v>
      </c>
      <c r="J1457" t="s">
        <v>32</v>
      </c>
      <c r="K1457" t="s">
        <v>33</v>
      </c>
      <c r="L1457" t="s">
        <v>380</v>
      </c>
      <c r="M1457" t="s">
        <v>434</v>
      </c>
      <c r="N1457" t="s">
        <v>510</v>
      </c>
      <c r="O1457" t="s">
        <v>4185</v>
      </c>
      <c r="P1457" t="s">
        <v>107</v>
      </c>
      <c r="Q1457" t="s">
        <v>1503</v>
      </c>
      <c r="R1457">
        <v>42829.500219907408</v>
      </c>
      <c r="S1457">
        <v>43231.864641203705</v>
      </c>
      <c r="T1457" t="s">
        <v>2151</v>
      </c>
      <c r="U1457" t="s">
        <v>4011</v>
      </c>
      <c r="V1457" t="s">
        <v>321</v>
      </c>
      <c r="W1457" t="s">
        <v>307</v>
      </c>
    </row>
    <row r="1458" spans="1:23" x14ac:dyDescent="0.25">
      <c r="A1458" t="s">
        <v>633</v>
      </c>
      <c r="B1458" s="19">
        <v>16612</v>
      </c>
      <c r="C1458" s="2">
        <f>HYPERLINK(URLs!B36 &amp; 97565,97565)</f>
        <v>97565</v>
      </c>
      <c r="D1458" t="s">
        <v>3473</v>
      </c>
      <c r="E1458" t="s">
        <v>2151</v>
      </c>
      <c r="F1458" t="s">
        <v>305</v>
      </c>
      <c r="G1458" t="s">
        <v>304</v>
      </c>
      <c r="H1458" t="s">
        <v>54</v>
      </c>
      <c r="I1458" t="s">
        <v>31</v>
      </c>
      <c r="J1458" t="s">
        <v>32</v>
      </c>
      <c r="K1458" t="s">
        <v>33</v>
      </c>
      <c r="L1458" t="s">
        <v>380</v>
      </c>
      <c r="M1458" t="s">
        <v>434</v>
      </c>
      <c r="N1458" t="s">
        <v>518</v>
      </c>
      <c r="P1458" t="s">
        <v>107</v>
      </c>
      <c r="Q1458" t="s">
        <v>107</v>
      </c>
      <c r="R1458">
        <v>42822.739374999997</v>
      </c>
      <c r="S1458">
        <v>42935.405775462961</v>
      </c>
      <c r="T1458" t="s">
        <v>288</v>
      </c>
      <c r="U1458" t="s">
        <v>4006</v>
      </c>
      <c r="V1458" t="s">
        <v>321</v>
      </c>
      <c r="W1458" t="s">
        <v>69</v>
      </c>
    </row>
    <row r="1459" spans="1:23" x14ac:dyDescent="0.25">
      <c r="A1459" t="s">
        <v>633</v>
      </c>
      <c r="B1459" s="19">
        <v>16612</v>
      </c>
      <c r="C1459" s="2">
        <f>HYPERLINK(URLs!B36 &amp; 97560,97560)</f>
        <v>97560</v>
      </c>
      <c r="D1459" t="s">
        <v>3472</v>
      </c>
      <c r="E1459" t="s">
        <v>2151</v>
      </c>
      <c r="F1459" t="s">
        <v>305</v>
      </c>
      <c r="G1459" t="s">
        <v>337</v>
      </c>
      <c r="H1459" t="s">
        <v>54</v>
      </c>
      <c r="I1459" t="s">
        <v>31</v>
      </c>
      <c r="J1459" t="s">
        <v>32</v>
      </c>
      <c r="K1459" t="s">
        <v>33</v>
      </c>
      <c r="L1459" t="s">
        <v>380</v>
      </c>
      <c r="M1459" t="s">
        <v>434</v>
      </c>
      <c r="N1459" t="s">
        <v>60</v>
      </c>
      <c r="P1459" t="s">
        <v>107</v>
      </c>
      <c r="Q1459" t="s">
        <v>65</v>
      </c>
      <c r="R1459">
        <v>42822.63</v>
      </c>
      <c r="S1459">
        <v>42831.796180555553</v>
      </c>
      <c r="T1459" t="s">
        <v>288</v>
      </c>
      <c r="U1459" t="s">
        <v>35</v>
      </c>
      <c r="V1459" t="s">
        <v>321</v>
      </c>
      <c r="W1459" t="s">
        <v>133</v>
      </c>
    </row>
    <row r="1460" spans="1:23" x14ac:dyDescent="0.25">
      <c r="A1460" t="s">
        <v>633</v>
      </c>
      <c r="B1460" s="19">
        <v>16612</v>
      </c>
      <c r="C1460" s="2">
        <f>HYPERLINK(URLs!B36 &amp; 96172,96172)</f>
        <v>96172</v>
      </c>
      <c r="D1460" t="s">
        <v>3439</v>
      </c>
      <c r="E1460" t="s">
        <v>3440</v>
      </c>
      <c r="F1460" t="s">
        <v>305</v>
      </c>
      <c r="G1460" t="s">
        <v>304</v>
      </c>
      <c r="H1460" t="s">
        <v>30</v>
      </c>
      <c r="I1460" t="s">
        <v>31</v>
      </c>
      <c r="J1460" t="s">
        <v>32</v>
      </c>
      <c r="K1460" t="s">
        <v>33</v>
      </c>
      <c r="L1460" t="s">
        <v>380</v>
      </c>
      <c r="M1460" t="s">
        <v>434</v>
      </c>
      <c r="N1460" t="s">
        <v>46</v>
      </c>
      <c r="P1460" t="s">
        <v>107</v>
      </c>
      <c r="Q1460" t="s">
        <v>1503</v>
      </c>
      <c r="R1460">
        <v>42783.924027777779</v>
      </c>
      <c r="S1460">
        <v>42935.7733912037</v>
      </c>
      <c r="T1460" t="s">
        <v>2</v>
      </c>
      <c r="U1460" t="s">
        <v>35</v>
      </c>
      <c r="V1460" t="s">
        <v>321</v>
      </c>
      <c r="W1460" t="s">
        <v>4098</v>
      </c>
    </row>
    <row r="1461" spans="1:23" x14ac:dyDescent="0.25">
      <c r="A1461" t="s">
        <v>633</v>
      </c>
      <c r="B1461" s="19">
        <v>16643</v>
      </c>
      <c r="C1461" s="2">
        <f>HYPERLINK(URLs!B36 &amp; 50241,50241)</f>
        <v>50241</v>
      </c>
      <c r="D1461" t="s">
        <v>3842</v>
      </c>
      <c r="E1461" t="s">
        <v>3843</v>
      </c>
      <c r="F1461" t="s">
        <v>305</v>
      </c>
      <c r="G1461" t="s">
        <v>304</v>
      </c>
      <c r="H1461" t="s">
        <v>426</v>
      </c>
      <c r="I1461" t="s">
        <v>68</v>
      </c>
      <c r="J1461" t="s">
        <v>43</v>
      </c>
      <c r="K1461" t="s">
        <v>33</v>
      </c>
      <c r="L1461" t="s">
        <v>34</v>
      </c>
      <c r="M1461" t="s">
        <v>3780</v>
      </c>
      <c r="N1461" t="s">
        <v>46</v>
      </c>
      <c r="O1461" t="s">
        <v>3844</v>
      </c>
      <c r="P1461" t="s">
        <v>38</v>
      </c>
      <c r="Q1461" t="s">
        <v>3555</v>
      </c>
      <c r="R1461">
        <v>41899.78597222222</v>
      </c>
      <c r="S1461">
        <v>43298.558159722219</v>
      </c>
      <c r="T1461" t="s">
        <v>3845</v>
      </c>
      <c r="U1461" t="s">
        <v>35</v>
      </c>
      <c r="V1461" t="s">
        <v>35</v>
      </c>
      <c r="W1461" t="s">
        <v>4143</v>
      </c>
    </row>
    <row r="1462" spans="1:23" x14ac:dyDescent="0.25">
      <c r="A1462" t="s">
        <v>641</v>
      </c>
      <c r="B1462" s="19">
        <v>16647</v>
      </c>
      <c r="C1462" s="2">
        <f>HYPERLINK(URLs!B36 &amp; 97641,97641)</f>
        <v>97641</v>
      </c>
      <c r="D1462" t="s">
        <v>544</v>
      </c>
      <c r="E1462" t="s">
        <v>82</v>
      </c>
      <c r="F1462" t="s">
        <v>42</v>
      </c>
      <c r="H1462" t="s">
        <v>30</v>
      </c>
      <c r="I1462" t="s">
        <v>68</v>
      </c>
      <c r="J1462" t="s">
        <v>43</v>
      </c>
      <c r="K1462" t="s">
        <v>33</v>
      </c>
      <c r="L1462" t="s">
        <v>73</v>
      </c>
      <c r="M1462" t="s">
        <v>263</v>
      </c>
      <c r="N1462" t="s">
        <v>46</v>
      </c>
      <c r="P1462" t="s">
        <v>107</v>
      </c>
      <c r="R1462">
        <v>42823.816435185188</v>
      </c>
      <c r="S1462">
        <v>43045.811979166669</v>
      </c>
      <c r="T1462" t="s">
        <v>301</v>
      </c>
      <c r="U1462" t="s">
        <v>35</v>
      </c>
      <c r="V1462" t="s">
        <v>35</v>
      </c>
      <c r="W1462" t="s">
        <v>4166</v>
      </c>
    </row>
    <row r="1463" spans="1:23" x14ac:dyDescent="0.25">
      <c r="A1463" t="s">
        <v>641</v>
      </c>
      <c r="B1463" s="19">
        <v>16647</v>
      </c>
      <c r="C1463" s="2">
        <f>HYPERLINK(URLs!B36 &amp; 96342,96342)</f>
        <v>96342</v>
      </c>
      <c r="D1463" t="s">
        <v>3441</v>
      </c>
      <c r="E1463" t="s">
        <v>72</v>
      </c>
      <c r="F1463" t="s">
        <v>305</v>
      </c>
      <c r="G1463" t="s">
        <v>337</v>
      </c>
      <c r="H1463" t="s">
        <v>30</v>
      </c>
      <c r="I1463" t="s">
        <v>68</v>
      </c>
      <c r="J1463" t="s">
        <v>43</v>
      </c>
      <c r="K1463" t="s">
        <v>33</v>
      </c>
      <c r="L1463" t="s">
        <v>73</v>
      </c>
      <c r="M1463" t="s">
        <v>263</v>
      </c>
      <c r="N1463" t="s">
        <v>46</v>
      </c>
      <c r="P1463" t="s">
        <v>107</v>
      </c>
      <c r="Q1463" t="s">
        <v>65</v>
      </c>
      <c r="R1463">
        <v>42789.952361111114</v>
      </c>
      <c r="S1463">
        <v>42823.827893518515</v>
      </c>
      <c r="T1463" t="s">
        <v>301</v>
      </c>
      <c r="U1463" t="s">
        <v>35</v>
      </c>
      <c r="V1463" t="s">
        <v>35</v>
      </c>
      <c r="W1463" t="s">
        <v>69</v>
      </c>
    </row>
    <row r="1464" spans="1:23" x14ac:dyDescent="0.25">
      <c r="A1464" t="s">
        <v>641</v>
      </c>
      <c r="B1464" s="19">
        <v>16647</v>
      </c>
      <c r="C1464" s="2">
        <f>HYPERLINK(URLs!B36 &amp; 96335,96335)</f>
        <v>96335</v>
      </c>
      <c r="D1464" t="s">
        <v>123</v>
      </c>
      <c r="E1464" t="s">
        <v>82</v>
      </c>
      <c r="F1464" t="s">
        <v>42</v>
      </c>
      <c r="H1464" t="s">
        <v>30</v>
      </c>
      <c r="I1464" t="s">
        <v>68</v>
      </c>
      <c r="J1464" t="s">
        <v>43</v>
      </c>
      <c r="K1464" t="s">
        <v>33</v>
      </c>
      <c r="L1464" t="s">
        <v>73</v>
      </c>
      <c r="M1464" t="s">
        <v>263</v>
      </c>
      <c r="N1464" t="s">
        <v>46</v>
      </c>
      <c r="P1464" t="s">
        <v>107</v>
      </c>
      <c r="R1464">
        <v>42789.908043981479</v>
      </c>
      <c r="S1464">
        <v>43017.577523148146</v>
      </c>
      <c r="T1464" t="s">
        <v>1</v>
      </c>
      <c r="U1464" t="s">
        <v>35</v>
      </c>
      <c r="V1464" t="s">
        <v>35</v>
      </c>
      <c r="W1464" t="s">
        <v>4098</v>
      </c>
    </row>
    <row r="1465" spans="1:23" x14ac:dyDescent="0.25">
      <c r="A1465" t="s">
        <v>641</v>
      </c>
      <c r="B1465" s="19">
        <v>17057</v>
      </c>
      <c r="C1465" s="2">
        <f>HYPERLINK(URLs!B36 &amp; 112281,112281)</f>
        <v>112281</v>
      </c>
      <c r="D1465" t="s">
        <v>4414</v>
      </c>
      <c r="E1465" t="s">
        <v>3787</v>
      </c>
      <c r="F1465" t="s">
        <v>67</v>
      </c>
      <c r="H1465" t="s">
        <v>30</v>
      </c>
      <c r="I1465" t="s">
        <v>68</v>
      </c>
      <c r="J1465" t="s">
        <v>58</v>
      </c>
      <c r="K1465" t="s">
        <v>44</v>
      </c>
      <c r="L1465" t="s">
        <v>34</v>
      </c>
      <c r="M1465" t="s">
        <v>3780</v>
      </c>
      <c r="N1465" t="s">
        <v>46</v>
      </c>
      <c r="P1465" t="s">
        <v>3911</v>
      </c>
      <c r="Q1465" t="s">
        <v>3911</v>
      </c>
      <c r="R1465">
        <v>43202.691655092596</v>
      </c>
      <c r="S1465">
        <v>43412.741435185184</v>
      </c>
      <c r="T1465" t="s">
        <v>1917</v>
      </c>
      <c r="U1465" t="s">
        <v>35</v>
      </c>
      <c r="V1465" t="s">
        <v>35</v>
      </c>
      <c r="W1465" t="s">
        <v>4155</v>
      </c>
    </row>
    <row r="1466" spans="1:23" x14ac:dyDescent="0.25">
      <c r="A1466" t="s">
        <v>641</v>
      </c>
      <c r="B1466" s="19">
        <v>17057</v>
      </c>
      <c r="C1466" s="2">
        <f>HYPERLINK(URLs!B36 &amp; 112280,112280)</f>
        <v>112280</v>
      </c>
      <c r="D1466" t="s">
        <v>4413</v>
      </c>
      <c r="E1466" t="s">
        <v>3787</v>
      </c>
      <c r="F1466" t="s">
        <v>42</v>
      </c>
      <c r="H1466" t="s">
        <v>54</v>
      </c>
      <c r="I1466" t="s">
        <v>68</v>
      </c>
      <c r="J1466" t="s">
        <v>58</v>
      </c>
      <c r="K1466" t="s">
        <v>44</v>
      </c>
      <c r="L1466" t="s">
        <v>34</v>
      </c>
      <c r="M1466" t="s">
        <v>3780</v>
      </c>
      <c r="N1466" t="s">
        <v>46</v>
      </c>
      <c r="O1466" t="s">
        <v>4659</v>
      </c>
      <c r="P1466" t="s">
        <v>3911</v>
      </c>
      <c r="Q1466" t="s">
        <v>3911</v>
      </c>
      <c r="R1466">
        <v>43202.691666666666</v>
      </c>
      <c r="S1466">
        <v>43344.652488425927</v>
      </c>
      <c r="T1466" t="s">
        <v>1917</v>
      </c>
      <c r="U1466" t="s">
        <v>35</v>
      </c>
      <c r="V1466" t="s">
        <v>35</v>
      </c>
      <c r="W1466" t="s">
        <v>4098</v>
      </c>
    </row>
    <row r="1467" spans="1:23" x14ac:dyDescent="0.25">
      <c r="A1467" t="s">
        <v>641</v>
      </c>
      <c r="B1467" s="19">
        <v>17057</v>
      </c>
      <c r="C1467" s="2">
        <f>HYPERLINK(URLs!B36 &amp; 99179,99179)</f>
        <v>99179</v>
      </c>
      <c r="D1467" t="s">
        <v>4193</v>
      </c>
      <c r="E1467" t="s">
        <v>3787</v>
      </c>
      <c r="F1467" t="s">
        <v>319</v>
      </c>
      <c r="G1467" t="s">
        <v>304</v>
      </c>
      <c r="H1467" t="s">
        <v>54</v>
      </c>
      <c r="I1467" t="s">
        <v>68</v>
      </c>
      <c r="J1467" t="s">
        <v>58</v>
      </c>
      <c r="K1467" t="s">
        <v>51</v>
      </c>
      <c r="L1467" t="s">
        <v>34</v>
      </c>
      <c r="M1467" t="s">
        <v>3780</v>
      </c>
      <c r="N1467" t="s">
        <v>46</v>
      </c>
      <c r="O1467" t="s">
        <v>4659</v>
      </c>
      <c r="P1467" t="s">
        <v>3911</v>
      </c>
      <c r="Q1467" t="s">
        <v>3911</v>
      </c>
      <c r="R1467">
        <v>42863.919953703706</v>
      </c>
      <c r="S1467">
        <v>43325.584178240744</v>
      </c>
      <c r="T1467" t="s">
        <v>39</v>
      </c>
      <c r="U1467" t="s">
        <v>35</v>
      </c>
      <c r="V1467" t="s">
        <v>35</v>
      </c>
      <c r="W1467" t="s">
        <v>3915</v>
      </c>
    </row>
    <row r="1468" spans="1:23" x14ac:dyDescent="0.25">
      <c r="A1468" t="s">
        <v>633</v>
      </c>
      <c r="B1468" s="19">
        <v>17067</v>
      </c>
      <c r="C1468" s="2">
        <f>HYPERLINK(URLs!B36 &amp; 97674,97674)</f>
        <v>97674</v>
      </c>
      <c r="D1468" t="s">
        <v>3482</v>
      </c>
      <c r="E1468" t="s">
        <v>64</v>
      </c>
      <c r="F1468" t="s">
        <v>305</v>
      </c>
      <c r="G1468" t="s">
        <v>328</v>
      </c>
      <c r="H1468" t="s">
        <v>116</v>
      </c>
      <c r="I1468" t="s">
        <v>31</v>
      </c>
      <c r="J1468" t="s">
        <v>32</v>
      </c>
      <c r="K1468" t="s">
        <v>44</v>
      </c>
      <c r="L1468" t="s">
        <v>52</v>
      </c>
      <c r="M1468" t="s">
        <v>3445</v>
      </c>
      <c r="N1468" t="s">
        <v>582</v>
      </c>
      <c r="P1468" t="s">
        <v>107</v>
      </c>
      <c r="Q1468" t="s">
        <v>65</v>
      </c>
      <c r="R1468">
        <v>42824.398101851853</v>
      </c>
      <c r="S1468">
        <v>42964.125081018516</v>
      </c>
      <c r="T1468" t="s">
        <v>3479</v>
      </c>
      <c r="U1468" t="s">
        <v>35</v>
      </c>
      <c r="V1468" t="s">
        <v>4057</v>
      </c>
      <c r="W1468" t="s">
        <v>428</v>
      </c>
    </row>
    <row r="1469" spans="1:23" x14ac:dyDescent="0.25">
      <c r="A1469" t="s">
        <v>633</v>
      </c>
      <c r="B1469" s="19">
        <v>17067</v>
      </c>
      <c r="C1469" s="2">
        <f>HYPERLINK(URLs!B36 &amp; 97673,97673)</f>
        <v>97673</v>
      </c>
      <c r="D1469" t="s">
        <v>3481</v>
      </c>
      <c r="E1469" t="s">
        <v>64</v>
      </c>
      <c r="F1469" t="s">
        <v>305</v>
      </c>
      <c r="G1469" t="s">
        <v>328</v>
      </c>
      <c r="H1469" t="s">
        <v>116</v>
      </c>
      <c r="I1469" t="s">
        <v>31</v>
      </c>
      <c r="J1469" t="s">
        <v>32</v>
      </c>
      <c r="K1469" t="s">
        <v>44</v>
      </c>
      <c r="L1469" t="s">
        <v>52</v>
      </c>
      <c r="M1469" t="s">
        <v>3445</v>
      </c>
      <c r="N1469" t="s">
        <v>518</v>
      </c>
      <c r="P1469" t="s">
        <v>107</v>
      </c>
      <c r="Q1469" t="s">
        <v>65</v>
      </c>
      <c r="R1469">
        <v>42824.397233796299</v>
      </c>
      <c r="S1469">
        <v>42884.369768518518</v>
      </c>
      <c r="T1469" t="s">
        <v>3479</v>
      </c>
      <c r="U1469" t="s">
        <v>35</v>
      </c>
      <c r="V1469" t="s">
        <v>4057</v>
      </c>
      <c r="W1469" t="s">
        <v>69</v>
      </c>
    </row>
    <row r="1470" spans="1:23" x14ac:dyDescent="0.25">
      <c r="A1470" t="s">
        <v>633</v>
      </c>
      <c r="B1470" s="19">
        <v>17067</v>
      </c>
      <c r="C1470" s="2">
        <f>HYPERLINK(URLs!B36 &amp; 97672,97672)</f>
        <v>97672</v>
      </c>
      <c r="D1470" t="s">
        <v>3480</v>
      </c>
      <c r="E1470" t="s">
        <v>64</v>
      </c>
      <c r="F1470" t="s">
        <v>305</v>
      </c>
      <c r="G1470" t="s">
        <v>337</v>
      </c>
      <c r="H1470" t="s">
        <v>116</v>
      </c>
      <c r="I1470" t="s">
        <v>31</v>
      </c>
      <c r="J1470" t="s">
        <v>32</v>
      </c>
      <c r="K1470" t="s">
        <v>44</v>
      </c>
      <c r="L1470" t="s">
        <v>52</v>
      </c>
      <c r="M1470" t="s">
        <v>3445</v>
      </c>
      <c r="N1470" t="s">
        <v>60</v>
      </c>
      <c r="P1470" t="s">
        <v>107</v>
      </c>
      <c r="Q1470" t="s">
        <v>65</v>
      </c>
      <c r="R1470">
        <v>42824.395497685182</v>
      </c>
      <c r="S1470">
        <v>42837.555266203701</v>
      </c>
      <c r="T1470" t="s">
        <v>3479</v>
      </c>
      <c r="U1470" t="s">
        <v>35</v>
      </c>
      <c r="V1470" t="s">
        <v>4057</v>
      </c>
      <c r="W1470" t="s">
        <v>133</v>
      </c>
    </row>
    <row r="1471" spans="1:23" x14ac:dyDescent="0.25">
      <c r="A1471" t="s">
        <v>633</v>
      </c>
      <c r="B1471" s="19">
        <v>17067</v>
      </c>
      <c r="C1471" s="2">
        <f>HYPERLINK(URLs!B36 &amp; 97671,97671)</f>
        <v>97671</v>
      </c>
      <c r="D1471" t="s">
        <v>3478</v>
      </c>
      <c r="E1471" t="s">
        <v>1</v>
      </c>
      <c r="F1471" t="s">
        <v>305</v>
      </c>
      <c r="G1471" t="s">
        <v>328</v>
      </c>
      <c r="H1471" t="s">
        <v>116</v>
      </c>
      <c r="I1471" t="s">
        <v>31</v>
      </c>
      <c r="J1471" t="s">
        <v>32</v>
      </c>
      <c r="K1471" t="s">
        <v>44</v>
      </c>
      <c r="L1471" t="s">
        <v>52</v>
      </c>
      <c r="M1471" t="s">
        <v>3445</v>
      </c>
      <c r="N1471" t="s">
        <v>60</v>
      </c>
      <c r="P1471" t="s">
        <v>107</v>
      </c>
      <c r="Q1471" t="s">
        <v>65</v>
      </c>
      <c r="R1471">
        <v>42824.395509259259</v>
      </c>
      <c r="S1471">
        <v>42963.125069444446</v>
      </c>
      <c r="T1471" t="s">
        <v>3479</v>
      </c>
      <c r="U1471" t="s">
        <v>35</v>
      </c>
      <c r="V1471" t="s">
        <v>4057</v>
      </c>
      <c r="W1471" t="s">
        <v>4098</v>
      </c>
    </row>
    <row r="1472" spans="1:23" x14ac:dyDescent="0.25">
      <c r="A1472" t="s">
        <v>633</v>
      </c>
      <c r="B1472" s="19">
        <v>17067</v>
      </c>
      <c r="C1472" s="2">
        <f>HYPERLINK(URLs!B36 &amp; 96925,96925)</f>
        <v>96925</v>
      </c>
      <c r="D1472" t="s">
        <v>3444</v>
      </c>
      <c r="E1472" t="s">
        <v>1</v>
      </c>
      <c r="F1472" t="s">
        <v>305</v>
      </c>
      <c r="G1472" t="s">
        <v>328</v>
      </c>
      <c r="H1472" t="s">
        <v>116</v>
      </c>
      <c r="I1472" t="s">
        <v>31</v>
      </c>
      <c r="J1472" t="s">
        <v>32</v>
      </c>
      <c r="K1472" t="s">
        <v>44</v>
      </c>
      <c r="L1472" t="s">
        <v>52</v>
      </c>
      <c r="M1472" t="s">
        <v>3445</v>
      </c>
      <c r="N1472" t="s">
        <v>60</v>
      </c>
      <c r="P1472" t="s">
        <v>107</v>
      </c>
      <c r="Q1472" t="s">
        <v>65</v>
      </c>
      <c r="R1472">
        <v>42803.919606481482</v>
      </c>
      <c r="S1472">
        <v>42894.120949074073</v>
      </c>
      <c r="T1472" t="s">
        <v>1</v>
      </c>
      <c r="U1472" t="s">
        <v>35</v>
      </c>
      <c r="V1472" t="s">
        <v>4057</v>
      </c>
      <c r="W1472" t="s">
        <v>4156</v>
      </c>
    </row>
    <row r="1473" spans="1:23" x14ac:dyDescent="0.25">
      <c r="A1473" t="s">
        <v>665</v>
      </c>
      <c r="B1473" s="19">
        <v>17090</v>
      </c>
      <c r="C1473" s="2">
        <f>HYPERLINK(URLs!B36 &amp; 97280,97280)</f>
        <v>97280</v>
      </c>
      <c r="D1473" t="s">
        <v>3462</v>
      </c>
      <c r="E1473" t="s">
        <v>134</v>
      </c>
      <c r="F1473" t="s">
        <v>305</v>
      </c>
      <c r="G1473" t="s">
        <v>304</v>
      </c>
      <c r="H1473" t="s">
        <v>116</v>
      </c>
      <c r="I1473" t="s">
        <v>31</v>
      </c>
      <c r="J1473" t="s">
        <v>32</v>
      </c>
      <c r="K1473" t="s">
        <v>33</v>
      </c>
      <c r="L1473" t="s">
        <v>34</v>
      </c>
      <c r="M1473" t="s">
        <v>271</v>
      </c>
      <c r="N1473" t="s">
        <v>510</v>
      </c>
      <c r="P1473" t="s">
        <v>107</v>
      </c>
      <c r="Q1473" t="s">
        <v>3389</v>
      </c>
      <c r="R1473">
        <v>42814.714050925926</v>
      </c>
      <c r="S1473">
        <v>43104.578240740739</v>
      </c>
      <c r="T1473" t="s">
        <v>53</v>
      </c>
      <c r="U1473" t="s">
        <v>4004</v>
      </c>
      <c r="V1473" t="s">
        <v>321</v>
      </c>
      <c r="W1473" t="s">
        <v>4143</v>
      </c>
    </row>
    <row r="1474" spans="1:23" x14ac:dyDescent="0.25">
      <c r="A1474" t="s">
        <v>665</v>
      </c>
      <c r="B1474" s="19">
        <v>17090</v>
      </c>
      <c r="C1474" s="2">
        <f>HYPERLINK(URLs!B36 &amp; 97279,97279)</f>
        <v>97279</v>
      </c>
      <c r="D1474" t="s">
        <v>3461</v>
      </c>
      <c r="E1474" t="s">
        <v>134</v>
      </c>
      <c r="F1474" t="s">
        <v>305</v>
      </c>
      <c r="G1474" t="s">
        <v>304</v>
      </c>
      <c r="H1474" t="s">
        <v>54</v>
      </c>
      <c r="I1474" t="s">
        <v>31</v>
      </c>
      <c r="J1474" t="s">
        <v>32</v>
      </c>
      <c r="K1474" t="s">
        <v>33</v>
      </c>
      <c r="L1474" t="s">
        <v>34</v>
      </c>
      <c r="M1474" t="s">
        <v>271</v>
      </c>
      <c r="N1474" t="s">
        <v>518</v>
      </c>
      <c r="P1474" t="s">
        <v>107</v>
      </c>
      <c r="Q1474" t="s">
        <v>159</v>
      </c>
      <c r="R1474">
        <v>42814.712037037039</v>
      </c>
      <c r="S1474">
        <v>42950.797500000001</v>
      </c>
      <c r="T1474" t="s">
        <v>53</v>
      </c>
      <c r="U1474" t="s">
        <v>3996</v>
      </c>
      <c r="V1474" t="s">
        <v>321</v>
      </c>
      <c r="W1474" t="s">
        <v>4167</v>
      </c>
    </row>
    <row r="1475" spans="1:23" x14ac:dyDescent="0.25">
      <c r="A1475" t="s">
        <v>665</v>
      </c>
      <c r="B1475" s="19">
        <v>17090</v>
      </c>
      <c r="C1475" s="2">
        <f>HYPERLINK(URLs!B36 &amp; 97278,97278)</f>
        <v>97278</v>
      </c>
      <c r="D1475" t="s">
        <v>3460</v>
      </c>
      <c r="E1475" t="s">
        <v>136</v>
      </c>
      <c r="F1475" t="s">
        <v>305</v>
      </c>
      <c r="G1475" t="s">
        <v>337</v>
      </c>
      <c r="H1475" t="s">
        <v>54</v>
      </c>
      <c r="I1475" t="s">
        <v>31</v>
      </c>
      <c r="J1475" t="s">
        <v>32</v>
      </c>
      <c r="K1475" t="s">
        <v>33</v>
      </c>
      <c r="L1475" t="s">
        <v>34</v>
      </c>
      <c r="M1475" t="s">
        <v>279</v>
      </c>
      <c r="N1475" t="s">
        <v>60</v>
      </c>
      <c r="O1475" t="s">
        <v>533</v>
      </c>
      <c r="P1475" t="s">
        <v>107</v>
      </c>
      <c r="Q1475" t="s">
        <v>65</v>
      </c>
      <c r="R1475">
        <v>42814.710231481484</v>
      </c>
      <c r="S1475">
        <v>42829.7655787037</v>
      </c>
      <c r="T1475" t="s">
        <v>53</v>
      </c>
      <c r="U1475" t="s">
        <v>35</v>
      </c>
      <c r="V1475" t="s">
        <v>321</v>
      </c>
      <c r="W1475" t="s">
        <v>133</v>
      </c>
    </row>
    <row r="1476" spans="1:23" x14ac:dyDescent="0.25">
      <c r="A1476" t="s">
        <v>665</v>
      </c>
      <c r="B1476" s="19">
        <v>17090</v>
      </c>
      <c r="C1476" s="2">
        <f>HYPERLINK(URLs!B36 &amp; 97277,97277)</f>
        <v>97277</v>
      </c>
      <c r="D1476" t="s">
        <v>538</v>
      </c>
      <c r="E1476" t="s">
        <v>175</v>
      </c>
      <c r="F1476" t="s">
        <v>305</v>
      </c>
      <c r="G1476" t="s">
        <v>337</v>
      </c>
      <c r="H1476" t="s">
        <v>54</v>
      </c>
      <c r="I1476" t="s">
        <v>31</v>
      </c>
      <c r="J1476" t="s">
        <v>32</v>
      </c>
      <c r="K1476" t="s">
        <v>33</v>
      </c>
      <c r="L1476" t="s">
        <v>34</v>
      </c>
      <c r="M1476" t="s">
        <v>271</v>
      </c>
      <c r="N1476" t="s">
        <v>60</v>
      </c>
      <c r="P1476" t="s">
        <v>107</v>
      </c>
      <c r="Q1476" t="s">
        <v>3708</v>
      </c>
      <c r="R1476">
        <v>42814.709201388891</v>
      </c>
      <c r="S1476">
        <v>43423.863483796296</v>
      </c>
      <c r="T1476" t="s">
        <v>53</v>
      </c>
      <c r="U1476" t="s">
        <v>35</v>
      </c>
      <c r="V1476" t="s">
        <v>321</v>
      </c>
      <c r="W1476" t="s">
        <v>4156</v>
      </c>
    </row>
    <row r="1477" spans="1:23" x14ac:dyDescent="0.25">
      <c r="A1477" t="s">
        <v>665</v>
      </c>
      <c r="B1477" s="19">
        <v>17090</v>
      </c>
      <c r="C1477" s="2">
        <f>HYPERLINK(URLs!B36 &amp; 96996,96996)</f>
        <v>96996</v>
      </c>
      <c r="D1477" t="s">
        <v>124</v>
      </c>
      <c r="E1477" t="s">
        <v>175</v>
      </c>
      <c r="F1477" t="s">
        <v>319</v>
      </c>
      <c r="G1477" t="s">
        <v>304</v>
      </c>
      <c r="H1477" t="s">
        <v>56</v>
      </c>
      <c r="I1477" t="s">
        <v>31</v>
      </c>
      <c r="J1477" t="s">
        <v>32</v>
      </c>
      <c r="K1477" t="s">
        <v>33</v>
      </c>
      <c r="L1477" t="s">
        <v>34</v>
      </c>
      <c r="M1477" t="s">
        <v>271</v>
      </c>
      <c r="N1477" t="s">
        <v>46</v>
      </c>
      <c r="O1477" t="s">
        <v>126</v>
      </c>
      <c r="P1477" t="s">
        <v>107</v>
      </c>
      <c r="Q1477" t="s">
        <v>3708</v>
      </c>
      <c r="R1477">
        <v>42807.735324074078</v>
      </c>
      <c r="S1477">
        <v>43423.889270833337</v>
      </c>
      <c r="T1477" t="s">
        <v>1</v>
      </c>
      <c r="U1477" t="s">
        <v>35</v>
      </c>
      <c r="V1477" t="s">
        <v>321</v>
      </c>
      <c r="W1477" t="s">
        <v>4098</v>
      </c>
    </row>
    <row r="1478" spans="1:23" x14ac:dyDescent="0.25">
      <c r="A1478" t="s">
        <v>633</v>
      </c>
      <c r="B1478" s="19">
        <v>17092</v>
      </c>
      <c r="C1478" s="2">
        <f>HYPERLINK(URLs!B36 &amp; 98041,98041)</f>
        <v>98041</v>
      </c>
      <c r="D1478" t="s">
        <v>3493</v>
      </c>
      <c r="E1478" t="s">
        <v>72</v>
      </c>
      <c r="F1478" t="s">
        <v>305</v>
      </c>
      <c r="G1478" t="s">
        <v>304</v>
      </c>
      <c r="H1478" t="s">
        <v>54</v>
      </c>
      <c r="I1478" t="s">
        <v>31</v>
      </c>
      <c r="J1478" t="s">
        <v>43</v>
      </c>
      <c r="K1478" t="s">
        <v>44</v>
      </c>
      <c r="L1478" t="s">
        <v>73</v>
      </c>
      <c r="M1478" t="s">
        <v>263</v>
      </c>
      <c r="N1478" t="s">
        <v>582</v>
      </c>
      <c r="P1478" t="s">
        <v>77</v>
      </c>
      <c r="Q1478" t="s">
        <v>77</v>
      </c>
      <c r="R1478">
        <v>42832.529004629629</v>
      </c>
      <c r="S1478">
        <v>43230.933611111112</v>
      </c>
      <c r="T1478" t="s">
        <v>110</v>
      </c>
      <c r="U1478" t="s">
        <v>4012</v>
      </c>
      <c r="V1478" t="s">
        <v>35</v>
      </c>
      <c r="W1478" t="s">
        <v>307</v>
      </c>
    </row>
    <row r="1479" spans="1:23" x14ac:dyDescent="0.25">
      <c r="A1479" t="s">
        <v>633</v>
      </c>
      <c r="B1479" s="19">
        <v>17092</v>
      </c>
      <c r="C1479" s="2">
        <f>HYPERLINK(URLs!B36 &amp; 97041,97041)</f>
        <v>97041</v>
      </c>
      <c r="D1479" t="s">
        <v>3447</v>
      </c>
      <c r="E1479" t="s">
        <v>72</v>
      </c>
      <c r="F1479" t="s">
        <v>305</v>
      </c>
      <c r="G1479" t="s">
        <v>304</v>
      </c>
      <c r="H1479" t="s">
        <v>54</v>
      </c>
      <c r="I1479" t="s">
        <v>31</v>
      </c>
      <c r="J1479" t="s">
        <v>43</v>
      </c>
      <c r="K1479" t="s">
        <v>44</v>
      </c>
      <c r="L1479" t="s">
        <v>73</v>
      </c>
      <c r="M1479" t="s">
        <v>263</v>
      </c>
      <c r="N1479" t="s">
        <v>518</v>
      </c>
      <c r="P1479" t="s">
        <v>77</v>
      </c>
      <c r="Q1479" t="s">
        <v>77</v>
      </c>
      <c r="R1479">
        <v>42808.439444444448</v>
      </c>
      <c r="S1479">
        <v>42958.48809027778</v>
      </c>
      <c r="T1479" t="s">
        <v>301</v>
      </c>
      <c r="U1479" t="s">
        <v>4006</v>
      </c>
      <c r="V1479" t="s">
        <v>35</v>
      </c>
      <c r="W1479" t="s">
        <v>69</v>
      </c>
    </row>
    <row r="1480" spans="1:23" x14ac:dyDescent="0.25">
      <c r="A1480" t="s">
        <v>633</v>
      </c>
      <c r="B1480" s="19">
        <v>17092</v>
      </c>
      <c r="C1480" s="2">
        <f>HYPERLINK(URLs!B36 &amp; 97040,97040)</f>
        <v>97040</v>
      </c>
      <c r="D1480" t="s">
        <v>3446</v>
      </c>
      <c r="E1480" t="s">
        <v>72</v>
      </c>
      <c r="F1480" t="s">
        <v>305</v>
      </c>
      <c r="G1480" t="s">
        <v>337</v>
      </c>
      <c r="H1480" t="s">
        <v>54</v>
      </c>
      <c r="I1480" t="s">
        <v>31</v>
      </c>
      <c r="J1480" t="s">
        <v>43</v>
      </c>
      <c r="K1480" t="s">
        <v>44</v>
      </c>
      <c r="L1480" t="s">
        <v>73</v>
      </c>
      <c r="M1480" t="s">
        <v>263</v>
      </c>
      <c r="N1480" t="s">
        <v>60</v>
      </c>
      <c r="P1480" t="s">
        <v>77</v>
      </c>
      <c r="Q1480" t="s">
        <v>65</v>
      </c>
      <c r="R1480">
        <v>42808.438703703701</v>
      </c>
      <c r="S1480">
        <v>42870.385277777779</v>
      </c>
      <c r="T1480" t="s">
        <v>301</v>
      </c>
      <c r="U1480" t="s">
        <v>35</v>
      </c>
      <c r="V1480" t="s">
        <v>35</v>
      </c>
      <c r="W1480" t="s">
        <v>133</v>
      </c>
    </row>
    <row r="1481" spans="1:23" x14ac:dyDescent="0.25">
      <c r="A1481" t="s">
        <v>633</v>
      </c>
      <c r="B1481" s="19">
        <v>17092</v>
      </c>
      <c r="C1481" s="2">
        <f>HYPERLINK(URLs!B36 &amp; 97039,97039)</f>
        <v>97039</v>
      </c>
      <c r="D1481" t="s">
        <v>534</v>
      </c>
      <c r="E1481" t="s">
        <v>110</v>
      </c>
      <c r="F1481" t="s">
        <v>305</v>
      </c>
      <c r="G1481" t="s">
        <v>337</v>
      </c>
      <c r="H1481" t="s">
        <v>54</v>
      </c>
      <c r="I1481" t="s">
        <v>31</v>
      </c>
      <c r="J1481" t="s">
        <v>43</v>
      </c>
      <c r="K1481" t="s">
        <v>44</v>
      </c>
      <c r="L1481" t="s">
        <v>73</v>
      </c>
      <c r="M1481" t="s">
        <v>263</v>
      </c>
      <c r="N1481" t="s">
        <v>60</v>
      </c>
      <c r="O1481" t="s">
        <v>535</v>
      </c>
      <c r="P1481" t="s">
        <v>77</v>
      </c>
      <c r="Q1481" t="s">
        <v>3708</v>
      </c>
      <c r="R1481">
        <v>42808.437638888892</v>
      </c>
      <c r="S1481">
        <v>43423.863657407404</v>
      </c>
      <c r="T1481" t="s">
        <v>301</v>
      </c>
      <c r="U1481" t="s">
        <v>35</v>
      </c>
      <c r="V1481" t="s">
        <v>35</v>
      </c>
      <c r="W1481" t="s">
        <v>4156</v>
      </c>
    </row>
    <row r="1482" spans="1:23" x14ac:dyDescent="0.25">
      <c r="A1482" t="s">
        <v>633</v>
      </c>
      <c r="B1482" s="19">
        <v>17092</v>
      </c>
      <c r="C1482" s="2">
        <f>HYPERLINK(URLs!B36 &amp; 97007,97007)</f>
        <v>97007</v>
      </c>
      <c r="D1482" t="s">
        <v>127</v>
      </c>
      <c r="E1482" t="s">
        <v>110</v>
      </c>
      <c r="F1482" t="s">
        <v>319</v>
      </c>
      <c r="G1482" t="s">
        <v>304</v>
      </c>
      <c r="H1482" t="s">
        <v>54</v>
      </c>
      <c r="I1482" t="s">
        <v>31</v>
      </c>
      <c r="J1482" t="s">
        <v>43</v>
      </c>
      <c r="K1482" t="s">
        <v>44</v>
      </c>
      <c r="L1482" t="s">
        <v>73</v>
      </c>
      <c r="M1482" t="s">
        <v>263</v>
      </c>
      <c r="N1482" t="s">
        <v>60</v>
      </c>
      <c r="O1482" t="s">
        <v>128</v>
      </c>
      <c r="P1482" t="s">
        <v>77</v>
      </c>
      <c r="Q1482" t="s">
        <v>3708</v>
      </c>
      <c r="R1482">
        <v>42807.877870370372</v>
      </c>
      <c r="S1482">
        <v>43423.896782407406</v>
      </c>
      <c r="T1482" t="s">
        <v>2</v>
      </c>
      <c r="U1482" t="s">
        <v>35</v>
      </c>
      <c r="V1482" t="s">
        <v>35</v>
      </c>
      <c r="W1482" t="s">
        <v>4098</v>
      </c>
    </row>
    <row r="1483" spans="1:23" x14ac:dyDescent="0.25">
      <c r="A1483" t="s">
        <v>633</v>
      </c>
      <c r="B1483" s="19">
        <v>17100</v>
      </c>
      <c r="C1483" s="2">
        <f>HYPERLINK(URLs!B36 &amp; 98606,98606)</f>
        <v>98606</v>
      </c>
      <c r="D1483" t="s">
        <v>549</v>
      </c>
      <c r="E1483" t="s">
        <v>64</v>
      </c>
      <c r="F1483" t="s">
        <v>305</v>
      </c>
      <c r="G1483" t="s">
        <v>337</v>
      </c>
      <c r="H1483" t="s">
        <v>56</v>
      </c>
      <c r="I1483" t="s">
        <v>31</v>
      </c>
      <c r="J1483" t="s">
        <v>32</v>
      </c>
      <c r="K1483" t="s">
        <v>33</v>
      </c>
      <c r="L1483" t="s">
        <v>52</v>
      </c>
      <c r="M1483" t="s">
        <v>272</v>
      </c>
      <c r="N1483" t="s">
        <v>523</v>
      </c>
      <c r="P1483" t="s">
        <v>107</v>
      </c>
      <c r="Q1483" t="s">
        <v>3708</v>
      </c>
      <c r="R1483">
        <v>42846.734675925924</v>
      </c>
      <c r="S1483">
        <v>43423.866736111115</v>
      </c>
      <c r="T1483" t="s">
        <v>548</v>
      </c>
      <c r="U1483" t="s">
        <v>35</v>
      </c>
      <c r="V1483" t="s">
        <v>321</v>
      </c>
      <c r="W1483" t="s">
        <v>4163</v>
      </c>
    </row>
    <row r="1484" spans="1:23" x14ac:dyDescent="0.25">
      <c r="A1484" t="s">
        <v>633</v>
      </c>
      <c r="B1484" s="19">
        <v>17100</v>
      </c>
      <c r="C1484" s="2">
        <f>HYPERLINK(URLs!B36 &amp; 97189,97189)</f>
        <v>97189</v>
      </c>
      <c r="D1484" t="s">
        <v>536</v>
      </c>
      <c r="E1484" t="s">
        <v>80</v>
      </c>
      <c r="F1484" t="s">
        <v>42</v>
      </c>
      <c r="H1484" t="s">
        <v>116</v>
      </c>
      <c r="I1484" t="s">
        <v>31</v>
      </c>
      <c r="J1484" t="s">
        <v>32</v>
      </c>
      <c r="K1484" t="s">
        <v>33</v>
      </c>
      <c r="L1484" t="s">
        <v>52</v>
      </c>
      <c r="M1484" t="s">
        <v>272</v>
      </c>
      <c r="N1484" t="s">
        <v>510</v>
      </c>
      <c r="P1484" t="s">
        <v>107</v>
      </c>
      <c r="R1484">
        <v>42811.621967592589</v>
      </c>
      <c r="S1484">
        <v>43423.906712962962</v>
      </c>
      <c r="T1484" t="s">
        <v>53</v>
      </c>
      <c r="U1484" t="s">
        <v>35</v>
      </c>
      <c r="V1484" t="s">
        <v>321</v>
      </c>
      <c r="W1484" t="s">
        <v>4143</v>
      </c>
    </row>
    <row r="1485" spans="1:23" x14ac:dyDescent="0.25">
      <c r="A1485" t="s">
        <v>633</v>
      </c>
      <c r="B1485" s="19">
        <v>17100</v>
      </c>
      <c r="C1485" s="2">
        <f>HYPERLINK(URLs!B36 &amp; 97187,97187)</f>
        <v>97187</v>
      </c>
      <c r="D1485" t="s">
        <v>3452</v>
      </c>
      <c r="E1485" t="s">
        <v>80</v>
      </c>
      <c r="F1485" t="s">
        <v>305</v>
      </c>
      <c r="G1485" t="s">
        <v>304</v>
      </c>
      <c r="H1485" t="s">
        <v>116</v>
      </c>
      <c r="I1485" t="s">
        <v>31</v>
      </c>
      <c r="J1485" t="s">
        <v>32</v>
      </c>
      <c r="K1485" t="s">
        <v>33</v>
      </c>
      <c r="L1485" t="s">
        <v>52</v>
      </c>
      <c r="M1485" t="s">
        <v>272</v>
      </c>
      <c r="N1485" t="s">
        <v>3453</v>
      </c>
      <c r="P1485" t="s">
        <v>107</v>
      </c>
      <c r="Q1485" t="s">
        <v>394</v>
      </c>
      <c r="R1485">
        <v>42811.621180555558</v>
      </c>
      <c r="S1485">
        <v>42930.251226851855</v>
      </c>
      <c r="T1485" t="s">
        <v>53</v>
      </c>
      <c r="U1485" t="s">
        <v>3996</v>
      </c>
      <c r="V1485" t="s">
        <v>321</v>
      </c>
      <c r="W1485" t="s">
        <v>69</v>
      </c>
    </row>
    <row r="1486" spans="1:23" x14ac:dyDescent="0.25">
      <c r="A1486" t="s">
        <v>633</v>
      </c>
      <c r="B1486" s="19">
        <v>17100</v>
      </c>
      <c r="C1486" s="2">
        <f>HYPERLINK(URLs!B36 &amp; 97186,97186)</f>
        <v>97186</v>
      </c>
      <c r="D1486" t="s">
        <v>3451</v>
      </c>
      <c r="E1486" t="s">
        <v>80</v>
      </c>
      <c r="F1486" t="s">
        <v>305</v>
      </c>
      <c r="G1486" t="s">
        <v>337</v>
      </c>
      <c r="H1486" t="s">
        <v>54</v>
      </c>
      <c r="I1486" t="s">
        <v>31</v>
      </c>
      <c r="J1486" t="s">
        <v>32</v>
      </c>
      <c r="K1486" t="s">
        <v>33</v>
      </c>
      <c r="L1486" t="s">
        <v>52</v>
      </c>
      <c r="M1486" t="s">
        <v>272</v>
      </c>
      <c r="N1486" t="s">
        <v>60</v>
      </c>
      <c r="P1486" t="s">
        <v>107</v>
      </c>
      <c r="Q1486" t="s">
        <v>65</v>
      </c>
      <c r="R1486">
        <v>42811.620509259257</v>
      </c>
      <c r="S1486">
        <v>42866.844247685185</v>
      </c>
      <c r="T1486" t="s">
        <v>53</v>
      </c>
      <c r="U1486" t="s">
        <v>35</v>
      </c>
      <c r="V1486" t="s">
        <v>321</v>
      </c>
      <c r="W1486" t="s">
        <v>133</v>
      </c>
    </row>
    <row r="1487" spans="1:23" x14ac:dyDescent="0.25">
      <c r="A1487" t="s">
        <v>633</v>
      </c>
      <c r="B1487" s="19">
        <v>17100</v>
      </c>
      <c r="C1487" s="2">
        <f>HYPERLINK(URLs!B36 &amp; 97185,97185)</f>
        <v>97185</v>
      </c>
      <c r="D1487" t="s">
        <v>3450</v>
      </c>
      <c r="E1487" t="s">
        <v>80</v>
      </c>
      <c r="F1487" t="s">
        <v>305</v>
      </c>
      <c r="G1487" t="s">
        <v>304</v>
      </c>
      <c r="H1487" t="s">
        <v>54</v>
      </c>
      <c r="I1487" t="s">
        <v>31</v>
      </c>
      <c r="J1487" t="s">
        <v>32</v>
      </c>
      <c r="K1487" t="s">
        <v>33</v>
      </c>
      <c r="L1487" t="s">
        <v>52</v>
      </c>
      <c r="M1487" t="s">
        <v>272</v>
      </c>
      <c r="N1487" t="s">
        <v>121</v>
      </c>
      <c r="P1487" t="s">
        <v>107</v>
      </c>
      <c r="Q1487" t="s">
        <v>394</v>
      </c>
      <c r="R1487">
        <v>42811.619791666664</v>
      </c>
      <c r="S1487">
        <v>42905.900983796295</v>
      </c>
      <c r="T1487" t="s">
        <v>53</v>
      </c>
      <c r="U1487" t="s">
        <v>35</v>
      </c>
      <c r="V1487" t="s">
        <v>321</v>
      </c>
      <c r="W1487" t="s">
        <v>190</v>
      </c>
    </row>
    <row r="1488" spans="1:23" x14ac:dyDescent="0.25">
      <c r="A1488" t="s">
        <v>633</v>
      </c>
      <c r="B1488" s="19">
        <v>17100</v>
      </c>
      <c r="C1488" s="2">
        <f>HYPERLINK(URLs!B36 &amp; 97008,97008)</f>
        <v>97008</v>
      </c>
      <c r="D1488" t="s">
        <v>129</v>
      </c>
      <c r="E1488" t="s">
        <v>80</v>
      </c>
      <c r="F1488" t="s">
        <v>67</v>
      </c>
      <c r="H1488" t="s">
        <v>56</v>
      </c>
      <c r="I1488" t="s">
        <v>31</v>
      </c>
      <c r="J1488" t="s">
        <v>32</v>
      </c>
      <c r="K1488" t="s">
        <v>33</v>
      </c>
      <c r="L1488" t="s">
        <v>52</v>
      </c>
      <c r="M1488" t="s">
        <v>272</v>
      </c>
      <c r="N1488" t="s">
        <v>46</v>
      </c>
      <c r="P1488" t="s">
        <v>107</v>
      </c>
      <c r="R1488">
        <v>42807.882627314815</v>
      </c>
      <c r="S1488">
        <v>42846.734675925924</v>
      </c>
      <c r="T1488" t="s">
        <v>1</v>
      </c>
      <c r="U1488" t="s">
        <v>35</v>
      </c>
      <c r="V1488" t="s">
        <v>321</v>
      </c>
      <c r="W1488" t="s">
        <v>4098</v>
      </c>
    </row>
    <row r="1489" spans="1:23" x14ac:dyDescent="0.25">
      <c r="A1489" t="s">
        <v>633</v>
      </c>
      <c r="B1489" s="19">
        <v>17111</v>
      </c>
      <c r="C1489" s="2">
        <f>HYPERLINK(URLs!B36 &amp; 97076,97076)</f>
        <v>97076</v>
      </c>
      <c r="D1489" t="s">
        <v>3448</v>
      </c>
      <c r="E1489" t="s">
        <v>88</v>
      </c>
      <c r="F1489" t="s">
        <v>305</v>
      </c>
      <c r="G1489" t="s">
        <v>353</v>
      </c>
      <c r="H1489" t="s">
        <v>30</v>
      </c>
      <c r="I1489" t="s">
        <v>68</v>
      </c>
      <c r="J1489" t="s">
        <v>43</v>
      </c>
      <c r="K1489" t="s">
        <v>33</v>
      </c>
      <c r="L1489" t="s">
        <v>34</v>
      </c>
      <c r="M1489" t="s">
        <v>266</v>
      </c>
      <c r="N1489" t="s">
        <v>46</v>
      </c>
      <c r="O1489" t="s">
        <v>3449</v>
      </c>
      <c r="P1489" t="s">
        <v>107</v>
      </c>
      <c r="Q1489" t="s">
        <v>528</v>
      </c>
      <c r="R1489">
        <v>42808.83734953704</v>
      </c>
      <c r="S1489">
        <v>43025.125497685185</v>
      </c>
      <c r="T1489" t="s">
        <v>1</v>
      </c>
      <c r="U1489" t="s">
        <v>35</v>
      </c>
      <c r="V1489" t="s">
        <v>35</v>
      </c>
      <c r="W1489" t="s">
        <v>4143</v>
      </c>
    </row>
    <row r="1490" spans="1:23" x14ac:dyDescent="0.25">
      <c r="A1490" t="s">
        <v>633</v>
      </c>
      <c r="B1490" s="19">
        <v>17111</v>
      </c>
      <c r="C1490" s="2">
        <f>HYPERLINK(URLs!B36 &amp; 72021,72021)</f>
        <v>72021</v>
      </c>
      <c r="D1490" t="s">
        <v>2758</v>
      </c>
      <c r="E1490" t="s">
        <v>1747</v>
      </c>
      <c r="F1490" t="s">
        <v>305</v>
      </c>
      <c r="G1490" t="s">
        <v>304</v>
      </c>
      <c r="H1490" t="s">
        <v>30</v>
      </c>
      <c r="I1490" t="s">
        <v>68</v>
      </c>
      <c r="J1490" t="s">
        <v>43</v>
      </c>
      <c r="K1490" t="s">
        <v>33</v>
      </c>
      <c r="L1490" t="s">
        <v>2529</v>
      </c>
      <c r="M1490" t="s">
        <v>266</v>
      </c>
      <c r="N1490" t="s">
        <v>46</v>
      </c>
      <c r="P1490" t="s">
        <v>65</v>
      </c>
      <c r="R1490">
        <v>42311.742523148147</v>
      </c>
      <c r="S1490">
        <v>42944.664907407408</v>
      </c>
      <c r="T1490" t="s">
        <v>288</v>
      </c>
      <c r="U1490" t="s">
        <v>35</v>
      </c>
      <c r="V1490" t="s">
        <v>35</v>
      </c>
      <c r="W1490" t="s">
        <v>69</v>
      </c>
    </row>
    <row r="1491" spans="1:23" x14ac:dyDescent="0.25">
      <c r="A1491" t="s">
        <v>633</v>
      </c>
      <c r="B1491" s="19">
        <v>17111</v>
      </c>
      <c r="C1491" s="2">
        <f>HYPERLINK(URLs!B36 &amp; 71701,71701)</f>
        <v>71701</v>
      </c>
      <c r="D1491" t="s">
        <v>2753</v>
      </c>
      <c r="E1491" t="s">
        <v>296</v>
      </c>
      <c r="F1491" t="s">
        <v>305</v>
      </c>
      <c r="G1491" t="s">
        <v>337</v>
      </c>
      <c r="H1491" t="s">
        <v>30</v>
      </c>
      <c r="I1491" t="s">
        <v>68</v>
      </c>
      <c r="J1491" t="s">
        <v>43</v>
      </c>
      <c r="K1491" t="s">
        <v>33</v>
      </c>
      <c r="L1491" t="s">
        <v>2529</v>
      </c>
      <c r="M1491" t="s">
        <v>266</v>
      </c>
      <c r="N1491" t="s">
        <v>46</v>
      </c>
      <c r="P1491" t="s">
        <v>65</v>
      </c>
      <c r="R1491">
        <v>42305.613194444442</v>
      </c>
      <c r="S1491">
        <v>42831.634641203702</v>
      </c>
      <c r="T1491" t="s">
        <v>288</v>
      </c>
      <c r="U1491" t="s">
        <v>35</v>
      </c>
      <c r="V1491" t="s">
        <v>35</v>
      </c>
      <c r="W1491" t="s">
        <v>133</v>
      </c>
    </row>
    <row r="1492" spans="1:23" x14ac:dyDescent="0.25">
      <c r="A1492" t="s">
        <v>633</v>
      </c>
      <c r="B1492" s="19">
        <v>17111</v>
      </c>
      <c r="C1492" s="2">
        <f>HYPERLINK(URLs!B36 &amp; 71700,71700)</f>
        <v>71700</v>
      </c>
      <c r="D1492" t="s">
        <v>2752</v>
      </c>
      <c r="E1492" t="s">
        <v>296</v>
      </c>
      <c r="F1492" t="s">
        <v>305</v>
      </c>
      <c r="G1492" t="s">
        <v>337</v>
      </c>
      <c r="H1492" t="s">
        <v>30</v>
      </c>
      <c r="I1492" t="s">
        <v>68</v>
      </c>
      <c r="J1492" t="s">
        <v>43</v>
      </c>
      <c r="K1492" t="s">
        <v>33</v>
      </c>
      <c r="L1492" t="s">
        <v>2529</v>
      </c>
      <c r="M1492" t="s">
        <v>266</v>
      </c>
      <c r="N1492" t="s">
        <v>46</v>
      </c>
      <c r="P1492" t="s">
        <v>65</v>
      </c>
      <c r="R1492">
        <v>42305.61309027778</v>
      </c>
      <c r="S1492">
        <v>42831.634363425925</v>
      </c>
      <c r="T1492" t="s">
        <v>288</v>
      </c>
      <c r="U1492" t="s">
        <v>35</v>
      </c>
      <c r="V1492" t="s">
        <v>35</v>
      </c>
      <c r="W1492" t="s">
        <v>65</v>
      </c>
    </row>
    <row r="1493" spans="1:23" x14ac:dyDescent="0.25">
      <c r="A1493" t="s">
        <v>633</v>
      </c>
      <c r="B1493" s="19">
        <v>17111</v>
      </c>
      <c r="C1493" s="2">
        <f>HYPERLINK(URLs!B36 &amp; 71692,71692)</f>
        <v>71692</v>
      </c>
      <c r="D1493" t="s">
        <v>2751</v>
      </c>
      <c r="E1493" t="s">
        <v>296</v>
      </c>
      <c r="F1493" t="s">
        <v>305</v>
      </c>
      <c r="G1493" t="s">
        <v>304</v>
      </c>
      <c r="H1493" t="s">
        <v>30</v>
      </c>
      <c r="I1493" t="s">
        <v>68</v>
      </c>
      <c r="J1493" t="s">
        <v>43</v>
      </c>
      <c r="K1493" t="s">
        <v>33</v>
      </c>
      <c r="L1493" t="s">
        <v>2529</v>
      </c>
      <c r="M1493" t="s">
        <v>266</v>
      </c>
      <c r="N1493" t="s">
        <v>46</v>
      </c>
      <c r="P1493" t="s">
        <v>65</v>
      </c>
      <c r="R1493">
        <v>42305.53638888889</v>
      </c>
      <c r="S1493">
        <v>43187.1562037037</v>
      </c>
      <c r="T1493" t="s">
        <v>1747</v>
      </c>
      <c r="U1493" t="s">
        <v>35</v>
      </c>
      <c r="V1493" t="s">
        <v>35</v>
      </c>
      <c r="W1493" t="s">
        <v>4098</v>
      </c>
    </row>
    <row r="1494" spans="1:23" x14ac:dyDescent="0.25">
      <c r="A1494" t="s">
        <v>633</v>
      </c>
      <c r="B1494" s="19">
        <v>17112</v>
      </c>
      <c r="C1494" s="2">
        <f>HYPERLINK(URLs!B36 &amp; 97243,97243)</f>
        <v>97243</v>
      </c>
      <c r="D1494" t="s">
        <v>3456</v>
      </c>
      <c r="E1494" t="s">
        <v>134</v>
      </c>
      <c r="F1494" t="s">
        <v>305</v>
      </c>
      <c r="G1494" t="s">
        <v>304</v>
      </c>
      <c r="H1494" t="s">
        <v>54</v>
      </c>
      <c r="I1494" t="s">
        <v>31</v>
      </c>
      <c r="J1494" t="s">
        <v>32</v>
      </c>
      <c r="K1494" t="s">
        <v>33</v>
      </c>
      <c r="L1494" t="s">
        <v>34</v>
      </c>
      <c r="M1494" t="s">
        <v>279</v>
      </c>
      <c r="N1494" t="s">
        <v>582</v>
      </c>
      <c r="P1494" t="s">
        <v>107</v>
      </c>
      <c r="Q1494" t="s">
        <v>3389</v>
      </c>
      <c r="R1494">
        <v>42811.961921296293</v>
      </c>
      <c r="S1494">
        <v>43104.299120370371</v>
      </c>
      <c r="T1494" t="s">
        <v>53</v>
      </c>
      <c r="U1494" t="s">
        <v>4004</v>
      </c>
      <c r="V1494" t="s">
        <v>321</v>
      </c>
      <c r="W1494" t="s">
        <v>4143</v>
      </c>
    </row>
    <row r="1495" spans="1:23" x14ac:dyDescent="0.25">
      <c r="A1495" t="s">
        <v>633</v>
      </c>
      <c r="B1495" s="19">
        <v>17112</v>
      </c>
      <c r="C1495" s="2">
        <f>HYPERLINK(URLs!B36 &amp; 97242,97242)</f>
        <v>97242</v>
      </c>
      <c r="D1495" t="s">
        <v>3455</v>
      </c>
      <c r="E1495" t="s">
        <v>134</v>
      </c>
      <c r="F1495" t="s">
        <v>305</v>
      </c>
      <c r="G1495" t="s">
        <v>304</v>
      </c>
      <c r="H1495" t="s">
        <v>54</v>
      </c>
      <c r="I1495" t="s">
        <v>31</v>
      </c>
      <c r="J1495" t="s">
        <v>32</v>
      </c>
      <c r="K1495" t="s">
        <v>33</v>
      </c>
      <c r="L1495" t="s">
        <v>34</v>
      </c>
      <c r="M1495" t="s">
        <v>274</v>
      </c>
      <c r="N1495" t="s">
        <v>518</v>
      </c>
      <c r="O1495" t="s">
        <v>315</v>
      </c>
      <c r="P1495" t="s">
        <v>107</v>
      </c>
      <c r="Q1495" t="s">
        <v>3389</v>
      </c>
      <c r="R1495">
        <v>42811.9606712963</v>
      </c>
      <c r="S1495">
        <v>42950.797349537039</v>
      </c>
      <c r="T1495" t="s">
        <v>53</v>
      </c>
      <c r="U1495" t="s">
        <v>4006</v>
      </c>
      <c r="V1495" t="s">
        <v>321</v>
      </c>
      <c r="W1495" t="s">
        <v>4167</v>
      </c>
    </row>
    <row r="1496" spans="1:23" x14ac:dyDescent="0.25">
      <c r="A1496" t="s">
        <v>633</v>
      </c>
      <c r="B1496" s="19">
        <v>17112</v>
      </c>
      <c r="C1496" s="2">
        <f>HYPERLINK(URLs!B36 &amp; 97241,97241)</f>
        <v>97241</v>
      </c>
      <c r="D1496" t="s">
        <v>3454</v>
      </c>
      <c r="E1496" t="s">
        <v>136</v>
      </c>
      <c r="F1496" t="s">
        <v>305</v>
      </c>
      <c r="G1496" t="s">
        <v>337</v>
      </c>
      <c r="H1496" t="s">
        <v>54</v>
      </c>
      <c r="I1496" t="s">
        <v>31</v>
      </c>
      <c r="J1496" t="s">
        <v>32</v>
      </c>
      <c r="K1496" t="s">
        <v>33</v>
      </c>
      <c r="L1496" t="s">
        <v>34</v>
      </c>
      <c r="M1496" t="s">
        <v>279</v>
      </c>
      <c r="N1496" t="s">
        <v>60</v>
      </c>
      <c r="O1496" t="s">
        <v>533</v>
      </c>
      <c r="P1496" t="s">
        <v>107</v>
      </c>
      <c r="Q1496" t="s">
        <v>65</v>
      </c>
      <c r="R1496">
        <v>42811.959479166668</v>
      </c>
      <c r="S1496">
        <v>42866.668217592596</v>
      </c>
      <c r="T1496" t="s">
        <v>53</v>
      </c>
      <c r="U1496" t="s">
        <v>35</v>
      </c>
      <c r="V1496" t="s">
        <v>321</v>
      </c>
      <c r="W1496" t="s">
        <v>133</v>
      </c>
    </row>
    <row r="1497" spans="1:23" x14ac:dyDescent="0.25">
      <c r="A1497" t="s">
        <v>633</v>
      </c>
      <c r="B1497" s="19">
        <v>17112</v>
      </c>
      <c r="C1497" s="2">
        <f>HYPERLINK(URLs!B36 &amp; 97240,97240)</f>
        <v>97240</v>
      </c>
      <c r="D1497" t="s">
        <v>537</v>
      </c>
      <c r="E1497" t="s">
        <v>4899</v>
      </c>
      <c r="F1497" t="s">
        <v>305</v>
      </c>
      <c r="G1497" t="s">
        <v>337</v>
      </c>
      <c r="H1497" t="s">
        <v>54</v>
      </c>
      <c r="I1497" t="s">
        <v>31</v>
      </c>
      <c r="J1497" t="s">
        <v>32</v>
      </c>
      <c r="K1497" t="s">
        <v>33</v>
      </c>
      <c r="L1497" t="s">
        <v>34</v>
      </c>
      <c r="M1497" t="s">
        <v>274</v>
      </c>
      <c r="N1497" t="s">
        <v>60</v>
      </c>
      <c r="P1497" t="s">
        <v>107</v>
      </c>
      <c r="Q1497" t="s">
        <v>3708</v>
      </c>
      <c r="R1497">
        <v>42811.958518518521</v>
      </c>
      <c r="S1497">
        <v>43423.86347222222</v>
      </c>
      <c r="T1497" t="s">
        <v>53</v>
      </c>
      <c r="U1497" t="s">
        <v>35</v>
      </c>
      <c r="V1497" t="s">
        <v>321</v>
      </c>
      <c r="W1497" t="s">
        <v>4156</v>
      </c>
    </row>
    <row r="1498" spans="1:23" x14ac:dyDescent="0.25">
      <c r="A1498" t="s">
        <v>633</v>
      </c>
      <c r="B1498" s="19">
        <v>17112</v>
      </c>
      <c r="C1498" s="2">
        <f>HYPERLINK(URLs!B36 &amp; 97077,97077)</f>
        <v>97077</v>
      </c>
      <c r="D1498" t="s">
        <v>135</v>
      </c>
      <c r="E1498" t="s">
        <v>4899</v>
      </c>
      <c r="F1498" t="s">
        <v>319</v>
      </c>
      <c r="G1498" t="s">
        <v>304</v>
      </c>
      <c r="H1498" t="s">
        <v>54</v>
      </c>
      <c r="I1498" t="s">
        <v>31</v>
      </c>
      <c r="J1498" t="s">
        <v>32</v>
      </c>
      <c r="K1498" t="s">
        <v>33</v>
      </c>
      <c r="L1498" t="s">
        <v>34</v>
      </c>
      <c r="M1498" t="s">
        <v>274</v>
      </c>
      <c r="N1498" t="s">
        <v>46</v>
      </c>
      <c r="O1498" t="s">
        <v>137</v>
      </c>
      <c r="P1498" t="s">
        <v>107</v>
      </c>
      <c r="Q1498" t="s">
        <v>3708</v>
      </c>
      <c r="R1498">
        <v>42808.837905092594</v>
      </c>
      <c r="S1498">
        <v>43423.888275462959</v>
      </c>
      <c r="T1498" t="s">
        <v>1</v>
      </c>
      <c r="U1498" t="s">
        <v>35</v>
      </c>
      <c r="V1498" t="s">
        <v>321</v>
      </c>
      <c r="W1498" t="s">
        <v>4098</v>
      </c>
    </row>
    <row r="1499" spans="1:23" x14ac:dyDescent="0.25">
      <c r="A1499" t="s">
        <v>665</v>
      </c>
      <c r="B1499" s="19">
        <v>17119</v>
      </c>
      <c r="C1499" s="2">
        <f>HYPERLINK(URLs!B36 &amp; 110857,110857)</f>
        <v>110857</v>
      </c>
      <c r="D1499" t="s">
        <v>4355</v>
      </c>
      <c r="E1499" t="s">
        <v>2053</v>
      </c>
      <c r="F1499" t="s">
        <v>319</v>
      </c>
      <c r="G1499" t="s">
        <v>304</v>
      </c>
      <c r="H1499" t="s">
        <v>116</v>
      </c>
      <c r="I1499" t="s">
        <v>68</v>
      </c>
      <c r="J1499" t="s">
        <v>58</v>
      </c>
      <c r="K1499" t="s">
        <v>51</v>
      </c>
      <c r="L1499" t="s">
        <v>34</v>
      </c>
      <c r="M1499" t="s">
        <v>3780</v>
      </c>
      <c r="N1499" t="s">
        <v>510</v>
      </c>
      <c r="O1499" t="s">
        <v>4356</v>
      </c>
      <c r="P1499" t="s">
        <v>3887</v>
      </c>
      <c r="Q1499" t="s">
        <v>85</v>
      </c>
      <c r="R1499">
        <v>43159.976979166669</v>
      </c>
      <c r="S1499">
        <v>43333.849687499998</v>
      </c>
      <c r="T1499" t="s">
        <v>1917</v>
      </c>
      <c r="U1499" t="s">
        <v>35</v>
      </c>
      <c r="V1499" t="s">
        <v>35</v>
      </c>
      <c r="W1499" t="s">
        <v>3915</v>
      </c>
    </row>
    <row r="1500" spans="1:23" x14ac:dyDescent="0.25">
      <c r="A1500" t="s">
        <v>665</v>
      </c>
      <c r="B1500" s="19">
        <v>17119</v>
      </c>
      <c r="C1500" s="2">
        <f>HYPERLINK(URLs!B36 &amp; 110856,110856)</f>
        <v>110856</v>
      </c>
      <c r="D1500" t="s">
        <v>4354</v>
      </c>
      <c r="E1500" t="s">
        <v>3787</v>
      </c>
      <c r="F1500" t="s">
        <v>319</v>
      </c>
      <c r="G1500" t="s">
        <v>304</v>
      </c>
      <c r="H1500" t="s">
        <v>30</v>
      </c>
      <c r="I1500" t="s">
        <v>68</v>
      </c>
      <c r="J1500" t="s">
        <v>58</v>
      </c>
      <c r="K1500" t="s">
        <v>51</v>
      </c>
      <c r="L1500" t="s">
        <v>34</v>
      </c>
      <c r="M1500" t="s">
        <v>3780</v>
      </c>
      <c r="N1500" t="s">
        <v>46</v>
      </c>
      <c r="O1500" t="s">
        <v>4664</v>
      </c>
      <c r="P1500" t="s">
        <v>3887</v>
      </c>
      <c r="Q1500" t="s">
        <v>85</v>
      </c>
      <c r="R1500">
        <v>43159.976990740739</v>
      </c>
      <c r="S1500">
        <v>43325.591516203705</v>
      </c>
      <c r="T1500" t="s">
        <v>1917</v>
      </c>
      <c r="U1500" t="s">
        <v>35</v>
      </c>
      <c r="V1500" t="s">
        <v>35</v>
      </c>
      <c r="W1500" t="s">
        <v>4098</v>
      </c>
    </row>
    <row r="1501" spans="1:23" x14ac:dyDescent="0.25">
      <c r="A1501" t="s">
        <v>665</v>
      </c>
      <c r="B1501" s="19">
        <v>17119</v>
      </c>
      <c r="C1501" s="2">
        <f>HYPERLINK(URLs!B36 &amp; 74752,74752)</f>
        <v>74752</v>
      </c>
      <c r="D1501" t="s">
        <v>4182</v>
      </c>
      <c r="E1501" t="s">
        <v>2053</v>
      </c>
      <c r="F1501" t="s">
        <v>305</v>
      </c>
      <c r="G1501" t="s">
        <v>304</v>
      </c>
      <c r="H1501" t="s">
        <v>30</v>
      </c>
      <c r="I1501" t="s">
        <v>68</v>
      </c>
      <c r="J1501" t="s">
        <v>58</v>
      </c>
      <c r="K1501" t="s">
        <v>51</v>
      </c>
      <c r="L1501" t="s">
        <v>34</v>
      </c>
      <c r="M1501" t="s">
        <v>3780</v>
      </c>
      <c r="N1501" t="s">
        <v>46</v>
      </c>
      <c r="O1501" t="s">
        <v>533</v>
      </c>
      <c r="P1501" t="s">
        <v>3887</v>
      </c>
      <c r="Q1501" t="s">
        <v>85</v>
      </c>
      <c r="R1501">
        <v>42373.895497685182</v>
      </c>
      <c r="S1501">
        <v>43287.855949074074</v>
      </c>
      <c r="T1501" t="s">
        <v>2053</v>
      </c>
      <c r="U1501" t="s">
        <v>35</v>
      </c>
      <c r="V1501" t="s">
        <v>35</v>
      </c>
      <c r="W1501" t="s">
        <v>4155</v>
      </c>
    </row>
    <row r="1502" spans="1:23" x14ac:dyDescent="0.25">
      <c r="B1502" s="19">
        <v>17148</v>
      </c>
      <c r="C1502" s="2">
        <f>HYPERLINK(URLs!B36 &amp; 97937,97937)</f>
        <v>97937</v>
      </c>
      <c r="D1502" t="s">
        <v>3489</v>
      </c>
      <c r="E1502" t="s">
        <v>521</v>
      </c>
      <c r="F1502" t="s">
        <v>305</v>
      </c>
      <c r="G1502" t="s">
        <v>353</v>
      </c>
      <c r="H1502" t="s">
        <v>54</v>
      </c>
      <c r="I1502" t="s">
        <v>31</v>
      </c>
      <c r="J1502" t="s">
        <v>43</v>
      </c>
      <c r="K1502" t="s">
        <v>44</v>
      </c>
      <c r="L1502" t="s">
        <v>73</v>
      </c>
      <c r="M1502" t="s">
        <v>263</v>
      </c>
      <c r="N1502" t="s">
        <v>60</v>
      </c>
      <c r="P1502" t="s">
        <v>3233</v>
      </c>
      <c r="Q1502" t="s">
        <v>3459</v>
      </c>
      <c r="R1502">
        <v>42830.441250000003</v>
      </c>
      <c r="S1502">
        <v>42956.125115740739</v>
      </c>
      <c r="T1502" t="s">
        <v>84</v>
      </c>
      <c r="U1502" t="s">
        <v>35</v>
      </c>
      <c r="V1502" t="s">
        <v>35</v>
      </c>
      <c r="W1502" t="s">
        <v>4168</v>
      </c>
    </row>
    <row r="1503" spans="1:23" x14ac:dyDescent="0.25">
      <c r="B1503" s="19">
        <v>17148</v>
      </c>
      <c r="C1503" s="2">
        <f>HYPERLINK(URLs!B36 &amp; 97729,97729)</f>
        <v>97729</v>
      </c>
      <c r="D1503" t="s">
        <v>3485</v>
      </c>
      <c r="E1503" t="s">
        <v>521</v>
      </c>
      <c r="F1503" t="s">
        <v>305</v>
      </c>
      <c r="G1503" t="s">
        <v>353</v>
      </c>
      <c r="H1503" t="s">
        <v>54</v>
      </c>
      <c r="I1503" t="s">
        <v>31</v>
      </c>
      <c r="J1503" t="s">
        <v>43</v>
      </c>
      <c r="K1503" t="s">
        <v>44</v>
      </c>
      <c r="L1503" t="s">
        <v>73</v>
      </c>
      <c r="M1503" t="s">
        <v>263</v>
      </c>
      <c r="N1503" t="s">
        <v>60</v>
      </c>
      <c r="P1503" t="s">
        <v>3233</v>
      </c>
      <c r="Q1503" t="s">
        <v>3459</v>
      </c>
      <c r="R1503">
        <v>42825.43582175926</v>
      </c>
      <c r="S1503">
        <v>42956.125115740739</v>
      </c>
      <c r="T1503" t="s">
        <v>171</v>
      </c>
      <c r="U1503" t="s">
        <v>35</v>
      </c>
      <c r="V1503" t="s">
        <v>35</v>
      </c>
      <c r="W1503" t="s">
        <v>3555</v>
      </c>
    </row>
    <row r="1504" spans="1:23" x14ac:dyDescent="0.25">
      <c r="B1504" s="19">
        <v>17148</v>
      </c>
      <c r="C1504" s="2">
        <f>HYPERLINK(URLs!B36 &amp; 97266,97266)</f>
        <v>97266</v>
      </c>
      <c r="D1504" t="s">
        <v>3458</v>
      </c>
      <c r="E1504" t="s">
        <v>521</v>
      </c>
      <c r="F1504" t="s">
        <v>305</v>
      </c>
      <c r="G1504" t="s">
        <v>353</v>
      </c>
      <c r="H1504" t="s">
        <v>54</v>
      </c>
      <c r="I1504" t="s">
        <v>31</v>
      </c>
      <c r="J1504" t="s">
        <v>43</v>
      </c>
      <c r="K1504" t="s">
        <v>44</v>
      </c>
      <c r="L1504" t="s">
        <v>73</v>
      </c>
      <c r="M1504" t="s">
        <v>263</v>
      </c>
      <c r="N1504" t="s">
        <v>60</v>
      </c>
      <c r="P1504" t="s">
        <v>3233</v>
      </c>
      <c r="Q1504" t="s">
        <v>3459</v>
      </c>
      <c r="R1504">
        <v>42814.509826388887</v>
      </c>
      <c r="S1504">
        <v>42871.700740740744</v>
      </c>
      <c r="T1504" t="s">
        <v>86</v>
      </c>
      <c r="U1504" t="s">
        <v>35</v>
      </c>
      <c r="V1504" t="s">
        <v>35</v>
      </c>
      <c r="W1504" t="s">
        <v>4098</v>
      </c>
    </row>
    <row r="1505" spans="1:23" x14ac:dyDescent="0.25">
      <c r="A1505" t="s">
        <v>633</v>
      </c>
      <c r="B1505" s="19">
        <v>17198</v>
      </c>
      <c r="C1505" s="2">
        <f>HYPERLINK(URLs!B36 &amp; 98161,98161)</f>
        <v>98161</v>
      </c>
      <c r="D1505" t="s">
        <v>4187</v>
      </c>
      <c r="E1505" t="s">
        <v>28</v>
      </c>
      <c r="F1505" t="s">
        <v>305</v>
      </c>
      <c r="G1505" t="s">
        <v>304</v>
      </c>
      <c r="H1505" t="s">
        <v>30</v>
      </c>
      <c r="I1505" t="s">
        <v>68</v>
      </c>
      <c r="J1505" t="s">
        <v>58</v>
      </c>
      <c r="K1505" t="s">
        <v>44</v>
      </c>
      <c r="L1505" t="s">
        <v>34</v>
      </c>
      <c r="M1505" t="s">
        <v>3780</v>
      </c>
      <c r="N1505" t="s">
        <v>46</v>
      </c>
      <c r="P1505" t="s">
        <v>56</v>
      </c>
      <c r="Q1505" t="s">
        <v>4188</v>
      </c>
      <c r="R1505">
        <v>42836.839560185188</v>
      </c>
      <c r="S1505">
        <v>43335.447592592594</v>
      </c>
      <c r="T1505" t="s">
        <v>450</v>
      </c>
      <c r="U1505" t="s">
        <v>35</v>
      </c>
      <c r="V1505" t="s">
        <v>35</v>
      </c>
      <c r="W1505" t="s">
        <v>3915</v>
      </c>
    </row>
    <row r="1506" spans="1:23" x14ac:dyDescent="0.25">
      <c r="A1506" t="s">
        <v>665</v>
      </c>
      <c r="B1506" s="19">
        <v>17241</v>
      </c>
      <c r="C1506" s="2">
        <f>HYPERLINK(URLs!B36 &amp; 103366,103366)</f>
        <v>103366</v>
      </c>
      <c r="D1506" t="s">
        <v>3665</v>
      </c>
      <c r="E1506" t="s">
        <v>490</v>
      </c>
      <c r="F1506" t="s">
        <v>305</v>
      </c>
      <c r="G1506" t="s">
        <v>304</v>
      </c>
      <c r="H1506" t="s">
        <v>56</v>
      </c>
      <c r="I1506" t="s">
        <v>31</v>
      </c>
      <c r="J1506" t="s">
        <v>32</v>
      </c>
      <c r="K1506" t="s">
        <v>51</v>
      </c>
      <c r="L1506" t="s">
        <v>73</v>
      </c>
      <c r="M1506" t="s">
        <v>263</v>
      </c>
      <c r="N1506" t="s">
        <v>60</v>
      </c>
      <c r="P1506" t="s">
        <v>85</v>
      </c>
      <c r="Q1506" t="s">
        <v>3428</v>
      </c>
      <c r="R1506">
        <v>42955.502743055556</v>
      </c>
      <c r="S1506">
        <v>43284.149664351855</v>
      </c>
      <c r="T1506" t="s">
        <v>91</v>
      </c>
      <c r="U1506" t="s">
        <v>35</v>
      </c>
      <c r="V1506" t="s">
        <v>35</v>
      </c>
      <c r="W1506" t="s">
        <v>4169</v>
      </c>
    </row>
    <row r="1507" spans="1:23" x14ac:dyDescent="0.25">
      <c r="A1507" t="s">
        <v>665</v>
      </c>
      <c r="B1507" s="19">
        <v>17241</v>
      </c>
      <c r="C1507" s="2">
        <f>HYPERLINK(URLs!B36 &amp; 102395,102395)</f>
        <v>102395</v>
      </c>
      <c r="D1507" t="s">
        <v>3637</v>
      </c>
      <c r="E1507" t="s">
        <v>72</v>
      </c>
      <c r="F1507" t="s">
        <v>305</v>
      </c>
      <c r="G1507" t="s">
        <v>353</v>
      </c>
      <c r="H1507" t="s">
        <v>54</v>
      </c>
      <c r="I1507" t="s">
        <v>31</v>
      </c>
      <c r="J1507" t="s">
        <v>32</v>
      </c>
      <c r="K1507" t="s">
        <v>51</v>
      </c>
      <c r="L1507" t="s">
        <v>73</v>
      </c>
      <c r="M1507" t="s">
        <v>263</v>
      </c>
      <c r="N1507" t="s">
        <v>46</v>
      </c>
      <c r="P1507" t="s">
        <v>449</v>
      </c>
      <c r="Q1507" t="s">
        <v>85</v>
      </c>
      <c r="R1507">
        <v>42933.45003472222</v>
      </c>
      <c r="S1507">
        <v>42996.42695601852</v>
      </c>
      <c r="T1507" t="s">
        <v>3638</v>
      </c>
      <c r="U1507" t="s">
        <v>35</v>
      </c>
      <c r="V1507" t="s">
        <v>35</v>
      </c>
      <c r="W1507" t="s">
        <v>4170</v>
      </c>
    </row>
    <row r="1508" spans="1:23" x14ac:dyDescent="0.25">
      <c r="A1508" t="s">
        <v>665</v>
      </c>
      <c r="B1508" s="19">
        <v>17241</v>
      </c>
      <c r="C1508" s="2">
        <f>HYPERLINK(URLs!B36 &amp; 101952,101952)</f>
        <v>101952</v>
      </c>
      <c r="D1508" t="s">
        <v>3626</v>
      </c>
      <c r="E1508" t="s">
        <v>72</v>
      </c>
      <c r="F1508" t="s">
        <v>305</v>
      </c>
      <c r="G1508" t="s">
        <v>310</v>
      </c>
      <c r="H1508" t="s">
        <v>54</v>
      </c>
      <c r="I1508" t="s">
        <v>31</v>
      </c>
      <c r="J1508" t="s">
        <v>32</v>
      </c>
      <c r="K1508" t="s">
        <v>51</v>
      </c>
      <c r="L1508" t="s">
        <v>73</v>
      </c>
      <c r="M1508" t="s">
        <v>263</v>
      </c>
      <c r="N1508" t="s">
        <v>60</v>
      </c>
      <c r="P1508" t="s">
        <v>85</v>
      </c>
      <c r="Q1508" t="s">
        <v>3428</v>
      </c>
      <c r="R1508">
        <v>42922.98642361111</v>
      </c>
      <c r="S1508">
        <v>42971.481296296297</v>
      </c>
      <c r="T1508" t="s">
        <v>53</v>
      </c>
      <c r="U1508" t="s">
        <v>35</v>
      </c>
      <c r="V1508" t="s">
        <v>35</v>
      </c>
      <c r="W1508" t="s">
        <v>69</v>
      </c>
    </row>
    <row r="1509" spans="1:23" x14ac:dyDescent="0.25">
      <c r="A1509" t="s">
        <v>665</v>
      </c>
      <c r="B1509" s="19">
        <v>17241</v>
      </c>
      <c r="C1509" s="2">
        <f>HYPERLINK(URLs!B36 &amp; 101552,101552)</f>
        <v>101552</v>
      </c>
      <c r="D1509" t="s">
        <v>3613</v>
      </c>
      <c r="E1509" t="s">
        <v>3614</v>
      </c>
      <c r="F1509" t="s">
        <v>305</v>
      </c>
      <c r="G1509" t="s">
        <v>304</v>
      </c>
      <c r="H1509" t="s">
        <v>56</v>
      </c>
      <c r="I1509" t="s">
        <v>31</v>
      </c>
      <c r="J1509" t="s">
        <v>32</v>
      </c>
      <c r="K1509" t="s">
        <v>51</v>
      </c>
      <c r="L1509" t="s">
        <v>73</v>
      </c>
      <c r="M1509" t="s">
        <v>263</v>
      </c>
      <c r="N1509" t="s">
        <v>60</v>
      </c>
      <c r="O1509" t="s">
        <v>3615</v>
      </c>
      <c r="P1509" t="s">
        <v>85</v>
      </c>
      <c r="Q1509" t="s">
        <v>3428</v>
      </c>
      <c r="R1509">
        <v>42914.409502314818</v>
      </c>
      <c r="S1509">
        <v>42978.621840277781</v>
      </c>
      <c r="T1509" t="s">
        <v>82</v>
      </c>
      <c r="U1509" t="s">
        <v>35</v>
      </c>
      <c r="V1509" t="s">
        <v>35</v>
      </c>
      <c r="W1509" t="s">
        <v>3661</v>
      </c>
    </row>
    <row r="1510" spans="1:23" x14ac:dyDescent="0.25">
      <c r="A1510" t="s">
        <v>665</v>
      </c>
      <c r="B1510" s="19">
        <v>17241</v>
      </c>
      <c r="C1510" s="2">
        <f>HYPERLINK(URLs!B36 &amp; 101549,101549)</f>
        <v>101549</v>
      </c>
      <c r="D1510" t="s">
        <v>3611</v>
      </c>
      <c r="E1510" t="s">
        <v>82</v>
      </c>
      <c r="F1510" t="s">
        <v>305</v>
      </c>
      <c r="G1510" t="s">
        <v>304</v>
      </c>
      <c r="H1510" t="s">
        <v>56</v>
      </c>
      <c r="I1510" t="s">
        <v>31</v>
      </c>
      <c r="J1510" t="s">
        <v>32</v>
      </c>
      <c r="K1510" t="s">
        <v>51</v>
      </c>
      <c r="L1510" t="s">
        <v>73</v>
      </c>
      <c r="M1510" t="s">
        <v>263</v>
      </c>
      <c r="N1510" t="s">
        <v>60</v>
      </c>
      <c r="O1510" t="s">
        <v>3612</v>
      </c>
      <c r="P1510" t="s">
        <v>85</v>
      </c>
      <c r="Q1510" t="s">
        <v>3428</v>
      </c>
      <c r="R1510">
        <v>42914.403611111113</v>
      </c>
      <c r="S1510">
        <v>43207.464814814812</v>
      </c>
      <c r="T1510" t="s">
        <v>82</v>
      </c>
      <c r="U1510" t="s">
        <v>35</v>
      </c>
      <c r="V1510" t="s">
        <v>35</v>
      </c>
      <c r="W1510" t="s">
        <v>3555</v>
      </c>
    </row>
    <row r="1511" spans="1:23" x14ac:dyDescent="0.25">
      <c r="A1511" t="s">
        <v>665</v>
      </c>
      <c r="B1511" s="19">
        <v>17241</v>
      </c>
      <c r="C1511" s="2">
        <f>HYPERLINK(URLs!B36 &amp; 101548,101548)</f>
        <v>101548</v>
      </c>
      <c r="D1511" t="s">
        <v>3609</v>
      </c>
      <c r="E1511" t="s">
        <v>84</v>
      </c>
      <c r="F1511" t="s">
        <v>305</v>
      </c>
      <c r="G1511" t="s">
        <v>337</v>
      </c>
      <c r="H1511" t="s">
        <v>56</v>
      </c>
      <c r="I1511" t="s">
        <v>31</v>
      </c>
      <c r="J1511" t="s">
        <v>32</v>
      </c>
      <c r="K1511" t="s">
        <v>51</v>
      </c>
      <c r="L1511" t="s">
        <v>73</v>
      </c>
      <c r="M1511" t="s">
        <v>263</v>
      </c>
      <c r="N1511" t="s">
        <v>60</v>
      </c>
      <c r="O1511" t="s">
        <v>3604</v>
      </c>
      <c r="P1511" t="s">
        <v>85</v>
      </c>
      <c r="Q1511" t="s">
        <v>3610</v>
      </c>
      <c r="R1511">
        <v>42914.400891203702</v>
      </c>
      <c r="S1511">
        <v>42996.484027777777</v>
      </c>
      <c r="T1511" t="s">
        <v>82</v>
      </c>
      <c r="U1511" t="s">
        <v>35</v>
      </c>
      <c r="V1511" t="s">
        <v>35</v>
      </c>
      <c r="W1511" t="s">
        <v>4170</v>
      </c>
    </row>
    <row r="1512" spans="1:23" x14ac:dyDescent="0.25">
      <c r="A1512" t="s">
        <v>665</v>
      </c>
      <c r="B1512" s="19">
        <v>17241</v>
      </c>
      <c r="C1512" s="2">
        <f>HYPERLINK(URLs!B36 &amp; 99612,99612)</f>
        <v>99612</v>
      </c>
      <c r="D1512" t="s">
        <v>3568</v>
      </c>
      <c r="E1512" t="s">
        <v>82</v>
      </c>
      <c r="F1512" t="s">
        <v>305</v>
      </c>
      <c r="G1512" t="s">
        <v>304</v>
      </c>
      <c r="H1512" t="s">
        <v>54</v>
      </c>
      <c r="I1512" t="s">
        <v>31</v>
      </c>
      <c r="J1512" t="s">
        <v>32</v>
      </c>
      <c r="K1512" t="s">
        <v>51</v>
      </c>
      <c r="L1512" t="s">
        <v>73</v>
      </c>
      <c r="M1512" t="s">
        <v>263</v>
      </c>
      <c r="N1512" t="s">
        <v>518</v>
      </c>
      <c r="O1512" t="s">
        <v>3017</v>
      </c>
      <c r="P1512" t="s">
        <v>85</v>
      </c>
      <c r="Q1512" t="s">
        <v>3428</v>
      </c>
      <c r="R1512">
        <v>42872.609814814816</v>
      </c>
      <c r="S1512">
        <v>43214.207349537035</v>
      </c>
      <c r="T1512" t="s">
        <v>82</v>
      </c>
      <c r="U1512" t="s">
        <v>4019</v>
      </c>
      <c r="V1512" t="s">
        <v>35</v>
      </c>
      <c r="W1512" t="s">
        <v>307</v>
      </c>
    </row>
    <row r="1513" spans="1:23" x14ac:dyDescent="0.25">
      <c r="A1513" t="s">
        <v>665</v>
      </c>
      <c r="B1513" s="19">
        <v>17241</v>
      </c>
      <c r="C1513" s="2">
        <f>HYPERLINK(URLs!B36 &amp; 97944,97944)</f>
        <v>97944</v>
      </c>
      <c r="D1513" t="s">
        <v>3490</v>
      </c>
      <c r="E1513" t="s">
        <v>521</v>
      </c>
      <c r="F1513" t="s">
        <v>319</v>
      </c>
      <c r="G1513" t="s">
        <v>304</v>
      </c>
      <c r="H1513" t="s">
        <v>56</v>
      </c>
      <c r="I1513" t="s">
        <v>31</v>
      </c>
      <c r="J1513" t="s">
        <v>32</v>
      </c>
      <c r="K1513" t="s">
        <v>51</v>
      </c>
      <c r="L1513" t="s">
        <v>73</v>
      </c>
      <c r="M1513" t="s">
        <v>263</v>
      </c>
      <c r="N1513" t="s">
        <v>60</v>
      </c>
      <c r="P1513" t="s">
        <v>85</v>
      </c>
      <c r="Q1513" t="s">
        <v>3428</v>
      </c>
      <c r="R1513">
        <v>42830.457245370373</v>
      </c>
      <c r="S1513">
        <v>42971.48128472222</v>
      </c>
      <c r="T1513" t="s">
        <v>84</v>
      </c>
      <c r="U1513" t="s">
        <v>35</v>
      </c>
      <c r="V1513" t="s">
        <v>35</v>
      </c>
      <c r="W1513" t="s">
        <v>4168</v>
      </c>
    </row>
    <row r="1514" spans="1:23" x14ac:dyDescent="0.25">
      <c r="A1514" t="s">
        <v>665</v>
      </c>
      <c r="B1514" s="19">
        <v>17241</v>
      </c>
      <c r="C1514" s="2">
        <f>HYPERLINK(URLs!B36 &amp; 95512,95512)</f>
        <v>95512</v>
      </c>
      <c r="D1514" t="s">
        <v>3426</v>
      </c>
      <c r="E1514" t="s">
        <v>72</v>
      </c>
      <c r="F1514" t="s">
        <v>305</v>
      </c>
      <c r="G1514" t="s">
        <v>304</v>
      </c>
      <c r="H1514" t="s">
        <v>56</v>
      </c>
      <c r="I1514" t="s">
        <v>31</v>
      </c>
      <c r="J1514" t="s">
        <v>32</v>
      </c>
      <c r="K1514" t="s">
        <v>51</v>
      </c>
      <c r="L1514" t="s">
        <v>73</v>
      </c>
      <c r="M1514" t="s">
        <v>263</v>
      </c>
      <c r="N1514" t="s">
        <v>60</v>
      </c>
      <c r="O1514" t="s">
        <v>3427</v>
      </c>
      <c r="P1514" t="s">
        <v>85</v>
      </c>
      <c r="Q1514" t="s">
        <v>3428</v>
      </c>
      <c r="R1514">
        <v>42772.726597222223</v>
      </c>
      <c r="S1514">
        <v>42971.48128472222</v>
      </c>
      <c r="T1514" t="s">
        <v>317</v>
      </c>
      <c r="U1514" t="s">
        <v>35</v>
      </c>
      <c r="V1514" t="s">
        <v>35</v>
      </c>
      <c r="W1514" t="s">
        <v>449</v>
      </c>
    </row>
    <row r="1515" spans="1:23" x14ac:dyDescent="0.25">
      <c r="A1515" t="s">
        <v>665</v>
      </c>
      <c r="B1515" s="19">
        <v>17241</v>
      </c>
      <c r="C1515" s="2">
        <f>HYPERLINK(URLs!B36 &amp; 95394,95394)</f>
        <v>95394</v>
      </c>
      <c r="D1515" t="s">
        <v>3421</v>
      </c>
      <c r="E1515" t="s">
        <v>91</v>
      </c>
      <c r="F1515" t="s">
        <v>305</v>
      </c>
      <c r="G1515" t="s">
        <v>304</v>
      </c>
      <c r="H1515" t="s">
        <v>56</v>
      </c>
      <c r="I1515" t="s">
        <v>31</v>
      </c>
      <c r="J1515" t="s">
        <v>32</v>
      </c>
      <c r="K1515" t="s">
        <v>51</v>
      </c>
      <c r="L1515" t="s">
        <v>73</v>
      </c>
      <c r="M1515" t="s">
        <v>263</v>
      </c>
      <c r="N1515" t="s">
        <v>60</v>
      </c>
      <c r="P1515" t="s">
        <v>85</v>
      </c>
      <c r="Q1515" t="s">
        <v>2481</v>
      </c>
      <c r="R1515">
        <v>42768.754606481481</v>
      </c>
      <c r="S1515">
        <v>42998.764537037037</v>
      </c>
      <c r="T1515" t="s">
        <v>86</v>
      </c>
      <c r="U1515" t="s">
        <v>35</v>
      </c>
      <c r="V1515" t="s">
        <v>35</v>
      </c>
      <c r="W1515" t="s">
        <v>4098</v>
      </c>
    </row>
    <row r="1516" spans="1:23" x14ac:dyDescent="0.25">
      <c r="B1516" s="19">
        <v>17249</v>
      </c>
      <c r="C1516" s="2">
        <f>HYPERLINK(URLs!B36 &amp; 97497,97497)</f>
        <v>97497</v>
      </c>
      <c r="D1516" t="s">
        <v>3465</v>
      </c>
      <c r="E1516" t="s">
        <v>1</v>
      </c>
      <c r="F1516" t="s">
        <v>305</v>
      </c>
      <c r="G1516" t="s">
        <v>310</v>
      </c>
      <c r="H1516" t="s">
        <v>54</v>
      </c>
      <c r="I1516" t="s">
        <v>31</v>
      </c>
      <c r="J1516" t="s">
        <v>32</v>
      </c>
      <c r="K1516" t="s">
        <v>33</v>
      </c>
      <c r="L1516" t="s">
        <v>52</v>
      </c>
      <c r="M1516" t="s">
        <v>272</v>
      </c>
      <c r="N1516" t="s">
        <v>60</v>
      </c>
      <c r="P1516" t="s">
        <v>107</v>
      </c>
      <c r="Q1516" t="s">
        <v>2922</v>
      </c>
      <c r="R1516">
        <v>42818.855405092596</v>
      </c>
      <c r="S1516">
        <v>43242.154374999998</v>
      </c>
      <c r="T1516" t="s">
        <v>1</v>
      </c>
      <c r="U1516" t="s">
        <v>35</v>
      </c>
      <c r="V1516" t="s">
        <v>321</v>
      </c>
      <c r="W1516" t="s">
        <v>4156</v>
      </c>
    </row>
    <row r="1517" spans="1:23" x14ac:dyDescent="0.25">
      <c r="A1517" t="s">
        <v>633</v>
      </c>
      <c r="B1517" s="19">
        <v>17250</v>
      </c>
      <c r="C1517" s="2">
        <f>HYPERLINK(URLs!B36 &amp; 97551,97551)</f>
        <v>97551</v>
      </c>
      <c r="D1517" t="s">
        <v>3471</v>
      </c>
      <c r="E1517" t="s">
        <v>173</v>
      </c>
      <c r="F1517" t="s">
        <v>305</v>
      </c>
      <c r="G1517" t="s">
        <v>304</v>
      </c>
      <c r="H1517" t="s">
        <v>116</v>
      </c>
      <c r="I1517" t="s">
        <v>31</v>
      </c>
      <c r="J1517" t="s">
        <v>32</v>
      </c>
      <c r="K1517" t="s">
        <v>33</v>
      </c>
      <c r="L1517" t="s">
        <v>52</v>
      </c>
      <c r="M1517" t="s">
        <v>272</v>
      </c>
      <c r="N1517" t="s">
        <v>518</v>
      </c>
      <c r="P1517" t="s">
        <v>107</v>
      </c>
      <c r="Q1517" t="s">
        <v>65</v>
      </c>
      <c r="R1517">
        <v>42822.535578703704</v>
      </c>
      <c r="S1517">
        <v>42940.792060185187</v>
      </c>
      <c r="T1517" t="s">
        <v>62</v>
      </c>
      <c r="U1517" t="s">
        <v>4007</v>
      </c>
      <c r="V1517" t="s">
        <v>4057</v>
      </c>
      <c r="W1517" t="s">
        <v>69</v>
      </c>
    </row>
    <row r="1518" spans="1:23" x14ac:dyDescent="0.25">
      <c r="A1518" t="s">
        <v>633</v>
      </c>
      <c r="B1518" s="19">
        <v>17250</v>
      </c>
      <c r="C1518" s="2">
        <f>HYPERLINK(URLs!B36 &amp; 97496,97496)</f>
        <v>97496</v>
      </c>
      <c r="D1518" t="s">
        <v>540</v>
      </c>
      <c r="E1518" t="s">
        <v>143</v>
      </c>
      <c r="F1518" t="s">
        <v>305</v>
      </c>
      <c r="G1518" t="s">
        <v>337</v>
      </c>
      <c r="H1518" t="s">
        <v>116</v>
      </c>
      <c r="I1518" t="s">
        <v>31</v>
      </c>
      <c r="J1518" t="s">
        <v>32</v>
      </c>
      <c r="K1518" t="s">
        <v>33</v>
      </c>
      <c r="L1518" t="s">
        <v>52</v>
      </c>
      <c r="M1518" t="s">
        <v>272</v>
      </c>
      <c r="N1518" t="s">
        <v>60</v>
      </c>
      <c r="P1518" t="s">
        <v>107</v>
      </c>
      <c r="Q1518" t="s">
        <v>3708</v>
      </c>
      <c r="R1518">
        <v>42818.853414351855</v>
      </c>
      <c r="S1518">
        <v>43423.863541666666</v>
      </c>
      <c r="T1518" t="s">
        <v>1</v>
      </c>
      <c r="U1518" t="s">
        <v>35</v>
      </c>
      <c r="V1518" t="s">
        <v>4057</v>
      </c>
      <c r="W1518" t="s">
        <v>4156</v>
      </c>
    </row>
    <row r="1519" spans="1:23" x14ac:dyDescent="0.25">
      <c r="A1519" t="s">
        <v>633</v>
      </c>
      <c r="B1519" s="19">
        <v>17259</v>
      </c>
      <c r="C1519" s="2">
        <f>HYPERLINK(URLs!B36 &amp; 99812,99812)</f>
        <v>99812</v>
      </c>
      <c r="D1519" t="s">
        <v>3576</v>
      </c>
      <c r="E1519" t="s">
        <v>155</v>
      </c>
      <c r="F1519" t="s">
        <v>305</v>
      </c>
      <c r="G1519" t="s">
        <v>304</v>
      </c>
      <c r="H1519" t="s">
        <v>116</v>
      </c>
      <c r="I1519" t="s">
        <v>31</v>
      </c>
      <c r="J1519" t="s">
        <v>43</v>
      </c>
      <c r="K1519" t="s">
        <v>51</v>
      </c>
      <c r="L1519" t="s">
        <v>73</v>
      </c>
      <c r="M1519" t="s">
        <v>263</v>
      </c>
      <c r="N1519" t="s">
        <v>510</v>
      </c>
      <c r="P1519" t="s">
        <v>107</v>
      </c>
      <c r="Q1519" t="s">
        <v>2416</v>
      </c>
      <c r="R1519">
        <v>42877.594918981478</v>
      </c>
      <c r="S1519">
        <v>43230.97828703704</v>
      </c>
      <c r="T1519" t="s">
        <v>301</v>
      </c>
      <c r="U1519" t="s">
        <v>4020</v>
      </c>
      <c r="V1519" t="s">
        <v>35</v>
      </c>
      <c r="W1519" t="s">
        <v>307</v>
      </c>
    </row>
    <row r="1520" spans="1:23" x14ac:dyDescent="0.25">
      <c r="A1520" t="s">
        <v>633</v>
      </c>
      <c r="B1520" s="19">
        <v>17259</v>
      </c>
      <c r="C1520" s="2">
        <f>HYPERLINK(URLs!B36 &amp; 97762,97762)</f>
        <v>97762</v>
      </c>
      <c r="D1520" t="s">
        <v>3486</v>
      </c>
      <c r="E1520" t="s">
        <v>155</v>
      </c>
      <c r="F1520" t="s">
        <v>305</v>
      </c>
      <c r="G1520" t="s">
        <v>304</v>
      </c>
      <c r="H1520" t="s">
        <v>54</v>
      </c>
      <c r="I1520" t="s">
        <v>31</v>
      </c>
      <c r="J1520" t="s">
        <v>43</v>
      </c>
      <c r="K1520" t="s">
        <v>51</v>
      </c>
      <c r="L1520" t="s">
        <v>73</v>
      </c>
      <c r="M1520" t="s">
        <v>263</v>
      </c>
      <c r="N1520" t="s">
        <v>60</v>
      </c>
      <c r="P1520" t="s">
        <v>107</v>
      </c>
      <c r="Q1520" t="s">
        <v>69</v>
      </c>
      <c r="R1520">
        <v>42825.730578703704</v>
      </c>
      <c r="S1520">
        <v>42948.051192129627</v>
      </c>
      <c r="T1520" t="s">
        <v>301</v>
      </c>
      <c r="U1520" t="s">
        <v>4010</v>
      </c>
      <c r="V1520" t="s">
        <v>35</v>
      </c>
      <c r="W1520" t="s">
        <v>69</v>
      </c>
    </row>
    <row r="1521" spans="1:23" x14ac:dyDescent="0.25">
      <c r="A1521" t="s">
        <v>633</v>
      </c>
      <c r="B1521" s="19">
        <v>17259</v>
      </c>
      <c r="C1521" s="2">
        <f>HYPERLINK(URLs!B36 &amp; 97710,97710)</f>
        <v>97710</v>
      </c>
      <c r="D1521" t="s">
        <v>3484</v>
      </c>
      <c r="E1521" t="s">
        <v>155</v>
      </c>
      <c r="F1521" t="s">
        <v>305</v>
      </c>
      <c r="G1521" t="s">
        <v>304</v>
      </c>
      <c r="H1521" t="s">
        <v>30</v>
      </c>
      <c r="I1521" t="s">
        <v>31</v>
      </c>
      <c r="J1521" t="s">
        <v>43</v>
      </c>
      <c r="K1521" t="s">
        <v>51</v>
      </c>
      <c r="L1521" t="s">
        <v>73</v>
      </c>
      <c r="M1521" t="s">
        <v>263</v>
      </c>
      <c r="N1521" t="s">
        <v>46</v>
      </c>
      <c r="P1521" t="s">
        <v>107</v>
      </c>
      <c r="Q1521" t="s">
        <v>159</v>
      </c>
      <c r="R1521">
        <v>42824.926435185182</v>
      </c>
      <c r="S1521">
        <v>42998.793958333335</v>
      </c>
      <c r="T1521" t="s">
        <v>1</v>
      </c>
      <c r="U1521" t="s">
        <v>35</v>
      </c>
      <c r="V1521" t="s">
        <v>35</v>
      </c>
      <c r="W1521" t="s">
        <v>4098</v>
      </c>
    </row>
    <row r="1522" spans="1:23" x14ac:dyDescent="0.25">
      <c r="A1522" t="s">
        <v>665</v>
      </c>
      <c r="B1522" s="19">
        <v>17327</v>
      </c>
      <c r="C1522" s="2">
        <f>HYPERLINK(URLs!B36 &amp; 104246,104246)</f>
        <v>104246</v>
      </c>
      <c r="D1522" t="s">
        <v>569</v>
      </c>
      <c r="E1522" t="s">
        <v>521</v>
      </c>
      <c r="F1522" t="s">
        <v>305</v>
      </c>
      <c r="G1522" t="s">
        <v>337</v>
      </c>
      <c r="H1522" t="s">
        <v>54</v>
      </c>
      <c r="I1522" t="s">
        <v>31</v>
      </c>
      <c r="J1522" t="s">
        <v>32</v>
      </c>
      <c r="K1522" t="s">
        <v>44</v>
      </c>
      <c r="L1522" t="s">
        <v>73</v>
      </c>
      <c r="M1522" t="s">
        <v>263</v>
      </c>
      <c r="N1522" t="s">
        <v>60</v>
      </c>
      <c r="O1522" t="s">
        <v>515</v>
      </c>
      <c r="P1522" t="s">
        <v>92</v>
      </c>
      <c r="Q1522" t="s">
        <v>3708</v>
      </c>
      <c r="R1522">
        <v>42979.747407407405</v>
      </c>
      <c r="S1522">
        <v>43423.872499999998</v>
      </c>
      <c r="T1522" t="s">
        <v>301</v>
      </c>
      <c r="U1522" t="s">
        <v>35</v>
      </c>
      <c r="V1522" t="s">
        <v>35</v>
      </c>
      <c r="W1522" t="s">
        <v>4158</v>
      </c>
    </row>
    <row r="1523" spans="1:23" x14ac:dyDescent="0.25">
      <c r="A1523" t="s">
        <v>665</v>
      </c>
      <c r="B1523" s="19">
        <v>17327</v>
      </c>
      <c r="C1523" s="2">
        <f>HYPERLINK(URLs!B36 &amp; 103154,103154)</f>
        <v>103154</v>
      </c>
      <c r="D1523" t="s">
        <v>3657</v>
      </c>
      <c r="E1523" t="s">
        <v>3658</v>
      </c>
      <c r="F1523" t="s">
        <v>305</v>
      </c>
      <c r="G1523" t="s">
        <v>304</v>
      </c>
      <c r="H1523" t="s">
        <v>54</v>
      </c>
      <c r="I1523" t="s">
        <v>31</v>
      </c>
      <c r="J1523" t="s">
        <v>32</v>
      </c>
      <c r="K1523" t="s">
        <v>44</v>
      </c>
      <c r="L1523" t="s">
        <v>73</v>
      </c>
      <c r="M1523" t="s">
        <v>263</v>
      </c>
      <c r="N1523" t="s">
        <v>60</v>
      </c>
      <c r="O1523" t="s">
        <v>2895</v>
      </c>
      <c r="P1523" t="s">
        <v>92</v>
      </c>
      <c r="Q1523" t="s">
        <v>3041</v>
      </c>
      <c r="R1523">
        <v>42949.484155092592</v>
      </c>
      <c r="S1523">
        <v>43215.974803240744</v>
      </c>
      <c r="T1523" t="s">
        <v>84</v>
      </c>
      <c r="U1523" t="s">
        <v>35</v>
      </c>
      <c r="V1523" t="s">
        <v>35</v>
      </c>
      <c r="W1523" t="s">
        <v>3661</v>
      </c>
    </row>
    <row r="1524" spans="1:23" x14ac:dyDescent="0.25">
      <c r="A1524" t="s">
        <v>665</v>
      </c>
      <c r="B1524" s="19">
        <v>17327</v>
      </c>
      <c r="C1524" s="2">
        <f>HYPERLINK(URLs!B36 &amp; 102502,102502)</f>
        <v>102502</v>
      </c>
      <c r="D1524" t="s">
        <v>3641</v>
      </c>
      <c r="E1524" t="s">
        <v>490</v>
      </c>
      <c r="F1524" t="s">
        <v>305</v>
      </c>
      <c r="G1524" t="s">
        <v>304</v>
      </c>
      <c r="H1524" t="s">
        <v>54</v>
      </c>
      <c r="I1524" t="s">
        <v>31</v>
      </c>
      <c r="J1524" t="s">
        <v>32</v>
      </c>
      <c r="K1524" t="s">
        <v>44</v>
      </c>
      <c r="L1524" t="s">
        <v>73</v>
      </c>
      <c r="M1524" t="s">
        <v>263</v>
      </c>
      <c r="N1524" t="s">
        <v>3642</v>
      </c>
      <c r="P1524" t="s">
        <v>92</v>
      </c>
      <c r="Q1524" t="s">
        <v>2708</v>
      </c>
      <c r="R1524">
        <v>42935.316562499997</v>
      </c>
      <c r="S1524">
        <v>43207.468888888892</v>
      </c>
      <c r="T1524" t="s">
        <v>84</v>
      </c>
      <c r="U1524" t="s">
        <v>35</v>
      </c>
      <c r="V1524" t="s">
        <v>35</v>
      </c>
      <c r="W1524" t="s">
        <v>3555</v>
      </c>
    </row>
    <row r="1525" spans="1:23" x14ac:dyDescent="0.25">
      <c r="A1525" t="s">
        <v>665</v>
      </c>
      <c r="B1525" s="19">
        <v>17327</v>
      </c>
      <c r="C1525" s="2">
        <f>HYPERLINK(URLs!B36 &amp; 102501,102501)</f>
        <v>102501</v>
      </c>
      <c r="D1525" t="s">
        <v>3639</v>
      </c>
      <c r="E1525" t="s">
        <v>84</v>
      </c>
      <c r="F1525" t="s">
        <v>305</v>
      </c>
      <c r="G1525" t="s">
        <v>337</v>
      </c>
      <c r="H1525" t="s">
        <v>54</v>
      </c>
      <c r="I1525" t="s">
        <v>31</v>
      </c>
      <c r="J1525" t="s">
        <v>32</v>
      </c>
      <c r="K1525" t="s">
        <v>44</v>
      </c>
      <c r="L1525" t="s">
        <v>73</v>
      </c>
      <c r="M1525" t="s">
        <v>263</v>
      </c>
      <c r="N1525" t="s">
        <v>60</v>
      </c>
      <c r="O1525" t="s">
        <v>3604</v>
      </c>
      <c r="P1525" t="s">
        <v>92</v>
      </c>
      <c r="Q1525" t="s">
        <v>3640</v>
      </c>
      <c r="R1525">
        <v>42935.31150462963</v>
      </c>
      <c r="S1525">
        <v>42996.478807870371</v>
      </c>
      <c r="T1525" t="s">
        <v>84</v>
      </c>
      <c r="U1525" t="s">
        <v>35</v>
      </c>
      <c r="V1525" t="s">
        <v>35</v>
      </c>
      <c r="W1525" t="s">
        <v>4170</v>
      </c>
    </row>
    <row r="1526" spans="1:23" x14ac:dyDescent="0.25">
      <c r="A1526" t="s">
        <v>665</v>
      </c>
      <c r="B1526" s="19">
        <v>17327</v>
      </c>
      <c r="C1526" s="2">
        <f>HYPERLINK(URLs!B36 &amp; 99932,99932)</f>
        <v>99932</v>
      </c>
      <c r="D1526" t="s">
        <v>3582</v>
      </c>
      <c r="E1526" t="s">
        <v>91</v>
      </c>
      <c r="F1526" t="s">
        <v>305</v>
      </c>
      <c r="G1526" t="s">
        <v>304</v>
      </c>
      <c r="H1526" t="s">
        <v>54</v>
      </c>
      <c r="I1526" t="s">
        <v>31</v>
      </c>
      <c r="J1526" t="s">
        <v>32</v>
      </c>
      <c r="K1526" t="s">
        <v>44</v>
      </c>
      <c r="L1526" t="s">
        <v>73</v>
      </c>
      <c r="M1526" t="s">
        <v>263</v>
      </c>
      <c r="N1526" t="s">
        <v>60</v>
      </c>
      <c r="O1526" t="s">
        <v>3581</v>
      </c>
      <c r="P1526" t="s">
        <v>92</v>
      </c>
      <c r="Q1526" t="s">
        <v>3459</v>
      </c>
      <c r="R1526">
        <v>42879.603958333333</v>
      </c>
      <c r="S1526">
        <v>42926.560324074075</v>
      </c>
      <c r="T1526" t="s">
        <v>3579</v>
      </c>
      <c r="U1526" t="s">
        <v>35</v>
      </c>
      <c r="V1526" t="s">
        <v>35</v>
      </c>
      <c r="W1526" t="s">
        <v>449</v>
      </c>
    </row>
    <row r="1527" spans="1:23" x14ac:dyDescent="0.25">
      <c r="A1527" t="s">
        <v>665</v>
      </c>
      <c r="B1527" s="19">
        <v>17327</v>
      </c>
      <c r="C1527" s="2">
        <f>HYPERLINK(URLs!B36 &amp; 96608,96608)</f>
        <v>96608</v>
      </c>
      <c r="D1527" t="s">
        <v>3442</v>
      </c>
      <c r="E1527" t="s">
        <v>91</v>
      </c>
      <c r="F1527" t="s">
        <v>305</v>
      </c>
      <c r="G1527" t="s">
        <v>304</v>
      </c>
      <c r="H1527" t="s">
        <v>54</v>
      </c>
      <c r="I1527" t="s">
        <v>31</v>
      </c>
      <c r="J1527" t="s">
        <v>32</v>
      </c>
      <c r="K1527" t="s">
        <v>44</v>
      </c>
      <c r="L1527" t="s">
        <v>73</v>
      </c>
      <c r="M1527" t="s">
        <v>263</v>
      </c>
      <c r="N1527" t="s">
        <v>572</v>
      </c>
      <c r="P1527" t="s">
        <v>92</v>
      </c>
      <c r="Q1527" t="s">
        <v>92</v>
      </c>
      <c r="R1527">
        <v>42796.860208333332</v>
      </c>
      <c r="S1527">
        <v>43214.207418981481</v>
      </c>
      <c r="T1527" t="s">
        <v>301</v>
      </c>
      <c r="U1527" t="s">
        <v>35</v>
      </c>
      <c r="V1527" t="s">
        <v>35</v>
      </c>
      <c r="W1527" t="s">
        <v>307</v>
      </c>
    </row>
    <row r="1528" spans="1:23" x14ac:dyDescent="0.25">
      <c r="A1528" t="s">
        <v>665</v>
      </c>
      <c r="B1528" s="19">
        <v>17327</v>
      </c>
      <c r="C1528" s="2">
        <f>HYPERLINK(URLs!B36 &amp; 96060,96060)</f>
        <v>96060</v>
      </c>
      <c r="D1528" t="s">
        <v>122</v>
      </c>
      <c r="E1528" t="s">
        <v>91</v>
      </c>
      <c r="F1528" t="s">
        <v>305</v>
      </c>
      <c r="G1528" t="s">
        <v>304</v>
      </c>
      <c r="H1528" t="s">
        <v>54</v>
      </c>
      <c r="I1528" t="s">
        <v>31</v>
      </c>
      <c r="J1528" t="s">
        <v>32</v>
      </c>
      <c r="K1528" t="s">
        <v>44</v>
      </c>
      <c r="L1528" t="s">
        <v>73</v>
      </c>
      <c r="M1528" t="s">
        <v>263</v>
      </c>
      <c r="N1528" t="s">
        <v>60</v>
      </c>
      <c r="P1528" t="s">
        <v>92</v>
      </c>
      <c r="Q1528" t="s">
        <v>3708</v>
      </c>
      <c r="R1528">
        <v>42782.675324074073</v>
      </c>
      <c r="S1528">
        <v>43423.913449074076</v>
      </c>
      <c r="T1528" t="s">
        <v>86</v>
      </c>
      <c r="U1528" t="s">
        <v>35</v>
      </c>
      <c r="V1528" t="s">
        <v>35</v>
      </c>
      <c r="W1528" t="s">
        <v>4098</v>
      </c>
    </row>
    <row r="1529" spans="1:23" x14ac:dyDescent="0.25">
      <c r="A1529" t="s">
        <v>633</v>
      </c>
      <c r="B1529" s="19">
        <v>17330</v>
      </c>
      <c r="C1529" s="2">
        <f>HYPERLINK(URLs!B36 &amp; 98609,98609)</f>
        <v>98609</v>
      </c>
      <c r="D1529" t="s">
        <v>550</v>
      </c>
      <c r="E1529" t="s">
        <v>64</v>
      </c>
      <c r="F1529" t="s">
        <v>319</v>
      </c>
      <c r="G1529" t="s">
        <v>304</v>
      </c>
      <c r="H1529" t="s">
        <v>30</v>
      </c>
      <c r="I1529" t="s">
        <v>31</v>
      </c>
      <c r="J1529" t="s">
        <v>32</v>
      </c>
      <c r="K1529" t="s">
        <v>33</v>
      </c>
      <c r="L1529" t="s">
        <v>52</v>
      </c>
      <c r="M1529" t="s">
        <v>276</v>
      </c>
      <c r="N1529" t="s">
        <v>523</v>
      </c>
      <c r="P1529" t="s">
        <v>65</v>
      </c>
      <c r="Q1529" t="s">
        <v>1503</v>
      </c>
      <c r="R1529">
        <v>42846.757372685184</v>
      </c>
      <c r="S1529">
        <v>43391.459143518521</v>
      </c>
      <c r="T1529" t="s">
        <v>548</v>
      </c>
      <c r="U1529" t="s">
        <v>35</v>
      </c>
      <c r="V1529" t="s">
        <v>321</v>
      </c>
      <c r="W1529" t="s">
        <v>4163</v>
      </c>
    </row>
    <row r="1530" spans="1:23" x14ac:dyDescent="0.25">
      <c r="A1530" t="s">
        <v>633</v>
      </c>
      <c r="B1530" s="19">
        <v>17330</v>
      </c>
      <c r="C1530" s="2">
        <f>HYPERLINK(URLs!B36 &amp; 97523,97523)</f>
        <v>97523</v>
      </c>
      <c r="D1530" t="s">
        <v>3469</v>
      </c>
      <c r="E1530" t="s">
        <v>143</v>
      </c>
      <c r="F1530" t="s">
        <v>305</v>
      </c>
      <c r="G1530" t="s">
        <v>304</v>
      </c>
      <c r="H1530" t="s">
        <v>30</v>
      </c>
      <c r="I1530" t="s">
        <v>31</v>
      </c>
      <c r="J1530" t="s">
        <v>32</v>
      </c>
      <c r="K1530" t="s">
        <v>33</v>
      </c>
      <c r="L1530" t="s">
        <v>52</v>
      </c>
      <c r="M1530" t="s">
        <v>276</v>
      </c>
      <c r="N1530" t="s">
        <v>523</v>
      </c>
      <c r="P1530" t="s">
        <v>65</v>
      </c>
      <c r="R1530">
        <v>42821.430243055554</v>
      </c>
      <c r="S1530">
        <v>42923.285474537035</v>
      </c>
      <c r="T1530" t="s">
        <v>143</v>
      </c>
      <c r="U1530" t="s">
        <v>35</v>
      </c>
      <c r="V1530" t="s">
        <v>35</v>
      </c>
      <c r="W1530" t="s">
        <v>190</v>
      </c>
    </row>
    <row r="1531" spans="1:23" x14ac:dyDescent="0.25">
      <c r="A1531" t="s">
        <v>633</v>
      </c>
      <c r="B1531" s="19">
        <v>17330</v>
      </c>
      <c r="C1531" s="2">
        <f>HYPERLINK(URLs!B36 &amp; 97520,97520)</f>
        <v>97520</v>
      </c>
      <c r="D1531" t="s">
        <v>142</v>
      </c>
      <c r="E1531" t="s">
        <v>143</v>
      </c>
      <c r="F1531" t="s">
        <v>67</v>
      </c>
      <c r="H1531" t="s">
        <v>30</v>
      </c>
      <c r="I1531" t="s">
        <v>31</v>
      </c>
      <c r="J1531" t="s">
        <v>32</v>
      </c>
      <c r="K1531" t="s">
        <v>33</v>
      </c>
      <c r="L1531" t="s">
        <v>52</v>
      </c>
      <c r="M1531" t="s">
        <v>276</v>
      </c>
      <c r="N1531" t="s">
        <v>46</v>
      </c>
      <c r="P1531" t="s">
        <v>65</v>
      </c>
      <c r="R1531">
        <v>42821.426192129627</v>
      </c>
      <c r="S1531">
        <v>42846.757372685184</v>
      </c>
      <c r="T1531" t="s">
        <v>143</v>
      </c>
      <c r="U1531" t="s">
        <v>35</v>
      </c>
      <c r="V1531" t="s">
        <v>321</v>
      </c>
      <c r="W1531" t="s">
        <v>4098</v>
      </c>
    </row>
    <row r="1532" spans="1:23" x14ac:dyDescent="0.25">
      <c r="A1532" t="s">
        <v>633</v>
      </c>
      <c r="B1532" s="19">
        <v>17330</v>
      </c>
      <c r="C1532" s="2">
        <f>HYPERLINK(URLs!B36 &amp; 97354,97354)</f>
        <v>97354</v>
      </c>
      <c r="D1532" t="s">
        <v>3463</v>
      </c>
      <c r="E1532" t="s">
        <v>143</v>
      </c>
      <c r="F1532" t="s">
        <v>305</v>
      </c>
      <c r="G1532" t="s">
        <v>304</v>
      </c>
      <c r="H1532" t="s">
        <v>116</v>
      </c>
      <c r="I1532" t="s">
        <v>31</v>
      </c>
      <c r="J1532" t="s">
        <v>32</v>
      </c>
      <c r="K1532" t="s">
        <v>33</v>
      </c>
      <c r="L1532" t="s">
        <v>52</v>
      </c>
      <c r="M1532" t="s">
        <v>276</v>
      </c>
      <c r="N1532" t="s">
        <v>510</v>
      </c>
      <c r="P1532" t="s">
        <v>69</v>
      </c>
      <c r="Q1532" t="s">
        <v>2416</v>
      </c>
      <c r="R1532">
        <v>42816.306284722225</v>
      </c>
      <c r="S1532">
        <v>42948.607986111114</v>
      </c>
      <c r="T1532" t="s">
        <v>143</v>
      </c>
      <c r="U1532" t="s">
        <v>3996</v>
      </c>
      <c r="V1532" t="s">
        <v>321</v>
      </c>
      <c r="W1532" t="s">
        <v>69</v>
      </c>
    </row>
    <row r="1533" spans="1:23" x14ac:dyDescent="0.25">
      <c r="A1533" t="s">
        <v>665</v>
      </c>
      <c r="B1533" s="19">
        <v>17336</v>
      </c>
      <c r="C1533" s="2">
        <f>HYPERLINK(URLs!B36 &amp; 112996,112996)</f>
        <v>112996</v>
      </c>
      <c r="D1533" t="s">
        <v>4424</v>
      </c>
      <c r="E1533" t="s">
        <v>91</v>
      </c>
      <c r="F1533" t="s">
        <v>305</v>
      </c>
      <c r="G1533" t="s">
        <v>304</v>
      </c>
      <c r="H1533" t="s">
        <v>54</v>
      </c>
      <c r="I1533" t="s">
        <v>31</v>
      </c>
      <c r="J1533" t="s">
        <v>32</v>
      </c>
      <c r="K1533" t="s">
        <v>33</v>
      </c>
      <c r="L1533" t="s">
        <v>73</v>
      </c>
      <c r="M1533" t="s">
        <v>263</v>
      </c>
      <c r="N1533" t="s">
        <v>3724</v>
      </c>
      <c r="P1533" t="s">
        <v>107</v>
      </c>
      <c r="Q1533" t="s">
        <v>2481</v>
      </c>
      <c r="R1533">
        <v>43222.27003472222</v>
      </c>
      <c r="S1533">
        <v>43360.588425925926</v>
      </c>
      <c r="T1533" t="s">
        <v>91</v>
      </c>
      <c r="U1533" t="s">
        <v>35</v>
      </c>
      <c r="V1533" t="s">
        <v>321</v>
      </c>
      <c r="W1533" t="s">
        <v>4231</v>
      </c>
    </row>
    <row r="1534" spans="1:23" x14ac:dyDescent="0.25">
      <c r="A1534" t="s">
        <v>665</v>
      </c>
      <c r="B1534" s="19">
        <v>17336</v>
      </c>
      <c r="C1534" s="2">
        <f>HYPERLINK(URLs!B36 &amp; 110126,110126)</f>
        <v>110126</v>
      </c>
      <c r="D1534" t="s">
        <v>4330</v>
      </c>
      <c r="E1534" t="s">
        <v>387</v>
      </c>
      <c r="F1534" t="s">
        <v>305</v>
      </c>
      <c r="G1534" t="s">
        <v>337</v>
      </c>
      <c r="H1534" t="s">
        <v>54</v>
      </c>
      <c r="I1534" t="s">
        <v>31</v>
      </c>
      <c r="J1534" t="s">
        <v>32</v>
      </c>
      <c r="K1534" t="s">
        <v>44</v>
      </c>
      <c r="L1534" t="s">
        <v>73</v>
      </c>
      <c r="M1534" t="s">
        <v>263</v>
      </c>
      <c r="N1534" t="s">
        <v>4332</v>
      </c>
      <c r="O1534" t="s">
        <v>3682</v>
      </c>
      <c r="P1534" t="s">
        <v>107</v>
      </c>
      <c r="Q1534" t="s">
        <v>2481</v>
      </c>
      <c r="R1534">
        <v>43137.667175925926</v>
      </c>
      <c r="S1534">
        <v>43333.575104166666</v>
      </c>
      <c r="T1534" t="s">
        <v>301</v>
      </c>
      <c r="U1534" t="s">
        <v>35</v>
      </c>
      <c r="V1534" t="s">
        <v>321</v>
      </c>
      <c r="W1534" t="s">
        <v>4331</v>
      </c>
    </row>
    <row r="1535" spans="1:23" x14ac:dyDescent="0.25">
      <c r="A1535" t="s">
        <v>665</v>
      </c>
      <c r="B1535" s="19">
        <v>17336</v>
      </c>
      <c r="C1535" s="2">
        <f>HYPERLINK(URLs!B36 &amp; 108525,108525)</f>
        <v>108525</v>
      </c>
      <c r="D1535" t="s">
        <v>4235</v>
      </c>
      <c r="E1535" t="s">
        <v>490</v>
      </c>
      <c r="F1535" t="s">
        <v>305</v>
      </c>
      <c r="G1535" t="s">
        <v>304</v>
      </c>
      <c r="H1535" t="s">
        <v>54</v>
      </c>
      <c r="I1535" t="s">
        <v>31</v>
      </c>
      <c r="J1535" t="s">
        <v>32</v>
      </c>
      <c r="K1535" t="s">
        <v>33</v>
      </c>
      <c r="L1535" t="s">
        <v>73</v>
      </c>
      <c r="M1535" t="s">
        <v>263</v>
      </c>
      <c r="N1535" t="s">
        <v>3724</v>
      </c>
      <c r="P1535" t="s">
        <v>107</v>
      </c>
      <c r="Q1535" t="s">
        <v>2481</v>
      </c>
      <c r="R1535">
        <v>43078.317824074074</v>
      </c>
      <c r="S1535">
        <v>43286.3515162037</v>
      </c>
      <c r="T1535" t="s">
        <v>72</v>
      </c>
      <c r="U1535" t="s">
        <v>35</v>
      </c>
      <c r="V1535" t="s">
        <v>321</v>
      </c>
      <c r="W1535" t="s">
        <v>4236</v>
      </c>
    </row>
    <row r="1536" spans="1:23" x14ac:dyDescent="0.25">
      <c r="A1536" t="s">
        <v>665</v>
      </c>
      <c r="B1536" s="19">
        <v>17336</v>
      </c>
      <c r="C1536" s="2">
        <f>HYPERLINK(URLs!B36 &amp; 108454,108454)</f>
        <v>108454</v>
      </c>
      <c r="D1536" t="s">
        <v>3760</v>
      </c>
      <c r="E1536" t="s">
        <v>91</v>
      </c>
      <c r="F1536" t="s">
        <v>305</v>
      </c>
      <c r="G1536" t="s">
        <v>304</v>
      </c>
      <c r="H1536" t="s">
        <v>54</v>
      </c>
      <c r="I1536" t="s">
        <v>31</v>
      </c>
      <c r="J1536" t="s">
        <v>32</v>
      </c>
      <c r="K1536" t="s">
        <v>33</v>
      </c>
      <c r="L1536" t="s">
        <v>73</v>
      </c>
      <c r="M1536" t="s">
        <v>263</v>
      </c>
      <c r="N1536" t="s">
        <v>3724</v>
      </c>
      <c r="P1536" t="s">
        <v>107</v>
      </c>
      <c r="Q1536" t="s">
        <v>2481</v>
      </c>
      <c r="R1536">
        <v>43076.552210648151</v>
      </c>
      <c r="S1536">
        <v>43285.14371527778</v>
      </c>
      <c r="T1536" t="s">
        <v>72</v>
      </c>
      <c r="U1536" t="s">
        <v>35</v>
      </c>
      <c r="V1536" t="s">
        <v>321</v>
      </c>
      <c r="W1536" t="s">
        <v>4169</v>
      </c>
    </row>
    <row r="1537" spans="1:23" x14ac:dyDescent="0.25">
      <c r="A1537" t="s">
        <v>665</v>
      </c>
      <c r="B1537" s="19">
        <v>17336</v>
      </c>
      <c r="C1537" s="2">
        <f>HYPERLINK(URLs!B36 &amp; 98755,98755)</f>
        <v>98755</v>
      </c>
      <c r="D1537" t="s">
        <v>3525</v>
      </c>
      <c r="E1537" t="s">
        <v>3313</v>
      </c>
      <c r="F1537" t="s">
        <v>29</v>
      </c>
      <c r="H1537" t="s">
        <v>54</v>
      </c>
      <c r="I1537" t="s">
        <v>31</v>
      </c>
      <c r="J1537" t="s">
        <v>32</v>
      </c>
      <c r="K1537" t="s">
        <v>33</v>
      </c>
      <c r="L1537" t="s">
        <v>73</v>
      </c>
      <c r="M1537" t="s">
        <v>263</v>
      </c>
      <c r="N1537" t="s">
        <v>3724</v>
      </c>
      <c r="P1537" t="s">
        <v>107</v>
      </c>
      <c r="Q1537" t="s">
        <v>2481</v>
      </c>
      <c r="R1537">
        <v>42851.559108796297</v>
      </c>
      <c r="S1537">
        <v>43222.27003472222</v>
      </c>
      <c r="T1537" t="s">
        <v>288</v>
      </c>
      <c r="U1537" t="s">
        <v>35</v>
      </c>
      <c r="V1537" t="s">
        <v>321</v>
      </c>
      <c r="W1537" t="s">
        <v>4098</v>
      </c>
    </row>
    <row r="1538" spans="1:23" x14ac:dyDescent="0.25">
      <c r="A1538" t="s">
        <v>665</v>
      </c>
      <c r="B1538" s="19">
        <v>17336</v>
      </c>
      <c r="C1538" s="2">
        <f>HYPERLINK(URLs!B36 &amp; 98162,98162)</f>
        <v>98162</v>
      </c>
      <c r="D1538" t="s">
        <v>3500</v>
      </c>
      <c r="E1538" t="s">
        <v>91</v>
      </c>
      <c r="F1538" t="s">
        <v>305</v>
      </c>
      <c r="G1538" t="s">
        <v>353</v>
      </c>
      <c r="H1538" t="s">
        <v>30</v>
      </c>
      <c r="I1538" t="s">
        <v>31</v>
      </c>
      <c r="J1538" t="s">
        <v>32</v>
      </c>
      <c r="K1538" t="s">
        <v>33</v>
      </c>
      <c r="L1538" t="s">
        <v>73</v>
      </c>
      <c r="M1538" t="s">
        <v>263</v>
      </c>
      <c r="N1538" t="s">
        <v>60</v>
      </c>
      <c r="O1538" t="s">
        <v>132</v>
      </c>
      <c r="P1538" t="s">
        <v>75</v>
      </c>
      <c r="Q1538" t="s">
        <v>75</v>
      </c>
      <c r="R1538">
        <v>42836.847199074073</v>
      </c>
      <c r="S1538">
        <v>43079.149525462963</v>
      </c>
      <c r="T1538" t="s">
        <v>2</v>
      </c>
      <c r="U1538" t="s">
        <v>35</v>
      </c>
      <c r="V1538" t="s">
        <v>35</v>
      </c>
      <c r="W1538" t="s">
        <v>307</v>
      </c>
    </row>
    <row r="1539" spans="1:23" x14ac:dyDescent="0.25">
      <c r="A1539" t="s">
        <v>665</v>
      </c>
      <c r="B1539" s="19">
        <v>17341</v>
      </c>
      <c r="C1539" s="2">
        <f>HYPERLINK(URLs!B36 &amp; 103366,103366)</f>
        <v>103366</v>
      </c>
      <c r="D1539" t="s">
        <v>3665</v>
      </c>
      <c r="E1539" t="s">
        <v>490</v>
      </c>
      <c r="F1539" t="s">
        <v>305</v>
      </c>
      <c r="G1539" t="s">
        <v>304</v>
      </c>
      <c r="H1539" t="s">
        <v>56</v>
      </c>
      <c r="I1539" t="s">
        <v>31</v>
      </c>
      <c r="J1539" t="s">
        <v>32</v>
      </c>
      <c r="K1539" t="s">
        <v>51</v>
      </c>
      <c r="L1539" t="s">
        <v>73</v>
      </c>
      <c r="M1539" t="s">
        <v>263</v>
      </c>
      <c r="N1539" t="s">
        <v>60</v>
      </c>
      <c r="P1539" t="s">
        <v>85</v>
      </c>
      <c r="Q1539" t="s">
        <v>3428</v>
      </c>
      <c r="R1539">
        <v>42955.502743055556</v>
      </c>
      <c r="S1539">
        <v>43284.149664351855</v>
      </c>
      <c r="T1539" t="s">
        <v>91</v>
      </c>
      <c r="U1539" t="s">
        <v>35</v>
      </c>
      <c r="V1539" t="s">
        <v>35</v>
      </c>
      <c r="W1539" t="s">
        <v>4169</v>
      </c>
    </row>
    <row r="1540" spans="1:23" x14ac:dyDescent="0.25">
      <c r="A1540" t="s">
        <v>665</v>
      </c>
      <c r="B1540" s="19">
        <v>17341</v>
      </c>
      <c r="C1540" s="2">
        <f>HYPERLINK(URLs!B36 &amp; 101952,101952)</f>
        <v>101952</v>
      </c>
      <c r="D1540" t="s">
        <v>3626</v>
      </c>
      <c r="E1540" t="s">
        <v>72</v>
      </c>
      <c r="F1540" t="s">
        <v>305</v>
      </c>
      <c r="G1540" t="s">
        <v>310</v>
      </c>
      <c r="H1540" t="s">
        <v>54</v>
      </c>
      <c r="I1540" t="s">
        <v>31</v>
      </c>
      <c r="J1540" t="s">
        <v>32</v>
      </c>
      <c r="K1540" t="s">
        <v>51</v>
      </c>
      <c r="L1540" t="s">
        <v>73</v>
      </c>
      <c r="M1540" t="s">
        <v>263</v>
      </c>
      <c r="N1540" t="s">
        <v>60</v>
      </c>
      <c r="P1540" t="s">
        <v>85</v>
      </c>
      <c r="Q1540" t="s">
        <v>3428</v>
      </c>
      <c r="R1540">
        <v>42922.98642361111</v>
      </c>
      <c r="S1540">
        <v>42971.481296296297</v>
      </c>
      <c r="T1540" t="s">
        <v>53</v>
      </c>
      <c r="U1540" t="s">
        <v>35</v>
      </c>
      <c r="V1540" t="s">
        <v>35</v>
      </c>
      <c r="W1540" t="s">
        <v>69</v>
      </c>
    </row>
    <row r="1541" spans="1:23" x14ac:dyDescent="0.25">
      <c r="A1541" t="s">
        <v>665</v>
      </c>
      <c r="B1541" s="19">
        <v>17341</v>
      </c>
      <c r="C1541" s="2">
        <f>HYPERLINK(URLs!B36 &amp; 101552,101552)</f>
        <v>101552</v>
      </c>
      <c r="D1541" t="s">
        <v>3613</v>
      </c>
      <c r="E1541" t="s">
        <v>3614</v>
      </c>
      <c r="F1541" t="s">
        <v>305</v>
      </c>
      <c r="G1541" t="s">
        <v>304</v>
      </c>
      <c r="H1541" t="s">
        <v>56</v>
      </c>
      <c r="I1541" t="s">
        <v>31</v>
      </c>
      <c r="J1541" t="s">
        <v>32</v>
      </c>
      <c r="K1541" t="s">
        <v>51</v>
      </c>
      <c r="L1541" t="s">
        <v>73</v>
      </c>
      <c r="M1541" t="s">
        <v>263</v>
      </c>
      <c r="N1541" t="s">
        <v>60</v>
      </c>
      <c r="O1541" t="s">
        <v>3615</v>
      </c>
      <c r="P1541" t="s">
        <v>85</v>
      </c>
      <c r="Q1541" t="s">
        <v>3428</v>
      </c>
      <c r="R1541">
        <v>42914.409502314818</v>
      </c>
      <c r="S1541">
        <v>42978.621840277781</v>
      </c>
      <c r="T1541" t="s">
        <v>82</v>
      </c>
      <c r="U1541" t="s">
        <v>35</v>
      </c>
      <c r="V1541" t="s">
        <v>35</v>
      </c>
      <c r="W1541" t="s">
        <v>3661</v>
      </c>
    </row>
    <row r="1542" spans="1:23" x14ac:dyDescent="0.25">
      <c r="A1542" t="s">
        <v>665</v>
      </c>
      <c r="B1542" s="19">
        <v>17341</v>
      </c>
      <c r="C1542" s="2">
        <f>HYPERLINK(URLs!B36 &amp; 101549,101549)</f>
        <v>101549</v>
      </c>
      <c r="D1542" t="s">
        <v>3611</v>
      </c>
      <c r="E1542" t="s">
        <v>82</v>
      </c>
      <c r="F1542" t="s">
        <v>305</v>
      </c>
      <c r="G1542" t="s">
        <v>304</v>
      </c>
      <c r="H1542" t="s">
        <v>56</v>
      </c>
      <c r="I1542" t="s">
        <v>31</v>
      </c>
      <c r="J1542" t="s">
        <v>32</v>
      </c>
      <c r="K1542" t="s">
        <v>51</v>
      </c>
      <c r="L1542" t="s">
        <v>73</v>
      </c>
      <c r="M1542" t="s">
        <v>263</v>
      </c>
      <c r="N1542" t="s">
        <v>60</v>
      </c>
      <c r="O1542" t="s">
        <v>3612</v>
      </c>
      <c r="P1542" t="s">
        <v>85</v>
      </c>
      <c r="Q1542" t="s">
        <v>3428</v>
      </c>
      <c r="R1542">
        <v>42914.403611111113</v>
      </c>
      <c r="S1542">
        <v>43207.464814814812</v>
      </c>
      <c r="T1542" t="s">
        <v>82</v>
      </c>
      <c r="U1542" t="s">
        <v>35</v>
      </c>
      <c r="V1542" t="s">
        <v>35</v>
      </c>
      <c r="W1542" t="s">
        <v>3555</v>
      </c>
    </row>
    <row r="1543" spans="1:23" x14ac:dyDescent="0.25">
      <c r="A1543" t="s">
        <v>665</v>
      </c>
      <c r="B1543" s="19">
        <v>17341</v>
      </c>
      <c r="C1543" s="2">
        <f>HYPERLINK(URLs!B36 &amp; 101548,101548)</f>
        <v>101548</v>
      </c>
      <c r="D1543" t="s">
        <v>3609</v>
      </c>
      <c r="E1543" t="s">
        <v>84</v>
      </c>
      <c r="F1543" t="s">
        <v>305</v>
      </c>
      <c r="G1543" t="s">
        <v>337</v>
      </c>
      <c r="H1543" t="s">
        <v>56</v>
      </c>
      <c r="I1543" t="s">
        <v>31</v>
      </c>
      <c r="J1543" t="s">
        <v>32</v>
      </c>
      <c r="K1543" t="s">
        <v>51</v>
      </c>
      <c r="L1543" t="s">
        <v>73</v>
      </c>
      <c r="M1543" t="s">
        <v>263</v>
      </c>
      <c r="N1543" t="s">
        <v>60</v>
      </c>
      <c r="O1543" t="s">
        <v>3604</v>
      </c>
      <c r="P1543" t="s">
        <v>85</v>
      </c>
      <c r="Q1543" t="s">
        <v>3610</v>
      </c>
      <c r="R1543">
        <v>42914.400891203702</v>
      </c>
      <c r="S1543">
        <v>42996.484027777777</v>
      </c>
      <c r="T1543" t="s">
        <v>82</v>
      </c>
      <c r="U1543" t="s">
        <v>35</v>
      </c>
      <c r="V1543" t="s">
        <v>35</v>
      </c>
      <c r="W1543" t="s">
        <v>4170</v>
      </c>
    </row>
    <row r="1544" spans="1:23" x14ac:dyDescent="0.25">
      <c r="A1544" t="s">
        <v>665</v>
      </c>
      <c r="B1544" s="19">
        <v>17341</v>
      </c>
      <c r="C1544" s="2">
        <f>HYPERLINK(URLs!B36 &amp; 99612,99612)</f>
        <v>99612</v>
      </c>
      <c r="D1544" t="s">
        <v>3568</v>
      </c>
      <c r="E1544" t="s">
        <v>82</v>
      </c>
      <c r="F1544" t="s">
        <v>305</v>
      </c>
      <c r="G1544" t="s">
        <v>304</v>
      </c>
      <c r="H1544" t="s">
        <v>54</v>
      </c>
      <c r="I1544" t="s">
        <v>31</v>
      </c>
      <c r="J1544" t="s">
        <v>32</v>
      </c>
      <c r="K1544" t="s">
        <v>51</v>
      </c>
      <c r="L1544" t="s">
        <v>73</v>
      </c>
      <c r="M1544" t="s">
        <v>263</v>
      </c>
      <c r="N1544" t="s">
        <v>518</v>
      </c>
      <c r="O1544" t="s">
        <v>3017</v>
      </c>
      <c r="P1544" t="s">
        <v>85</v>
      </c>
      <c r="Q1544" t="s">
        <v>3428</v>
      </c>
      <c r="R1544">
        <v>42872.609814814816</v>
      </c>
      <c r="S1544">
        <v>43214.207349537035</v>
      </c>
      <c r="T1544" t="s">
        <v>82</v>
      </c>
      <c r="U1544" t="s">
        <v>4019</v>
      </c>
      <c r="V1544" t="s">
        <v>35</v>
      </c>
      <c r="W1544" t="s">
        <v>307</v>
      </c>
    </row>
    <row r="1545" spans="1:23" x14ac:dyDescent="0.25">
      <c r="A1545" t="s">
        <v>665</v>
      </c>
      <c r="B1545" s="19">
        <v>17341</v>
      </c>
      <c r="C1545" s="2">
        <f>HYPERLINK(URLs!B36 &amp; 98530,98530)</f>
        <v>98530</v>
      </c>
      <c r="D1545" t="s">
        <v>3511</v>
      </c>
      <c r="E1545" t="s">
        <v>82</v>
      </c>
      <c r="F1545" t="s">
        <v>305</v>
      </c>
      <c r="G1545" t="s">
        <v>353</v>
      </c>
      <c r="H1545" t="s">
        <v>54</v>
      </c>
      <c r="I1545" t="s">
        <v>31</v>
      </c>
      <c r="J1545" t="s">
        <v>43</v>
      </c>
      <c r="K1545" t="s">
        <v>44</v>
      </c>
      <c r="L1545" t="s">
        <v>73</v>
      </c>
      <c r="M1545" t="s">
        <v>263</v>
      </c>
      <c r="N1545" t="s">
        <v>60</v>
      </c>
      <c r="P1545" t="s">
        <v>3498</v>
      </c>
      <c r="Q1545" t="s">
        <v>159</v>
      </c>
      <c r="R1545">
        <v>42845.384479166663</v>
      </c>
      <c r="S1545">
        <v>43333.468611111108</v>
      </c>
      <c r="T1545" t="s">
        <v>84</v>
      </c>
      <c r="U1545" t="s">
        <v>35</v>
      </c>
      <c r="V1545" t="s">
        <v>35</v>
      </c>
      <c r="W1545" t="s">
        <v>4168</v>
      </c>
    </row>
    <row r="1546" spans="1:23" x14ac:dyDescent="0.25">
      <c r="A1546" t="s">
        <v>665</v>
      </c>
      <c r="B1546" s="19">
        <v>17341</v>
      </c>
      <c r="C1546" s="2">
        <f>HYPERLINK(URLs!B36 &amp; 98149,98149)</f>
        <v>98149</v>
      </c>
      <c r="D1546" t="s">
        <v>3496</v>
      </c>
      <c r="E1546" t="s">
        <v>82</v>
      </c>
      <c r="F1546" t="s">
        <v>305</v>
      </c>
      <c r="G1546" t="s">
        <v>353</v>
      </c>
      <c r="H1546" t="s">
        <v>54</v>
      </c>
      <c r="I1546" t="s">
        <v>31</v>
      </c>
      <c r="J1546" t="s">
        <v>43</v>
      </c>
      <c r="K1546" t="s">
        <v>44</v>
      </c>
      <c r="L1546" t="s">
        <v>73</v>
      </c>
      <c r="M1546" t="s">
        <v>263</v>
      </c>
      <c r="N1546" t="s">
        <v>60</v>
      </c>
      <c r="O1546" t="s">
        <v>3497</v>
      </c>
      <c r="P1546" t="s">
        <v>3498</v>
      </c>
      <c r="Q1546" t="s">
        <v>3459</v>
      </c>
      <c r="R1546">
        <v>42836.634479166663</v>
      </c>
      <c r="S1546">
        <v>43333.468622685185</v>
      </c>
      <c r="T1546" t="s">
        <v>86</v>
      </c>
      <c r="U1546" t="s">
        <v>35</v>
      </c>
      <c r="V1546" t="s">
        <v>35</v>
      </c>
      <c r="W1546" t="s">
        <v>4098</v>
      </c>
    </row>
    <row r="1547" spans="1:23" x14ac:dyDescent="0.25">
      <c r="A1547" t="s">
        <v>665</v>
      </c>
      <c r="B1547" s="19">
        <v>17341</v>
      </c>
      <c r="C1547" s="2">
        <f>HYPERLINK(URLs!B36 &amp; 95394,95394)</f>
        <v>95394</v>
      </c>
      <c r="D1547" t="s">
        <v>3421</v>
      </c>
      <c r="E1547" t="s">
        <v>91</v>
      </c>
      <c r="F1547" t="s">
        <v>305</v>
      </c>
      <c r="G1547" t="s">
        <v>304</v>
      </c>
      <c r="H1547" t="s">
        <v>56</v>
      </c>
      <c r="I1547" t="s">
        <v>31</v>
      </c>
      <c r="J1547" t="s">
        <v>32</v>
      </c>
      <c r="K1547" t="s">
        <v>51</v>
      </c>
      <c r="L1547" t="s">
        <v>73</v>
      </c>
      <c r="M1547" t="s">
        <v>263</v>
      </c>
      <c r="N1547" t="s">
        <v>60</v>
      </c>
      <c r="P1547" t="s">
        <v>85</v>
      </c>
      <c r="Q1547" t="s">
        <v>2481</v>
      </c>
      <c r="R1547">
        <v>42768.754606481481</v>
      </c>
      <c r="S1547">
        <v>42998.764537037037</v>
      </c>
      <c r="T1547" t="s">
        <v>86</v>
      </c>
      <c r="U1547" t="s">
        <v>35</v>
      </c>
      <c r="V1547" t="s">
        <v>35</v>
      </c>
      <c r="W1547" t="s">
        <v>4098</v>
      </c>
    </row>
    <row r="1548" spans="1:23" x14ac:dyDescent="0.25">
      <c r="A1548" t="s">
        <v>665</v>
      </c>
      <c r="B1548" s="19">
        <v>17351</v>
      </c>
      <c r="C1548" s="2">
        <f>HYPERLINK(URLs!B36 &amp; 98224,98224)</f>
        <v>98224</v>
      </c>
      <c r="D1548" t="s">
        <v>3502</v>
      </c>
      <c r="E1548" t="s">
        <v>108</v>
      </c>
      <c r="F1548" t="s">
        <v>305</v>
      </c>
      <c r="G1548" t="s">
        <v>1621</v>
      </c>
      <c r="H1548" t="s">
        <v>30</v>
      </c>
      <c r="I1548" t="s">
        <v>68</v>
      </c>
      <c r="J1548" t="s">
        <v>58</v>
      </c>
      <c r="K1548" t="s">
        <v>44</v>
      </c>
      <c r="L1548" t="s">
        <v>106</v>
      </c>
      <c r="M1548" t="s">
        <v>270</v>
      </c>
      <c r="N1548" t="s">
        <v>46</v>
      </c>
      <c r="P1548" t="s">
        <v>133</v>
      </c>
      <c r="Q1548" t="s">
        <v>3503</v>
      </c>
      <c r="R1548">
        <v>42838.428217592591</v>
      </c>
      <c r="S1548">
        <v>42867.218738425923</v>
      </c>
      <c r="T1548" t="s">
        <v>4</v>
      </c>
      <c r="U1548" t="s">
        <v>35</v>
      </c>
      <c r="V1548" t="s">
        <v>35</v>
      </c>
      <c r="W1548" t="s">
        <v>4126</v>
      </c>
    </row>
    <row r="1549" spans="1:23" x14ac:dyDescent="0.25">
      <c r="A1549" t="s">
        <v>665</v>
      </c>
      <c r="B1549" s="19">
        <v>17355</v>
      </c>
      <c r="C1549" s="2">
        <f>HYPERLINK(URLs!B36 &amp; 98255,98255)</f>
        <v>98255</v>
      </c>
      <c r="D1549" t="s">
        <v>3505</v>
      </c>
      <c r="E1549" t="s">
        <v>108</v>
      </c>
      <c r="F1549" t="s">
        <v>305</v>
      </c>
      <c r="G1549" t="s">
        <v>1621</v>
      </c>
      <c r="H1549" t="s">
        <v>30</v>
      </c>
      <c r="I1549" t="s">
        <v>68</v>
      </c>
      <c r="J1549" t="s">
        <v>58</v>
      </c>
      <c r="K1549" t="s">
        <v>44</v>
      </c>
      <c r="L1549" t="s">
        <v>106</v>
      </c>
      <c r="M1549" t="s">
        <v>270</v>
      </c>
      <c r="N1549" t="s">
        <v>46</v>
      </c>
      <c r="P1549" t="s">
        <v>133</v>
      </c>
      <c r="Q1549" t="s">
        <v>3503</v>
      </c>
      <c r="R1549">
        <v>42839.221284722225</v>
      </c>
      <c r="S1549">
        <v>42867.218402777777</v>
      </c>
      <c r="T1549" t="s">
        <v>4</v>
      </c>
      <c r="U1549" t="s">
        <v>35</v>
      </c>
      <c r="V1549" t="s">
        <v>35</v>
      </c>
      <c r="W1549" t="s">
        <v>4126</v>
      </c>
    </row>
    <row r="1550" spans="1:23" x14ac:dyDescent="0.25">
      <c r="A1550" t="s">
        <v>665</v>
      </c>
      <c r="B1550" s="19">
        <v>17360</v>
      </c>
      <c r="C1550" s="2">
        <f>HYPERLINK(URLs!B36 &amp; 107386,107386)</f>
        <v>107386</v>
      </c>
      <c r="D1550" t="s">
        <v>593</v>
      </c>
      <c r="E1550" t="s">
        <v>131</v>
      </c>
      <c r="F1550" t="s">
        <v>319</v>
      </c>
      <c r="G1550" t="s">
        <v>304</v>
      </c>
      <c r="H1550" t="s">
        <v>54</v>
      </c>
      <c r="I1550" t="s">
        <v>31</v>
      </c>
      <c r="J1550" t="s">
        <v>32</v>
      </c>
      <c r="K1550" t="s">
        <v>33</v>
      </c>
      <c r="L1550" t="s">
        <v>73</v>
      </c>
      <c r="M1550" t="s">
        <v>273</v>
      </c>
      <c r="N1550" t="s">
        <v>3761</v>
      </c>
      <c r="P1550" t="s">
        <v>133</v>
      </c>
      <c r="Q1550" t="s">
        <v>3762</v>
      </c>
      <c r="R1550">
        <v>43053.911932870367</v>
      </c>
      <c r="S1550">
        <v>43115.722916666666</v>
      </c>
      <c r="T1550" t="s">
        <v>53</v>
      </c>
      <c r="U1550" t="s">
        <v>35</v>
      </c>
      <c r="V1550" t="s">
        <v>35</v>
      </c>
      <c r="W1550" t="s">
        <v>4158</v>
      </c>
    </row>
    <row r="1551" spans="1:23" x14ac:dyDescent="0.25">
      <c r="A1551" t="s">
        <v>665</v>
      </c>
      <c r="B1551" s="19">
        <v>17360</v>
      </c>
      <c r="C1551" s="2">
        <f>HYPERLINK(URLs!B36 &amp; 104908,104908)</f>
        <v>104908</v>
      </c>
      <c r="D1551" t="s">
        <v>3712</v>
      </c>
      <c r="E1551" t="s">
        <v>72</v>
      </c>
      <c r="F1551" t="s">
        <v>305</v>
      </c>
      <c r="G1551" t="s">
        <v>304</v>
      </c>
      <c r="H1551" t="s">
        <v>116</v>
      </c>
      <c r="I1551" t="s">
        <v>31</v>
      </c>
      <c r="J1551" t="s">
        <v>32</v>
      </c>
      <c r="K1551" t="s">
        <v>33</v>
      </c>
      <c r="L1551" t="s">
        <v>73</v>
      </c>
      <c r="M1551" t="s">
        <v>263</v>
      </c>
      <c r="N1551" t="s">
        <v>510</v>
      </c>
      <c r="P1551" t="s">
        <v>133</v>
      </c>
      <c r="Q1551" t="s">
        <v>2944</v>
      </c>
      <c r="R1551">
        <v>42997.953449074077</v>
      </c>
      <c r="S1551">
        <v>43252.29896990741</v>
      </c>
      <c r="T1551" t="s">
        <v>131</v>
      </c>
      <c r="U1551" t="s">
        <v>4003</v>
      </c>
      <c r="V1551" t="s">
        <v>35</v>
      </c>
      <c r="W1551" t="s">
        <v>4171</v>
      </c>
    </row>
    <row r="1552" spans="1:23" x14ac:dyDescent="0.25">
      <c r="A1552" t="s">
        <v>665</v>
      </c>
      <c r="B1552" s="19">
        <v>17360</v>
      </c>
      <c r="C1552" s="2">
        <f>HYPERLINK(URLs!B36 &amp; 98612,98612)</f>
        <v>98612</v>
      </c>
      <c r="D1552" t="s">
        <v>552</v>
      </c>
      <c r="E1552" t="s">
        <v>131</v>
      </c>
      <c r="F1552" t="s">
        <v>305</v>
      </c>
      <c r="G1552" t="s">
        <v>337</v>
      </c>
      <c r="H1552" t="s">
        <v>54</v>
      </c>
      <c r="I1552" t="s">
        <v>31</v>
      </c>
      <c r="J1552" t="s">
        <v>32</v>
      </c>
      <c r="K1552" t="s">
        <v>33</v>
      </c>
      <c r="L1552" t="s">
        <v>73</v>
      </c>
      <c r="M1552" t="s">
        <v>273</v>
      </c>
      <c r="N1552" t="s">
        <v>46</v>
      </c>
      <c r="P1552" t="s">
        <v>133</v>
      </c>
      <c r="Q1552" t="s">
        <v>3708</v>
      </c>
      <c r="R1552">
        <v>42846.76390046296</v>
      </c>
      <c r="S1552">
        <v>43423.866724537038</v>
      </c>
      <c r="T1552" t="s">
        <v>548</v>
      </c>
      <c r="U1552" t="s">
        <v>35</v>
      </c>
      <c r="V1552" t="s">
        <v>35</v>
      </c>
      <c r="W1552" t="s">
        <v>4163</v>
      </c>
    </row>
    <row r="1553" spans="1:23" x14ac:dyDescent="0.25">
      <c r="A1553" t="s">
        <v>665</v>
      </c>
      <c r="B1553" s="19">
        <v>17360</v>
      </c>
      <c r="C1553" s="2">
        <f>HYPERLINK(URLs!B36 &amp; 98610,98610)</f>
        <v>98610</v>
      </c>
      <c r="D1553" t="s">
        <v>551</v>
      </c>
      <c r="E1553" t="s">
        <v>131</v>
      </c>
      <c r="F1553" t="s">
        <v>305</v>
      </c>
      <c r="G1553" t="s">
        <v>337</v>
      </c>
      <c r="H1553" t="s">
        <v>54</v>
      </c>
      <c r="I1553" t="s">
        <v>31</v>
      </c>
      <c r="J1553" t="s">
        <v>32</v>
      </c>
      <c r="K1553" t="s">
        <v>33</v>
      </c>
      <c r="L1553" t="s">
        <v>73</v>
      </c>
      <c r="M1553" t="s">
        <v>273</v>
      </c>
      <c r="N1553" t="s">
        <v>523</v>
      </c>
      <c r="P1553" t="s">
        <v>133</v>
      </c>
      <c r="Q1553" t="s">
        <v>3708</v>
      </c>
      <c r="R1553">
        <v>42846.761122685188</v>
      </c>
      <c r="S1553">
        <v>43423.863645833335</v>
      </c>
      <c r="T1553" t="s">
        <v>548</v>
      </c>
      <c r="U1553" t="s">
        <v>35</v>
      </c>
      <c r="V1553" t="s">
        <v>35</v>
      </c>
      <c r="W1553" t="s">
        <v>4156</v>
      </c>
    </row>
    <row r="1554" spans="1:23" x14ac:dyDescent="0.25">
      <c r="A1554" t="s">
        <v>665</v>
      </c>
      <c r="B1554" s="19">
        <v>17360</v>
      </c>
      <c r="C1554" s="2">
        <f>HYPERLINK(URLs!B36 &amp; 97646,97646)</f>
        <v>97646</v>
      </c>
      <c r="D1554" t="s">
        <v>3477</v>
      </c>
      <c r="E1554" t="s">
        <v>131</v>
      </c>
      <c r="F1554" t="s">
        <v>305</v>
      </c>
      <c r="G1554" t="s">
        <v>304</v>
      </c>
      <c r="H1554" t="s">
        <v>54</v>
      </c>
      <c r="I1554" t="s">
        <v>31</v>
      </c>
      <c r="J1554" t="s">
        <v>32</v>
      </c>
      <c r="K1554" t="s">
        <v>33</v>
      </c>
      <c r="L1554" t="s">
        <v>73</v>
      </c>
      <c r="M1554" t="s">
        <v>273</v>
      </c>
      <c r="N1554" t="s">
        <v>518</v>
      </c>
      <c r="P1554" t="s">
        <v>133</v>
      </c>
      <c r="Q1554" t="s">
        <v>2944</v>
      </c>
      <c r="R1554">
        <v>42823.843645833331</v>
      </c>
      <c r="S1554">
        <v>43214.207303240742</v>
      </c>
      <c r="T1554" t="s">
        <v>301</v>
      </c>
      <c r="U1554" t="s">
        <v>3993</v>
      </c>
      <c r="V1554" t="s">
        <v>35</v>
      </c>
      <c r="W1554" t="s">
        <v>307</v>
      </c>
    </row>
    <row r="1555" spans="1:23" x14ac:dyDescent="0.25">
      <c r="A1555" t="s">
        <v>665</v>
      </c>
      <c r="B1555" s="19">
        <v>17360</v>
      </c>
      <c r="C1555" s="2">
        <f>HYPERLINK(URLs!B36 &amp; 97543,97543)</f>
        <v>97543</v>
      </c>
      <c r="D1555" t="s">
        <v>3470</v>
      </c>
      <c r="E1555" t="s">
        <v>131</v>
      </c>
      <c r="F1555" t="s">
        <v>305</v>
      </c>
      <c r="G1555" t="s">
        <v>337</v>
      </c>
      <c r="H1555" t="s">
        <v>54</v>
      </c>
      <c r="I1555" t="s">
        <v>31</v>
      </c>
      <c r="J1555" t="s">
        <v>32</v>
      </c>
      <c r="K1555" t="s">
        <v>33</v>
      </c>
      <c r="L1555" t="s">
        <v>73</v>
      </c>
      <c r="M1555" t="s">
        <v>273</v>
      </c>
      <c r="N1555" t="s">
        <v>561</v>
      </c>
      <c r="O1555" t="s">
        <v>132</v>
      </c>
      <c r="P1555" t="s">
        <v>133</v>
      </c>
      <c r="Q1555" t="s">
        <v>2944</v>
      </c>
      <c r="R1555">
        <v>42822.246874999997</v>
      </c>
      <c r="S1555">
        <v>43171.68650462963</v>
      </c>
      <c r="T1555" t="s">
        <v>82</v>
      </c>
      <c r="U1555" t="s">
        <v>35</v>
      </c>
      <c r="V1555" t="s">
        <v>35</v>
      </c>
      <c r="W1555" t="s">
        <v>69</v>
      </c>
    </row>
    <row r="1556" spans="1:23" x14ac:dyDescent="0.25">
      <c r="A1556" t="s">
        <v>665</v>
      </c>
      <c r="B1556" s="19">
        <v>17360</v>
      </c>
      <c r="C1556" s="2">
        <f>HYPERLINK(URLs!B36 &amp; 97056,97056)</f>
        <v>97056</v>
      </c>
      <c r="D1556" t="s">
        <v>130</v>
      </c>
      <c r="E1556" t="s">
        <v>131</v>
      </c>
      <c r="F1556" t="s">
        <v>319</v>
      </c>
      <c r="G1556" t="s">
        <v>304</v>
      </c>
      <c r="H1556" t="s">
        <v>54</v>
      </c>
      <c r="I1556" t="s">
        <v>31</v>
      </c>
      <c r="J1556" t="s">
        <v>32</v>
      </c>
      <c r="K1556" t="s">
        <v>33</v>
      </c>
      <c r="L1556" t="s">
        <v>73</v>
      </c>
      <c r="M1556" t="s">
        <v>273</v>
      </c>
      <c r="N1556" t="s">
        <v>60</v>
      </c>
      <c r="O1556" t="s">
        <v>132</v>
      </c>
      <c r="P1556" t="s">
        <v>133</v>
      </c>
      <c r="Q1556" t="s">
        <v>3708</v>
      </c>
      <c r="R1556">
        <v>42808.529050925928</v>
      </c>
      <c r="S1556">
        <v>43423.89025462963</v>
      </c>
      <c r="T1556" t="s">
        <v>134</v>
      </c>
      <c r="U1556" t="s">
        <v>35</v>
      </c>
      <c r="V1556" t="s">
        <v>35</v>
      </c>
      <c r="W1556" t="s">
        <v>4098</v>
      </c>
    </row>
    <row r="1557" spans="1:23" x14ac:dyDescent="0.25">
      <c r="A1557" t="s">
        <v>665</v>
      </c>
      <c r="B1557" s="19">
        <v>17367</v>
      </c>
      <c r="C1557" s="2">
        <f>HYPERLINK(URLs!B36 &amp; 98278,98278)</f>
        <v>98278</v>
      </c>
      <c r="D1557" t="s">
        <v>3507</v>
      </c>
      <c r="E1557" t="s">
        <v>335</v>
      </c>
      <c r="F1557" t="s">
        <v>305</v>
      </c>
      <c r="G1557" t="s">
        <v>304</v>
      </c>
      <c r="H1557" t="s">
        <v>30</v>
      </c>
      <c r="I1557" t="s">
        <v>68</v>
      </c>
      <c r="J1557" t="s">
        <v>58</v>
      </c>
      <c r="K1557" t="s">
        <v>44</v>
      </c>
      <c r="L1557" t="s">
        <v>73</v>
      </c>
      <c r="M1557" t="s">
        <v>277</v>
      </c>
      <c r="N1557" t="s">
        <v>46</v>
      </c>
      <c r="O1557" t="s">
        <v>3017</v>
      </c>
      <c r="P1557" t="s">
        <v>77</v>
      </c>
      <c r="Q1557" t="s">
        <v>1503</v>
      </c>
      <c r="R1557">
        <v>42842.175995370373</v>
      </c>
      <c r="S1557">
        <v>43215.183657407404</v>
      </c>
      <c r="T1557" t="s">
        <v>4</v>
      </c>
      <c r="U1557" t="s">
        <v>35</v>
      </c>
      <c r="V1557" t="s">
        <v>35</v>
      </c>
      <c r="W1557" t="s">
        <v>307</v>
      </c>
    </row>
    <row r="1558" spans="1:23" x14ac:dyDescent="0.25">
      <c r="A1558" t="s">
        <v>633</v>
      </c>
      <c r="B1558" s="19">
        <v>17373</v>
      </c>
      <c r="C1558" s="2">
        <f>HYPERLINK(URLs!B36 &amp; 101886,101886)</f>
        <v>101886</v>
      </c>
      <c r="D1558" t="s">
        <v>3624</v>
      </c>
      <c r="E1558" t="s">
        <v>64</v>
      </c>
      <c r="F1558" t="s">
        <v>319</v>
      </c>
      <c r="G1558" t="s">
        <v>304</v>
      </c>
      <c r="H1558" t="s">
        <v>54</v>
      </c>
      <c r="I1558" t="s">
        <v>31</v>
      </c>
      <c r="J1558" t="s">
        <v>32</v>
      </c>
      <c r="K1558" t="s">
        <v>33</v>
      </c>
      <c r="L1558" t="s">
        <v>52</v>
      </c>
      <c r="M1558" t="s">
        <v>272</v>
      </c>
      <c r="N1558" t="s">
        <v>518</v>
      </c>
      <c r="P1558" t="s">
        <v>107</v>
      </c>
      <c r="Q1558" t="s">
        <v>2854</v>
      </c>
      <c r="R1558">
        <v>42921.930972222224</v>
      </c>
      <c r="S1558">
        <v>43004.471504629626</v>
      </c>
      <c r="T1558" t="s">
        <v>53</v>
      </c>
      <c r="U1558" t="s">
        <v>35</v>
      </c>
      <c r="V1558" t="s">
        <v>35</v>
      </c>
      <c r="W1558" t="s">
        <v>4143</v>
      </c>
    </row>
    <row r="1559" spans="1:23" x14ac:dyDescent="0.25">
      <c r="A1559" t="s">
        <v>633</v>
      </c>
      <c r="B1559" s="19">
        <v>17373</v>
      </c>
      <c r="C1559" s="2">
        <f>HYPERLINK(URLs!B36 &amp; 101885,101885)</f>
        <v>101885</v>
      </c>
      <c r="D1559" t="s">
        <v>3623</v>
      </c>
      <c r="E1559" t="s">
        <v>173</v>
      </c>
      <c r="F1559" t="s">
        <v>305</v>
      </c>
      <c r="G1559" t="s">
        <v>304</v>
      </c>
      <c r="H1559" t="s">
        <v>54</v>
      </c>
      <c r="I1559" t="s">
        <v>31</v>
      </c>
      <c r="J1559" t="s">
        <v>32</v>
      </c>
      <c r="K1559" t="s">
        <v>33</v>
      </c>
      <c r="L1559" t="s">
        <v>52</v>
      </c>
      <c r="M1559" t="s">
        <v>272</v>
      </c>
      <c r="N1559" t="s">
        <v>518</v>
      </c>
      <c r="O1559" t="s">
        <v>4185</v>
      </c>
      <c r="P1559" t="s">
        <v>107</v>
      </c>
      <c r="Q1559" t="s">
        <v>2854</v>
      </c>
      <c r="R1559">
        <v>42921.929745370369</v>
      </c>
      <c r="S1559">
        <v>43231.07403935185</v>
      </c>
      <c r="T1559" t="s">
        <v>53</v>
      </c>
      <c r="U1559" t="s">
        <v>4017</v>
      </c>
      <c r="V1559" t="s">
        <v>35</v>
      </c>
      <c r="W1559" t="s">
        <v>307</v>
      </c>
    </row>
    <row r="1560" spans="1:23" x14ac:dyDescent="0.25">
      <c r="A1560" t="s">
        <v>633</v>
      </c>
      <c r="B1560" s="19">
        <v>17373</v>
      </c>
      <c r="C1560" s="2">
        <f>HYPERLINK(URLs!B36 &amp; 101884,101884)</f>
        <v>101884</v>
      </c>
      <c r="D1560" t="s">
        <v>172</v>
      </c>
      <c r="E1560" t="s">
        <v>173</v>
      </c>
      <c r="F1560" t="s">
        <v>67</v>
      </c>
      <c r="H1560" t="s">
        <v>54</v>
      </c>
      <c r="I1560" t="s">
        <v>31</v>
      </c>
      <c r="J1560" t="s">
        <v>32</v>
      </c>
      <c r="K1560" t="s">
        <v>33</v>
      </c>
      <c r="L1560" t="s">
        <v>52</v>
      </c>
      <c r="M1560" t="s">
        <v>272</v>
      </c>
      <c r="N1560" t="s">
        <v>60</v>
      </c>
      <c r="P1560" t="s">
        <v>107</v>
      </c>
      <c r="R1560">
        <v>42921.929756944446</v>
      </c>
      <c r="S1560">
        <v>42921.930972222224</v>
      </c>
      <c r="T1560" t="s">
        <v>53</v>
      </c>
      <c r="U1560" t="s">
        <v>35</v>
      </c>
      <c r="V1560" t="s">
        <v>321</v>
      </c>
      <c r="W1560" t="s">
        <v>4098</v>
      </c>
    </row>
    <row r="1561" spans="1:23" x14ac:dyDescent="0.25">
      <c r="A1561" t="s">
        <v>633</v>
      </c>
      <c r="B1561" s="19">
        <v>17373</v>
      </c>
      <c r="C1561" s="2">
        <f>HYPERLINK(URLs!B36 &amp; 98359,98359)</f>
        <v>98359</v>
      </c>
      <c r="D1561" t="s">
        <v>3508</v>
      </c>
      <c r="E1561" t="s">
        <v>173</v>
      </c>
      <c r="F1561" t="s">
        <v>305</v>
      </c>
      <c r="G1561" t="s">
        <v>337</v>
      </c>
      <c r="H1561" t="s">
        <v>54</v>
      </c>
      <c r="I1561" t="s">
        <v>31</v>
      </c>
      <c r="J1561" t="s">
        <v>32</v>
      </c>
      <c r="K1561" t="s">
        <v>33</v>
      </c>
      <c r="L1561" t="s">
        <v>52</v>
      </c>
      <c r="M1561" t="s">
        <v>272</v>
      </c>
      <c r="N1561" t="s">
        <v>60</v>
      </c>
      <c r="P1561" t="s">
        <v>107</v>
      </c>
      <c r="Q1561" t="s">
        <v>3509</v>
      </c>
      <c r="R1561">
        <v>42842.912604166668</v>
      </c>
      <c r="S1561">
        <v>42969.481134259258</v>
      </c>
      <c r="T1561" t="s">
        <v>1</v>
      </c>
      <c r="U1561" t="s">
        <v>35</v>
      </c>
      <c r="V1561" t="s">
        <v>321</v>
      </c>
      <c r="W1561" t="s">
        <v>69</v>
      </c>
    </row>
    <row r="1562" spans="1:23" x14ac:dyDescent="0.25">
      <c r="A1562" t="s">
        <v>633</v>
      </c>
      <c r="B1562" s="19">
        <v>17441</v>
      </c>
      <c r="C1562" s="2">
        <f>HYPERLINK(URLs!B36 &amp; 98775,98775)</f>
        <v>98775</v>
      </c>
      <c r="D1562" t="s">
        <v>3528</v>
      </c>
      <c r="E1562" t="s">
        <v>110</v>
      </c>
      <c r="F1562" t="s">
        <v>305</v>
      </c>
      <c r="G1562" t="s">
        <v>304</v>
      </c>
      <c r="H1562" t="s">
        <v>116</v>
      </c>
      <c r="I1562" t="s">
        <v>31</v>
      </c>
      <c r="J1562" t="s">
        <v>32</v>
      </c>
      <c r="K1562" t="s">
        <v>33</v>
      </c>
      <c r="L1562" t="s">
        <v>73</v>
      </c>
      <c r="M1562" t="s">
        <v>263</v>
      </c>
      <c r="N1562" t="s">
        <v>510</v>
      </c>
      <c r="P1562" t="s">
        <v>107</v>
      </c>
      <c r="Q1562" t="s">
        <v>107</v>
      </c>
      <c r="R1562">
        <v>42851.836145833331</v>
      </c>
      <c r="S1562">
        <v>43230.945277777777</v>
      </c>
      <c r="T1562" t="s">
        <v>301</v>
      </c>
      <c r="U1562" t="s">
        <v>4015</v>
      </c>
      <c r="V1562" t="s">
        <v>35</v>
      </c>
      <c r="W1562" t="s">
        <v>307</v>
      </c>
    </row>
    <row r="1563" spans="1:23" x14ac:dyDescent="0.25">
      <c r="A1563" t="s">
        <v>633</v>
      </c>
      <c r="B1563" s="19">
        <v>17441</v>
      </c>
      <c r="C1563" s="2">
        <f>HYPERLINK(URLs!B36 &amp; 98767,98767)</f>
        <v>98767</v>
      </c>
      <c r="D1563" t="s">
        <v>3527</v>
      </c>
      <c r="E1563" t="s">
        <v>110</v>
      </c>
      <c r="F1563" t="s">
        <v>305</v>
      </c>
      <c r="G1563" t="s">
        <v>304</v>
      </c>
      <c r="H1563" t="s">
        <v>54</v>
      </c>
      <c r="I1563" t="s">
        <v>31</v>
      </c>
      <c r="J1563" t="s">
        <v>32</v>
      </c>
      <c r="K1563" t="s">
        <v>33</v>
      </c>
      <c r="L1563" t="s">
        <v>73</v>
      </c>
      <c r="M1563" t="s">
        <v>263</v>
      </c>
      <c r="N1563" t="s">
        <v>60</v>
      </c>
      <c r="P1563" t="s">
        <v>107</v>
      </c>
      <c r="Q1563" t="s">
        <v>107</v>
      </c>
      <c r="R1563">
        <v>42851.713229166664</v>
      </c>
      <c r="S1563">
        <v>42947.89298611111</v>
      </c>
      <c r="T1563" t="s">
        <v>301</v>
      </c>
      <c r="U1563" t="s">
        <v>4010</v>
      </c>
      <c r="V1563" t="s">
        <v>35</v>
      </c>
      <c r="W1563" t="s">
        <v>69</v>
      </c>
    </row>
    <row r="1564" spans="1:23" x14ac:dyDescent="0.25">
      <c r="A1564" t="s">
        <v>633</v>
      </c>
      <c r="B1564" s="19">
        <v>17441</v>
      </c>
      <c r="C1564" s="2">
        <f>HYPERLINK(URLs!B36 &amp; 98671,98671)</f>
        <v>98671</v>
      </c>
      <c r="D1564" t="s">
        <v>3516</v>
      </c>
      <c r="E1564" t="s">
        <v>110</v>
      </c>
      <c r="F1564" t="s">
        <v>319</v>
      </c>
      <c r="G1564" t="s">
        <v>304</v>
      </c>
      <c r="H1564" t="s">
        <v>54</v>
      </c>
      <c r="I1564" t="s">
        <v>31</v>
      </c>
      <c r="J1564" t="s">
        <v>32</v>
      </c>
      <c r="K1564" t="s">
        <v>33</v>
      </c>
      <c r="L1564" t="s">
        <v>73</v>
      </c>
      <c r="M1564" t="s">
        <v>263</v>
      </c>
      <c r="N1564" t="s">
        <v>60</v>
      </c>
      <c r="O1564" t="s">
        <v>132</v>
      </c>
      <c r="P1564" t="s">
        <v>107</v>
      </c>
      <c r="Q1564" t="s">
        <v>159</v>
      </c>
      <c r="R1564">
        <v>42849.672395833331</v>
      </c>
      <c r="S1564">
        <v>42899.729004629633</v>
      </c>
      <c r="T1564" t="s">
        <v>1</v>
      </c>
      <c r="U1564" t="s">
        <v>35</v>
      </c>
      <c r="V1564" t="s">
        <v>35</v>
      </c>
      <c r="W1564" t="s">
        <v>4098</v>
      </c>
    </row>
    <row r="1565" spans="1:23" x14ac:dyDescent="0.25">
      <c r="A1565" t="s">
        <v>665</v>
      </c>
      <c r="B1565" s="19">
        <v>17461</v>
      </c>
      <c r="C1565" s="2">
        <f>HYPERLINK(URLs!B36 &amp; 112996,112996)</f>
        <v>112996</v>
      </c>
      <c r="D1565" t="s">
        <v>4424</v>
      </c>
      <c r="E1565" t="s">
        <v>91</v>
      </c>
      <c r="F1565" t="s">
        <v>305</v>
      </c>
      <c r="G1565" t="s">
        <v>304</v>
      </c>
      <c r="H1565" t="s">
        <v>54</v>
      </c>
      <c r="I1565" t="s">
        <v>31</v>
      </c>
      <c r="J1565" t="s">
        <v>32</v>
      </c>
      <c r="K1565" t="s">
        <v>33</v>
      </c>
      <c r="L1565" t="s">
        <v>73</v>
      </c>
      <c r="M1565" t="s">
        <v>263</v>
      </c>
      <c r="N1565" t="s">
        <v>3724</v>
      </c>
      <c r="P1565" t="s">
        <v>107</v>
      </c>
      <c r="Q1565" t="s">
        <v>2481</v>
      </c>
      <c r="R1565">
        <v>43222.27003472222</v>
      </c>
      <c r="S1565">
        <v>43360.588425925926</v>
      </c>
      <c r="T1565" t="s">
        <v>91</v>
      </c>
      <c r="U1565" t="s">
        <v>35</v>
      </c>
      <c r="V1565" t="s">
        <v>321</v>
      </c>
      <c r="W1565" t="s">
        <v>4231</v>
      </c>
    </row>
    <row r="1566" spans="1:23" x14ac:dyDescent="0.25">
      <c r="A1566" t="s">
        <v>665</v>
      </c>
      <c r="B1566" s="19">
        <v>17461</v>
      </c>
      <c r="C1566" s="2">
        <f>HYPERLINK(URLs!B36 &amp; 110126,110126)</f>
        <v>110126</v>
      </c>
      <c r="D1566" t="s">
        <v>4330</v>
      </c>
      <c r="E1566" t="s">
        <v>387</v>
      </c>
      <c r="F1566" t="s">
        <v>305</v>
      </c>
      <c r="G1566" t="s">
        <v>337</v>
      </c>
      <c r="H1566" t="s">
        <v>54</v>
      </c>
      <c r="I1566" t="s">
        <v>31</v>
      </c>
      <c r="J1566" t="s">
        <v>32</v>
      </c>
      <c r="K1566" t="s">
        <v>44</v>
      </c>
      <c r="L1566" t="s">
        <v>73</v>
      </c>
      <c r="M1566" t="s">
        <v>263</v>
      </c>
      <c r="N1566" t="s">
        <v>4332</v>
      </c>
      <c r="O1566" t="s">
        <v>3682</v>
      </c>
      <c r="P1566" t="s">
        <v>107</v>
      </c>
      <c r="Q1566" t="s">
        <v>2481</v>
      </c>
      <c r="R1566">
        <v>43137.667175925926</v>
      </c>
      <c r="S1566">
        <v>43333.575104166666</v>
      </c>
      <c r="T1566" t="s">
        <v>301</v>
      </c>
      <c r="U1566" t="s">
        <v>35</v>
      </c>
      <c r="V1566" t="s">
        <v>321</v>
      </c>
      <c r="W1566" t="s">
        <v>4331</v>
      </c>
    </row>
    <row r="1567" spans="1:23" x14ac:dyDescent="0.25">
      <c r="A1567" t="s">
        <v>665</v>
      </c>
      <c r="B1567" s="19">
        <v>17461</v>
      </c>
      <c r="C1567" s="2">
        <f>HYPERLINK(URLs!B36 &amp; 108525,108525)</f>
        <v>108525</v>
      </c>
      <c r="D1567" t="s">
        <v>4235</v>
      </c>
      <c r="E1567" t="s">
        <v>490</v>
      </c>
      <c r="F1567" t="s">
        <v>305</v>
      </c>
      <c r="G1567" t="s">
        <v>304</v>
      </c>
      <c r="H1567" t="s">
        <v>54</v>
      </c>
      <c r="I1567" t="s">
        <v>31</v>
      </c>
      <c r="J1567" t="s">
        <v>32</v>
      </c>
      <c r="K1567" t="s">
        <v>33</v>
      </c>
      <c r="L1567" t="s">
        <v>73</v>
      </c>
      <c r="M1567" t="s">
        <v>263</v>
      </c>
      <c r="N1567" t="s">
        <v>3724</v>
      </c>
      <c r="P1567" t="s">
        <v>107</v>
      </c>
      <c r="Q1567" t="s">
        <v>2481</v>
      </c>
      <c r="R1567">
        <v>43078.317824074074</v>
      </c>
      <c r="S1567">
        <v>43286.3515162037</v>
      </c>
      <c r="T1567" t="s">
        <v>72</v>
      </c>
      <c r="U1567" t="s">
        <v>35</v>
      </c>
      <c r="V1567" t="s">
        <v>321</v>
      </c>
      <c r="W1567" t="s">
        <v>4236</v>
      </c>
    </row>
    <row r="1568" spans="1:23" x14ac:dyDescent="0.25">
      <c r="A1568" t="s">
        <v>665</v>
      </c>
      <c r="B1568" s="19">
        <v>17461</v>
      </c>
      <c r="C1568" s="2">
        <f>HYPERLINK(URLs!B36 &amp; 108454,108454)</f>
        <v>108454</v>
      </c>
      <c r="D1568" t="s">
        <v>3760</v>
      </c>
      <c r="E1568" t="s">
        <v>91</v>
      </c>
      <c r="F1568" t="s">
        <v>305</v>
      </c>
      <c r="G1568" t="s">
        <v>304</v>
      </c>
      <c r="H1568" t="s">
        <v>54</v>
      </c>
      <c r="I1568" t="s">
        <v>31</v>
      </c>
      <c r="J1568" t="s">
        <v>32</v>
      </c>
      <c r="K1568" t="s">
        <v>33</v>
      </c>
      <c r="L1568" t="s">
        <v>73</v>
      </c>
      <c r="M1568" t="s">
        <v>263</v>
      </c>
      <c r="N1568" t="s">
        <v>3724</v>
      </c>
      <c r="P1568" t="s">
        <v>107</v>
      </c>
      <c r="Q1568" t="s">
        <v>2481</v>
      </c>
      <c r="R1568">
        <v>43076.552210648151</v>
      </c>
      <c r="S1568">
        <v>43285.14371527778</v>
      </c>
      <c r="T1568" t="s">
        <v>72</v>
      </c>
      <c r="U1568" t="s">
        <v>35</v>
      </c>
      <c r="V1568" t="s">
        <v>321</v>
      </c>
      <c r="W1568" t="s">
        <v>4169</v>
      </c>
    </row>
    <row r="1569" spans="1:23" x14ac:dyDescent="0.25">
      <c r="A1569" t="s">
        <v>665</v>
      </c>
      <c r="B1569" s="19">
        <v>17461</v>
      </c>
      <c r="C1569" s="2">
        <f>HYPERLINK(URLs!B36 &amp; 104095,104095)</f>
        <v>104095</v>
      </c>
      <c r="D1569" t="s">
        <v>3680</v>
      </c>
      <c r="E1569" t="s">
        <v>521</v>
      </c>
      <c r="F1569" t="s">
        <v>305</v>
      </c>
      <c r="G1569" t="s">
        <v>304</v>
      </c>
      <c r="H1569" t="s">
        <v>116</v>
      </c>
      <c r="I1569" t="s">
        <v>31</v>
      </c>
      <c r="J1569" t="s">
        <v>32</v>
      </c>
      <c r="K1569" t="s">
        <v>33</v>
      </c>
      <c r="L1569" t="s">
        <v>73</v>
      </c>
      <c r="M1569" t="s">
        <v>263</v>
      </c>
      <c r="N1569" t="s">
        <v>518</v>
      </c>
      <c r="P1569" t="s">
        <v>107</v>
      </c>
      <c r="Q1569" t="s">
        <v>2481</v>
      </c>
      <c r="R1569">
        <v>42976.706342592595</v>
      </c>
      <c r="S1569">
        <v>43215.978379629632</v>
      </c>
      <c r="T1569" t="s">
        <v>301</v>
      </c>
      <c r="U1569" t="s">
        <v>4025</v>
      </c>
      <c r="V1569" t="s">
        <v>321</v>
      </c>
      <c r="W1569" t="s">
        <v>4172</v>
      </c>
    </row>
    <row r="1570" spans="1:23" x14ac:dyDescent="0.25">
      <c r="A1570" t="s">
        <v>665</v>
      </c>
      <c r="B1570" s="19">
        <v>17461</v>
      </c>
      <c r="C1570" s="2">
        <f>HYPERLINK(URLs!B36 &amp; 98756,98756)</f>
        <v>98756</v>
      </c>
      <c r="D1570" t="s">
        <v>3526</v>
      </c>
      <c r="E1570" t="s">
        <v>3313</v>
      </c>
      <c r="F1570" t="s">
        <v>305</v>
      </c>
      <c r="G1570" t="s">
        <v>304</v>
      </c>
      <c r="H1570" t="s">
        <v>116</v>
      </c>
      <c r="I1570" t="s">
        <v>31</v>
      </c>
      <c r="J1570" t="s">
        <v>32</v>
      </c>
      <c r="K1570" t="s">
        <v>33</v>
      </c>
      <c r="L1570" t="s">
        <v>73</v>
      </c>
      <c r="M1570" t="s">
        <v>263</v>
      </c>
      <c r="N1570" t="s">
        <v>518</v>
      </c>
      <c r="P1570" t="s">
        <v>107</v>
      </c>
      <c r="Q1570" t="s">
        <v>107</v>
      </c>
      <c r="R1570">
        <v>42851.55909722222</v>
      </c>
      <c r="S1570">
        <v>43215.183645833335</v>
      </c>
      <c r="T1570" t="s">
        <v>288</v>
      </c>
      <c r="U1570" t="s">
        <v>4014</v>
      </c>
      <c r="V1570" t="s">
        <v>321</v>
      </c>
      <c r="W1570" t="s">
        <v>307</v>
      </c>
    </row>
    <row r="1571" spans="1:23" x14ac:dyDescent="0.25">
      <c r="A1571" t="s">
        <v>665</v>
      </c>
      <c r="B1571" s="19">
        <v>17461</v>
      </c>
      <c r="C1571" s="2">
        <f>HYPERLINK(URLs!B36 &amp; 98755,98755)</f>
        <v>98755</v>
      </c>
      <c r="D1571" t="s">
        <v>3525</v>
      </c>
      <c r="E1571" t="s">
        <v>3313</v>
      </c>
      <c r="F1571" t="s">
        <v>29</v>
      </c>
      <c r="H1571" t="s">
        <v>54</v>
      </c>
      <c r="I1571" t="s">
        <v>31</v>
      </c>
      <c r="J1571" t="s">
        <v>32</v>
      </c>
      <c r="K1571" t="s">
        <v>33</v>
      </c>
      <c r="L1571" t="s">
        <v>73</v>
      </c>
      <c r="M1571" t="s">
        <v>263</v>
      </c>
      <c r="N1571" t="s">
        <v>3724</v>
      </c>
      <c r="P1571" t="s">
        <v>107</v>
      </c>
      <c r="Q1571" t="s">
        <v>2481</v>
      </c>
      <c r="R1571">
        <v>42851.559108796297</v>
      </c>
      <c r="S1571">
        <v>43222.27003472222</v>
      </c>
      <c r="T1571" t="s">
        <v>288</v>
      </c>
      <c r="U1571" t="s">
        <v>35</v>
      </c>
      <c r="V1571" t="s">
        <v>321</v>
      </c>
      <c r="W1571" t="s">
        <v>4098</v>
      </c>
    </row>
    <row r="1572" spans="1:23" x14ac:dyDescent="0.25">
      <c r="A1572" t="s">
        <v>665</v>
      </c>
      <c r="B1572" s="19">
        <v>17461</v>
      </c>
      <c r="C1572" s="2">
        <f>HYPERLINK(URLs!B36 &amp; 98719,98719)</f>
        <v>98719</v>
      </c>
      <c r="D1572" t="s">
        <v>3520</v>
      </c>
      <c r="E1572" t="s">
        <v>131</v>
      </c>
      <c r="F1572" t="s">
        <v>305</v>
      </c>
      <c r="G1572" t="s">
        <v>337</v>
      </c>
      <c r="H1572" t="s">
        <v>54</v>
      </c>
      <c r="I1572" t="s">
        <v>31</v>
      </c>
      <c r="J1572" t="s">
        <v>32</v>
      </c>
      <c r="K1572" t="s">
        <v>33</v>
      </c>
      <c r="L1572" t="s">
        <v>73</v>
      </c>
      <c r="M1572" t="s">
        <v>263</v>
      </c>
      <c r="N1572" t="s">
        <v>60</v>
      </c>
      <c r="P1572" t="s">
        <v>107</v>
      </c>
      <c r="Q1572" t="s">
        <v>3521</v>
      </c>
      <c r="R1572">
        <v>42850.847083333334</v>
      </c>
      <c r="S1572">
        <v>42969.481076388889</v>
      </c>
      <c r="T1572" t="s">
        <v>1</v>
      </c>
      <c r="U1572" t="s">
        <v>35</v>
      </c>
      <c r="V1572" t="s">
        <v>321</v>
      </c>
      <c r="W1572" t="s">
        <v>69</v>
      </c>
    </row>
    <row r="1573" spans="1:23" x14ac:dyDescent="0.25">
      <c r="A1573" t="s">
        <v>633</v>
      </c>
      <c r="B1573" s="19">
        <v>17486</v>
      </c>
      <c r="C1573" s="2">
        <f>HYPERLINK(URLs!B36 &amp; 103460,103460)</f>
        <v>103460</v>
      </c>
      <c r="D1573" t="s">
        <v>567</v>
      </c>
      <c r="E1573" t="s">
        <v>175</v>
      </c>
      <c r="F1573" t="s">
        <v>305</v>
      </c>
      <c r="G1573" t="s">
        <v>337</v>
      </c>
      <c r="H1573" t="s">
        <v>54</v>
      </c>
      <c r="I1573" t="s">
        <v>31</v>
      </c>
      <c r="J1573" t="s">
        <v>43</v>
      </c>
      <c r="K1573" t="s">
        <v>44</v>
      </c>
      <c r="L1573" t="s">
        <v>34</v>
      </c>
      <c r="M1573" t="s">
        <v>278</v>
      </c>
      <c r="N1573" t="s">
        <v>518</v>
      </c>
      <c r="O1573" t="s">
        <v>515</v>
      </c>
      <c r="P1573" t="s">
        <v>107</v>
      </c>
      <c r="Q1573" t="s">
        <v>1503</v>
      </c>
      <c r="R1573">
        <v>42956.967685185184</v>
      </c>
      <c r="S1573">
        <v>43242.728819444441</v>
      </c>
      <c r="T1573" t="s">
        <v>53</v>
      </c>
      <c r="U1573" t="s">
        <v>35</v>
      </c>
      <c r="V1573" t="s">
        <v>35</v>
      </c>
      <c r="W1573" t="s">
        <v>4167</v>
      </c>
    </row>
    <row r="1574" spans="1:23" x14ac:dyDescent="0.25">
      <c r="A1574" t="s">
        <v>633</v>
      </c>
      <c r="B1574" s="19">
        <v>17486</v>
      </c>
      <c r="C1574" s="2">
        <f>HYPERLINK(URLs!B36 &amp; 98975,98975)</f>
        <v>98975</v>
      </c>
      <c r="D1574" t="s">
        <v>3547</v>
      </c>
      <c r="E1574" t="s">
        <v>167</v>
      </c>
      <c r="F1574" t="s">
        <v>305</v>
      </c>
      <c r="G1574" t="s">
        <v>337</v>
      </c>
      <c r="H1574" t="s">
        <v>54</v>
      </c>
      <c r="I1574" t="s">
        <v>31</v>
      </c>
      <c r="J1574" t="s">
        <v>43</v>
      </c>
      <c r="K1574" t="s">
        <v>44</v>
      </c>
      <c r="L1574" t="s">
        <v>34</v>
      </c>
      <c r="M1574" t="s">
        <v>278</v>
      </c>
      <c r="N1574" t="s">
        <v>60</v>
      </c>
      <c r="O1574" t="s">
        <v>533</v>
      </c>
      <c r="P1574" t="s">
        <v>107</v>
      </c>
      <c r="Q1574" t="s">
        <v>3521</v>
      </c>
      <c r="R1574">
        <v>42857.815833333334</v>
      </c>
      <c r="S1574">
        <v>42969.480775462966</v>
      </c>
      <c r="T1574" t="s">
        <v>149</v>
      </c>
      <c r="U1574" t="s">
        <v>35</v>
      </c>
      <c r="V1574" t="s">
        <v>35</v>
      </c>
      <c r="W1574" t="s">
        <v>69</v>
      </c>
    </row>
    <row r="1575" spans="1:23" x14ac:dyDescent="0.25">
      <c r="A1575" t="s">
        <v>633</v>
      </c>
      <c r="B1575" s="19">
        <v>17486</v>
      </c>
      <c r="C1575" s="2">
        <f>HYPERLINK(URLs!B36 &amp; 98974,98974)</f>
        <v>98974</v>
      </c>
      <c r="D1575" t="s">
        <v>554</v>
      </c>
      <c r="E1575" t="s">
        <v>175</v>
      </c>
      <c r="F1575" t="s">
        <v>305</v>
      </c>
      <c r="G1575" t="s">
        <v>337</v>
      </c>
      <c r="H1575" t="s">
        <v>54</v>
      </c>
      <c r="I1575" t="s">
        <v>31</v>
      </c>
      <c r="J1575" t="s">
        <v>43</v>
      </c>
      <c r="K1575" t="s">
        <v>44</v>
      </c>
      <c r="L1575" t="s">
        <v>34</v>
      </c>
      <c r="M1575" t="s">
        <v>278</v>
      </c>
      <c r="N1575" t="s">
        <v>60</v>
      </c>
      <c r="P1575" t="s">
        <v>107</v>
      </c>
      <c r="Q1575" t="s">
        <v>3708</v>
      </c>
      <c r="R1575">
        <v>42857.811805555553</v>
      </c>
      <c r="S1575">
        <v>43423.863553240742</v>
      </c>
      <c r="T1575" t="s">
        <v>149</v>
      </c>
      <c r="U1575" t="s">
        <v>35</v>
      </c>
      <c r="V1575" t="s">
        <v>35</v>
      </c>
      <c r="W1575" t="s">
        <v>4156</v>
      </c>
    </row>
    <row r="1576" spans="1:23" x14ac:dyDescent="0.25">
      <c r="A1576" t="s">
        <v>633</v>
      </c>
      <c r="B1576" s="19">
        <v>17486</v>
      </c>
      <c r="C1576" s="2">
        <f>HYPERLINK(URLs!B36 &amp; 98973,98973)</f>
        <v>98973</v>
      </c>
      <c r="D1576" t="s">
        <v>146</v>
      </c>
      <c r="E1576" t="s">
        <v>175</v>
      </c>
      <c r="F1576" t="s">
        <v>319</v>
      </c>
      <c r="G1576" t="s">
        <v>304</v>
      </c>
      <c r="H1576" t="s">
        <v>54</v>
      </c>
      <c r="I1576" t="s">
        <v>31</v>
      </c>
      <c r="J1576" t="s">
        <v>43</v>
      </c>
      <c r="K1576" t="s">
        <v>44</v>
      </c>
      <c r="L1576" t="s">
        <v>34</v>
      </c>
      <c r="M1576" t="s">
        <v>278</v>
      </c>
      <c r="N1576" t="s">
        <v>60</v>
      </c>
      <c r="O1576" t="s">
        <v>148</v>
      </c>
      <c r="P1576" t="s">
        <v>107</v>
      </c>
      <c r="Q1576" t="s">
        <v>3708</v>
      </c>
      <c r="R1576">
        <v>42857.81181712963</v>
      </c>
      <c r="S1576">
        <v>43423.897164351853</v>
      </c>
      <c r="T1576" t="s">
        <v>149</v>
      </c>
      <c r="U1576" t="s">
        <v>35</v>
      </c>
      <c r="V1576" t="s">
        <v>35</v>
      </c>
      <c r="W1576" t="s">
        <v>4098</v>
      </c>
    </row>
    <row r="1577" spans="1:23" x14ac:dyDescent="0.25">
      <c r="A1577" t="s">
        <v>633</v>
      </c>
      <c r="B1577" s="19">
        <v>17486</v>
      </c>
      <c r="C1577" s="2">
        <f>HYPERLINK(URLs!B36 &amp; 98723,98723)</f>
        <v>98723</v>
      </c>
      <c r="D1577" t="s">
        <v>3522</v>
      </c>
      <c r="E1577" t="s">
        <v>147</v>
      </c>
      <c r="F1577" t="s">
        <v>305</v>
      </c>
      <c r="G1577" t="s">
        <v>304</v>
      </c>
      <c r="H1577" t="s">
        <v>54</v>
      </c>
      <c r="I1577" t="s">
        <v>31</v>
      </c>
      <c r="J1577" t="s">
        <v>43</v>
      </c>
      <c r="K1577" t="s">
        <v>44</v>
      </c>
      <c r="L1577" t="s">
        <v>34</v>
      </c>
      <c r="M1577" t="s">
        <v>278</v>
      </c>
      <c r="N1577" t="s">
        <v>3560</v>
      </c>
      <c r="O1577" t="s">
        <v>4189</v>
      </c>
      <c r="P1577" t="s">
        <v>107</v>
      </c>
      <c r="Q1577" t="s">
        <v>3523</v>
      </c>
      <c r="R1577">
        <v>42850.870844907404</v>
      </c>
      <c r="S1577">
        <v>43255.607615740744</v>
      </c>
      <c r="T1577" t="s">
        <v>5</v>
      </c>
      <c r="U1577" t="s">
        <v>35</v>
      </c>
      <c r="V1577" t="s">
        <v>35</v>
      </c>
      <c r="W1577" t="s">
        <v>4143</v>
      </c>
    </row>
    <row r="1578" spans="1:23" x14ac:dyDescent="0.25">
      <c r="A1578" t="s">
        <v>665</v>
      </c>
      <c r="B1578" s="19">
        <v>17496</v>
      </c>
      <c r="C1578" s="2">
        <f>HYPERLINK(URLs!B36 &amp; 99794,99794)</f>
        <v>99794</v>
      </c>
      <c r="D1578" t="s">
        <v>3571</v>
      </c>
      <c r="E1578" t="s">
        <v>153</v>
      </c>
      <c r="F1578" t="s">
        <v>319</v>
      </c>
      <c r="G1578" t="s">
        <v>304</v>
      </c>
      <c r="H1578" t="s">
        <v>116</v>
      </c>
      <c r="I1578" t="s">
        <v>31</v>
      </c>
      <c r="J1578" t="s">
        <v>32</v>
      </c>
      <c r="K1578" t="s">
        <v>33</v>
      </c>
      <c r="L1578" t="s">
        <v>45</v>
      </c>
      <c r="M1578" t="s">
        <v>280</v>
      </c>
      <c r="N1578" t="s">
        <v>512</v>
      </c>
      <c r="P1578" t="s">
        <v>107</v>
      </c>
      <c r="Q1578" t="s">
        <v>3572</v>
      </c>
      <c r="R1578">
        <v>42877.483414351853</v>
      </c>
      <c r="S1578">
        <v>42893.314050925925</v>
      </c>
      <c r="T1578" t="s">
        <v>3479</v>
      </c>
      <c r="U1578" t="s">
        <v>35</v>
      </c>
      <c r="V1578" t="s">
        <v>35</v>
      </c>
      <c r="W1578" t="s">
        <v>4151</v>
      </c>
    </row>
    <row r="1579" spans="1:23" x14ac:dyDescent="0.25">
      <c r="A1579" t="s">
        <v>665</v>
      </c>
      <c r="B1579" s="19">
        <v>17496</v>
      </c>
      <c r="C1579" s="2">
        <f>HYPERLINK(URLs!B36 &amp; 99788,99788)</f>
        <v>99788</v>
      </c>
      <c r="D1579" t="s">
        <v>3570</v>
      </c>
      <c r="E1579" t="s">
        <v>153</v>
      </c>
      <c r="F1579" t="s">
        <v>305</v>
      </c>
      <c r="G1579" t="s">
        <v>304</v>
      </c>
      <c r="H1579" t="s">
        <v>116</v>
      </c>
      <c r="I1579" t="s">
        <v>31</v>
      </c>
      <c r="J1579" t="s">
        <v>32</v>
      </c>
      <c r="K1579" t="s">
        <v>33</v>
      </c>
      <c r="L1579" t="s">
        <v>45</v>
      </c>
      <c r="M1579" t="s">
        <v>280</v>
      </c>
      <c r="N1579" t="s">
        <v>510</v>
      </c>
      <c r="P1579" t="s">
        <v>107</v>
      </c>
      <c r="Q1579" t="s">
        <v>3530</v>
      </c>
      <c r="R1579">
        <v>42877.480393518519</v>
      </c>
      <c r="S1579">
        <v>43230.947280092594</v>
      </c>
      <c r="T1579" t="s">
        <v>3479</v>
      </c>
      <c r="U1579" t="s">
        <v>35</v>
      </c>
      <c r="V1579" t="s">
        <v>321</v>
      </c>
      <c r="W1579" t="s">
        <v>307</v>
      </c>
    </row>
    <row r="1580" spans="1:23" x14ac:dyDescent="0.25">
      <c r="A1580" t="s">
        <v>665</v>
      </c>
      <c r="B1580" s="19">
        <v>17496</v>
      </c>
      <c r="C1580" s="2">
        <f>HYPERLINK(URLs!B36 &amp; 99786,99786)</f>
        <v>99786</v>
      </c>
      <c r="D1580" t="s">
        <v>557</v>
      </c>
      <c r="E1580" t="s">
        <v>153</v>
      </c>
      <c r="F1580" t="s">
        <v>305</v>
      </c>
      <c r="G1580" t="s">
        <v>337</v>
      </c>
      <c r="H1580" t="s">
        <v>116</v>
      </c>
      <c r="I1580" t="s">
        <v>31</v>
      </c>
      <c r="J1580" t="s">
        <v>32</v>
      </c>
      <c r="K1580" t="s">
        <v>33</v>
      </c>
      <c r="L1580" t="s">
        <v>45</v>
      </c>
      <c r="M1580" t="s">
        <v>280</v>
      </c>
      <c r="N1580" t="s">
        <v>60</v>
      </c>
      <c r="O1580" t="s">
        <v>487</v>
      </c>
      <c r="P1580" t="s">
        <v>107</v>
      </c>
      <c r="Q1580" t="s">
        <v>3708</v>
      </c>
      <c r="R1580">
        <v>42877.467141203706</v>
      </c>
      <c r="S1580">
        <v>43423.863599537035</v>
      </c>
      <c r="T1580" t="s">
        <v>153</v>
      </c>
      <c r="U1580" t="s">
        <v>4010</v>
      </c>
      <c r="V1580" t="s">
        <v>35</v>
      </c>
      <c r="W1580" t="s">
        <v>4156</v>
      </c>
    </row>
    <row r="1581" spans="1:23" x14ac:dyDescent="0.25">
      <c r="A1581" t="s">
        <v>665</v>
      </c>
      <c r="B1581" s="19">
        <v>17496</v>
      </c>
      <c r="C1581" s="2">
        <f>HYPERLINK(URLs!B36 &amp; 99785,99785)</f>
        <v>99785</v>
      </c>
      <c r="D1581" t="s">
        <v>152</v>
      </c>
      <c r="E1581" t="s">
        <v>153</v>
      </c>
      <c r="F1581" t="s">
        <v>319</v>
      </c>
      <c r="G1581" t="s">
        <v>304</v>
      </c>
      <c r="H1581" t="s">
        <v>56</v>
      </c>
      <c r="I1581" t="s">
        <v>31</v>
      </c>
      <c r="J1581" t="s">
        <v>32</v>
      </c>
      <c r="K1581" t="s">
        <v>33</v>
      </c>
      <c r="L1581" t="s">
        <v>45</v>
      </c>
      <c r="M1581" t="s">
        <v>280</v>
      </c>
      <c r="N1581" t="s">
        <v>46</v>
      </c>
      <c r="O1581" t="s">
        <v>487</v>
      </c>
      <c r="P1581" t="s">
        <v>107</v>
      </c>
      <c r="Q1581" t="s">
        <v>3708</v>
      </c>
      <c r="R1581">
        <v>42877.467152777775</v>
      </c>
      <c r="S1581">
        <v>43423.894189814811</v>
      </c>
      <c r="T1581" t="s">
        <v>153</v>
      </c>
      <c r="U1581" t="s">
        <v>35</v>
      </c>
      <c r="V1581" t="s">
        <v>35</v>
      </c>
      <c r="W1581" t="s">
        <v>4098</v>
      </c>
    </row>
    <row r="1582" spans="1:23" x14ac:dyDescent="0.25">
      <c r="A1582" t="s">
        <v>665</v>
      </c>
      <c r="B1582" s="19">
        <v>17496</v>
      </c>
      <c r="C1582" s="2">
        <f>HYPERLINK(URLs!B36 &amp; 98778,98778)</f>
        <v>98778</v>
      </c>
      <c r="D1582" t="s">
        <v>3529</v>
      </c>
      <c r="E1582" t="s">
        <v>1</v>
      </c>
      <c r="F1582" t="s">
        <v>305</v>
      </c>
      <c r="G1582" t="s">
        <v>304</v>
      </c>
      <c r="H1582" t="s">
        <v>116</v>
      </c>
      <c r="I1582" t="s">
        <v>31</v>
      </c>
      <c r="J1582" t="s">
        <v>32</v>
      </c>
      <c r="K1582" t="s">
        <v>33</v>
      </c>
      <c r="L1582" t="s">
        <v>45</v>
      </c>
      <c r="M1582" t="s">
        <v>280</v>
      </c>
      <c r="N1582" t="s">
        <v>60</v>
      </c>
      <c r="P1582" t="s">
        <v>107</v>
      </c>
      <c r="Q1582" t="s">
        <v>3530</v>
      </c>
      <c r="R1582">
        <v>42851.918726851851</v>
      </c>
      <c r="S1582">
        <v>42937.433738425927</v>
      </c>
      <c r="T1582" t="s">
        <v>1</v>
      </c>
      <c r="U1582" t="s">
        <v>4010</v>
      </c>
      <c r="V1582" t="s">
        <v>321</v>
      </c>
      <c r="W1582" t="s">
        <v>69</v>
      </c>
    </row>
    <row r="1583" spans="1:23" x14ac:dyDescent="0.25">
      <c r="A1583" t="s">
        <v>633</v>
      </c>
      <c r="B1583" s="19">
        <v>17509</v>
      </c>
      <c r="C1583" s="2">
        <f>HYPERLINK(URLs!B36 &amp; 100011,100011)</f>
        <v>100011</v>
      </c>
      <c r="D1583" t="s">
        <v>3587</v>
      </c>
      <c r="E1583" t="s">
        <v>82</v>
      </c>
      <c r="F1583" t="s">
        <v>305</v>
      </c>
      <c r="G1583" t="s">
        <v>304</v>
      </c>
      <c r="H1583" t="s">
        <v>54</v>
      </c>
      <c r="I1583" t="s">
        <v>31</v>
      </c>
      <c r="J1583" t="s">
        <v>32</v>
      </c>
      <c r="K1583" t="s">
        <v>33</v>
      </c>
      <c r="L1583" t="s">
        <v>73</v>
      </c>
      <c r="M1583" t="s">
        <v>263</v>
      </c>
      <c r="N1583" t="s">
        <v>518</v>
      </c>
      <c r="P1583" t="s">
        <v>107</v>
      </c>
      <c r="Q1583" t="s">
        <v>2028</v>
      </c>
      <c r="R1583">
        <v>42880.860752314817</v>
      </c>
      <c r="S1583">
        <v>43215.183657407404</v>
      </c>
      <c r="T1583" t="s">
        <v>301</v>
      </c>
      <c r="U1583" t="s">
        <v>35</v>
      </c>
      <c r="V1583" t="s">
        <v>321</v>
      </c>
      <c r="W1583" t="s">
        <v>307</v>
      </c>
    </row>
    <row r="1584" spans="1:23" x14ac:dyDescent="0.25">
      <c r="A1584" t="s">
        <v>633</v>
      </c>
      <c r="B1584" s="19">
        <v>17509</v>
      </c>
      <c r="C1584" s="2">
        <f>HYPERLINK(URLs!B36 &amp; 98940,98940)</f>
        <v>98940</v>
      </c>
      <c r="D1584" t="s">
        <v>3544</v>
      </c>
      <c r="E1584" t="s">
        <v>3545</v>
      </c>
      <c r="F1584" t="s">
        <v>305</v>
      </c>
      <c r="G1584" t="s">
        <v>337</v>
      </c>
      <c r="H1584" t="s">
        <v>54</v>
      </c>
      <c r="I1584" t="s">
        <v>31</v>
      </c>
      <c r="J1584" t="s">
        <v>32</v>
      </c>
      <c r="K1584" t="s">
        <v>33</v>
      </c>
      <c r="L1584" t="s">
        <v>73</v>
      </c>
      <c r="M1584" t="s">
        <v>263</v>
      </c>
      <c r="N1584" t="s">
        <v>60</v>
      </c>
      <c r="P1584" t="s">
        <v>107</v>
      </c>
      <c r="Q1584" t="s">
        <v>2028</v>
      </c>
      <c r="R1584">
        <v>42857.441631944443</v>
      </c>
      <c r="S1584">
        <v>42986.589803240742</v>
      </c>
      <c r="T1584" t="s">
        <v>301</v>
      </c>
      <c r="U1584" t="s">
        <v>35</v>
      </c>
      <c r="V1584" t="s">
        <v>321</v>
      </c>
      <c r="W1584" t="s">
        <v>69</v>
      </c>
    </row>
    <row r="1585" spans="1:23" x14ac:dyDescent="0.25">
      <c r="A1585" t="s">
        <v>633</v>
      </c>
      <c r="B1585" s="19">
        <v>17509</v>
      </c>
      <c r="C1585" s="2">
        <f>HYPERLINK(URLs!B36 &amp; 98888,98888)</f>
        <v>98888</v>
      </c>
      <c r="D1585" t="s">
        <v>3543</v>
      </c>
      <c r="E1585" t="s">
        <v>82</v>
      </c>
      <c r="F1585" t="s">
        <v>319</v>
      </c>
      <c r="G1585" t="s">
        <v>304</v>
      </c>
      <c r="H1585" t="s">
        <v>54</v>
      </c>
      <c r="I1585" t="s">
        <v>31</v>
      </c>
      <c r="J1585" t="s">
        <v>32</v>
      </c>
      <c r="K1585" t="s">
        <v>33</v>
      </c>
      <c r="L1585" t="s">
        <v>73</v>
      </c>
      <c r="M1585" t="s">
        <v>263</v>
      </c>
      <c r="N1585" t="s">
        <v>60</v>
      </c>
      <c r="O1585" t="s">
        <v>132</v>
      </c>
      <c r="P1585" t="s">
        <v>107</v>
      </c>
      <c r="Q1585" t="s">
        <v>2028</v>
      </c>
      <c r="R1585">
        <v>42853.845312500001</v>
      </c>
      <c r="S1585">
        <v>42998.386250000003</v>
      </c>
      <c r="T1585" t="s">
        <v>1</v>
      </c>
      <c r="U1585" t="s">
        <v>35</v>
      </c>
      <c r="V1585" t="s">
        <v>321</v>
      </c>
      <c r="W1585" t="s">
        <v>4098</v>
      </c>
    </row>
    <row r="1586" spans="1:23" x14ac:dyDescent="0.25">
      <c r="B1586" s="19">
        <v>17510</v>
      </c>
      <c r="C1586" s="2">
        <f>HYPERLINK(URLs!B36 &amp; 106473,106473)</f>
        <v>106473</v>
      </c>
      <c r="D1586" t="s">
        <v>4223</v>
      </c>
      <c r="E1586" t="s">
        <v>387</v>
      </c>
      <c r="F1586" t="s">
        <v>305</v>
      </c>
      <c r="G1586" t="s">
        <v>337</v>
      </c>
      <c r="H1586" t="s">
        <v>54</v>
      </c>
      <c r="I1586" t="s">
        <v>68</v>
      </c>
      <c r="J1586" t="s">
        <v>43</v>
      </c>
      <c r="K1586" t="s">
        <v>33</v>
      </c>
      <c r="L1586" t="s">
        <v>73</v>
      </c>
      <c r="M1586" t="s">
        <v>263</v>
      </c>
      <c r="N1586" t="s">
        <v>518</v>
      </c>
      <c r="P1586" t="s">
        <v>107</v>
      </c>
      <c r="Q1586" t="s">
        <v>3708</v>
      </c>
      <c r="R1586">
        <v>43032.675775462965</v>
      </c>
      <c r="S1586">
        <v>43423.872499999998</v>
      </c>
      <c r="T1586" t="s">
        <v>53</v>
      </c>
      <c r="U1586" t="s">
        <v>35</v>
      </c>
      <c r="V1586" t="s">
        <v>35</v>
      </c>
      <c r="W1586" t="s">
        <v>4158</v>
      </c>
    </row>
    <row r="1587" spans="1:23" x14ac:dyDescent="0.25">
      <c r="B1587" s="19">
        <v>17510</v>
      </c>
      <c r="C1587" s="2">
        <f>HYPERLINK(URLs!B36 &amp; 106447,106447)</f>
        <v>106447</v>
      </c>
      <c r="D1587" t="s">
        <v>4222</v>
      </c>
      <c r="E1587" t="s">
        <v>110</v>
      </c>
      <c r="F1587" t="s">
        <v>67</v>
      </c>
      <c r="H1587" t="s">
        <v>54</v>
      </c>
      <c r="I1587" t="s">
        <v>68</v>
      </c>
      <c r="J1587" t="s">
        <v>43</v>
      </c>
      <c r="K1587" t="s">
        <v>33</v>
      </c>
      <c r="L1587" t="s">
        <v>73</v>
      </c>
      <c r="M1587" t="s">
        <v>263</v>
      </c>
      <c r="N1587" t="s">
        <v>60</v>
      </c>
      <c r="P1587" t="s">
        <v>107</v>
      </c>
      <c r="Q1587" t="s">
        <v>107</v>
      </c>
      <c r="R1587">
        <v>43032.495057870372</v>
      </c>
      <c r="S1587">
        <v>43382.661192129628</v>
      </c>
      <c r="T1587" t="s">
        <v>110</v>
      </c>
      <c r="U1587" t="s">
        <v>35</v>
      </c>
      <c r="V1587" t="s">
        <v>35</v>
      </c>
      <c r="W1587" t="s">
        <v>4171</v>
      </c>
    </row>
    <row r="1588" spans="1:23" x14ac:dyDescent="0.25">
      <c r="B1588" s="19">
        <v>17510</v>
      </c>
      <c r="C1588" s="2">
        <f>HYPERLINK(URLs!B36 &amp; 101890,101890)</f>
        <v>101890</v>
      </c>
      <c r="D1588" t="s">
        <v>4198</v>
      </c>
      <c r="E1588" t="s">
        <v>110</v>
      </c>
      <c r="F1588" t="s">
        <v>305</v>
      </c>
      <c r="G1588" t="s">
        <v>337</v>
      </c>
      <c r="H1588" t="s">
        <v>54</v>
      </c>
      <c r="I1588" t="s">
        <v>31</v>
      </c>
      <c r="J1588" t="s">
        <v>43</v>
      </c>
      <c r="K1588" t="s">
        <v>44</v>
      </c>
      <c r="L1588" t="s">
        <v>73</v>
      </c>
      <c r="M1588" t="s">
        <v>263</v>
      </c>
      <c r="N1588" t="s">
        <v>4199</v>
      </c>
      <c r="O1588" t="s">
        <v>3625</v>
      </c>
      <c r="P1588" t="s">
        <v>107</v>
      </c>
      <c r="Q1588" t="s">
        <v>107</v>
      </c>
      <c r="R1588">
        <v>42922.24790509259</v>
      </c>
      <c r="S1588">
        <v>43204.161585648151</v>
      </c>
      <c r="T1588" t="s">
        <v>301</v>
      </c>
      <c r="U1588" t="s">
        <v>35</v>
      </c>
      <c r="V1588" t="s">
        <v>35</v>
      </c>
      <c r="W1588" t="s">
        <v>307</v>
      </c>
    </row>
    <row r="1589" spans="1:23" x14ac:dyDescent="0.25">
      <c r="B1589" s="19">
        <v>17510</v>
      </c>
      <c r="C1589" s="2">
        <f>HYPERLINK(URLs!B36 &amp; 98941,98941)</f>
        <v>98941</v>
      </c>
      <c r="D1589" t="s">
        <v>3546</v>
      </c>
      <c r="E1589" t="s">
        <v>110</v>
      </c>
      <c r="F1589" t="s">
        <v>305</v>
      </c>
      <c r="G1589" t="s">
        <v>337</v>
      </c>
      <c r="H1589" t="s">
        <v>54</v>
      </c>
      <c r="I1589" t="s">
        <v>31</v>
      </c>
      <c r="J1589" t="s">
        <v>32</v>
      </c>
      <c r="K1589" t="s">
        <v>33</v>
      </c>
      <c r="L1589" t="s">
        <v>73</v>
      </c>
      <c r="M1589" t="s">
        <v>263</v>
      </c>
      <c r="N1589" t="s">
        <v>157</v>
      </c>
      <c r="P1589" t="s">
        <v>107</v>
      </c>
      <c r="Q1589" t="s">
        <v>107</v>
      </c>
      <c r="R1589">
        <v>42857.443495370368</v>
      </c>
      <c r="S1589">
        <v>42986.589803240742</v>
      </c>
      <c r="T1589" t="s">
        <v>301</v>
      </c>
      <c r="U1589" t="s">
        <v>35</v>
      </c>
      <c r="V1589" t="s">
        <v>321</v>
      </c>
      <c r="W1589" t="s">
        <v>69</v>
      </c>
    </row>
    <row r="1590" spans="1:23" x14ac:dyDescent="0.25">
      <c r="B1590" s="19">
        <v>17510</v>
      </c>
      <c r="C1590" s="2">
        <f>HYPERLINK(URLs!B36 &amp; 98891,98891)</f>
        <v>98891</v>
      </c>
      <c r="D1590" t="s">
        <v>4191</v>
      </c>
      <c r="E1590" t="s">
        <v>110</v>
      </c>
      <c r="F1590" t="s">
        <v>29</v>
      </c>
      <c r="H1590" t="s">
        <v>54</v>
      </c>
      <c r="I1590" t="s">
        <v>68</v>
      </c>
      <c r="J1590" t="s">
        <v>43</v>
      </c>
      <c r="K1590" t="s">
        <v>33</v>
      </c>
      <c r="L1590" t="s">
        <v>73</v>
      </c>
      <c r="M1590" t="s">
        <v>263</v>
      </c>
      <c r="N1590" t="s">
        <v>157</v>
      </c>
      <c r="O1590" t="s">
        <v>132</v>
      </c>
      <c r="P1590" t="s">
        <v>107</v>
      </c>
      <c r="Q1590" t="s">
        <v>107</v>
      </c>
      <c r="R1590">
        <v>42853.872870370367</v>
      </c>
      <c r="S1590">
        <v>43423.887615740743</v>
      </c>
      <c r="T1590" t="s">
        <v>1</v>
      </c>
      <c r="U1590" t="s">
        <v>35</v>
      </c>
      <c r="V1590" t="s">
        <v>35</v>
      </c>
      <c r="W1590" t="s">
        <v>4098</v>
      </c>
    </row>
    <row r="1591" spans="1:23" x14ac:dyDescent="0.25">
      <c r="B1591" s="19">
        <v>17510</v>
      </c>
      <c r="C1591" s="2">
        <f>HYPERLINK(URLs!B36 &amp; 94835,94835)</f>
        <v>94835</v>
      </c>
      <c r="D1591" t="s">
        <v>3406</v>
      </c>
      <c r="E1591" t="s">
        <v>155</v>
      </c>
      <c r="F1591" t="s">
        <v>305</v>
      </c>
      <c r="G1591" t="s">
        <v>337</v>
      </c>
      <c r="H1591" t="s">
        <v>54</v>
      </c>
      <c r="I1591" t="s">
        <v>31</v>
      </c>
      <c r="J1591" t="s">
        <v>32</v>
      </c>
      <c r="K1591" t="s">
        <v>33</v>
      </c>
      <c r="L1591" t="s">
        <v>73</v>
      </c>
      <c r="M1591" t="s">
        <v>263</v>
      </c>
      <c r="N1591" t="s">
        <v>518</v>
      </c>
      <c r="O1591" t="s">
        <v>3407</v>
      </c>
      <c r="P1591" t="s">
        <v>107</v>
      </c>
      <c r="Q1591" t="s">
        <v>2481</v>
      </c>
      <c r="R1591">
        <v>42755.776539351849</v>
      </c>
      <c r="S1591">
        <v>42986.584317129629</v>
      </c>
      <c r="T1591" t="s">
        <v>317</v>
      </c>
      <c r="U1591" t="s">
        <v>35</v>
      </c>
      <c r="V1591" t="s">
        <v>321</v>
      </c>
      <c r="W1591" t="s">
        <v>69</v>
      </c>
    </row>
    <row r="1592" spans="1:23" x14ac:dyDescent="0.25">
      <c r="A1592" t="s">
        <v>633</v>
      </c>
      <c r="B1592" s="19">
        <v>17550</v>
      </c>
      <c r="C1592" s="2">
        <f>HYPERLINK(URLs!B36 &amp; 99171,99171)</f>
        <v>99171</v>
      </c>
      <c r="D1592" t="s">
        <v>3558</v>
      </c>
      <c r="E1592" t="s">
        <v>134</v>
      </c>
      <c r="F1592" t="s">
        <v>305</v>
      </c>
      <c r="G1592" t="s">
        <v>304</v>
      </c>
      <c r="H1592" t="s">
        <v>116</v>
      </c>
      <c r="I1592" t="s">
        <v>31</v>
      </c>
      <c r="J1592" t="s">
        <v>32</v>
      </c>
      <c r="K1592" t="s">
        <v>33</v>
      </c>
      <c r="L1592" t="s">
        <v>34</v>
      </c>
      <c r="M1592" t="s">
        <v>279</v>
      </c>
      <c r="N1592" t="s">
        <v>510</v>
      </c>
      <c r="P1592" t="s">
        <v>77</v>
      </c>
      <c r="Q1592" t="s">
        <v>3389</v>
      </c>
      <c r="R1592">
        <v>42863.699062500003</v>
      </c>
      <c r="S1592">
        <v>43103.516400462962</v>
      </c>
      <c r="T1592" t="s">
        <v>53</v>
      </c>
      <c r="U1592" t="s">
        <v>4016</v>
      </c>
      <c r="V1592" t="s">
        <v>321</v>
      </c>
      <c r="W1592" t="s">
        <v>4143</v>
      </c>
    </row>
    <row r="1593" spans="1:23" x14ac:dyDescent="0.25">
      <c r="A1593" t="s">
        <v>633</v>
      </c>
      <c r="B1593" s="19">
        <v>17550</v>
      </c>
      <c r="C1593" s="2">
        <f>HYPERLINK(URLs!B36 &amp; 99169,99169)</f>
        <v>99169</v>
      </c>
      <c r="D1593" t="s">
        <v>3557</v>
      </c>
      <c r="E1593" t="s">
        <v>134</v>
      </c>
      <c r="F1593" t="s">
        <v>319</v>
      </c>
      <c r="G1593" t="s">
        <v>304</v>
      </c>
      <c r="H1593" t="s">
        <v>54</v>
      </c>
      <c r="I1593" t="s">
        <v>31</v>
      </c>
      <c r="J1593" t="s">
        <v>32</v>
      </c>
      <c r="K1593" t="s">
        <v>33</v>
      </c>
      <c r="L1593" t="s">
        <v>34</v>
      </c>
      <c r="M1593" t="s">
        <v>279</v>
      </c>
      <c r="N1593" t="s">
        <v>60</v>
      </c>
      <c r="P1593" t="s">
        <v>77</v>
      </c>
      <c r="Q1593" t="s">
        <v>3389</v>
      </c>
      <c r="R1593">
        <v>42863.695081018515</v>
      </c>
      <c r="S1593">
        <v>43042.616747685184</v>
      </c>
      <c r="T1593" t="s">
        <v>53</v>
      </c>
      <c r="U1593" t="s">
        <v>4010</v>
      </c>
      <c r="V1593" t="s">
        <v>321</v>
      </c>
      <c r="W1593" t="s">
        <v>4167</v>
      </c>
    </row>
    <row r="1594" spans="1:23" x14ac:dyDescent="0.25">
      <c r="A1594" t="s">
        <v>633</v>
      </c>
      <c r="B1594" s="19">
        <v>17550</v>
      </c>
      <c r="C1594" s="2">
        <f>HYPERLINK(URLs!B36 &amp; 99168,99168)</f>
        <v>99168</v>
      </c>
      <c r="D1594" t="s">
        <v>150</v>
      </c>
      <c r="E1594" t="s">
        <v>4899</v>
      </c>
      <c r="F1594" t="s">
        <v>319</v>
      </c>
      <c r="G1594" t="s">
        <v>304</v>
      </c>
      <c r="H1594" t="s">
        <v>54</v>
      </c>
      <c r="I1594" t="s">
        <v>31</v>
      </c>
      <c r="J1594" t="s">
        <v>32</v>
      </c>
      <c r="K1594" t="s">
        <v>33</v>
      </c>
      <c r="L1594" t="s">
        <v>34</v>
      </c>
      <c r="M1594" t="s">
        <v>279</v>
      </c>
      <c r="N1594" t="s">
        <v>60</v>
      </c>
      <c r="O1594" t="s">
        <v>151</v>
      </c>
      <c r="P1594" t="s">
        <v>77</v>
      </c>
      <c r="Q1594" t="s">
        <v>3708</v>
      </c>
      <c r="R1594">
        <v>42863.695092592592</v>
      </c>
      <c r="S1594">
        <v>43423.891041666669</v>
      </c>
      <c r="T1594" t="s">
        <v>53</v>
      </c>
      <c r="U1594" t="s">
        <v>35</v>
      </c>
      <c r="V1594" t="s">
        <v>321</v>
      </c>
      <c r="W1594" t="s">
        <v>4098</v>
      </c>
    </row>
    <row r="1595" spans="1:23" x14ac:dyDescent="0.25">
      <c r="A1595" t="s">
        <v>633</v>
      </c>
      <c r="B1595" s="19">
        <v>17550</v>
      </c>
      <c r="C1595" s="2">
        <f>HYPERLINK(URLs!B36 &amp; 99022,99022)</f>
        <v>99022</v>
      </c>
      <c r="D1595" t="s">
        <v>555</v>
      </c>
      <c r="E1595" t="s">
        <v>4899</v>
      </c>
      <c r="F1595" t="s">
        <v>305</v>
      </c>
      <c r="G1595" t="s">
        <v>337</v>
      </c>
      <c r="H1595" t="s">
        <v>54</v>
      </c>
      <c r="I1595" t="s">
        <v>31</v>
      </c>
      <c r="J1595" t="s">
        <v>32</v>
      </c>
      <c r="K1595" t="s">
        <v>33</v>
      </c>
      <c r="L1595" t="s">
        <v>34</v>
      </c>
      <c r="M1595" t="s">
        <v>279</v>
      </c>
      <c r="N1595" t="s">
        <v>60</v>
      </c>
      <c r="O1595" t="s">
        <v>556</v>
      </c>
      <c r="P1595" t="s">
        <v>77</v>
      </c>
      <c r="Q1595" t="s">
        <v>3708</v>
      </c>
      <c r="R1595">
        <v>42858.890682870369</v>
      </c>
      <c r="S1595">
        <v>43423.863506944443</v>
      </c>
      <c r="T1595" t="s">
        <v>2</v>
      </c>
      <c r="U1595" t="s">
        <v>35</v>
      </c>
      <c r="V1595" t="s">
        <v>321</v>
      </c>
      <c r="W1595" t="s">
        <v>4156</v>
      </c>
    </row>
    <row r="1596" spans="1:23" x14ac:dyDescent="0.25">
      <c r="A1596" t="s">
        <v>665</v>
      </c>
      <c r="B1596" s="19">
        <v>17614</v>
      </c>
      <c r="C1596" s="2">
        <f>HYPERLINK(URLs!B36 &amp; 99041,99041)</f>
        <v>99041</v>
      </c>
      <c r="D1596" t="s">
        <v>3552</v>
      </c>
      <c r="E1596" t="s">
        <v>3553</v>
      </c>
      <c r="F1596" t="s">
        <v>305</v>
      </c>
      <c r="G1596" t="s">
        <v>304</v>
      </c>
      <c r="H1596" t="s">
        <v>30</v>
      </c>
      <c r="I1596" t="s">
        <v>68</v>
      </c>
      <c r="J1596" t="s">
        <v>43</v>
      </c>
      <c r="K1596" t="s">
        <v>33</v>
      </c>
      <c r="L1596" t="s">
        <v>34</v>
      </c>
      <c r="M1596" t="s">
        <v>1853</v>
      </c>
      <c r="N1596" t="s">
        <v>46</v>
      </c>
      <c r="O1596" t="s">
        <v>3554</v>
      </c>
      <c r="P1596" t="s">
        <v>3555</v>
      </c>
      <c r="Q1596" t="s">
        <v>3556</v>
      </c>
      <c r="R1596">
        <v>42859.401875000003</v>
      </c>
      <c r="S1596">
        <v>43298.557974537034</v>
      </c>
      <c r="T1596" t="s">
        <v>3553</v>
      </c>
      <c r="U1596" t="s">
        <v>35</v>
      </c>
      <c r="V1596" t="s">
        <v>35</v>
      </c>
      <c r="W1596" t="s">
        <v>4143</v>
      </c>
    </row>
    <row r="1597" spans="1:23" x14ac:dyDescent="0.25">
      <c r="B1597" s="19">
        <v>17665</v>
      </c>
      <c r="C1597" s="2">
        <f>HYPERLINK(URLs!B36 &amp; 99532,99532)</f>
        <v>99532</v>
      </c>
      <c r="D1597" t="s">
        <v>3566</v>
      </c>
      <c r="E1597" t="s">
        <v>3567</v>
      </c>
      <c r="F1597" t="s">
        <v>305</v>
      </c>
      <c r="G1597" t="s">
        <v>353</v>
      </c>
      <c r="H1597" t="s">
        <v>30</v>
      </c>
      <c r="I1597" t="s">
        <v>68</v>
      </c>
      <c r="J1597" t="s">
        <v>58</v>
      </c>
      <c r="K1597" t="s">
        <v>44</v>
      </c>
      <c r="L1597" t="s">
        <v>45</v>
      </c>
      <c r="M1597" t="s">
        <v>265</v>
      </c>
      <c r="N1597" t="s">
        <v>46</v>
      </c>
      <c r="O1597" t="s">
        <v>325</v>
      </c>
      <c r="P1597" t="s">
        <v>107</v>
      </c>
      <c r="Q1597" t="s">
        <v>65</v>
      </c>
      <c r="R1597">
        <v>42871.4221412037</v>
      </c>
      <c r="S1597">
        <v>42923.438159722224</v>
      </c>
      <c r="T1597" t="s">
        <v>4</v>
      </c>
      <c r="U1597" t="s">
        <v>35</v>
      </c>
      <c r="V1597" t="s">
        <v>35</v>
      </c>
      <c r="W1597" t="s">
        <v>69</v>
      </c>
    </row>
    <row r="1598" spans="1:23" x14ac:dyDescent="0.25">
      <c r="A1598" t="s">
        <v>633</v>
      </c>
      <c r="B1598" s="19">
        <v>17669</v>
      </c>
      <c r="C1598" s="2">
        <f>HYPERLINK(URLs!B36 &amp; 98815,98815)</f>
        <v>98815</v>
      </c>
      <c r="D1598" t="s">
        <v>3535</v>
      </c>
      <c r="E1598" t="s">
        <v>3178</v>
      </c>
      <c r="F1598" t="s">
        <v>305</v>
      </c>
      <c r="G1598" t="s">
        <v>304</v>
      </c>
      <c r="H1598" t="s">
        <v>30</v>
      </c>
      <c r="I1598" t="s">
        <v>31</v>
      </c>
      <c r="J1598" t="s">
        <v>32</v>
      </c>
      <c r="K1598" t="s">
        <v>44</v>
      </c>
      <c r="L1598" t="s">
        <v>34</v>
      </c>
      <c r="M1598" t="s">
        <v>2056</v>
      </c>
      <c r="N1598" t="s">
        <v>46</v>
      </c>
      <c r="O1598" t="s">
        <v>3536</v>
      </c>
      <c r="P1598" t="s">
        <v>3428</v>
      </c>
      <c r="Q1598" t="s">
        <v>3534</v>
      </c>
      <c r="R1598">
        <v>42852.570520833331</v>
      </c>
      <c r="S1598">
        <v>42901.276562500003</v>
      </c>
      <c r="T1598" t="s">
        <v>1917</v>
      </c>
      <c r="U1598" t="s">
        <v>35</v>
      </c>
      <c r="V1598" t="s">
        <v>35</v>
      </c>
      <c r="W1598" t="s">
        <v>449</v>
      </c>
    </row>
    <row r="1599" spans="1:23" x14ac:dyDescent="0.25">
      <c r="A1599" t="s">
        <v>633</v>
      </c>
      <c r="B1599" s="19">
        <v>17669</v>
      </c>
      <c r="C1599" s="2">
        <f>HYPERLINK(URLs!B36 &amp; 98814,98814)</f>
        <v>98814</v>
      </c>
      <c r="D1599" t="s">
        <v>3532</v>
      </c>
      <c r="E1599" t="s">
        <v>3178</v>
      </c>
      <c r="F1599" t="s">
        <v>305</v>
      </c>
      <c r="G1599" t="s">
        <v>304</v>
      </c>
      <c r="H1599" t="s">
        <v>30</v>
      </c>
      <c r="I1599" t="s">
        <v>31</v>
      </c>
      <c r="J1599" t="s">
        <v>32</v>
      </c>
      <c r="K1599" t="s">
        <v>44</v>
      </c>
      <c r="L1599" t="s">
        <v>34</v>
      </c>
      <c r="M1599" t="s">
        <v>2056</v>
      </c>
      <c r="N1599" t="s">
        <v>46</v>
      </c>
      <c r="O1599" t="s">
        <v>3533</v>
      </c>
      <c r="P1599" t="s">
        <v>3428</v>
      </c>
      <c r="Q1599" t="s">
        <v>3534</v>
      </c>
      <c r="R1599">
        <v>42852.570532407408</v>
      </c>
      <c r="S1599">
        <v>43217.241516203707</v>
      </c>
      <c r="T1599" t="s">
        <v>1917</v>
      </c>
      <c r="U1599" t="s">
        <v>35</v>
      </c>
      <c r="V1599" t="s">
        <v>35</v>
      </c>
      <c r="W1599" t="s">
        <v>4098</v>
      </c>
    </row>
    <row r="1600" spans="1:23" x14ac:dyDescent="0.25">
      <c r="A1600" t="s">
        <v>633</v>
      </c>
      <c r="B1600" s="19">
        <v>17688</v>
      </c>
      <c r="C1600" s="2">
        <f>HYPERLINK(URLs!B36 &amp; 105840,105840)</f>
        <v>105840</v>
      </c>
      <c r="D1600" t="s">
        <v>581</v>
      </c>
      <c r="E1600" t="s">
        <v>78</v>
      </c>
      <c r="F1600" t="s">
        <v>305</v>
      </c>
      <c r="G1600" t="s">
        <v>304</v>
      </c>
      <c r="H1600" t="s">
        <v>116</v>
      </c>
      <c r="I1600" t="s">
        <v>31</v>
      </c>
      <c r="J1600" t="s">
        <v>43</v>
      </c>
      <c r="K1600" t="s">
        <v>51</v>
      </c>
      <c r="L1600" t="s">
        <v>73</v>
      </c>
      <c r="M1600" t="s">
        <v>263</v>
      </c>
      <c r="N1600" t="s">
        <v>510</v>
      </c>
      <c r="P1600" t="s">
        <v>107</v>
      </c>
      <c r="Q1600" t="s">
        <v>2416</v>
      </c>
      <c r="R1600">
        <v>43018.906284722223</v>
      </c>
      <c r="S1600">
        <v>43391.492199074077</v>
      </c>
      <c r="T1600" t="s">
        <v>301</v>
      </c>
      <c r="U1600" t="s">
        <v>4035</v>
      </c>
      <c r="V1600" t="s">
        <v>35</v>
      </c>
      <c r="W1600" t="s">
        <v>4171</v>
      </c>
    </row>
    <row r="1601" spans="1:23" x14ac:dyDescent="0.25">
      <c r="A1601" t="s">
        <v>633</v>
      </c>
      <c r="B1601" s="19">
        <v>17688</v>
      </c>
      <c r="C1601" s="2">
        <f>HYPERLINK(URLs!B36 &amp; 105839,105839)</f>
        <v>105839</v>
      </c>
      <c r="D1601" t="s">
        <v>580</v>
      </c>
      <c r="E1601" t="s">
        <v>78</v>
      </c>
      <c r="F1601" t="s">
        <v>319</v>
      </c>
      <c r="G1601" t="s">
        <v>304</v>
      </c>
      <c r="H1601" t="s">
        <v>54</v>
      </c>
      <c r="I1601" t="s">
        <v>31</v>
      </c>
      <c r="J1601" t="s">
        <v>43</v>
      </c>
      <c r="K1601" t="s">
        <v>51</v>
      </c>
      <c r="L1601" t="s">
        <v>73</v>
      </c>
      <c r="M1601" t="s">
        <v>263</v>
      </c>
      <c r="N1601" t="s">
        <v>3518</v>
      </c>
      <c r="P1601" t="s">
        <v>107</v>
      </c>
      <c r="Q1601" t="s">
        <v>2854</v>
      </c>
      <c r="R1601">
        <v>43018.90525462963</v>
      </c>
      <c r="S1601">
        <v>43215.936608796299</v>
      </c>
      <c r="T1601" t="s">
        <v>301</v>
      </c>
      <c r="U1601" t="s">
        <v>35</v>
      </c>
      <c r="V1601" t="s">
        <v>35</v>
      </c>
      <c r="W1601" t="s">
        <v>4172</v>
      </c>
    </row>
    <row r="1602" spans="1:23" x14ac:dyDescent="0.25">
      <c r="A1602" t="s">
        <v>633</v>
      </c>
      <c r="B1602" s="19">
        <v>17688</v>
      </c>
      <c r="C1602" s="2">
        <f>HYPERLINK(URLs!B36 &amp; 105838,105838)</f>
        <v>105838</v>
      </c>
      <c r="D1602" t="s">
        <v>578</v>
      </c>
      <c r="E1602" t="s">
        <v>78</v>
      </c>
      <c r="F1602" t="s">
        <v>305</v>
      </c>
      <c r="G1602" t="s">
        <v>304</v>
      </c>
      <c r="H1602" t="s">
        <v>54</v>
      </c>
      <c r="I1602" t="s">
        <v>31</v>
      </c>
      <c r="J1602" t="s">
        <v>43</v>
      </c>
      <c r="K1602" t="s">
        <v>51</v>
      </c>
      <c r="L1602" t="s">
        <v>73</v>
      </c>
      <c r="M1602" t="s">
        <v>263</v>
      </c>
      <c r="N1602" t="s">
        <v>579</v>
      </c>
      <c r="P1602" t="s">
        <v>107</v>
      </c>
      <c r="Q1602" t="s">
        <v>394</v>
      </c>
      <c r="R1602">
        <v>43018.904560185183</v>
      </c>
      <c r="S1602">
        <v>43215.936597222222</v>
      </c>
      <c r="T1602" t="s">
        <v>301</v>
      </c>
      <c r="U1602" t="s">
        <v>4034</v>
      </c>
      <c r="V1602" t="s">
        <v>35</v>
      </c>
      <c r="W1602" t="s">
        <v>307</v>
      </c>
    </row>
    <row r="1603" spans="1:23" x14ac:dyDescent="0.25">
      <c r="A1603" t="s">
        <v>633</v>
      </c>
      <c r="B1603" s="19">
        <v>17688</v>
      </c>
      <c r="C1603" s="2">
        <f>HYPERLINK(URLs!B36 &amp; 99490,99490)</f>
        <v>99490</v>
      </c>
      <c r="D1603" t="s">
        <v>286</v>
      </c>
      <c r="E1603" t="s">
        <v>78</v>
      </c>
      <c r="F1603" t="s">
        <v>319</v>
      </c>
      <c r="G1603" t="s">
        <v>304</v>
      </c>
      <c r="H1603" t="s">
        <v>54</v>
      </c>
      <c r="I1603" t="s">
        <v>31</v>
      </c>
      <c r="J1603" t="s">
        <v>43</v>
      </c>
      <c r="K1603" t="s">
        <v>51</v>
      </c>
      <c r="L1603" t="s">
        <v>73</v>
      </c>
      <c r="M1603" t="s">
        <v>263</v>
      </c>
      <c r="N1603" t="s">
        <v>46</v>
      </c>
      <c r="P1603" t="s">
        <v>107</v>
      </c>
      <c r="Q1603" t="s">
        <v>2854</v>
      </c>
      <c r="R1603">
        <v>42870.860798611109</v>
      </c>
      <c r="S1603">
        <v>43215.936597222222</v>
      </c>
      <c r="T1603" t="s">
        <v>1</v>
      </c>
      <c r="U1603" t="s">
        <v>35</v>
      </c>
      <c r="V1603" t="s">
        <v>35</v>
      </c>
      <c r="W1603" t="s">
        <v>4098</v>
      </c>
    </row>
    <row r="1604" spans="1:23" x14ac:dyDescent="0.25">
      <c r="A1604" t="s">
        <v>633</v>
      </c>
      <c r="B1604" s="19">
        <v>17757</v>
      </c>
      <c r="C1604" s="2">
        <f>HYPERLINK(URLs!B36 &amp; 99999,99999)</f>
        <v>99999</v>
      </c>
      <c r="D1604" t="s">
        <v>3584</v>
      </c>
      <c r="E1604" t="s">
        <v>155</v>
      </c>
      <c r="F1604" t="s">
        <v>305</v>
      </c>
      <c r="G1604" t="s">
        <v>304</v>
      </c>
      <c r="H1604" t="s">
        <v>116</v>
      </c>
      <c r="I1604" t="s">
        <v>31</v>
      </c>
      <c r="J1604" t="s">
        <v>43</v>
      </c>
      <c r="K1604" t="s">
        <v>44</v>
      </c>
      <c r="L1604" t="s">
        <v>73</v>
      </c>
      <c r="M1604" t="s">
        <v>263</v>
      </c>
      <c r="N1604" t="s">
        <v>510</v>
      </c>
      <c r="P1604" t="s">
        <v>133</v>
      </c>
      <c r="Q1604" t="s">
        <v>2416</v>
      </c>
      <c r="R1604">
        <v>42880.638090277775</v>
      </c>
      <c r="S1604">
        <v>43230.986863425926</v>
      </c>
      <c r="T1604" t="s">
        <v>301</v>
      </c>
      <c r="U1604" t="s">
        <v>4021</v>
      </c>
      <c r="V1604" t="s">
        <v>35</v>
      </c>
      <c r="W1604" t="s">
        <v>307</v>
      </c>
    </row>
    <row r="1605" spans="1:23" x14ac:dyDescent="0.25">
      <c r="A1605" t="s">
        <v>633</v>
      </c>
      <c r="B1605" s="19">
        <v>17757</v>
      </c>
      <c r="C1605" s="2">
        <f>HYPERLINK(URLs!B36 &amp; 99998,99998)</f>
        <v>99998</v>
      </c>
      <c r="D1605" t="s">
        <v>3583</v>
      </c>
      <c r="E1605" t="s">
        <v>155</v>
      </c>
      <c r="F1605" t="s">
        <v>305</v>
      </c>
      <c r="G1605" t="s">
        <v>304</v>
      </c>
      <c r="H1605" t="s">
        <v>54</v>
      </c>
      <c r="I1605" t="s">
        <v>31</v>
      </c>
      <c r="J1605" t="s">
        <v>43</v>
      </c>
      <c r="K1605" t="s">
        <v>44</v>
      </c>
      <c r="L1605" t="s">
        <v>73</v>
      </c>
      <c r="M1605" t="s">
        <v>263</v>
      </c>
      <c r="N1605" t="s">
        <v>60</v>
      </c>
      <c r="P1605" t="s">
        <v>133</v>
      </c>
      <c r="Q1605" t="s">
        <v>2416</v>
      </c>
      <c r="R1605">
        <v>42880.636782407404</v>
      </c>
      <c r="S1605">
        <v>42954.125150462962</v>
      </c>
      <c r="T1605" t="s">
        <v>301</v>
      </c>
      <c r="U1605" t="s">
        <v>4007</v>
      </c>
      <c r="V1605" t="s">
        <v>35</v>
      </c>
      <c r="W1605" t="s">
        <v>69</v>
      </c>
    </row>
    <row r="1606" spans="1:23" x14ac:dyDescent="0.25">
      <c r="A1606" t="s">
        <v>633</v>
      </c>
      <c r="B1606" s="19">
        <v>17757</v>
      </c>
      <c r="C1606" s="2">
        <f>HYPERLINK(URLs!B36 &amp; 99933,99933)</f>
        <v>99933</v>
      </c>
      <c r="D1606" t="s">
        <v>154</v>
      </c>
      <c r="E1606" t="s">
        <v>155</v>
      </c>
      <c r="F1606" t="s">
        <v>319</v>
      </c>
      <c r="G1606" t="s">
        <v>304</v>
      </c>
      <c r="H1606" t="s">
        <v>54</v>
      </c>
      <c r="I1606" t="s">
        <v>31</v>
      </c>
      <c r="J1606" t="s">
        <v>43</v>
      </c>
      <c r="K1606" t="s">
        <v>44</v>
      </c>
      <c r="L1606" t="s">
        <v>73</v>
      </c>
      <c r="M1606" t="s">
        <v>263</v>
      </c>
      <c r="N1606" t="s">
        <v>60</v>
      </c>
      <c r="P1606" t="s">
        <v>133</v>
      </c>
      <c r="Q1606" t="s">
        <v>3708</v>
      </c>
      <c r="R1606">
        <v>42879.606689814813</v>
      </c>
      <c r="S1606">
        <v>43423.907083333332</v>
      </c>
      <c r="T1606" t="s">
        <v>5</v>
      </c>
      <c r="U1606" t="s">
        <v>35</v>
      </c>
      <c r="V1606" t="s">
        <v>35</v>
      </c>
      <c r="W1606" t="s">
        <v>4098</v>
      </c>
    </row>
    <row r="1607" spans="1:23" x14ac:dyDescent="0.25">
      <c r="A1607" t="s">
        <v>618</v>
      </c>
      <c r="B1607" s="19">
        <v>17772</v>
      </c>
      <c r="C1607" s="2">
        <f>HYPERLINK(URLs!B36 &amp; 105108,105108)</f>
        <v>105108</v>
      </c>
      <c r="D1607" t="s">
        <v>4211</v>
      </c>
      <c r="E1607" t="s">
        <v>175</v>
      </c>
      <c r="F1607" t="s">
        <v>305</v>
      </c>
      <c r="G1607" t="s">
        <v>337</v>
      </c>
      <c r="H1607" t="s">
        <v>54</v>
      </c>
      <c r="I1607" t="s">
        <v>31</v>
      </c>
      <c r="J1607" t="s">
        <v>43</v>
      </c>
      <c r="K1607" t="s">
        <v>44</v>
      </c>
      <c r="L1607" t="s">
        <v>34</v>
      </c>
      <c r="M1607" t="s">
        <v>278</v>
      </c>
      <c r="N1607" t="s">
        <v>518</v>
      </c>
      <c r="O1607" t="s">
        <v>599</v>
      </c>
      <c r="P1607" t="s">
        <v>107</v>
      </c>
      <c r="Q1607" t="s">
        <v>2481</v>
      </c>
      <c r="R1607">
        <v>43001.877465277779</v>
      </c>
      <c r="S1607">
        <v>43227.811585648145</v>
      </c>
      <c r="T1607" t="s">
        <v>53</v>
      </c>
      <c r="U1607" t="s">
        <v>35</v>
      </c>
      <c r="V1607" t="s">
        <v>35</v>
      </c>
      <c r="W1607" t="s">
        <v>307</v>
      </c>
    </row>
    <row r="1608" spans="1:23" x14ac:dyDescent="0.25">
      <c r="A1608" t="s">
        <v>618</v>
      </c>
      <c r="B1608" s="19">
        <v>17772</v>
      </c>
      <c r="C1608" s="2">
        <f>HYPERLINK(URLs!B36 &amp; 103459,103459)</f>
        <v>103459</v>
      </c>
      <c r="D1608" t="s">
        <v>3667</v>
      </c>
      <c r="E1608" t="s">
        <v>167</v>
      </c>
      <c r="F1608" t="s">
        <v>305</v>
      </c>
      <c r="G1608" t="s">
        <v>310</v>
      </c>
      <c r="H1608" t="s">
        <v>54</v>
      </c>
      <c r="I1608" t="s">
        <v>31</v>
      </c>
      <c r="J1608" t="s">
        <v>43</v>
      </c>
      <c r="K1608" t="s">
        <v>44</v>
      </c>
      <c r="L1608" t="s">
        <v>34</v>
      </c>
      <c r="M1608" t="s">
        <v>278</v>
      </c>
      <c r="N1608" t="s">
        <v>518</v>
      </c>
      <c r="O1608" t="s">
        <v>3668</v>
      </c>
      <c r="P1608" t="s">
        <v>107</v>
      </c>
      <c r="Q1608" t="s">
        <v>3590</v>
      </c>
      <c r="R1608">
        <v>42956.96665509259</v>
      </c>
      <c r="S1608">
        <v>43135.14603009259</v>
      </c>
      <c r="T1608" t="s">
        <v>53</v>
      </c>
      <c r="U1608" t="s">
        <v>35</v>
      </c>
      <c r="V1608" t="s">
        <v>35</v>
      </c>
      <c r="W1608" t="s">
        <v>4167</v>
      </c>
    </row>
    <row r="1609" spans="1:23" x14ac:dyDescent="0.25">
      <c r="A1609" t="s">
        <v>618</v>
      </c>
      <c r="B1609" s="19">
        <v>17772</v>
      </c>
      <c r="C1609" s="2">
        <f>HYPERLINK(URLs!B36 &amp; 100069,100069)</f>
        <v>100069</v>
      </c>
      <c r="D1609" t="s">
        <v>3591</v>
      </c>
      <c r="E1609" t="s">
        <v>134</v>
      </c>
      <c r="F1609" t="s">
        <v>305</v>
      </c>
      <c r="G1609" t="s">
        <v>304</v>
      </c>
      <c r="H1609" t="s">
        <v>54</v>
      </c>
      <c r="I1609" t="s">
        <v>31</v>
      </c>
      <c r="J1609" t="s">
        <v>43</v>
      </c>
      <c r="K1609" t="s">
        <v>44</v>
      </c>
      <c r="L1609" t="s">
        <v>34</v>
      </c>
      <c r="M1609" t="s">
        <v>278</v>
      </c>
      <c r="N1609" t="s">
        <v>4195</v>
      </c>
      <c r="O1609" t="s">
        <v>533</v>
      </c>
      <c r="P1609" t="s">
        <v>107</v>
      </c>
      <c r="Q1609" t="s">
        <v>3509</v>
      </c>
      <c r="R1609">
        <v>42881.854375000003</v>
      </c>
      <c r="S1609">
        <v>43305.509768518517</v>
      </c>
      <c r="T1609" t="s">
        <v>53</v>
      </c>
      <c r="U1609" t="s">
        <v>35</v>
      </c>
      <c r="V1609" t="s">
        <v>35</v>
      </c>
      <c r="W1609" t="s">
        <v>4143</v>
      </c>
    </row>
    <row r="1610" spans="1:23" x14ac:dyDescent="0.25">
      <c r="A1610" t="s">
        <v>618</v>
      </c>
      <c r="B1610" s="19">
        <v>17772</v>
      </c>
      <c r="C1610" s="2">
        <f>HYPERLINK(URLs!B36 &amp; 100068,100068)</f>
        <v>100068</v>
      </c>
      <c r="D1610" t="s">
        <v>3589</v>
      </c>
      <c r="E1610" t="s">
        <v>167</v>
      </c>
      <c r="F1610" t="s">
        <v>305</v>
      </c>
      <c r="G1610" t="s">
        <v>337</v>
      </c>
      <c r="H1610" t="s">
        <v>54</v>
      </c>
      <c r="I1610" t="s">
        <v>31</v>
      </c>
      <c r="J1610" t="s">
        <v>43</v>
      </c>
      <c r="K1610" t="s">
        <v>51</v>
      </c>
      <c r="L1610" t="s">
        <v>34</v>
      </c>
      <c r="M1610" t="s">
        <v>278</v>
      </c>
      <c r="N1610" t="s">
        <v>60</v>
      </c>
      <c r="P1610" t="s">
        <v>107</v>
      </c>
      <c r="Q1610" t="s">
        <v>3590</v>
      </c>
      <c r="R1610">
        <v>42881.852048611108</v>
      </c>
      <c r="S1610">
        <v>43019.782326388886</v>
      </c>
      <c r="T1610" t="s">
        <v>53</v>
      </c>
      <c r="U1610" t="s">
        <v>35</v>
      </c>
      <c r="V1610" t="s">
        <v>35</v>
      </c>
      <c r="W1610" t="s">
        <v>69</v>
      </c>
    </row>
    <row r="1611" spans="1:23" x14ac:dyDescent="0.25">
      <c r="A1611" t="s">
        <v>618</v>
      </c>
      <c r="B1611" s="19">
        <v>17772</v>
      </c>
      <c r="C1611" s="2">
        <f>HYPERLINK(URLs!B36 &amp; 100067,100067)</f>
        <v>100067</v>
      </c>
      <c r="D1611" t="s">
        <v>166</v>
      </c>
      <c r="E1611" t="s">
        <v>175</v>
      </c>
      <c r="F1611" t="s">
        <v>305</v>
      </c>
      <c r="G1611" t="s">
        <v>304</v>
      </c>
      <c r="H1611" t="s">
        <v>54</v>
      </c>
      <c r="I1611" t="s">
        <v>31</v>
      </c>
      <c r="J1611" t="s">
        <v>43</v>
      </c>
      <c r="K1611" t="s">
        <v>44</v>
      </c>
      <c r="L1611" t="s">
        <v>34</v>
      </c>
      <c r="M1611" t="s">
        <v>278</v>
      </c>
      <c r="N1611" t="s">
        <v>60</v>
      </c>
      <c r="O1611" t="s">
        <v>4079</v>
      </c>
      <c r="P1611" t="s">
        <v>107</v>
      </c>
      <c r="Q1611" t="s">
        <v>3509</v>
      </c>
      <c r="R1611">
        <v>42881.852060185185</v>
      </c>
      <c r="S1611">
        <v>43232.006655092591</v>
      </c>
      <c r="T1611" t="s">
        <v>53</v>
      </c>
      <c r="U1611" t="s">
        <v>35</v>
      </c>
      <c r="V1611" t="s">
        <v>35</v>
      </c>
      <c r="W1611" t="s">
        <v>4098</v>
      </c>
    </row>
    <row r="1612" spans="1:23" x14ac:dyDescent="0.25">
      <c r="A1612" t="s">
        <v>618</v>
      </c>
      <c r="B1612" s="19">
        <v>17772</v>
      </c>
      <c r="C1612" s="2">
        <f>HYPERLINK(URLs!B36 &amp; 100008,100008)</f>
        <v>100008</v>
      </c>
      <c r="D1612" t="s">
        <v>3585</v>
      </c>
      <c r="E1612" t="s">
        <v>167</v>
      </c>
      <c r="F1612" t="s">
        <v>305</v>
      </c>
      <c r="G1612" t="s">
        <v>310</v>
      </c>
      <c r="H1612" t="s">
        <v>54</v>
      </c>
      <c r="I1612" t="s">
        <v>31</v>
      </c>
      <c r="J1612" t="s">
        <v>43</v>
      </c>
      <c r="K1612" t="s">
        <v>51</v>
      </c>
      <c r="L1612" t="s">
        <v>34</v>
      </c>
      <c r="M1612" t="s">
        <v>278</v>
      </c>
      <c r="N1612" t="s">
        <v>60</v>
      </c>
      <c r="P1612" t="s">
        <v>107</v>
      </c>
      <c r="Q1612" t="s">
        <v>3509</v>
      </c>
      <c r="R1612">
        <v>42880.822430555556</v>
      </c>
      <c r="S1612">
        <v>43164.131550925929</v>
      </c>
      <c r="T1612" t="s">
        <v>2</v>
      </c>
      <c r="U1612" t="s">
        <v>35</v>
      </c>
      <c r="V1612" t="s">
        <v>35</v>
      </c>
      <c r="W1612" t="s">
        <v>4156</v>
      </c>
    </row>
    <row r="1613" spans="1:23" x14ac:dyDescent="0.25">
      <c r="A1613" t="s">
        <v>633</v>
      </c>
      <c r="B1613" s="19">
        <v>17774</v>
      </c>
      <c r="C1613" s="2">
        <f>HYPERLINK(URLs!B36 &amp; 103456,103456)</f>
        <v>103456</v>
      </c>
      <c r="D1613" t="s">
        <v>3666</v>
      </c>
      <c r="E1613" t="s">
        <v>134</v>
      </c>
      <c r="F1613" t="s">
        <v>305</v>
      </c>
      <c r="G1613" t="s">
        <v>304</v>
      </c>
      <c r="H1613" t="s">
        <v>54</v>
      </c>
      <c r="I1613" t="s">
        <v>31</v>
      </c>
      <c r="J1613" t="s">
        <v>43</v>
      </c>
      <c r="K1613" t="s">
        <v>44</v>
      </c>
      <c r="L1613" t="s">
        <v>34</v>
      </c>
      <c r="M1613" t="s">
        <v>278</v>
      </c>
      <c r="N1613" t="s">
        <v>518</v>
      </c>
      <c r="O1613" t="s">
        <v>3634</v>
      </c>
      <c r="P1613" t="s">
        <v>107</v>
      </c>
      <c r="Q1613" t="s">
        <v>3593</v>
      </c>
      <c r="R1613">
        <v>42956.961724537039</v>
      </c>
      <c r="S1613">
        <v>43048.137106481481</v>
      </c>
      <c r="T1613" t="s">
        <v>53</v>
      </c>
      <c r="U1613" t="s">
        <v>4025</v>
      </c>
      <c r="V1613" t="s">
        <v>35</v>
      </c>
      <c r="W1613" t="s">
        <v>4167</v>
      </c>
    </row>
    <row r="1614" spans="1:23" x14ac:dyDescent="0.25">
      <c r="A1614" t="s">
        <v>633</v>
      </c>
      <c r="B1614" s="19">
        <v>17774</v>
      </c>
      <c r="C1614" s="2">
        <f>HYPERLINK(URLs!B36 &amp; 100070,100070)</f>
        <v>100070</v>
      </c>
      <c r="D1614" t="s">
        <v>3592</v>
      </c>
      <c r="E1614" t="s">
        <v>134</v>
      </c>
      <c r="F1614" t="s">
        <v>305</v>
      </c>
      <c r="G1614" t="s">
        <v>304</v>
      </c>
      <c r="H1614" t="s">
        <v>54</v>
      </c>
      <c r="I1614" t="s">
        <v>31</v>
      </c>
      <c r="J1614" t="s">
        <v>43</v>
      </c>
      <c r="K1614" t="s">
        <v>51</v>
      </c>
      <c r="L1614" t="s">
        <v>34</v>
      </c>
      <c r="M1614" t="s">
        <v>278</v>
      </c>
      <c r="N1614" t="s">
        <v>518</v>
      </c>
      <c r="P1614" t="s">
        <v>107</v>
      </c>
      <c r="Q1614" t="s">
        <v>3593</v>
      </c>
      <c r="R1614">
        <v>42881.855104166665</v>
      </c>
      <c r="S1614">
        <v>43111.907824074071</v>
      </c>
      <c r="T1614" t="s">
        <v>53</v>
      </c>
      <c r="U1614" t="s">
        <v>35</v>
      </c>
      <c r="V1614" t="s">
        <v>35</v>
      </c>
      <c r="W1614" t="s">
        <v>4143</v>
      </c>
    </row>
    <row r="1615" spans="1:23" x14ac:dyDescent="0.25">
      <c r="A1615" t="s">
        <v>633</v>
      </c>
      <c r="B1615" s="19">
        <v>17774</v>
      </c>
      <c r="C1615" s="2">
        <f>HYPERLINK(URLs!B36 &amp; 100066,100066)</f>
        <v>100066</v>
      </c>
      <c r="D1615" t="s">
        <v>3588</v>
      </c>
      <c r="E1615" t="s">
        <v>167</v>
      </c>
      <c r="F1615" t="s">
        <v>305</v>
      </c>
      <c r="G1615" t="s">
        <v>337</v>
      </c>
      <c r="H1615" t="s">
        <v>54</v>
      </c>
      <c r="I1615" t="s">
        <v>31</v>
      </c>
      <c r="J1615" t="s">
        <v>32</v>
      </c>
      <c r="K1615" t="s">
        <v>33</v>
      </c>
      <c r="L1615" t="s">
        <v>34</v>
      </c>
      <c r="M1615" t="s">
        <v>278</v>
      </c>
      <c r="N1615" t="s">
        <v>60</v>
      </c>
      <c r="P1615" t="s">
        <v>107</v>
      </c>
      <c r="Q1615" t="s">
        <v>107</v>
      </c>
      <c r="R1615">
        <v>42881.8515162037</v>
      </c>
      <c r="S1615">
        <v>42969.481064814812</v>
      </c>
      <c r="T1615" t="s">
        <v>53</v>
      </c>
      <c r="U1615" t="s">
        <v>35</v>
      </c>
      <c r="V1615" t="s">
        <v>321</v>
      </c>
      <c r="W1615" t="s">
        <v>69</v>
      </c>
    </row>
    <row r="1616" spans="1:23" x14ac:dyDescent="0.25">
      <c r="A1616" t="s">
        <v>633</v>
      </c>
      <c r="B1616" s="19">
        <v>17774</v>
      </c>
      <c r="C1616" s="2">
        <f>HYPERLINK(URLs!B36 &amp; 100065,100065)</f>
        <v>100065</v>
      </c>
      <c r="D1616" t="s">
        <v>163</v>
      </c>
      <c r="E1616" t="s">
        <v>164</v>
      </c>
      <c r="F1616" t="s">
        <v>319</v>
      </c>
      <c r="G1616" t="s">
        <v>304</v>
      </c>
      <c r="H1616" t="s">
        <v>54</v>
      </c>
      <c r="I1616" t="s">
        <v>31</v>
      </c>
      <c r="J1616" t="s">
        <v>43</v>
      </c>
      <c r="K1616" t="s">
        <v>51</v>
      </c>
      <c r="L1616" t="s">
        <v>34</v>
      </c>
      <c r="M1616" t="s">
        <v>278</v>
      </c>
      <c r="N1616" t="s">
        <v>60</v>
      </c>
      <c r="O1616" t="s">
        <v>165</v>
      </c>
      <c r="P1616" t="s">
        <v>107</v>
      </c>
      <c r="Q1616" t="s">
        <v>3708</v>
      </c>
      <c r="R1616">
        <v>42881.851539351854</v>
      </c>
      <c r="S1616">
        <v>43423.895613425928</v>
      </c>
      <c r="T1616" t="s">
        <v>53</v>
      </c>
      <c r="U1616" t="s">
        <v>35</v>
      </c>
      <c r="V1616" t="s">
        <v>35</v>
      </c>
      <c r="W1616" t="s">
        <v>4098</v>
      </c>
    </row>
    <row r="1617" spans="1:23" x14ac:dyDescent="0.25">
      <c r="A1617" t="s">
        <v>633</v>
      </c>
      <c r="B1617" s="19">
        <v>17774</v>
      </c>
      <c r="C1617" s="2">
        <f>HYPERLINK(URLs!B36 &amp; 100013,100013)</f>
        <v>100013</v>
      </c>
      <c r="D1617" t="s">
        <v>558</v>
      </c>
      <c r="E1617" t="s">
        <v>175</v>
      </c>
      <c r="F1617" t="s">
        <v>305</v>
      </c>
      <c r="G1617" t="s">
        <v>337</v>
      </c>
      <c r="H1617" t="s">
        <v>54</v>
      </c>
      <c r="I1617" t="s">
        <v>31</v>
      </c>
      <c r="J1617" t="s">
        <v>43</v>
      </c>
      <c r="K1617" t="s">
        <v>51</v>
      </c>
      <c r="L1617" t="s">
        <v>34</v>
      </c>
      <c r="M1617" t="s">
        <v>278</v>
      </c>
      <c r="N1617" t="s">
        <v>60</v>
      </c>
      <c r="P1617" t="s">
        <v>107</v>
      </c>
      <c r="Q1617" t="s">
        <v>3708</v>
      </c>
      <c r="R1617">
        <v>42880.880983796298</v>
      </c>
      <c r="S1617">
        <v>43423.863564814812</v>
      </c>
      <c r="T1617" t="s">
        <v>2</v>
      </c>
      <c r="U1617" t="s">
        <v>35</v>
      </c>
      <c r="V1617" t="s">
        <v>35</v>
      </c>
      <c r="W1617" t="s">
        <v>4156</v>
      </c>
    </row>
    <row r="1618" spans="1:23" x14ac:dyDescent="0.25">
      <c r="A1618" t="s">
        <v>633</v>
      </c>
      <c r="B1618" s="19">
        <v>17779</v>
      </c>
      <c r="C1618" s="2">
        <f>HYPERLINK(URLs!B36 &amp; 105687,105687)</f>
        <v>105687</v>
      </c>
      <c r="D1618" t="s">
        <v>575</v>
      </c>
      <c r="E1618" t="s">
        <v>4214</v>
      </c>
      <c r="F1618" t="s">
        <v>305</v>
      </c>
      <c r="G1618" t="s">
        <v>328</v>
      </c>
      <c r="H1618" t="s">
        <v>54</v>
      </c>
      <c r="I1618" t="s">
        <v>31</v>
      </c>
      <c r="J1618" t="s">
        <v>32</v>
      </c>
      <c r="K1618" t="s">
        <v>33</v>
      </c>
      <c r="L1618" t="s">
        <v>45</v>
      </c>
      <c r="M1618" t="s">
        <v>260</v>
      </c>
      <c r="N1618" t="s">
        <v>4195</v>
      </c>
      <c r="P1618" t="s">
        <v>75</v>
      </c>
      <c r="Q1618" t="s">
        <v>1503</v>
      </c>
      <c r="R1618">
        <v>43014.72074074074</v>
      </c>
      <c r="S1618">
        <v>43337.158275462964</v>
      </c>
      <c r="T1618" t="s">
        <v>53</v>
      </c>
      <c r="U1618" t="s">
        <v>35</v>
      </c>
      <c r="V1618" t="s">
        <v>321</v>
      </c>
      <c r="W1618" t="s">
        <v>4171</v>
      </c>
    </row>
    <row r="1619" spans="1:23" x14ac:dyDescent="0.25">
      <c r="A1619" t="s">
        <v>633</v>
      </c>
      <c r="B1619" s="19">
        <v>17779</v>
      </c>
      <c r="C1619" s="2">
        <f>HYPERLINK(URLs!B36 &amp; 104094,104094)</f>
        <v>104094</v>
      </c>
      <c r="D1619" t="s">
        <v>568</v>
      </c>
      <c r="E1619" t="s">
        <v>161</v>
      </c>
      <c r="F1619" t="s">
        <v>305</v>
      </c>
      <c r="G1619" t="s">
        <v>337</v>
      </c>
      <c r="H1619" t="s">
        <v>54</v>
      </c>
      <c r="I1619" t="s">
        <v>31</v>
      </c>
      <c r="J1619" t="s">
        <v>32</v>
      </c>
      <c r="K1619" t="s">
        <v>33</v>
      </c>
      <c r="L1619" t="s">
        <v>45</v>
      </c>
      <c r="M1619" t="s">
        <v>260</v>
      </c>
      <c r="N1619" t="s">
        <v>518</v>
      </c>
      <c r="P1619" t="s">
        <v>75</v>
      </c>
      <c r="Q1619" t="s">
        <v>3708</v>
      </c>
      <c r="R1619">
        <v>42976.703356481485</v>
      </c>
      <c r="S1619">
        <v>43423.872430555559</v>
      </c>
      <c r="T1619" t="s">
        <v>301</v>
      </c>
      <c r="U1619" t="s">
        <v>35</v>
      </c>
      <c r="V1619" t="s">
        <v>321</v>
      </c>
      <c r="W1619" t="s">
        <v>4158</v>
      </c>
    </row>
    <row r="1620" spans="1:23" x14ac:dyDescent="0.25">
      <c r="A1620" t="s">
        <v>633</v>
      </c>
      <c r="B1620" s="19">
        <v>17779</v>
      </c>
      <c r="C1620" s="2">
        <f>HYPERLINK(URLs!B36 &amp; 100184,100184)</f>
        <v>100184</v>
      </c>
      <c r="D1620" t="s">
        <v>563</v>
      </c>
      <c r="E1620" t="s">
        <v>161</v>
      </c>
      <c r="F1620" t="s">
        <v>305</v>
      </c>
      <c r="G1620" t="s">
        <v>337</v>
      </c>
      <c r="H1620" t="s">
        <v>54</v>
      </c>
      <c r="I1620" t="s">
        <v>31</v>
      </c>
      <c r="J1620" t="s">
        <v>32</v>
      </c>
      <c r="K1620" t="s">
        <v>33</v>
      </c>
      <c r="L1620" t="s">
        <v>45</v>
      </c>
      <c r="M1620" t="s">
        <v>260</v>
      </c>
      <c r="N1620" t="s">
        <v>518</v>
      </c>
      <c r="P1620" t="s">
        <v>75</v>
      </c>
      <c r="Q1620" t="s">
        <v>75</v>
      </c>
      <c r="R1620">
        <v>42886.500856481478</v>
      </c>
      <c r="S1620">
        <v>43204.161562499998</v>
      </c>
      <c r="T1620" t="s">
        <v>301</v>
      </c>
      <c r="U1620" t="s">
        <v>35</v>
      </c>
      <c r="V1620" t="s">
        <v>321</v>
      </c>
      <c r="W1620" t="s">
        <v>307</v>
      </c>
    </row>
    <row r="1621" spans="1:23" x14ac:dyDescent="0.25">
      <c r="A1621" t="s">
        <v>633</v>
      </c>
      <c r="B1621" s="19">
        <v>17779</v>
      </c>
      <c r="C1621" s="2">
        <f>HYPERLINK(URLs!B36 &amp; 100183,100183)</f>
        <v>100183</v>
      </c>
      <c r="D1621" t="s">
        <v>3596</v>
      </c>
      <c r="E1621" t="s">
        <v>161</v>
      </c>
      <c r="F1621" t="s">
        <v>305</v>
      </c>
      <c r="G1621" t="s">
        <v>337</v>
      </c>
      <c r="H1621" t="s">
        <v>54</v>
      </c>
      <c r="I1621" t="s">
        <v>31</v>
      </c>
      <c r="J1621" t="s">
        <v>32</v>
      </c>
      <c r="K1621" t="s">
        <v>33</v>
      </c>
      <c r="L1621" t="s">
        <v>45</v>
      </c>
      <c r="M1621" t="s">
        <v>260</v>
      </c>
      <c r="N1621" t="s">
        <v>60</v>
      </c>
      <c r="P1621" t="s">
        <v>75</v>
      </c>
      <c r="Q1621" t="s">
        <v>2731</v>
      </c>
      <c r="R1621">
        <v>42886.499641203707</v>
      </c>
      <c r="S1621">
        <v>42969.480844907404</v>
      </c>
      <c r="T1621" t="s">
        <v>301</v>
      </c>
      <c r="U1621" t="s">
        <v>35</v>
      </c>
      <c r="V1621" t="s">
        <v>321</v>
      </c>
      <c r="W1621" t="s">
        <v>69</v>
      </c>
    </row>
    <row r="1622" spans="1:23" x14ac:dyDescent="0.25">
      <c r="A1622" t="s">
        <v>633</v>
      </c>
      <c r="B1622" s="19">
        <v>17779</v>
      </c>
      <c r="C1622" s="2">
        <f>HYPERLINK(URLs!B36 &amp; 99949,99949)</f>
        <v>99949</v>
      </c>
      <c r="D1622" t="s">
        <v>160</v>
      </c>
      <c r="E1622" t="s">
        <v>161</v>
      </c>
      <c r="F1622" t="s">
        <v>319</v>
      </c>
      <c r="G1622" t="s">
        <v>328</v>
      </c>
      <c r="H1622" t="s">
        <v>54</v>
      </c>
      <c r="I1622" t="s">
        <v>31</v>
      </c>
      <c r="J1622" t="s">
        <v>32</v>
      </c>
      <c r="K1622" t="s">
        <v>33</v>
      </c>
      <c r="L1622" t="s">
        <v>45</v>
      </c>
      <c r="M1622" t="s">
        <v>260</v>
      </c>
      <c r="N1622" t="s">
        <v>46</v>
      </c>
      <c r="O1622" t="s">
        <v>492</v>
      </c>
      <c r="P1622" t="s">
        <v>75</v>
      </c>
      <c r="Q1622" t="s">
        <v>3708</v>
      </c>
      <c r="R1622">
        <v>42879.999201388891</v>
      </c>
      <c r="S1622">
        <v>43423.918449074074</v>
      </c>
      <c r="T1622" t="s">
        <v>162</v>
      </c>
      <c r="U1622" t="s">
        <v>35</v>
      </c>
      <c r="V1622" t="s">
        <v>321</v>
      </c>
      <c r="W1622" t="s">
        <v>4098</v>
      </c>
    </row>
    <row r="1623" spans="1:23" x14ac:dyDescent="0.25">
      <c r="A1623" t="s">
        <v>618</v>
      </c>
      <c r="B1623" s="19">
        <v>17789</v>
      </c>
      <c r="C1623" s="2">
        <f>HYPERLINK(URLs!B36 &amp; 108299,108299)</f>
        <v>108299</v>
      </c>
      <c r="D1623" t="s">
        <v>1510</v>
      </c>
      <c r="E1623" t="s">
        <v>301</v>
      </c>
      <c r="F1623" t="s">
        <v>305</v>
      </c>
      <c r="G1623" t="s">
        <v>337</v>
      </c>
      <c r="H1623" t="s">
        <v>116</v>
      </c>
      <c r="I1623" t="s">
        <v>31</v>
      </c>
      <c r="J1623" t="s">
        <v>32</v>
      </c>
      <c r="K1623" t="s">
        <v>33</v>
      </c>
      <c r="L1623" t="s">
        <v>73</v>
      </c>
      <c r="M1623" t="s">
        <v>264</v>
      </c>
      <c r="N1623" t="s">
        <v>518</v>
      </c>
      <c r="P1623" t="s">
        <v>107</v>
      </c>
      <c r="Q1623" t="s">
        <v>3708</v>
      </c>
      <c r="R1623">
        <v>43073.998460648145</v>
      </c>
      <c r="S1623">
        <v>43423.872372685182</v>
      </c>
      <c r="T1623" t="s">
        <v>53</v>
      </c>
      <c r="U1623" t="s">
        <v>35</v>
      </c>
      <c r="V1623" t="s">
        <v>321</v>
      </c>
      <c r="W1623" t="s">
        <v>4158</v>
      </c>
    </row>
    <row r="1624" spans="1:23" x14ac:dyDescent="0.25">
      <c r="A1624" t="s">
        <v>618</v>
      </c>
      <c r="B1624" s="19">
        <v>17789</v>
      </c>
      <c r="C1624" s="2">
        <f>HYPERLINK(URLs!B36 &amp; 107049,107049)</f>
        <v>107049</v>
      </c>
      <c r="D1624" t="s">
        <v>591</v>
      </c>
      <c r="E1624" t="s">
        <v>560</v>
      </c>
      <c r="F1624" t="s">
        <v>319</v>
      </c>
      <c r="G1624" t="s">
        <v>304</v>
      </c>
      <c r="H1624" t="s">
        <v>116</v>
      </c>
      <c r="I1624" t="s">
        <v>31</v>
      </c>
      <c r="J1624" t="s">
        <v>32</v>
      </c>
      <c r="K1624" t="s">
        <v>33</v>
      </c>
      <c r="L1624" t="s">
        <v>73</v>
      </c>
      <c r="M1624" t="s">
        <v>264</v>
      </c>
      <c r="N1624" t="s">
        <v>510</v>
      </c>
      <c r="P1624" t="s">
        <v>107</v>
      </c>
      <c r="Q1624" t="s">
        <v>159</v>
      </c>
      <c r="R1624">
        <v>43046.613483796296</v>
      </c>
      <c r="S1624">
        <v>43215.965925925928</v>
      </c>
      <c r="T1624" t="s">
        <v>301</v>
      </c>
      <c r="U1624" t="s">
        <v>4035</v>
      </c>
      <c r="V1624" t="s">
        <v>321</v>
      </c>
      <c r="W1624" t="s">
        <v>4171</v>
      </c>
    </row>
    <row r="1625" spans="1:23" x14ac:dyDescent="0.25">
      <c r="A1625" t="s">
        <v>618</v>
      </c>
      <c r="B1625" s="19">
        <v>17789</v>
      </c>
      <c r="C1625" s="2">
        <f>HYPERLINK(URLs!B36 &amp; 100124,100124)</f>
        <v>100124</v>
      </c>
      <c r="D1625" t="s">
        <v>559</v>
      </c>
      <c r="E1625" t="s">
        <v>301</v>
      </c>
      <c r="F1625" t="s">
        <v>305</v>
      </c>
      <c r="G1625" t="s">
        <v>337</v>
      </c>
      <c r="H1625" t="s">
        <v>54</v>
      </c>
      <c r="I1625" t="s">
        <v>31</v>
      </c>
      <c r="J1625" t="s">
        <v>43</v>
      </c>
      <c r="K1625" t="s">
        <v>44</v>
      </c>
      <c r="L1625" t="s">
        <v>73</v>
      </c>
      <c r="M1625" t="s">
        <v>264</v>
      </c>
      <c r="N1625" t="s">
        <v>4085</v>
      </c>
      <c r="P1625" t="s">
        <v>107</v>
      </c>
      <c r="Q1625" t="s">
        <v>562</v>
      </c>
      <c r="R1625">
        <v>42885.441388888888</v>
      </c>
      <c r="S1625">
        <v>43208.164768518516</v>
      </c>
      <c r="T1625" t="s">
        <v>301</v>
      </c>
      <c r="U1625" t="s">
        <v>35</v>
      </c>
      <c r="V1625" t="s">
        <v>35</v>
      </c>
      <c r="W1625" t="s">
        <v>307</v>
      </c>
    </row>
    <row r="1626" spans="1:23" x14ac:dyDescent="0.25">
      <c r="A1626" t="s">
        <v>618</v>
      </c>
      <c r="B1626" s="19">
        <v>17789</v>
      </c>
      <c r="C1626" s="2">
        <f>HYPERLINK(URLs!B36 &amp; 100123,100123)</f>
        <v>100123</v>
      </c>
      <c r="D1626" t="s">
        <v>3594</v>
      </c>
      <c r="E1626" t="s">
        <v>94</v>
      </c>
      <c r="F1626" t="s">
        <v>305</v>
      </c>
      <c r="G1626" t="s">
        <v>337</v>
      </c>
      <c r="H1626" t="s">
        <v>54</v>
      </c>
      <c r="I1626" t="s">
        <v>31</v>
      </c>
      <c r="J1626" t="s">
        <v>32</v>
      </c>
      <c r="K1626" t="s">
        <v>33</v>
      </c>
      <c r="L1626" t="s">
        <v>73</v>
      </c>
      <c r="M1626" t="s">
        <v>264</v>
      </c>
      <c r="N1626" t="s">
        <v>60</v>
      </c>
      <c r="P1626" t="s">
        <v>107</v>
      </c>
      <c r="Q1626" t="s">
        <v>2481</v>
      </c>
      <c r="R1626">
        <v>42885.440057870372</v>
      </c>
      <c r="S1626">
        <v>43019.731689814813</v>
      </c>
      <c r="T1626" t="s">
        <v>301</v>
      </c>
      <c r="U1626" t="s">
        <v>35</v>
      </c>
      <c r="V1626" t="s">
        <v>321</v>
      </c>
      <c r="W1626" t="s">
        <v>69</v>
      </c>
    </row>
    <row r="1627" spans="1:23" x14ac:dyDescent="0.25">
      <c r="A1627" t="s">
        <v>618</v>
      </c>
      <c r="B1627" s="19">
        <v>17789</v>
      </c>
      <c r="C1627" s="2">
        <f>HYPERLINK(URLs!B36 &amp; 99942,99942)</f>
        <v>99942</v>
      </c>
      <c r="D1627" t="s">
        <v>156</v>
      </c>
      <c r="E1627" t="s">
        <v>94</v>
      </c>
      <c r="F1627" t="s">
        <v>305</v>
      </c>
      <c r="G1627" t="s">
        <v>304</v>
      </c>
      <c r="H1627" t="s">
        <v>54</v>
      </c>
      <c r="I1627" t="s">
        <v>31</v>
      </c>
      <c r="J1627" t="s">
        <v>32</v>
      </c>
      <c r="K1627" t="s">
        <v>33</v>
      </c>
      <c r="L1627" t="s">
        <v>73</v>
      </c>
      <c r="M1627" t="s">
        <v>264</v>
      </c>
      <c r="N1627" t="s">
        <v>157</v>
      </c>
      <c r="O1627" t="s">
        <v>158</v>
      </c>
      <c r="P1627" t="s">
        <v>107</v>
      </c>
      <c r="Q1627" t="s">
        <v>159</v>
      </c>
      <c r="R1627">
        <v>42879.858148148145</v>
      </c>
      <c r="S1627">
        <v>43423.923761574071</v>
      </c>
      <c r="T1627" t="s">
        <v>1</v>
      </c>
      <c r="U1627" t="s">
        <v>35</v>
      </c>
      <c r="V1627" t="s">
        <v>321</v>
      </c>
      <c r="W1627" t="s">
        <v>4098</v>
      </c>
    </row>
    <row r="1628" spans="1:23" x14ac:dyDescent="0.25">
      <c r="A1628" t="s">
        <v>633</v>
      </c>
      <c r="B1628" s="19">
        <v>17859</v>
      </c>
      <c r="C1628" s="2">
        <f>HYPERLINK(URLs!B36 &amp; 109870,109870)</f>
        <v>109870</v>
      </c>
      <c r="D1628" t="s">
        <v>4309</v>
      </c>
      <c r="E1628" t="s">
        <v>5</v>
      </c>
      <c r="F1628" t="s">
        <v>305</v>
      </c>
      <c r="G1628" t="s">
        <v>304</v>
      </c>
      <c r="H1628" t="s">
        <v>116</v>
      </c>
      <c r="I1628" t="s">
        <v>68</v>
      </c>
      <c r="J1628" t="s">
        <v>43</v>
      </c>
      <c r="K1628" t="s">
        <v>33</v>
      </c>
      <c r="L1628" t="s">
        <v>34</v>
      </c>
      <c r="M1628" t="s">
        <v>266</v>
      </c>
      <c r="N1628" t="s">
        <v>510</v>
      </c>
      <c r="O1628" t="s">
        <v>4310</v>
      </c>
      <c r="P1628" t="s">
        <v>69</v>
      </c>
      <c r="Q1628" t="s">
        <v>1503</v>
      </c>
      <c r="R1628">
        <v>43129.883819444447</v>
      </c>
      <c r="S1628">
        <v>43277.572997685187</v>
      </c>
      <c r="T1628" t="s">
        <v>53</v>
      </c>
      <c r="U1628" t="s">
        <v>4284</v>
      </c>
      <c r="V1628" t="s">
        <v>35</v>
      </c>
      <c r="W1628" t="s">
        <v>4143</v>
      </c>
    </row>
    <row r="1629" spans="1:23" x14ac:dyDescent="0.25">
      <c r="A1629" t="s">
        <v>633</v>
      </c>
      <c r="B1629" s="19">
        <v>17859</v>
      </c>
      <c r="C1629" s="2">
        <f>HYPERLINK(URLs!B36 &amp; 109869,109869)</f>
        <v>109869</v>
      </c>
      <c r="D1629" t="s">
        <v>4307</v>
      </c>
      <c r="E1629" t="s">
        <v>136</v>
      </c>
      <c r="F1629" t="s">
        <v>319</v>
      </c>
      <c r="G1629" t="s">
        <v>304</v>
      </c>
      <c r="H1629" t="s">
        <v>30</v>
      </c>
      <c r="I1629" t="s">
        <v>68</v>
      </c>
      <c r="J1629" t="s">
        <v>43</v>
      </c>
      <c r="K1629" t="s">
        <v>33</v>
      </c>
      <c r="L1629" t="s">
        <v>34</v>
      </c>
      <c r="M1629" t="s">
        <v>266</v>
      </c>
      <c r="N1629" t="s">
        <v>46</v>
      </c>
      <c r="O1629" t="s">
        <v>4308</v>
      </c>
      <c r="P1629" t="s">
        <v>69</v>
      </c>
      <c r="Q1629" t="s">
        <v>1503</v>
      </c>
      <c r="R1629">
        <v>43129.883842592593</v>
      </c>
      <c r="S1629">
        <v>43140.978796296295</v>
      </c>
      <c r="T1629" t="s">
        <v>53</v>
      </c>
      <c r="U1629" t="s">
        <v>35</v>
      </c>
      <c r="V1629" t="s">
        <v>35</v>
      </c>
      <c r="W1629" t="s">
        <v>4098</v>
      </c>
    </row>
    <row r="1630" spans="1:23" x14ac:dyDescent="0.25">
      <c r="A1630" t="s">
        <v>633</v>
      </c>
      <c r="B1630" s="19">
        <v>17859</v>
      </c>
      <c r="C1630" s="2">
        <f>HYPERLINK(URLs!B36 &amp; 109378,109378)</f>
        <v>109378</v>
      </c>
      <c r="D1630" t="s">
        <v>4248</v>
      </c>
      <c r="E1630" t="s">
        <v>136</v>
      </c>
      <c r="F1630" t="s">
        <v>305</v>
      </c>
      <c r="G1630" t="s">
        <v>304</v>
      </c>
      <c r="H1630" t="s">
        <v>30</v>
      </c>
      <c r="I1630" t="s">
        <v>68</v>
      </c>
      <c r="J1630" t="s">
        <v>43</v>
      </c>
      <c r="K1630" t="s">
        <v>33</v>
      </c>
      <c r="L1630" t="s">
        <v>34</v>
      </c>
      <c r="M1630" t="s">
        <v>266</v>
      </c>
      <c r="N1630" t="s">
        <v>572</v>
      </c>
      <c r="O1630" t="s">
        <v>533</v>
      </c>
      <c r="P1630" t="s">
        <v>69</v>
      </c>
      <c r="Q1630" t="s">
        <v>1503</v>
      </c>
      <c r="R1630">
        <v>43112.556400462963</v>
      </c>
      <c r="S1630">
        <v>43237.657766203702</v>
      </c>
      <c r="T1630" t="s">
        <v>5</v>
      </c>
      <c r="U1630" t="s">
        <v>4249</v>
      </c>
      <c r="V1630" t="s">
        <v>35</v>
      </c>
      <c r="W1630" t="s">
        <v>4176</v>
      </c>
    </row>
    <row r="1631" spans="1:23" x14ac:dyDescent="0.25">
      <c r="A1631" t="s">
        <v>633</v>
      </c>
      <c r="B1631" s="19">
        <v>17859</v>
      </c>
      <c r="C1631" s="2">
        <f>HYPERLINK(URLs!B36 &amp; 105110,105110)</f>
        <v>105110</v>
      </c>
      <c r="D1631" t="s">
        <v>4213</v>
      </c>
      <c r="E1631" t="s">
        <v>88</v>
      </c>
      <c r="F1631" t="s">
        <v>305</v>
      </c>
      <c r="G1631" t="s">
        <v>337</v>
      </c>
      <c r="H1631" t="s">
        <v>30</v>
      </c>
      <c r="I1631" t="s">
        <v>68</v>
      </c>
      <c r="J1631" t="s">
        <v>43</v>
      </c>
      <c r="K1631" t="s">
        <v>33</v>
      </c>
      <c r="L1631" t="s">
        <v>34</v>
      </c>
      <c r="M1631" t="s">
        <v>266</v>
      </c>
      <c r="N1631" t="s">
        <v>46</v>
      </c>
      <c r="P1631" t="s">
        <v>107</v>
      </c>
      <c r="Q1631" t="s">
        <v>3509</v>
      </c>
      <c r="R1631">
        <v>43001.882627314815</v>
      </c>
      <c r="S1631">
        <v>43202.87300925926</v>
      </c>
      <c r="T1631" t="s">
        <v>53</v>
      </c>
      <c r="U1631" t="s">
        <v>35</v>
      </c>
      <c r="V1631" t="s">
        <v>35</v>
      </c>
      <c r="W1631" t="s">
        <v>4176</v>
      </c>
    </row>
    <row r="1632" spans="1:23" x14ac:dyDescent="0.25">
      <c r="A1632" t="s">
        <v>633</v>
      </c>
      <c r="B1632" s="19">
        <v>17859</v>
      </c>
      <c r="C1632" s="2">
        <f>HYPERLINK(URLs!B36 &amp; 102065,102065)</f>
        <v>102065</v>
      </c>
      <c r="D1632" t="s">
        <v>3627</v>
      </c>
      <c r="E1632" t="s">
        <v>88</v>
      </c>
      <c r="F1632" t="s">
        <v>305</v>
      </c>
      <c r="G1632" t="s">
        <v>337</v>
      </c>
      <c r="H1632" t="s">
        <v>30</v>
      </c>
      <c r="I1632" t="s">
        <v>68</v>
      </c>
      <c r="J1632" t="s">
        <v>43</v>
      </c>
      <c r="K1632" t="s">
        <v>33</v>
      </c>
      <c r="L1632" t="s">
        <v>34</v>
      </c>
      <c r="M1632" t="s">
        <v>266</v>
      </c>
      <c r="N1632" t="s">
        <v>46</v>
      </c>
      <c r="P1632" t="s">
        <v>107</v>
      </c>
      <c r="Q1632" t="s">
        <v>1503</v>
      </c>
      <c r="R1632">
        <v>42926.613449074073</v>
      </c>
      <c r="S1632">
        <v>43023.125115740739</v>
      </c>
      <c r="T1632" t="s">
        <v>175</v>
      </c>
      <c r="U1632" t="s">
        <v>35</v>
      </c>
      <c r="V1632" t="s">
        <v>321</v>
      </c>
      <c r="W1632" t="s">
        <v>4156</v>
      </c>
    </row>
    <row r="1633" spans="1:23" x14ac:dyDescent="0.25">
      <c r="A1633" t="s">
        <v>633</v>
      </c>
      <c r="B1633" s="19">
        <v>17859</v>
      </c>
      <c r="C1633" s="2">
        <f>HYPERLINK(URLs!B36 &amp; 102064,102064)</f>
        <v>102064</v>
      </c>
      <c r="D1633" t="s">
        <v>4200</v>
      </c>
      <c r="E1633" t="s">
        <v>175</v>
      </c>
      <c r="F1633" t="s">
        <v>67</v>
      </c>
      <c r="H1633" t="s">
        <v>30</v>
      </c>
      <c r="I1633" t="s">
        <v>68</v>
      </c>
      <c r="J1633" t="s">
        <v>43</v>
      </c>
      <c r="K1633" t="s">
        <v>33</v>
      </c>
      <c r="L1633" t="s">
        <v>34</v>
      </c>
      <c r="M1633" t="s">
        <v>266</v>
      </c>
      <c r="N1633" t="s">
        <v>46</v>
      </c>
      <c r="O1633" t="s">
        <v>174</v>
      </c>
      <c r="P1633" t="s">
        <v>107</v>
      </c>
      <c r="R1633">
        <v>42926.61346064815</v>
      </c>
      <c r="S1633">
        <v>43131.831064814818</v>
      </c>
      <c r="T1633" t="s">
        <v>175</v>
      </c>
      <c r="U1633" t="s">
        <v>35</v>
      </c>
      <c r="V1633" t="s">
        <v>35</v>
      </c>
      <c r="W1633" t="s">
        <v>4098</v>
      </c>
    </row>
    <row r="1634" spans="1:23" x14ac:dyDescent="0.25">
      <c r="A1634" t="s">
        <v>633</v>
      </c>
      <c r="B1634" s="19">
        <v>17859</v>
      </c>
      <c r="C1634" s="2">
        <f>HYPERLINK(URLs!B36 &amp; 100520,100520)</f>
        <v>100520</v>
      </c>
      <c r="D1634" t="s">
        <v>4197</v>
      </c>
      <c r="E1634" t="s">
        <v>175</v>
      </c>
      <c r="F1634" t="s">
        <v>67</v>
      </c>
      <c r="H1634" t="s">
        <v>30</v>
      </c>
      <c r="I1634" t="s">
        <v>68</v>
      </c>
      <c r="J1634" t="s">
        <v>43</v>
      </c>
      <c r="K1634" t="s">
        <v>33</v>
      </c>
      <c r="L1634" t="s">
        <v>34</v>
      </c>
      <c r="M1634" t="s">
        <v>266</v>
      </c>
      <c r="N1634" t="s">
        <v>46</v>
      </c>
      <c r="O1634" t="s">
        <v>533</v>
      </c>
      <c r="P1634" t="s">
        <v>107</v>
      </c>
      <c r="R1634">
        <v>42892.913912037038</v>
      </c>
      <c r="S1634">
        <v>43131.829837962963</v>
      </c>
      <c r="T1634" t="s">
        <v>1</v>
      </c>
      <c r="U1634" t="s">
        <v>35</v>
      </c>
      <c r="V1634" t="s">
        <v>35</v>
      </c>
      <c r="W1634" t="s">
        <v>4143</v>
      </c>
    </row>
    <row r="1635" spans="1:23" x14ac:dyDescent="0.25">
      <c r="A1635" t="s">
        <v>633</v>
      </c>
      <c r="B1635" s="19">
        <v>17860</v>
      </c>
      <c r="C1635" s="2">
        <f>HYPERLINK(URLs!B36 &amp; 100527,100527)</f>
        <v>100527</v>
      </c>
      <c r="D1635" t="s">
        <v>3598</v>
      </c>
      <c r="E1635" t="s">
        <v>175</v>
      </c>
      <c r="F1635" t="s">
        <v>305</v>
      </c>
      <c r="G1635" t="s">
        <v>328</v>
      </c>
      <c r="H1635" t="s">
        <v>54</v>
      </c>
      <c r="I1635" t="s">
        <v>68</v>
      </c>
      <c r="J1635" t="s">
        <v>43</v>
      </c>
      <c r="K1635" t="s">
        <v>33</v>
      </c>
      <c r="L1635" t="s">
        <v>34</v>
      </c>
      <c r="M1635" t="s">
        <v>266</v>
      </c>
      <c r="N1635" t="s">
        <v>60</v>
      </c>
      <c r="O1635" t="s">
        <v>3599</v>
      </c>
      <c r="P1635" t="s">
        <v>133</v>
      </c>
      <c r="Q1635" t="s">
        <v>133</v>
      </c>
      <c r="R1635">
        <v>42893.266388888886</v>
      </c>
      <c r="S1635">
        <v>43039.261018518519</v>
      </c>
      <c r="T1635" t="s">
        <v>4</v>
      </c>
      <c r="U1635" t="s">
        <v>35</v>
      </c>
      <c r="V1635" t="s">
        <v>35</v>
      </c>
      <c r="W1635" t="s">
        <v>4143</v>
      </c>
    </row>
    <row r="1636" spans="1:23" x14ac:dyDescent="0.25">
      <c r="A1636" t="s">
        <v>633</v>
      </c>
      <c r="B1636" s="19">
        <v>17885</v>
      </c>
      <c r="C1636" s="2">
        <f>HYPERLINK(URLs!B36 &amp; 100790,100790)</f>
        <v>100790</v>
      </c>
      <c r="D1636" t="s">
        <v>3601</v>
      </c>
      <c r="E1636" t="s">
        <v>143</v>
      </c>
      <c r="F1636" t="s">
        <v>305</v>
      </c>
      <c r="G1636" t="s">
        <v>353</v>
      </c>
      <c r="H1636" t="s">
        <v>54</v>
      </c>
      <c r="I1636" t="s">
        <v>31</v>
      </c>
      <c r="J1636" t="s">
        <v>32</v>
      </c>
      <c r="K1636" t="s">
        <v>44</v>
      </c>
      <c r="L1636" t="s">
        <v>45</v>
      </c>
      <c r="M1636" t="s">
        <v>106</v>
      </c>
      <c r="N1636" t="s">
        <v>518</v>
      </c>
      <c r="P1636" t="s">
        <v>77</v>
      </c>
      <c r="Q1636" t="s">
        <v>2416</v>
      </c>
      <c r="R1636">
        <v>42899.149212962962</v>
      </c>
      <c r="S1636">
        <v>43093.147418981483</v>
      </c>
      <c r="T1636" t="s">
        <v>301</v>
      </c>
      <c r="U1636" t="s">
        <v>35</v>
      </c>
      <c r="V1636" t="s">
        <v>35</v>
      </c>
      <c r="W1636" t="s">
        <v>307</v>
      </c>
    </row>
    <row r="1637" spans="1:23" x14ac:dyDescent="0.25">
      <c r="A1637" t="s">
        <v>633</v>
      </c>
      <c r="B1637" s="19">
        <v>17885</v>
      </c>
      <c r="C1637" s="2">
        <f>HYPERLINK(URLs!B36 &amp; 100789,100789)</f>
        <v>100789</v>
      </c>
      <c r="D1637" t="s">
        <v>3600</v>
      </c>
      <c r="E1637" t="s">
        <v>143</v>
      </c>
      <c r="F1637" t="s">
        <v>305</v>
      </c>
      <c r="G1637" t="s">
        <v>353</v>
      </c>
      <c r="H1637" t="s">
        <v>54</v>
      </c>
      <c r="I1637" t="s">
        <v>31</v>
      </c>
      <c r="J1637" t="s">
        <v>32</v>
      </c>
      <c r="K1637" t="s">
        <v>44</v>
      </c>
      <c r="L1637" t="s">
        <v>45</v>
      </c>
      <c r="M1637" t="s">
        <v>106</v>
      </c>
      <c r="N1637" t="s">
        <v>60</v>
      </c>
      <c r="P1637" t="s">
        <v>77</v>
      </c>
      <c r="Q1637" t="s">
        <v>2416</v>
      </c>
      <c r="R1637">
        <v>42899.147847222222</v>
      </c>
      <c r="S1637">
        <v>42972.904074074075</v>
      </c>
      <c r="T1637" t="s">
        <v>301</v>
      </c>
      <c r="U1637" t="s">
        <v>35</v>
      </c>
      <c r="V1637" t="s">
        <v>35</v>
      </c>
      <c r="W1637" t="s">
        <v>69</v>
      </c>
    </row>
    <row r="1638" spans="1:23" x14ac:dyDescent="0.25">
      <c r="A1638" t="s">
        <v>633</v>
      </c>
      <c r="B1638" s="19">
        <v>17885</v>
      </c>
      <c r="C1638" s="2">
        <f>HYPERLINK(URLs!B36 &amp; 100707,100707)</f>
        <v>100707</v>
      </c>
      <c r="D1638" t="s">
        <v>168</v>
      </c>
      <c r="E1638" t="s">
        <v>143</v>
      </c>
      <c r="F1638" t="s">
        <v>67</v>
      </c>
      <c r="H1638" t="s">
        <v>54</v>
      </c>
      <c r="I1638" t="s">
        <v>31</v>
      </c>
      <c r="J1638" t="s">
        <v>32</v>
      </c>
      <c r="K1638" t="s">
        <v>44</v>
      </c>
      <c r="L1638" t="s">
        <v>45</v>
      </c>
      <c r="M1638" t="s">
        <v>260</v>
      </c>
      <c r="N1638" t="s">
        <v>60</v>
      </c>
      <c r="O1638" t="s">
        <v>487</v>
      </c>
      <c r="P1638" t="s">
        <v>77</v>
      </c>
      <c r="R1638">
        <v>42895.571712962963</v>
      </c>
      <c r="S1638">
        <v>43059.347951388889</v>
      </c>
      <c r="T1638" t="s">
        <v>5</v>
      </c>
      <c r="U1638" t="s">
        <v>35</v>
      </c>
      <c r="V1638" t="s">
        <v>35</v>
      </c>
      <c r="W1638" t="s">
        <v>4098</v>
      </c>
    </row>
    <row r="1639" spans="1:23" x14ac:dyDescent="0.25">
      <c r="A1639" t="s">
        <v>633</v>
      </c>
      <c r="B1639" s="19">
        <v>17885</v>
      </c>
      <c r="C1639" s="2">
        <f>HYPERLINK(URLs!B36 &amp; 92187,92187)</f>
        <v>92187</v>
      </c>
      <c r="D1639" t="s">
        <v>3340</v>
      </c>
      <c r="E1639" t="s">
        <v>80</v>
      </c>
      <c r="F1639" t="s">
        <v>305</v>
      </c>
      <c r="G1639" t="s">
        <v>304</v>
      </c>
      <c r="H1639" t="s">
        <v>30</v>
      </c>
      <c r="I1639" t="s">
        <v>31</v>
      </c>
      <c r="J1639" t="s">
        <v>32</v>
      </c>
      <c r="K1639" t="s">
        <v>33</v>
      </c>
      <c r="L1639" t="s">
        <v>45</v>
      </c>
      <c r="M1639" t="s">
        <v>106</v>
      </c>
      <c r="N1639" t="s">
        <v>3341</v>
      </c>
      <c r="P1639" t="s">
        <v>133</v>
      </c>
      <c r="Q1639" t="s">
        <v>3342</v>
      </c>
      <c r="R1639">
        <v>42685.520601851851</v>
      </c>
      <c r="S1639">
        <v>42997.456041666665</v>
      </c>
      <c r="T1639" t="s">
        <v>346</v>
      </c>
      <c r="U1639" t="s">
        <v>3983</v>
      </c>
      <c r="V1639" t="s">
        <v>321</v>
      </c>
      <c r="W1639" t="s">
        <v>69</v>
      </c>
    </row>
    <row r="1640" spans="1:23" x14ac:dyDescent="0.25">
      <c r="A1640" t="s">
        <v>633</v>
      </c>
      <c r="B1640" s="19">
        <v>17920</v>
      </c>
      <c r="C1640" s="2">
        <f>HYPERLINK(URLs!B36 &amp; 117349,117349)</f>
        <v>117349</v>
      </c>
      <c r="D1640" t="s">
        <v>4697</v>
      </c>
      <c r="E1640" t="s">
        <v>53</v>
      </c>
      <c r="F1640" t="s">
        <v>319</v>
      </c>
      <c r="G1640" t="s">
        <v>304</v>
      </c>
      <c r="H1640" t="s">
        <v>56</v>
      </c>
      <c r="I1640" t="s">
        <v>68</v>
      </c>
      <c r="J1640" t="s">
        <v>43</v>
      </c>
      <c r="K1640" t="s">
        <v>33</v>
      </c>
      <c r="L1640" t="s">
        <v>34</v>
      </c>
      <c r="M1640" t="s">
        <v>278</v>
      </c>
      <c r="N1640" t="s">
        <v>46</v>
      </c>
      <c r="P1640" t="s">
        <v>4171</v>
      </c>
      <c r="Q1640" t="s">
        <v>4443</v>
      </c>
      <c r="R1640">
        <v>43307.660682870373</v>
      </c>
      <c r="S1640">
        <v>43364.72115740741</v>
      </c>
      <c r="T1640" t="s">
        <v>53</v>
      </c>
      <c r="U1640" t="s">
        <v>4737</v>
      </c>
      <c r="V1640" t="s">
        <v>35</v>
      </c>
      <c r="W1640" t="s">
        <v>4143</v>
      </c>
    </row>
    <row r="1641" spans="1:23" x14ac:dyDescent="0.25">
      <c r="A1641" t="s">
        <v>633</v>
      </c>
      <c r="B1641" s="19">
        <v>17920</v>
      </c>
      <c r="C1641" s="2">
        <f>HYPERLINK(URLs!B36 &amp; 114107,114107)</f>
        <v>114107</v>
      </c>
      <c r="D1641" t="s">
        <v>4671</v>
      </c>
      <c r="E1641" t="s">
        <v>2128</v>
      </c>
      <c r="F1641" t="s">
        <v>305</v>
      </c>
      <c r="G1641" t="s">
        <v>304</v>
      </c>
      <c r="H1641" t="s">
        <v>116</v>
      </c>
      <c r="I1641" t="s">
        <v>68</v>
      </c>
      <c r="J1641" t="s">
        <v>43</v>
      </c>
      <c r="K1641" t="s">
        <v>33</v>
      </c>
      <c r="L1641" t="s">
        <v>34</v>
      </c>
      <c r="M1641" t="s">
        <v>278</v>
      </c>
      <c r="N1641" t="s">
        <v>46</v>
      </c>
      <c r="O1641" t="s">
        <v>4736</v>
      </c>
      <c r="P1641" t="s">
        <v>4169</v>
      </c>
      <c r="Q1641" t="s">
        <v>4443</v>
      </c>
      <c r="R1641">
        <v>43242.528611111113</v>
      </c>
      <c r="S1641">
        <v>43384.638020833336</v>
      </c>
      <c r="T1641" t="s">
        <v>4444</v>
      </c>
      <c r="U1641" t="s">
        <v>35</v>
      </c>
      <c r="V1641" t="s">
        <v>35</v>
      </c>
      <c r="W1641" t="s">
        <v>4672</v>
      </c>
    </row>
    <row r="1642" spans="1:23" x14ac:dyDescent="0.25">
      <c r="A1642" t="s">
        <v>665</v>
      </c>
      <c r="B1642" s="19">
        <v>18025</v>
      </c>
      <c r="C1642" s="2">
        <f>HYPERLINK(URLs!B36 &amp; 101659,101659)</f>
        <v>101659</v>
      </c>
      <c r="D1642" t="s">
        <v>3619</v>
      </c>
      <c r="E1642" t="s">
        <v>183</v>
      </c>
      <c r="F1642" t="s">
        <v>305</v>
      </c>
      <c r="G1642" t="s">
        <v>304</v>
      </c>
      <c r="H1642" t="s">
        <v>56</v>
      </c>
      <c r="I1642" t="s">
        <v>68</v>
      </c>
      <c r="J1642" t="s">
        <v>58</v>
      </c>
      <c r="K1642" t="s">
        <v>44</v>
      </c>
      <c r="L1642" t="s">
        <v>96</v>
      </c>
      <c r="M1642" t="s">
        <v>269</v>
      </c>
      <c r="N1642" t="s">
        <v>46</v>
      </c>
      <c r="O1642" t="s">
        <v>3017</v>
      </c>
      <c r="P1642" t="s">
        <v>77</v>
      </c>
      <c r="Q1642" t="s">
        <v>3260</v>
      </c>
      <c r="R1642">
        <v>42915.769143518519</v>
      </c>
      <c r="S1642">
        <v>43231.658229166664</v>
      </c>
      <c r="T1642" t="s">
        <v>288</v>
      </c>
      <c r="U1642" t="s">
        <v>35</v>
      </c>
      <c r="V1642" t="s">
        <v>35</v>
      </c>
      <c r="W1642" t="s">
        <v>307</v>
      </c>
    </row>
    <row r="1643" spans="1:23" x14ac:dyDescent="0.25">
      <c r="A1643" t="s">
        <v>665</v>
      </c>
      <c r="B1643" s="19">
        <v>18025</v>
      </c>
      <c r="C1643" s="2">
        <f>HYPERLINK(URLs!B36 &amp; 101658,101658)</f>
        <v>101658</v>
      </c>
      <c r="D1643" t="s">
        <v>3618</v>
      </c>
      <c r="E1643" t="s">
        <v>183</v>
      </c>
      <c r="F1643" t="s">
        <v>319</v>
      </c>
      <c r="G1643" t="s">
        <v>304</v>
      </c>
      <c r="H1643" t="s">
        <v>56</v>
      </c>
      <c r="I1643" t="s">
        <v>68</v>
      </c>
      <c r="J1643" t="s">
        <v>58</v>
      </c>
      <c r="K1643" t="s">
        <v>44</v>
      </c>
      <c r="L1643" t="s">
        <v>96</v>
      </c>
      <c r="M1643" t="s">
        <v>269</v>
      </c>
      <c r="N1643" t="s">
        <v>46</v>
      </c>
      <c r="P1643" t="s">
        <v>77</v>
      </c>
      <c r="Q1643" t="s">
        <v>3260</v>
      </c>
      <c r="R1643">
        <v>42915.769155092596</v>
      </c>
      <c r="S1643">
        <v>42923.736446759256</v>
      </c>
      <c r="T1643" t="s">
        <v>288</v>
      </c>
      <c r="U1643" t="s">
        <v>35</v>
      </c>
      <c r="V1643" t="s">
        <v>35</v>
      </c>
      <c r="W1643" t="s">
        <v>4098</v>
      </c>
    </row>
    <row r="1644" spans="1:23" x14ac:dyDescent="0.25">
      <c r="A1644" t="s">
        <v>665</v>
      </c>
      <c r="B1644" s="19">
        <v>18025</v>
      </c>
      <c r="C1644" s="2">
        <f>HYPERLINK(URLs!B36 &amp; 101621,101621)</f>
        <v>101621</v>
      </c>
      <c r="D1644" t="s">
        <v>3617</v>
      </c>
      <c r="E1644" t="s">
        <v>183</v>
      </c>
      <c r="F1644" t="s">
        <v>305</v>
      </c>
      <c r="G1644" t="s">
        <v>337</v>
      </c>
      <c r="H1644" t="s">
        <v>56</v>
      </c>
      <c r="I1644" t="s">
        <v>68</v>
      </c>
      <c r="J1644" t="s">
        <v>58</v>
      </c>
      <c r="K1644" t="s">
        <v>44</v>
      </c>
      <c r="L1644" t="s">
        <v>96</v>
      </c>
      <c r="M1644" t="s">
        <v>269</v>
      </c>
      <c r="N1644" t="s">
        <v>46</v>
      </c>
      <c r="P1644" t="s">
        <v>77</v>
      </c>
      <c r="Q1644" t="s">
        <v>2769</v>
      </c>
      <c r="R1644">
        <v>42915.426388888889</v>
      </c>
      <c r="S1644">
        <v>42927.368842592594</v>
      </c>
      <c r="T1644" t="s">
        <v>4</v>
      </c>
      <c r="U1644" t="s">
        <v>35</v>
      </c>
      <c r="V1644" t="s">
        <v>35</v>
      </c>
      <c r="W1644" t="s">
        <v>69</v>
      </c>
    </row>
    <row r="1645" spans="1:23" x14ac:dyDescent="0.25">
      <c r="A1645" t="s">
        <v>633</v>
      </c>
      <c r="B1645" s="19">
        <v>18061</v>
      </c>
      <c r="C1645" s="2">
        <f>HYPERLINK(URLs!B36 &amp; 101845,101845)</f>
        <v>101845</v>
      </c>
      <c r="D1645" t="s">
        <v>3621</v>
      </c>
      <c r="E1645" t="s">
        <v>3622</v>
      </c>
      <c r="F1645" t="s">
        <v>305</v>
      </c>
      <c r="G1645" t="s">
        <v>353</v>
      </c>
      <c r="H1645" t="s">
        <v>54</v>
      </c>
      <c r="I1645" t="s">
        <v>68</v>
      </c>
      <c r="J1645" t="s">
        <v>58</v>
      </c>
      <c r="K1645" t="s">
        <v>44</v>
      </c>
      <c r="L1645" t="s">
        <v>73</v>
      </c>
      <c r="M1645" t="s">
        <v>263</v>
      </c>
      <c r="N1645" t="s">
        <v>60</v>
      </c>
      <c r="P1645" t="s">
        <v>133</v>
      </c>
      <c r="Q1645" t="s">
        <v>133</v>
      </c>
      <c r="R1645">
        <v>42921.369270833333</v>
      </c>
      <c r="S1645">
        <v>43024.125104166669</v>
      </c>
      <c r="T1645" t="s">
        <v>4</v>
      </c>
      <c r="U1645" t="s">
        <v>35</v>
      </c>
      <c r="V1645" t="s">
        <v>35</v>
      </c>
      <c r="W1645" t="s">
        <v>4166</v>
      </c>
    </row>
    <row r="1646" spans="1:23" x14ac:dyDescent="0.25">
      <c r="A1646" t="s">
        <v>665</v>
      </c>
      <c r="B1646" s="19">
        <v>18110</v>
      </c>
      <c r="C1646" s="2">
        <f>HYPERLINK(URLs!B36 &amp; 102366,102366)</f>
        <v>102366</v>
      </c>
      <c r="D1646" t="s">
        <v>3635</v>
      </c>
      <c r="E1646" t="s">
        <v>335</v>
      </c>
      <c r="F1646" t="s">
        <v>305</v>
      </c>
      <c r="G1646" t="s">
        <v>304</v>
      </c>
      <c r="H1646" t="s">
        <v>54</v>
      </c>
      <c r="I1646" t="s">
        <v>31</v>
      </c>
      <c r="J1646" t="s">
        <v>43</v>
      </c>
      <c r="K1646" t="s">
        <v>51</v>
      </c>
      <c r="L1646" t="s">
        <v>96</v>
      </c>
      <c r="M1646" t="s">
        <v>267</v>
      </c>
      <c r="N1646" t="s">
        <v>157</v>
      </c>
      <c r="O1646" t="s">
        <v>3636</v>
      </c>
      <c r="P1646" t="s">
        <v>133</v>
      </c>
      <c r="Q1646" t="s">
        <v>133</v>
      </c>
      <c r="R1646">
        <v>42930.956111111111</v>
      </c>
      <c r="S1646">
        <v>43213.761458333334</v>
      </c>
      <c r="T1646" t="s">
        <v>301</v>
      </c>
      <c r="U1646" t="s">
        <v>4008</v>
      </c>
      <c r="V1646" t="s">
        <v>35</v>
      </c>
      <c r="W1646" t="s">
        <v>307</v>
      </c>
    </row>
    <row r="1647" spans="1:23" x14ac:dyDescent="0.25">
      <c r="A1647" t="s">
        <v>665</v>
      </c>
      <c r="B1647" s="19">
        <v>18110</v>
      </c>
      <c r="C1647" s="2">
        <f>HYPERLINK(URLs!B36 &amp; 102365,102365)</f>
        <v>102365</v>
      </c>
      <c r="D1647" t="s">
        <v>3633</v>
      </c>
      <c r="E1647" t="s">
        <v>134</v>
      </c>
      <c r="F1647" t="s">
        <v>305</v>
      </c>
      <c r="G1647" t="s">
        <v>304</v>
      </c>
      <c r="H1647" t="s">
        <v>54</v>
      </c>
      <c r="I1647" t="s">
        <v>31</v>
      </c>
      <c r="J1647" t="s">
        <v>43</v>
      </c>
      <c r="K1647" t="s">
        <v>51</v>
      </c>
      <c r="L1647" t="s">
        <v>96</v>
      </c>
      <c r="M1647" t="s">
        <v>267</v>
      </c>
      <c r="N1647" t="s">
        <v>60</v>
      </c>
      <c r="O1647" t="s">
        <v>3634</v>
      </c>
      <c r="P1647" t="s">
        <v>133</v>
      </c>
      <c r="Q1647" t="s">
        <v>133</v>
      </c>
      <c r="R1647">
        <v>42930.955057870371</v>
      </c>
      <c r="S1647">
        <v>43045.136365740742</v>
      </c>
      <c r="T1647" t="s">
        <v>301</v>
      </c>
      <c r="U1647" t="s">
        <v>4023</v>
      </c>
      <c r="V1647" t="s">
        <v>35</v>
      </c>
      <c r="W1647" t="s">
        <v>4172</v>
      </c>
    </row>
    <row r="1648" spans="1:23" x14ac:dyDescent="0.25">
      <c r="A1648" t="s">
        <v>665</v>
      </c>
      <c r="B1648" s="19">
        <v>18110</v>
      </c>
      <c r="C1648" s="2">
        <f>HYPERLINK(URLs!B36 &amp; 102209,102209)</f>
        <v>102209</v>
      </c>
      <c r="D1648" t="s">
        <v>3629</v>
      </c>
      <c r="E1648" t="s">
        <v>3440</v>
      </c>
      <c r="F1648" t="s">
        <v>319</v>
      </c>
      <c r="G1648" t="s">
        <v>304</v>
      </c>
      <c r="H1648" t="s">
        <v>54</v>
      </c>
      <c r="I1648" t="s">
        <v>31</v>
      </c>
      <c r="J1648" t="s">
        <v>43</v>
      </c>
      <c r="K1648" t="s">
        <v>51</v>
      </c>
      <c r="L1648" t="s">
        <v>96</v>
      </c>
      <c r="M1648" t="s">
        <v>267</v>
      </c>
      <c r="N1648" t="s">
        <v>60</v>
      </c>
      <c r="P1648" t="s">
        <v>133</v>
      </c>
      <c r="Q1648" t="s">
        <v>133</v>
      </c>
      <c r="R1648">
        <v>42928.6562962963</v>
      </c>
      <c r="S1648">
        <v>43146.708368055559</v>
      </c>
      <c r="T1648" t="s">
        <v>48</v>
      </c>
      <c r="U1648" t="s">
        <v>35</v>
      </c>
      <c r="V1648" t="s">
        <v>35</v>
      </c>
      <c r="W1648" t="s">
        <v>4098</v>
      </c>
    </row>
    <row r="1649" spans="1:23" x14ac:dyDescent="0.25">
      <c r="A1649" t="s">
        <v>633</v>
      </c>
      <c r="B1649" s="19">
        <v>18118</v>
      </c>
      <c r="C1649" s="2">
        <f>HYPERLINK(URLs!B36 &amp; 102220,102220)</f>
        <v>102220</v>
      </c>
      <c r="D1649" t="s">
        <v>176</v>
      </c>
      <c r="E1649" t="s">
        <v>387</v>
      </c>
      <c r="F1649" t="s">
        <v>67</v>
      </c>
      <c r="H1649" t="s">
        <v>54</v>
      </c>
      <c r="I1649" t="s">
        <v>68</v>
      </c>
      <c r="J1649" t="s">
        <v>43</v>
      </c>
      <c r="K1649" t="s">
        <v>33</v>
      </c>
      <c r="L1649" t="s">
        <v>73</v>
      </c>
      <c r="M1649" t="s">
        <v>263</v>
      </c>
      <c r="N1649" t="s">
        <v>60</v>
      </c>
      <c r="P1649" t="s">
        <v>107</v>
      </c>
      <c r="R1649">
        <v>42928.89203703704</v>
      </c>
      <c r="S1649">
        <v>43131.401388888888</v>
      </c>
      <c r="T1649" t="s">
        <v>1</v>
      </c>
      <c r="U1649" t="s">
        <v>35</v>
      </c>
      <c r="V1649" t="s">
        <v>35</v>
      </c>
      <c r="W1649" t="s">
        <v>4166</v>
      </c>
    </row>
    <row r="1650" spans="1:23" x14ac:dyDescent="0.25">
      <c r="A1650" t="s">
        <v>665</v>
      </c>
      <c r="B1650" s="19">
        <v>18121</v>
      </c>
      <c r="C1650" s="2">
        <f>HYPERLINK(URLs!B36 &amp; 102301,102301)</f>
        <v>102301</v>
      </c>
      <c r="D1650" t="s">
        <v>3631</v>
      </c>
      <c r="E1650" t="s">
        <v>134</v>
      </c>
      <c r="F1650" t="s">
        <v>319</v>
      </c>
      <c r="G1650" t="s">
        <v>304</v>
      </c>
      <c r="H1650" t="s">
        <v>56</v>
      </c>
      <c r="I1650" t="s">
        <v>68</v>
      </c>
      <c r="J1650" t="s">
        <v>43</v>
      </c>
      <c r="K1650" t="s">
        <v>33</v>
      </c>
      <c r="L1650" t="s">
        <v>106</v>
      </c>
      <c r="M1650" t="s">
        <v>495</v>
      </c>
      <c r="N1650" t="s">
        <v>46</v>
      </c>
      <c r="O1650" t="s">
        <v>3632</v>
      </c>
      <c r="P1650" t="s">
        <v>75</v>
      </c>
      <c r="Q1650" t="s">
        <v>528</v>
      </c>
      <c r="R1650">
        <v>42930.248888888891</v>
      </c>
      <c r="S1650">
        <v>43042.616400462961</v>
      </c>
      <c r="T1650" t="s">
        <v>4</v>
      </c>
      <c r="U1650" t="s">
        <v>35</v>
      </c>
      <c r="V1650" t="s">
        <v>35</v>
      </c>
      <c r="W1650" t="s">
        <v>69</v>
      </c>
    </row>
    <row r="1651" spans="1:23" x14ac:dyDescent="0.25">
      <c r="A1651" t="s">
        <v>665</v>
      </c>
      <c r="B1651" s="19">
        <v>18157</v>
      </c>
      <c r="C1651" s="2">
        <f>HYPERLINK(URLs!B36 &amp; 104590,104590)</f>
        <v>104590</v>
      </c>
      <c r="D1651" t="s">
        <v>3699</v>
      </c>
      <c r="E1651" t="s">
        <v>514</v>
      </c>
      <c r="F1651" t="s">
        <v>319</v>
      </c>
      <c r="G1651" t="s">
        <v>304</v>
      </c>
      <c r="H1651" t="s">
        <v>116</v>
      </c>
      <c r="I1651" t="s">
        <v>31</v>
      </c>
      <c r="J1651" t="s">
        <v>43</v>
      </c>
      <c r="K1651" t="s">
        <v>51</v>
      </c>
      <c r="L1651" t="s">
        <v>73</v>
      </c>
      <c r="M1651" t="s">
        <v>263</v>
      </c>
      <c r="N1651" t="s">
        <v>3513</v>
      </c>
      <c r="P1651" t="s">
        <v>85</v>
      </c>
      <c r="Q1651" t="s">
        <v>85</v>
      </c>
      <c r="R1651">
        <v>42990.564155092594</v>
      </c>
      <c r="S1651">
        <v>43315.580671296295</v>
      </c>
      <c r="T1651" t="s">
        <v>514</v>
      </c>
      <c r="U1651" t="s">
        <v>4003</v>
      </c>
      <c r="V1651" t="s">
        <v>35</v>
      </c>
      <c r="W1651" t="s">
        <v>4171</v>
      </c>
    </row>
    <row r="1652" spans="1:23" x14ac:dyDescent="0.25">
      <c r="A1652" t="s">
        <v>665</v>
      </c>
      <c r="B1652" s="19">
        <v>18157</v>
      </c>
      <c r="C1652" s="2">
        <f>HYPERLINK(URLs!B36 &amp; 104100,104100)</f>
        <v>104100</v>
      </c>
      <c r="D1652" t="s">
        <v>3681</v>
      </c>
      <c r="E1652" t="s">
        <v>514</v>
      </c>
      <c r="F1652" t="s">
        <v>305</v>
      </c>
      <c r="G1652" t="s">
        <v>337</v>
      </c>
      <c r="H1652" t="s">
        <v>30</v>
      </c>
      <c r="I1652" t="s">
        <v>31</v>
      </c>
      <c r="J1652" t="s">
        <v>43</v>
      </c>
      <c r="K1652" t="s">
        <v>51</v>
      </c>
      <c r="L1652" t="s">
        <v>73</v>
      </c>
      <c r="M1652" t="s">
        <v>263</v>
      </c>
      <c r="N1652" t="s">
        <v>46</v>
      </c>
      <c r="O1652" t="s">
        <v>3682</v>
      </c>
      <c r="P1652" t="s">
        <v>85</v>
      </c>
      <c r="Q1652" t="s">
        <v>85</v>
      </c>
      <c r="R1652">
        <v>42977.246400462966</v>
      </c>
      <c r="S1652">
        <v>43215.979224537034</v>
      </c>
      <c r="T1652" t="s">
        <v>91</v>
      </c>
      <c r="U1652" t="s">
        <v>35</v>
      </c>
      <c r="V1652" t="s">
        <v>35</v>
      </c>
      <c r="W1652" t="s">
        <v>4160</v>
      </c>
    </row>
    <row r="1653" spans="1:23" x14ac:dyDescent="0.25">
      <c r="A1653" t="s">
        <v>665</v>
      </c>
      <c r="B1653" s="19">
        <v>18157</v>
      </c>
      <c r="C1653" s="2">
        <f>HYPERLINK(URLs!B36 &amp; 103581,103581)</f>
        <v>103581</v>
      </c>
      <c r="D1653" t="s">
        <v>3673</v>
      </c>
      <c r="E1653" t="s">
        <v>72</v>
      </c>
      <c r="F1653" t="s">
        <v>305</v>
      </c>
      <c r="G1653" t="s">
        <v>353</v>
      </c>
      <c r="H1653" t="s">
        <v>54</v>
      </c>
      <c r="I1653" t="s">
        <v>31</v>
      </c>
      <c r="J1653" t="s">
        <v>43</v>
      </c>
      <c r="K1653" t="s">
        <v>44</v>
      </c>
      <c r="L1653" t="s">
        <v>73</v>
      </c>
      <c r="M1653" t="s">
        <v>263</v>
      </c>
      <c r="N1653" t="s">
        <v>60</v>
      </c>
      <c r="P1653" t="s">
        <v>3498</v>
      </c>
      <c r="Q1653" t="s">
        <v>3575</v>
      </c>
      <c r="R1653">
        <v>42958.840578703705</v>
      </c>
      <c r="S1653">
        <v>43216.011944444443</v>
      </c>
      <c r="T1653" t="s">
        <v>301</v>
      </c>
      <c r="U1653" t="s">
        <v>35</v>
      </c>
      <c r="V1653" t="s">
        <v>35</v>
      </c>
      <c r="W1653" t="s">
        <v>4158</v>
      </c>
    </row>
    <row r="1654" spans="1:23" x14ac:dyDescent="0.25">
      <c r="A1654" t="s">
        <v>665</v>
      </c>
      <c r="B1654" s="19">
        <v>18157</v>
      </c>
      <c r="C1654" s="2">
        <f>HYPERLINK(URLs!B36 &amp; 103580,103580)</f>
        <v>103580</v>
      </c>
      <c r="D1654" t="s">
        <v>3672</v>
      </c>
      <c r="E1654" t="s">
        <v>84</v>
      </c>
      <c r="F1654" t="s">
        <v>305</v>
      </c>
      <c r="G1654" t="s">
        <v>353</v>
      </c>
      <c r="H1654" t="s">
        <v>54</v>
      </c>
      <c r="I1654" t="s">
        <v>31</v>
      </c>
      <c r="J1654" t="s">
        <v>43</v>
      </c>
      <c r="K1654" t="s">
        <v>44</v>
      </c>
      <c r="L1654" t="s">
        <v>73</v>
      </c>
      <c r="M1654" t="s">
        <v>263</v>
      </c>
      <c r="N1654" t="s">
        <v>60</v>
      </c>
      <c r="P1654" t="s">
        <v>3498</v>
      </c>
      <c r="Q1654" t="s">
        <v>3575</v>
      </c>
      <c r="R1654">
        <v>42958.839733796296</v>
      </c>
      <c r="S1654">
        <v>43216.011956018519</v>
      </c>
      <c r="T1654" t="s">
        <v>301</v>
      </c>
      <c r="U1654" t="s">
        <v>35</v>
      </c>
      <c r="V1654" t="s">
        <v>35</v>
      </c>
      <c r="W1654" t="s">
        <v>307</v>
      </c>
    </row>
    <row r="1655" spans="1:23" x14ac:dyDescent="0.25">
      <c r="A1655" t="s">
        <v>665</v>
      </c>
      <c r="B1655" s="19">
        <v>18157</v>
      </c>
      <c r="C1655" s="2">
        <f>HYPERLINK(URLs!B36 &amp; 99809,99809)</f>
        <v>99809</v>
      </c>
      <c r="D1655" t="s">
        <v>3574</v>
      </c>
      <c r="E1655" t="s">
        <v>84</v>
      </c>
      <c r="F1655" t="s">
        <v>305</v>
      </c>
      <c r="G1655" t="s">
        <v>353</v>
      </c>
      <c r="H1655" t="s">
        <v>54</v>
      </c>
      <c r="I1655" t="s">
        <v>31</v>
      </c>
      <c r="J1655" t="s">
        <v>43</v>
      </c>
      <c r="K1655" t="s">
        <v>44</v>
      </c>
      <c r="L1655" t="s">
        <v>73</v>
      </c>
      <c r="M1655" t="s">
        <v>263</v>
      </c>
      <c r="N1655" t="s">
        <v>60</v>
      </c>
      <c r="P1655" t="s">
        <v>3498</v>
      </c>
      <c r="Q1655" t="s">
        <v>3575</v>
      </c>
      <c r="R1655">
        <v>42877.554768518516</v>
      </c>
      <c r="S1655">
        <v>43216.011944444443</v>
      </c>
      <c r="T1655" t="s">
        <v>86</v>
      </c>
      <c r="U1655" t="s">
        <v>35</v>
      </c>
      <c r="V1655" t="s">
        <v>35</v>
      </c>
      <c r="W1655" t="s">
        <v>4098</v>
      </c>
    </row>
    <row r="1656" spans="1:23" x14ac:dyDescent="0.25">
      <c r="A1656" t="s">
        <v>665</v>
      </c>
      <c r="B1656" s="19">
        <v>18157</v>
      </c>
      <c r="C1656" s="2">
        <f>HYPERLINK(URLs!B36 &amp; 87140,87140)</f>
        <v>87140</v>
      </c>
      <c r="D1656" t="s">
        <v>513</v>
      </c>
      <c r="E1656" t="s">
        <v>514</v>
      </c>
      <c r="F1656" t="s">
        <v>305</v>
      </c>
      <c r="G1656" t="s">
        <v>337</v>
      </c>
      <c r="H1656" t="s">
        <v>54</v>
      </c>
      <c r="I1656" t="s">
        <v>68</v>
      </c>
      <c r="J1656" t="s">
        <v>43</v>
      </c>
      <c r="K1656" t="s">
        <v>33</v>
      </c>
      <c r="L1656" t="s">
        <v>73</v>
      </c>
      <c r="M1656" t="s">
        <v>263</v>
      </c>
      <c r="N1656" t="s">
        <v>60</v>
      </c>
      <c r="O1656" t="s">
        <v>515</v>
      </c>
      <c r="P1656" t="s">
        <v>85</v>
      </c>
      <c r="Q1656" t="s">
        <v>3708</v>
      </c>
      <c r="R1656">
        <v>42586.671087962961</v>
      </c>
      <c r="S1656">
        <v>43423.872465277775</v>
      </c>
      <c r="T1656" t="s">
        <v>317</v>
      </c>
      <c r="U1656" t="s">
        <v>35</v>
      </c>
      <c r="V1656" t="s">
        <v>35</v>
      </c>
      <c r="W1656" t="s">
        <v>4158</v>
      </c>
    </row>
    <row r="1657" spans="1:23" x14ac:dyDescent="0.25">
      <c r="A1657" t="s">
        <v>665</v>
      </c>
      <c r="B1657" s="19">
        <v>18157</v>
      </c>
      <c r="C1657" s="2">
        <f>HYPERLINK(URLs!B36 &amp; 87060,87060)</f>
        <v>87060</v>
      </c>
      <c r="D1657" t="s">
        <v>83</v>
      </c>
      <c r="E1657" t="s">
        <v>84</v>
      </c>
      <c r="F1657" t="s">
        <v>319</v>
      </c>
      <c r="G1657" t="s">
        <v>304</v>
      </c>
      <c r="H1657" t="s">
        <v>30</v>
      </c>
      <c r="I1657" t="s">
        <v>31</v>
      </c>
      <c r="J1657" t="s">
        <v>43</v>
      </c>
      <c r="K1657" t="s">
        <v>51</v>
      </c>
      <c r="L1657" t="s">
        <v>73</v>
      </c>
      <c r="M1657" t="s">
        <v>263</v>
      </c>
      <c r="N1657" t="s">
        <v>46</v>
      </c>
      <c r="P1657" t="s">
        <v>85</v>
      </c>
      <c r="Q1657" t="s">
        <v>85</v>
      </c>
      <c r="R1657">
        <v>42585.667581018519</v>
      </c>
      <c r="S1657">
        <v>43423.928773148145</v>
      </c>
      <c r="T1657" t="s">
        <v>86</v>
      </c>
      <c r="U1657" t="s">
        <v>35</v>
      </c>
      <c r="V1657" t="s">
        <v>35</v>
      </c>
      <c r="W1657" t="s">
        <v>4098</v>
      </c>
    </row>
    <row r="1658" spans="1:23" x14ac:dyDescent="0.25">
      <c r="A1658" t="s">
        <v>641</v>
      </c>
      <c r="B1658" s="19">
        <v>18172</v>
      </c>
      <c r="C1658" s="2">
        <f>HYPERLINK(URLs!B36 &amp; 102931,102931)</f>
        <v>102931</v>
      </c>
      <c r="D1658" t="s">
        <v>3650</v>
      </c>
      <c r="E1658" t="s">
        <v>170</v>
      </c>
      <c r="F1658" t="s">
        <v>305</v>
      </c>
      <c r="G1658" t="s">
        <v>337</v>
      </c>
      <c r="H1658" t="s">
        <v>54</v>
      </c>
      <c r="I1658" t="s">
        <v>68</v>
      </c>
      <c r="J1658" t="s">
        <v>58</v>
      </c>
      <c r="K1658" t="s">
        <v>44</v>
      </c>
      <c r="L1658" t="s">
        <v>73</v>
      </c>
      <c r="M1658" t="s">
        <v>263</v>
      </c>
      <c r="N1658" t="s">
        <v>60</v>
      </c>
      <c r="P1658" t="s">
        <v>107</v>
      </c>
      <c r="Q1658" t="s">
        <v>159</v>
      </c>
      <c r="R1658">
        <v>42942.789618055554</v>
      </c>
      <c r="S1658">
        <v>43215.848796296297</v>
      </c>
      <c r="T1658" t="s">
        <v>301</v>
      </c>
      <c r="U1658" t="s">
        <v>35</v>
      </c>
      <c r="V1658" t="s">
        <v>35</v>
      </c>
      <c r="W1658" t="s">
        <v>69</v>
      </c>
    </row>
    <row r="1659" spans="1:23" x14ac:dyDescent="0.25">
      <c r="A1659" t="s">
        <v>641</v>
      </c>
      <c r="B1659" s="19">
        <v>18172</v>
      </c>
      <c r="C1659" s="2">
        <f>HYPERLINK(URLs!B36 &amp; 102930,102930)</f>
        <v>102930</v>
      </c>
      <c r="D1659" t="s">
        <v>4818</v>
      </c>
      <c r="E1659" t="s">
        <v>435</v>
      </c>
      <c r="F1659" t="s">
        <v>42</v>
      </c>
      <c r="H1659" t="s">
        <v>54</v>
      </c>
      <c r="I1659" t="s">
        <v>68</v>
      </c>
      <c r="J1659" t="s">
        <v>58</v>
      </c>
      <c r="K1659" t="s">
        <v>44</v>
      </c>
      <c r="L1659" t="s">
        <v>73</v>
      </c>
      <c r="M1659" t="s">
        <v>263</v>
      </c>
      <c r="N1659" t="s">
        <v>60</v>
      </c>
      <c r="O1659" t="s">
        <v>177</v>
      </c>
      <c r="P1659" t="s">
        <v>107</v>
      </c>
      <c r="R1659">
        <v>42942.788298611114</v>
      </c>
      <c r="S1659">
        <v>43382.690289351849</v>
      </c>
      <c r="T1659" t="s">
        <v>301</v>
      </c>
      <c r="U1659" t="s">
        <v>35</v>
      </c>
      <c r="V1659" t="s">
        <v>35</v>
      </c>
      <c r="W1659" t="s">
        <v>4166</v>
      </c>
    </row>
    <row r="1660" spans="1:23" x14ac:dyDescent="0.25">
      <c r="A1660" t="s">
        <v>641</v>
      </c>
      <c r="B1660" s="19">
        <v>18172</v>
      </c>
      <c r="C1660" s="2">
        <f>HYPERLINK(URLs!B36 &amp; 102638,102638)</f>
        <v>102638</v>
      </c>
      <c r="D1660" t="s">
        <v>451</v>
      </c>
      <c r="E1660" t="s">
        <v>435</v>
      </c>
      <c r="F1660" t="s">
        <v>42</v>
      </c>
      <c r="H1660" t="s">
        <v>56</v>
      </c>
      <c r="I1660" t="s">
        <v>68</v>
      </c>
      <c r="J1660" t="s">
        <v>58</v>
      </c>
      <c r="K1660" t="s">
        <v>44</v>
      </c>
      <c r="L1660" t="s">
        <v>73</v>
      </c>
      <c r="M1660" t="s">
        <v>263</v>
      </c>
      <c r="N1660" t="s">
        <v>60</v>
      </c>
      <c r="O1660" t="s">
        <v>177</v>
      </c>
      <c r="P1660" t="s">
        <v>107</v>
      </c>
      <c r="R1660">
        <v>42937.258587962962</v>
      </c>
      <c r="S1660">
        <v>43382.661099537036</v>
      </c>
      <c r="T1660" t="s">
        <v>4</v>
      </c>
      <c r="U1660" t="s">
        <v>35</v>
      </c>
      <c r="V1660" t="s">
        <v>35</v>
      </c>
      <c r="W1660" t="s">
        <v>4098</v>
      </c>
    </row>
    <row r="1661" spans="1:23" x14ac:dyDescent="0.25">
      <c r="A1661" t="s">
        <v>665</v>
      </c>
      <c r="B1661" s="19">
        <v>18196</v>
      </c>
      <c r="C1661" s="2">
        <f>HYPERLINK(URLs!B36 &amp; 112996,112996)</f>
        <v>112996</v>
      </c>
      <c r="D1661" t="s">
        <v>4424</v>
      </c>
      <c r="E1661" t="s">
        <v>91</v>
      </c>
      <c r="F1661" t="s">
        <v>305</v>
      </c>
      <c r="G1661" t="s">
        <v>304</v>
      </c>
      <c r="H1661" t="s">
        <v>54</v>
      </c>
      <c r="I1661" t="s">
        <v>31</v>
      </c>
      <c r="J1661" t="s">
        <v>32</v>
      </c>
      <c r="K1661" t="s">
        <v>33</v>
      </c>
      <c r="L1661" t="s">
        <v>73</v>
      </c>
      <c r="M1661" t="s">
        <v>263</v>
      </c>
      <c r="N1661" t="s">
        <v>3724</v>
      </c>
      <c r="P1661" t="s">
        <v>107</v>
      </c>
      <c r="Q1661" t="s">
        <v>2481</v>
      </c>
      <c r="R1661">
        <v>43222.27003472222</v>
      </c>
      <c r="S1661">
        <v>43360.588425925926</v>
      </c>
      <c r="T1661" t="s">
        <v>91</v>
      </c>
      <c r="U1661" t="s">
        <v>35</v>
      </c>
      <c r="V1661" t="s">
        <v>321</v>
      </c>
      <c r="W1661" t="s">
        <v>4231</v>
      </c>
    </row>
    <row r="1662" spans="1:23" x14ac:dyDescent="0.25">
      <c r="A1662" t="s">
        <v>665</v>
      </c>
      <c r="B1662" s="19">
        <v>18196</v>
      </c>
      <c r="C1662" s="2">
        <f>HYPERLINK(URLs!B36 &amp; 110126,110126)</f>
        <v>110126</v>
      </c>
      <c r="D1662" t="s">
        <v>4330</v>
      </c>
      <c r="E1662" t="s">
        <v>387</v>
      </c>
      <c r="F1662" t="s">
        <v>305</v>
      </c>
      <c r="G1662" t="s">
        <v>337</v>
      </c>
      <c r="H1662" t="s">
        <v>54</v>
      </c>
      <c r="I1662" t="s">
        <v>31</v>
      </c>
      <c r="J1662" t="s">
        <v>32</v>
      </c>
      <c r="K1662" t="s">
        <v>44</v>
      </c>
      <c r="L1662" t="s">
        <v>73</v>
      </c>
      <c r="M1662" t="s">
        <v>263</v>
      </c>
      <c r="N1662" t="s">
        <v>4332</v>
      </c>
      <c r="O1662" t="s">
        <v>3682</v>
      </c>
      <c r="P1662" t="s">
        <v>107</v>
      </c>
      <c r="Q1662" t="s">
        <v>2481</v>
      </c>
      <c r="R1662">
        <v>43137.667175925926</v>
      </c>
      <c r="S1662">
        <v>43333.575104166666</v>
      </c>
      <c r="T1662" t="s">
        <v>301</v>
      </c>
      <c r="U1662" t="s">
        <v>35</v>
      </c>
      <c r="V1662" t="s">
        <v>321</v>
      </c>
      <c r="W1662" t="s">
        <v>4331</v>
      </c>
    </row>
    <row r="1663" spans="1:23" x14ac:dyDescent="0.25">
      <c r="A1663" t="s">
        <v>665</v>
      </c>
      <c r="B1663" s="19">
        <v>18196</v>
      </c>
      <c r="C1663" s="2">
        <f>HYPERLINK(URLs!B36 &amp; 108525,108525)</f>
        <v>108525</v>
      </c>
      <c r="D1663" t="s">
        <v>4235</v>
      </c>
      <c r="E1663" t="s">
        <v>490</v>
      </c>
      <c r="F1663" t="s">
        <v>305</v>
      </c>
      <c r="G1663" t="s">
        <v>304</v>
      </c>
      <c r="H1663" t="s">
        <v>54</v>
      </c>
      <c r="I1663" t="s">
        <v>31</v>
      </c>
      <c r="J1663" t="s">
        <v>32</v>
      </c>
      <c r="K1663" t="s">
        <v>33</v>
      </c>
      <c r="L1663" t="s">
        <v>73</v>
      </c>
      <c r="M1663" t="s">
        <v>263</v>
      </c>
      <c r="N1663" t="s">
        <v>3724</v>
      </c>
      <c r="P1663" t="s">
        <v>107</v>
      </c>
      <c r="Q1663" t="s">
        <v>2481</v>
      </c>
      <c r="R1663">
        <v>43078.317824074074</v>
      </c>
      <c r="S1663">
        <v>43286.3515162037</v>
      </c>
      <c r="T1663" t="s">
        <v>72</v>
      </c>
      <c r="U1663" t="s">
        <v>35</v>
      </c>
      <c r="V1663" t="s">
        <v>321</v>
      </c>
      <c r="W1663" t="s">
        <v>4236</v>
      </c>
    </row>
    <row r="1664" spans="1:23" x14ac:dyDescent="0.25">
      <c r="A1664" t="s">
        <v>665</v>
      </c>
      <c r="B1664" s="19">
        <v>18196</v>
      </c>
      <c r="C1664" s="2">
        <f>HYPERLINK(URLs!B36 &amp; 108454,108454)</f>
        <v>108454</v>
      </c>
      <c r="D1664" t="s">
        <v>3760</v>
      </c>
      <c r="E1664" t="s">
        <v>91</v>
      </c>
      <c r="F1664" t="s">
        <v>305</v>
      </c>
      <c r="G1664" t="s">
        <v>304</v>
      </c>
      <c r="H1664" t="s">
        <v>54</v>
      </c>
      <c r="I1664" t="s">
        <v>31</v>
      </c>
      <c r="J1664" t="s">
        <v>32</v>
      </c>
      <c r="K1664" t="s">
        <v>33</v>
      </c>
      <c r="L1664" t="s">
        <v>73</v>
      </c>
      <c r="M1664" t="s">
        <v>263</v>
      </c>
      <c r="N1664" t="s">
        <v>3724</v>
      </c>
      <c r="P1664" t="s">
        <v>107</v>
      </c>
      <c r="Q1664" t="s">
        <v>2481</v>
      </c>
      <c r="R1664">
        <v>43076.552210648151</v>
      </c>
      <c r="S1664">
        <v>43285.14371527778</v>
      </c>
      <c r="T1664" t="s">
        <v>72</v>
      </c>
      <c r="U1664" t="s">
        <v>35</v>
      </c>
      <c r="V1664" t="s">
        <v>321</v>
      </c>
      <c r="W1664" t="s">
        <v>4169</v>
      </c>
    </row>
    <row r="1665" spans="1:23" x14ac:dyDescent="0.25">
      <c r="A1665" t="s">
        <v>665</v>
      </c>
      <c r="B1665" s="19">
        <v>18196</v>
      </c>
      <c r="C1665" s="2">
        <f>HYPERLINK(URLs!B36 &amp; 102932,102932)</f>
        <v>102932</v>
      </c>
      <c r="D1665" t="s">
        <v>3651</v>
      </c>
      <c r="E1665" t="s">
        <v>82</v>
      </c>
      <c r="F1665" t="s">
        <v>305</v>
      </c>
      <c r="G1665" t="s">
        <v>353</v>
      </c>
      <c r="H1665" t="s">
        <v>30</v>
      </c>
      <c r="I1665" t="s">
        <v>31</v>
      </c>
      <c r="J1665" t="s">
        <v>32</v>
      </c>
      <c r="K1665" t="s">
        <v>44</v>
      </c>
      <c r="L1665" t="s">
        <v>73</v>
      </c>
      <c r="M1665" t="s">
        <v>263</v>
      </c>
      <c r="N1665" t="s">
        <v>60</v>
      </c>
      <c r="P1665" t="s">
        <v>133</v>
      </c>
      <c r="Q1665" t="s">
        <v>133</v>
      </c>
      <c r="R1665">
        <v>42942.790335648147</v>
      </c>
      <c r="S1665">
        <v>43216.012499999997</v>
      </c>
      <c r="T1665" t="s">
        <v>301</v>
      </c>
      <c r="U1665" t="s">
        <v>35</v>
      </c>
      <c r="V1665" t="s">
        <v>35</v>
      </c>
      <c r="W1665" t="s">
        <v>69</v>
      </c>
    </row>
    <row r="1666" spans="1:23" x14ac:dyDescent="0.25">
      <c r="A1666" t="s">
        <v>665</v>
      </c>
      <c r="B1666" s="19">
        <v>18196</v>
      </c>
      <c r="C1666" s="2">
        <f>HYPERLINK(URLs!B36 &amp; 102929,102929)</f>
        <v>102929</v>
      </c>
      <c r="D1666" t="s">
        <v>3649</v>
      </c>
      <c r="E1666" t="s">
        <v>82</v>
      </c>
      <c r="F1666" t="s">
        <v>305</v>
      </c>
      <c r="G1666" t="s">
        <v>353</v>
      </c>
      <c r="H1666" t="s">
        <v>56</v>
      </c>
      <c r="I1666" t="s">
        <v>31</v>
      </c>
      <c r="J1666" t="s">
        <v>32</v>
      </c>
      <c r="K1666" t="s">
        <v>44</v>
      </c>
      <c r="L1666" t="s">
        <v>73</v>
      </c>
      <c r="M1666" t="s">
        <v>263</v>
      </c>
      <c r="N1666" t="s">
        <v>46</v>
      </c>
      <c r="P1666" t="s">
        <v>133</v>
      </c>
      <c r="Q1666" t="s">
        <v>133</v>
      </c>
      <c r="R1666">
        <v>42942.787546296298</v>
      </c>
      <c r="S1666">
        <v>43216.012499999997</v>
      </c>
      <c r="T1666" t="s">
        <v>301</v>
      </c>
      <c r="U1666" t="s">
        <v>35</v>
      </c>
      <c r="V1666" t="s">
        <v>35</v>
      </c>
      <c r="W1666" t="s">
        <v>307</v>
      </c>
    </row>
    <row r="1667" spans="1:23" x14ac:dyDescent="0.25">
      <c r="A1667" t="s">
        <v>665</v>
      </c>
      <c r="B1667" s="19">
        <v>18196</v>
      </c>
      <c r="C1667" s="2">
        <f>HYPERLINK(URLs!B36 &amp; 102822,102822)</f>
        <v>102822</v>
      </c>
      <c r="D1667" t="s">
        <v>3645</v>
      </c>
      <c r="E1667" t="s">
        <v>82</v>
      </c>
      <c r="F1667" t="s">
        <v>305</v>
      </c>
      <c r="G1667" t="s">
        <v>353</v>
      </c>
      <c r="H1667" t="s">
        <v>56</v>
      </c>
      <c r="I1667" t="s">
        <v>31</v>
      </c>
      <c r="J1667" t="s">
        <v>32</v>
      </c>
      <c r="K1667" t="s">
        <v>44</v>
      </c>
      <c r="L1667" t="s">
        <v>73</v>
      </c>
      <c r="M1667" t="s">
        <v>263</v>
      </c>
      <c r="N1667" t="s">
        <v>46</v>
      </c>
      <c r="O1667" t="s">
        <v>132</v>
      </c>
      <c r="P1667" t="s">
        <v>133</v>
      </c>
      <c r="Q1667" t="s">
        <v>133</v>
      </c>
      <c r="R1667">
        <v>42941.520787037036</v>
      </c>
      <c r="S1667">
        <v>43216.012499999997</v>
      </c>
      <c r="T1667" t="s">
        <v>4</v>
      </c>
      <c r="U1667" t="s">
        <v>35</v>
      </c>
      <c r="V1667" t="s">
        <v>35</v>
      </c>
      <c r="W1667" t="s">
        <v>4098</v>
      </c>
    </row>
    <row r="1668" spans="1:23" x14ac:dyDescent="0.25">
      <c r="A1668" t="s">
        <v>665</v>
      </c>
      <c r="B1668" s="19">
        <v>18196</v>
      </c>
      <c r="C1668" s="2">
        <f>HYPERLINK(URLs!B36 &amp; 98755,98755)</f>
        <v>98755</v>
      </c>
      <c r="D1668" t="s">
        <v>3525</v>
      </c>
      <c r="E1668" t="s">
        <v>3313</v>
      </c>
      <c r="F1668" t="s">
        <v>29</v>
      </c>
      <c r="H1668" t="s">
        <v>54</v>
      </c>
      <c r="I1668" t="s">
        <v>31</v>
      </c>
      <c r="J1668" t="s">
        <v>32</v>
      </c>
      <c r="K1668" t="s">
        <v>33</v>
      </c>
      <c r="L1668" t="s">
        <v>73</v>
      </c>
      <c r="M1668" t="s">
        <v>263</v>
      </c>
      <c r="N1668" t="s">
        <v>3724</v>
      </c>
      <c r="P1668" t="s">
        <v>107</v>
      </c>
      <c r="Q1668" t="s">
        <v>2481</v>
      </c>
      <c r="R1668">
        <v>42851.559108796297</v>
      </c>
      <c r="S1668">
        <v>43222.27003472222</v>
      </c>
      <c r="T1668" t="s">
        <v>288</v>
      </c>
      <c r="U1668" t="s">
        <v>35</v>
      </c>
      <c r="V1668" t="s">
        <v>321</v>
      </c>
      <c r="W1668" t="s">
        <v>4098</v>
      </c>
    </row>
    <row r="1669" spans="1:23" x14ac:dyDescent="0.25">
      <c r="A1669" t="s">
        <v>633</v>
      </c>
      <c r="B1669" s="19">
        <v>18242</v>
      </c>
      <c r="C1669" s="2">
        <f>HYPERLINK(URLs!B36 &amp; 103728,103728)</f>
        <v>103728</v>
      </c>
      <c r="D1669" t="s">
        <v>3677</v>
      </c>
      <c r="E1669" t="s">
        <v>180</v>
      </c>
      <c r="F1669" t="s">
        <v>305</v>
      </c>
      <c r="G1669" t="s">
        <v>304</v>
      </c>
      <c r="H1669" t="s">
        <v>54</v>
      </c>
      <c r="I1669" t="s">
        <v>31</v>
      </c>
      <c r="J1669" t="s">
        <v>43</v>
      </c>
      <c r="K1669" t="s">
        <v>44</v>
      </c>
      <c r="L1669" t="s">
        <v>45</v>
      </c>
      <c r="M1669" t="s">
        <v>260</v>
      </c>
      <c r="N1669" t="s">
        <v>60</v>
      </c>
      <c r="P1669" t="s">
        <v>133</v>
      </c>
      <c r="Q1669" t="s">
        <v>133</v>
      </c>
      <c r="R1669">
        <v>42964.455833333333</v>
      </c>
      <c r="S1669">
        <v>43224.289166666669</v>
      </c>
      <c r="T1669" t="s">
        <v>171</v>
      </c>
      <c r="U1669" t="s">
        <v>35</v>
      </c>
      <c r="V1669" t="s">
        <v>35</v>
      </c>
      <c r="W1669" t="s">
        <v>307</v>
      </c>
    </row>
    <row r="1670" spans="1:23" x14ac:dyDescent="0.25">
      <c r="A1670" t="s">
        <v>633</v>
      </c>
      <c r="B1670" s="19">
        <v>18242</v>
      </c>
      <c r="C1670" s="2">
        <f>HYPERLINK(URLs!B36 &amp; 103727,103727)</f>
        <v>103727</v>
      </c>
      <c r="D1670" t="s">
        <v>179</v>
      </c>
      <c r="E1670" t="s">
        <v>180</v>
      </c>
      <c r="F1670" t="s">
        <v>319</v>
      </c>
      <c r="G1670" t="s">
        <v>304</v>
      </c>
      <c r="H1670" t="s">
        <v>54</v>
      </c>
      <c r="I1670" t="s">
        <v>31</v>
      </c>
      <c r="J1670" t="s">
        <v>43</v>
      </c>
      <c r="K1670" t="s">
        <v>44</v>
      </c>
      <c r="L1670" t="s">
        <v>45</v>
      </c>
      <c r="M1670" t="s">
        <v>260</v>
      </c>
      <c r="N1670" t="s">
        <v>60</v>
      </c>
      <c r="O1670" t="s">
        <v>487</v>
      </c>
      <c r="P1670" t="s">
        <v>133</v>
      </c>
      <c r="Q1670" t="s">
        <v>3708</v>
      </c>
      <c r="R1670">
        <v>42964.45585648148</v>
      </c>
      <c r="S1670">
        <v>43423.907349537039</v>
      </c>
      <c r="T1670" t="s">
        <v>171</v>
      </c>
      <c r="U1670" t="s">
        <v>35</v>
      </c>
      <c r="V1670" t="s">
        <v>35</v>
      </c>
      <c r="W1670" t="s">
        <v>4098</v>
      </c>
    </row>
    <row r="1671" spans="1:23" x14ac:dyDescent="0.25">
      <c r="A1671" t="s">
        <v>633</v>
      </c>
      <c r="B1671" s="19">
        <v>18242</v>
      </c>
      <c r="C1671" s="2">
        <f>HYPERLINK(URLs!B36 &amp; 103055,103055)</f>
        <v>103055</v>
      </c>
      <c r="D1671" t="s">
        <v>564</v>
      </c>
      <c r="E1671" t="s">
        <v>180</v>
      </c>
      <c r="F1671" t="s">
        <v>305</v>
      </c>
      <c r="G1671" t="s">
        <v>337</v>
      </c>
      <c r="H1671" t="s">
        <v>54</v>
      </c>
      <c r="I1671" t="s">
        <v>31</v>
      </c>
      <c r="J1671" t="s">
        <v>43</v>
      </c>
      <c r="K1671" t="s">
        <v>44</v>
      </c>
      <c r="L1671" t="s">
        <v>45</v>
      </c>
      <c r="M1671" t="s">
        <v>260</v>
      </c>
      <c r="N1671" t="s">
        <v>60</v>
      </c>
      <c r="O1671" t="s">
        <v>487</v>
      </c>
      <c r="P1671" t="s">
        <v>133</v>
      </c>
      <c r="Q1671" t="s">
        <v>3708</v>
      </c>
      <c r="R1671">
        <v>42947.502384259256</v>
      </c>
      <c r="S1671">
        <v>43423.866736111115</v>
      </c>
      <c r="T1671" t="s">
        <v>4</v>
      </c>
      <c r="U1671" t="s">
        <v>35</v>
      </c>
      <c r="V1671" t="s">
        <v>35</v>
      </c>
      <c r="W1671" t="s">
        <v>4163</v>
      </c>
    </row>
    <row r="1672" spans="1:23" x14ac:dyDescent="0.25">
      <c r="A1672" t="s">
        <v>633</v>
      </c>
      <c r="B1672" s="19">
        <v>18260</v>
      </c>
      <c r="C1672" s="2">
        <f>HYPERLINK(URLs!B36 &amp; 103209,103209)</f>
        <v>103209</v>
      </c>
      <c r="D1672" t="s">
        <v>3662</v>
      </c>
      <c r="E1672" t="s">
        <v>4</v>
      </c>
      <c r="F1672" t="s">
        <v>305</v>
      </c>
      <c r="G1672" t="s">
        <v>328</v>
      </c>
      <c r="H1672" t="s">
        <v>54</v>
      </c>
      <c r="I1672" t="s">
        <v>68</v>
      </c>
      <c r="J1672" t="s">
        <v>43</v>
      </c>
      <c r="K1672" t="s">
        <v>33</v>
      </c>
      <c r="L1672" t="s">
        <v>73</v>
      </c>
      <c r="M1672" t="s">
        <v>263</v>
      </c>
      <c r="N1672" t="s">
        <v>60</v>
      </c>
      <c r="P1672" t="s">
        <v>133</v>
      </c>
      <c r="Q1672" t="s">
        <v>133</v>
      </c>
      <c r="R1672">
        <v>42950.476770833331</v>
      </c>
      <c r="S1672">
        <v>43216.013506944444</v>
      </c>
      <c r="T1672" t="s">
        <v>301</v>
      </c>
      <c r="U1672" t="s">
        <v>35</v>
      </c>
      <c r="V1672" t="s">
        <v>35</v>
      </c>
      <c r="W1672" t="s">
        <v>4166</v>
      </c>
    </row>
    <row r="1673" spans="1:23" x14ac:dyDescent="0.25">
      <c r="A1673" t="s">
        <v>633</v>
      </c>
      <c r="B1673" s="19">
        <v>18260</v>
      </c>
      <c r="C1673" s="2">
        <f>HYPERLINK(URLs!B36 &amp; 103143,103143)</f>
        <v>103143</v>
      </c>
      <c r="D1673" t="s">
        <v>3655</v>
      </c>
      <c r="E1673" t="s">
        <v>4</v>
      </c>
      <c r="F1673" t="s">
        <v>305</v>
      </c>
      <c r="G1673" t="s">
        <v>328</v>
      </c>
      <c r="H1673" t="s">
        <v>54</v>
      </c>
      <c r="I1673" t="s">
        <v>68</v>
      </c>
      <c r="J1673" t="s">
        <v>43</v>
      </c>
      <c r="K1673" t="s">
        <v>33</v>
      </c>
      <c r="L1673" t="s">
        <v>73</v>
      </c>
      <c r="M1673" t="s">
        <v>263</v>
      </c>
      <c r="N1673" t="s">
        <v>60</v>
      </c>
      <c r="O1673" t="s">
        <v>3656</v>
      </c>
      <c r="P1673" t="s">
        <v>133</v>
      </c>
      <c r="Q1673" t="s">
        <v>133</v>
      </c>
      <c r="R1673">
        <v>42949.291342592594</v>
      </c>
      <c r="S1673">
        <v>43216.013506944444</v>
      </c>
      <c r="T1673" t="s">
        <v>4</v>
      </c>
      <c r="U1673" t="s">
        <v>35</v>
      </c>
      <c r="V1673" t="s">
        <v>35</v>
      </c>
      <c r="W1673" t="s">
        <v>4098</v>
      </c>
    </row>
    <row r="1674" spans="1:23" x14ac:dyDescent="0.25">
      <c r="A1674" t="s">
        <v>665</v>
      </c>
      <c r="B1674" s="19">
        <v>18265</v>
      </c>
      <c r="C1674" s="2">
        <f>HYPERLINK(URLs!B36 &amp; 106272,106272)</f>
        <v>106272</v>
      </c>
      <c r="D1674" t="s">
        <v>3737</v>
      </c>
      <c r="E1674" t="s">
        <v>72</v>
      </c>
      <c r="F1674" t="s">
        <v>305</v>
      </c>
      <c r="G1674" t="s">
        <v>353</v>
      </c>
      <c r="H1674" t="s">
        <v>56</v>
      </c>
      <c r="I1674" t="s">
        <v>68</v>
      </c>
      <c r="J1674" t="s">
        <v>43</v>
      </c>
      <c r="K1674" t="s">
        <v>33</v>
      </c>
      <c r="L1674" t="s">
        <v>73</v>
      </c>
      <c r="M1674" t="s">
        <v>263</v>
      </c>
      <c r="N1674" t="s">
        <v>46</v>
      </c>
      <c r="P1674" t="s">
        <v>107</v>
      </c>
      <c r="Q1674" t="s">
        <v>107</v>
      </c>
      <c r="R1674">
        <v>43028.370104166665</v>
      </c>
      <c r="S1674">
        <v>43135.146041666667</v>
      </c>
      <c r="T1674" t="s">
        <v>171</v>
      </c>
      <c r="U1674" t="s">
        <v>35</v>
      </c>
      <c r="V1674" t="s">
        <v>35</v>
      </c>
      <c r="W1674" t="s">
        <v>4171</v>
      </c>
    </row>
    <row r="1675" spans="1:23" x14ac:dyDescent="0.25">
      <c r="A1675" t="s">
        <v>665</v>
      </c>
      <c r="B1675" s="19">
        <v>18265</v>
      </c>
      <c r="C1675" s="2">
        <f>HYPERLINK(URLs!B36 &amp; 103207,103207)</f>
        <v>103207</v>
      </c>
      <c r="D1675" t="s">
        <v>565</v>
      </c>
      <c r="E1675" t="s">
        <v>387</v>
      </c>
      <c r="F1675" t="s">
        <v>305</v>
      </c>
      <c r="G1675" t="s">
        <v>337</v>
      </c>
      <c r="H1675" t="s">
        <v>54</v>
      </c>
      <c r="I1675" t="s">
        <v>68</v>
      </c>
      <c r="J1675" t="s">
        <v>43</v>
      </c>
      <c r="K1675" t="s">
        <v>33</v>
      </c>
      <c r="L1675" t="s">
        <v>73</v>
      </c>
      <c r="M1675" t="s">
        <v>263</v>
      </c>
      <c r="N1675" t="s">
        <v>60</v>
      </c>
      <c r="P1675" t="s">
        <v>107</v>
      </c>
      <c r="Q1675" t="s">
        <v>3708</v>
      </c>
      <c r="R1675">
        <v>42950.470613425925</v>
      </c>
      <c r="S1675">
        <v>43423.863576388889</v>
      </c>
      <c r="T1675" t="s">
        <v>301</v>
      </c>
      <c r="U1675" t="s">
        <v>35</v>
      </c>
      <c r="V1675" t="s">
        <v>35</v>
      </c>
      <c r="W1675" t="s">
        <v>4156</v>
      </c>
    </row>
    <row r="1676" spans="1:23" x14ac:dyDescent="0.25">
      <c r="A1676" t="s">
        <v>665</v>
      </c>
      <c r="B1676" s="19">
        <v>18265</v>
      </c>
      <c r="C1676" s="2">
        <f>HYPERLINK(URLs!B36 &amp; 103171,103171)</f>
        <v>103171</v>
      </c>
      <c r="D1676" t="s">
        <v>178</v>
      </c>
      <c r="E1676" t="s">
        <v>387</v>
      </c>
      <c r="F1676" t="s">
        <v>319</v>
      </c>
      <c r="G1676" t="s">
        <v>353</v>
      </c>
      <c r="H1676" t="s">
        <v>56</v>
      </c>
      <c r="I1676" t="s">
        <v>68</v>
      </c>
      <c r="J1676" t="s">
        <v>43</v>
      </c>
      <c r="K1676" t="s">
        <v>33</v>
      </c>
      <c r="L1676" t="s">
        <v>73</v>
      </c>
      <c r="M1676" t="s">
        <v>263</v>
      </c>
      <c r="N1676" t="s">
        <v>60</v>
      </c>
      <c r="P1676" t="s">
        <v>107</v>
      </c>
      <c r="Q1676" t="s">
        <v>3708</v>
      </c>
      <c r="R1676">
        <v>42949.790347222224</v>
      </c>
      <c r="S1676">
        <v>43423.898495370369</v>
      </c>
      <c r="T1676" t="s">
        <v>2</v>
      </c>
      <c r="U1676" t="s">
        <v>35</v>
      </c>
      <c r="V1676" t="s">
        <v>35</v>
      </c>
      <c r="W1676" t="s">
        <v>4098</v>
      </c>
    </row>
    <row r="1677" spans="1:23" x14ac:dyDescent="0.25">
      <c r="A1677" t="s">
        <v>665</v>
      </c>
      <c r="B1677" s="19">
        <v>18265</v>
      </c>
      <c r="C1677" s="2">
        <f>HYPERLINK(URLs!B36 &amp; 87918,87918)</f>
        <v>87918</v>
      </c>
      <c r="D1677" t="s">
        <v>334</v>
      </c>
      <c r="E1677" t="s">
        <v>335</v>
      </c>
      <c r="F1677" t="s">
        <v>305</v>
      </c>
      <c r="G1677" t="s">
        <v>304</v>
      </c>
      <c r="H1677" t="s">
        <v>30</v>
      </c>
      <c r="I1677" t="s">
        <v>31</v>
      </c>
      <c r="J1677" t="s">
        <v>333</v>
      </c>
      <c r="K1677" t="s">
        <v>44</v>
      </c>
      <c r="L1677" t="s">
        <v>73</v>
      </c>
      <c r="M1677" t="s">
        <v>263</v>
      </c>
      <c r="N1677" t="s">
        <v>331</v>
      </c>
      <c r="P1677" t="s">
        <v>133</v>
      </c>
      <c r="R1677">
        <v>42604.765428240738</v>
      </c>
      <c r="S1677">
        <v>43423.898495370369</v>
      </c>
      <c r="T1677" t="s">
        <v>332</v>
      </c>
      <c r="U1677" t="s">
        <v>35</v>
      </c>
      <c r="V1677" t="s">
        <v>35</v>
      </c>
      <c r="W1677" t="s">
        <v>4098</v>
      </c>
    </row>
    <row r="1678" spans="1:23" x14ac:dyDescent="0.25">
      <c r="A1678" t="s">
        <v>633</v>
      </c>
      <c r="B1678" s="19">
        <v>18279</v>
      </c>
      <c r="C1678" s="2">
        <f>HYPERLINK(URLs!B36 &amp; 103288,103288)</f>
        <v>103288</v>
      </c>
      <c r="D1678" t="s">
        <v>3664</v>
      </c>
      <c r="E1678" t="s">
        <v>180</v>
      </c>
      <c r="F1678" t="s">
        <v>305</v>
      </c>
      <c r="G1678" t="s">
        <v>353</v>
      </c>
      <c r="H1678" t="s">
        <v>54</v>
      </c>
      <c r="I1678" t="s">
        <v>31</v>
      </c>
      <c r="J1678" t="s">
        <v>32</v>
      </c>
      <c r="K1678" t="s">
        <v>33</v>
      </c>
      <c r="L1678" t="s">
        <v>45</v>
      </c>
      <c r="M1678" t="s">
        <v>260</v>
      </c>
      <c r="N1678" t="s">
        <v>60</v>
      </c>
      <c r="P1678" t="s">
        <v>107</v>
      </c>
      <c r="Q1678" t="s">
        <v>2854</v>
      </c>
      <c r="R1678">
        <v>42951.648969907408</v>
      </c>
      <c r="S1678">
        <v>43060.15996527778</v>
      </c>
      <c r="T1678" t="s">
        <v>1</v>
      </c>
      <c r="U1678" t="s">
        <v>35</v>
      </c>
      <c r="V1678" t="s">
        <v>321</v>
      </c>
      <c r="W1678" t="s">
        <v>4156</v>
      </c>
    </row>
    <row r="1679" spans="1:23" x14ac:dyDescent="0.25">
      <c r="A1679" t="s">
        <v>633</v>
      </c>
      <c r="B1679" s="19">
        <v>18279</v>
      </c>
      <c r="C1679" s="2">
        <f>HYPERLINK(URLs!B36 &amp; 85276,85276)</f>
        <v>85276</v>
      </c>
      <c r="D1679" t="s">
        <v>342</v>
      </c>
      <c r="E1679" t="s">
        <v>343</v>
      </c>
      <c r="F1679" t="s">
        <v>305</v>
      </c>
      <c r="G1679" t="s">
        <v>304</v>
      </c>
      <c r="H1679" t="s">
        <v>30</v>
      </c>
      <c r="I1679" t="s">
        <v>31</v>
      </c>
      <c r="J1679" t="s">
        <v>32</v>
      </c>
      <c r="K1679" t="s">
        <v>44</v>
      </c>
      <c r="L1679" t="s">
        <v>45</v>
      </c>
      <c r="M1679" t="s">
        <v>106</v>
      </c>
      <c r="N1679" t="s">
        <v>331</v>
      </c>
      <c r="P1679" t="s">
        <v>133</v>
      </c>
      <c r="R1679">
        <v>42549.398229166669</v>
      </c>
      <c r="S1679">
        <v>43039.390717592592</v>
      </c>
      <c r="T1679" t="s">
        <v>341</v>
      </c>
      <c r="U1679" t="s">
        <v>340</v>
      </c>
      <c r="V1679" t="s">
        <v>35</v>
      </c>
      <c r="W1679" t="s">
        <v>133</v>
      </c>
    </row>
    <row r="1680" spans="1:23" x14ac:dyDescent="0.25">
      <c r="A1680" t="s">
        <v>633</v>
      </c>
      <c r="B1680" s="19">
        <v>18352</v>
      </c>
      <c r="C1680" s="2">
        <f>HYPERLINK(URLs!B36 &amp; 103574,103574)</f>
        <v>103574</v>
      </c>
      <c r="D1680" t="s">
        <v>3670</v>
      </c>
      <c r="E1680" t="s">
        <v>3671</v>
      </c>
      <c r="F1680" t="s">
        <v>305</v>
      </c>
      <c r="G1680" t="s">
        <v>304</v>
      </c>
      <c r="H1680" t="s">
        <v>56</v>
      </c>
      <c r="I1680" t="s">
        <v>68</v>
      </c>
      <c r="J1680" t="s">
        <v>43</v>
      </c>
      <c r="K1680" t="s">
        <v>33</v>
      </c>
      <c r="L1680" t="s">
        <v>96</v>
      </c>
      <c r="M1680" t="s">
        <v>275</v>
      </c>
      <c r="N1680" t="s">
        <v>447</v>
      </c>
      <c r="O1680" t="s">
        <v>3017</v>
      </c>
      <c r="P1680" t="s">
        <v>133</v>
      </c>
      <c r="Q1680" t="s">
        <v>2973</v>
      </c>
      <c r="R1680">
        <v>42958.738645833335</v>
      </c>
      <c r="S1680">
        <v>43214.207384259258</v>
      </c>
      <c r="T1680" t="s">
        <v>5</v>
      </c>
      <c r="U1680" t="s">
        <v>35</v>
      </c>
      <c r="V1680" t="s">
        <v>35</v>
      </c>
      <c r="W1680" t="s">
        <v>307</v>
      </c>
    </row>
    <row r="1681" spans="1:23" x14ac:dyDescent="0.25">
      <c r="A1681" t="s">
        <v>633</v>
      </c>
      <c r="B1681" s="19">
        <v>18386</v>
      </c>
      <c r="C1681" s="2">
        <f>HYPERLINK(URLs!B36 &amp; 103703,103703)</f>
        <v>103703</v>
      </c>
      <c r="D1681" t="s">
        <v>3675</v>
      </c>
      <c r="E1681" t="s">
        <v>62</v>
      </c>
      <c r="F1681" t="s">
        <v>305</v>
      </c>
      <c r="G1681" t="s">
        <v>310</v>
      </c>
      <c r="H1681" t="s">
        <v>54</v>
      </c>
      <c r="I1681" t="s">
        <v>31</v>
      </c>
      <c r="J1681" t="s">
        <v>32</v>
      </c>
      <c r="K1681" t="s">
        <v>33</v>
      </c>
      <c r="L1681" t="s">
        <v>45</v>
      </c>
      <c r="M1681" t="s">
        <v>260</v>
      </c>
      <c r="N1681" t="s">
        <v>60</v>
      </c>
      <c r="P1681" t="s">
        <v>190</v>
      </c>
      <c r="Q1681" t="s">
        <v>3676</v>
      </c>
      <c r="R1681">
        <v>42963.870300925926</v>
      </c>
      <c r="S1681">
        <v>43071.158518518518</v>
      </c>
      <c r="T1681" t="s">
        <v>1</v>
      </c>
      <c r="U1681" t="s">
        <v>35</v>
      </c>
      <c r="V1681" t="s">
        <v>35</v>
      </c>
      <c r="W1681" t="s">
        <v>4166</v>
      </c>
    </row>
    <row r="1682" spans="1:23" x14ac:dyDescent="0.25">
      <c r="A1682" t="s">
        <v>633</v>
      </c>
      <c r="B1682" s="19">
        <v>18448</v>
      </c>
      <c r="C1682" s="2">
        <f>HYPERLINK(URLs!B36 &amp; 103877,103877)</f>
        <v>103877</v>
      </c>
      <c r="D1682" t="s">
        <v>3679</v>
      </c>
      <c r="E1682" t="s">
        <v>3440</v>
      </c>
      <c r="F1682" t="s">
        <v>305</v>
      </c>
      <c r="G1682" t="s">
        <v>304</v>
      </c>
      <c r="H1682" t="s">
        <v>30</v>
      </c>
      <c r="I1682" t="s">
        <v>57</v>
      </c>
      <c r="J1682" t="s">
        <v>2183</v>
      </c>
      <c r="K1682" t="s">
        <v>51</v>
      </c>
      <c r="L1682" t="s">
        <v>380</v>
      </c>
      <c r="M1682" t="s">
        <v>434</v>
      </c>
      <c r="N1682" t="s">
        <v>46</v>
      </c>
      <c r="P1682" t="s">
        <v>190</v>
      </c>
      <c r="Q1682" t="s">
        <v>1503</v>
      </c>
      <c r="R1682">
        <v>42970.284097222226</v>
      </c>
      <c r="S1682">
        <v>43206.798807870371</v>
      </c>
      <c r="T1682" t="s">
        <v>4</v>
      </c>
      <c r="U1682" t="s">
        <v>35</v>
      </c>
      <c r="V1682" t="s">
        <v>35</v>
      </c>
      <c r="W1682" t="s">
        <v>307</v>
      </c>
    </row>
    <row r="1683" spans="1:23" x14ac:dyDescent="0.25">
      <c r="A1683" t="s">
        <v>665</v>
      </c>
      <c r="B1683" s="19">
        <v>18486</v>
      </c>
      <c r="C1683" s="2">
        <f>HYPERLINK(URLs!B36 &amp; 105363,105363)</f>
        <v>105363</v>
      </c>
      <c r="D1683" t="s">
        <v>3719</v>
      </c>
      <c r="E1683" t="s">
        <v>131</v>
      </c>
      <c r="F1683" t="s">
        <v>305</v>
      </c>
      <c r="G1683" t="s">
        <v>304</v>
      </c>
      <c r="H1683" t="s">
        <v>116</v>
      </c>
      <c r="I1683" t="s">
        <v>68</v>
      </c>
      <c r="J1683" t="s">
        <v>43</v>
      </c>
      <c r="K1683" t="s">
        <v>33</v>
      </c>
      <c r="L1683" t="s">
        <v>73</v>
      </c>
      <c r="M1683" t="s">
        <v>263</v>
      </c>
      <c r="N1683" t="s">
        <v>3513</v>
      </c>
      <c r="P1683" t="s">
        <v>107</v>
      </c>
      <c r="Q1683" t="s">
        <v>2944</v>
      </c>
      <c r="R1683">
        <v>43005.808379629627</v>
      </c>
      <c r="S1683">
        <v>43405.942974537036</v>
      </c>
      <c r="T1683" t="s">
        <v>301</v>
      </c>
      <c r="U1683" t="s">
        <v>4031</v>
      </c>
      <c r="V1683" t="s">
        <v>35</v>
      </c>
      <c r="W1683" t="s">
        <v>4171</v>
      </c>
    </row>
    <row r="1684" spans="1:23" x14ac:dyDescent="0.25">
      <c r="A1684" t="s">
        <v>665</v>
      </c>
      <c r="B1684" s="19">
        <v>18486</v>
      </c>
      <c r="C1684" s="2">
        <f>HYPERLINK(URLs!B36 &amp; 105362,105362)</f>
        <v>105362</v>
      </c>
      <c r="D1684" t="s">
        <v>3718</v>
      </c>
      <c r="E1684" t="s">
        <v>131</v>
      </c>
      <c r="F1684" t="s">
        <v>305</v>
      </c>
      <c r="G1684" t="s">
        <v>304</v>
      </c>
      <c r="H1684" t="s">
        <v>54</v>
      </c>
      <c r="I1684" t="s">
        <v>68</v>
      </c>
      <c r="J1684" t="s">
        <v>43</v>
      </c>
      <c r="K1684" t="s">
        <v>33</v>
      </c>
      <c r="L1684" t="s">
        <v>73</v>
      </c>
      <c r="M1684" t="s">
        <v>263</v>
      </c>
      <c r="N1684" t="s">
        <v>572</v>
      </c>
      <c r="P1684" t="s">
        <v>107</v>
      </c>
      <c r="Q1684" t="s">
        <v>2944</v>
      </c>
      <c r="R1684">
        <v>43005.807766203703</v>
      </c>
      <c r="S1684">
        <v>43215.85496527778</v>
      </c>
      <c r="T1684" t="s">
        <v>301</v>
      </c>
      <c r="U1684" t="s">
        <v>4030</v>
      </c>
      <c r="V1684" t="s">
        <v>35</v>
      </c>
      <c r="W1684" t="s">
        <v>307</v>
      </c>
    </row>
    <row r="1685" spans="1:23" x14ac:dyDescent="0.25">
      <c r="A1685" t="s">
        <v>665</v>
      </c>
      <c r="B1685" s="19">
        <v>18486</v>
      </c>
      <c r="C1685" s="2">
        <f>HYPERLINK(URLs!B36 &amp; 105361,105361)</f>
        <v>105361</v>
      </c>
      <c r="D1685" t="s">
        <v>4827</v>
      </c>
      <c r="E1685" t="s">
        <v>131</v>
      </c>
      <c r="F1685" t="s">
        <v>319</v>
      </c>
      <c r="G1685" t="s">
        <v>304</v>
      </c>
      <c r="H1685" t="s">
        <v>54</v>
      </c>
      <c r="I1685" t="s">
        <v>68</v>
      </c>
      <c r="J1685" t="s">
        <v>43</v>
      </c>
      <c r="K1685" t="s">
        <v>33</v>
      </c>
      <c r="L1685" t="s">
        <v>73</v>
      </c>
      <c r="M1685" t="s">
        <v>263</v>
      </c>
      <c r="N1685" t="s">
        <v>121</v>
      </c>
      <c r="P1685" t="s">
        <v>107</v>
      </c>
      <c r="Q1685" t="s">
        <v>3762</v>
      </c>
      <c r="R1685">
        <v>43005.806828703702</v>
      </c>
      <c r="S1685">
        <v>43377.299768518518</v>
      </c>
      <c r="T1685" t="s">
        <v>301</v>
      </c>
      <c r="U1685" t="s">
        <v>35</v>
      </c>
      <c r="V1685" t="s">
        <v>35</v>
      </c>
      <c r="W1685" t="s">
        <v>4172</v>
      </c>
    </row>
    <row r="1686" spans="1:23" x14ac:dyDescent="0.25">
      <c r="A1686" t="s">
        <v>665</v>
      </c>
      <c r="B1686" s="19">
        <v>18486</v>
      </c>
      <c r="C1686" s="2">
        <f>HYPERLINK(URLs!B36 &amp; 105360,105360)</f>
        <v>105360</v>
      </c>
      <c r="D1686" t="s">
        <v>574</v>
      </c>
      <c r="E1686" t="s">
        <v>131</v>
      </c>
      <c r="F1686" t="s">
        <v>305</v>
      </c>
      <c r="G1686" t="s">
        <v>337</v>
      </c>
      <c r="H1686" t="s">
        <v>54</v>
      </c>
      <c r="I1686" t="s">
        <v>68</v>
      </c>
      <c r="J1686" t="s">
        <v>43</v>
      </c>
      <c r="K1686" t="s">
        <v>33</v>
      </c>
      <c r="L1686" t="s">
        <v>73</v>
      </c>
      <c r="M1686" t="s">
        <v>263</v>
      </c>
      <c r="N1686" t="s">
        <v>121</v>
      </c>
      <c r="P1686" t="s">
        <v>107</v>
      </c>
      <c r="Q1686" t="s">
        <v>3708</v>
      </c>
      <c r="R1686">
        <v>43005.805949074071</v>
      </c>
      <c r="S1686">
        <v>43423.863599537035</v>
      </c>
      <c r="T1686" t="s">
        <v>301</v>
      </c>
      <c r="U1686" t="s">
        <v>35</v>
      </c>
      <c r="V1686" t="s">
        <v>35</v>
      </c>
      <c r="W1686" t="s">
        <v>4156</v>
      </c>
    </row>
    <row r="1687" spans="1:23" x14ac:dyDescent="0.25">
      <c r="A1687" t="s">
        <v>665</v>
      </c>
      <c r="B1687" s="19">
        <v>18486</v>
      </c>
      <c r="C1687" s="2">
        <f>HYPERLINK(URLs!B36 &amp; 104046,104046)</f>
        <v>104046</v>
      </c>
      <c r="D1687" t="s">
        <v>4824</v>
      </c>
      <c r="E1687" t="s">
        <v>131</v>
      </c>
      <c r="F1687" t="s">
        <v>319</v>
      </c>
      <c r="G1687" t="s">
        <v>304</v>
      </c>
      <c r="H1687" t="s">
        <v>54</v>
      </c>
      <c r="I1687" t="s">
        <v>68</v>
      </c>
      <c r="J1687" t="s">
        <v>43</v>
      </c>
      <c r="K1687" t="s">
        <v>33</v>
      </c>
      <c r="L1687" t="s">
        <v>73</v>
      </c>
      <c r="M1687" t="s">
        <v>263</v>
      </c>
      <c r="N1687" t="s">
        <v>60</v>
      </c>
      <c r="O1687" t="s">
        <v>132</v>
      </c>
      <c r="P1687" t="s">
        <v>107</v>
      </c>
      <c r="Q1687" t="s">
        <v>3708</v>
      </c>
      <c r="R1687">
        <v>42976.337835648148</v>
      </c>
      <c r="S1687">
        <v>43423.898958333331</v>
      </c>
      <c r="T1687" t="s">
        <v>4</v>
      </c>
      <c r="U1687" t="s">
        <v>35</v>
      </c>
      <c r="V1687" t="s">
        <v>35</v>
      </c>
      <c r="W1687" t="s">
        <v>4098</v>
      </c>
    </row>
    <row r="1688" spans="1:23" x14ac:dyDescent="0.25">
      <c r="A1688" t="s">
        <v>633</v>
      </c>
      <c r="B1688" s="19">
        <v>18492</v>
      </c>
      <c r="C1688" s="2">
        <f>HYPERLINK(URLs!B36 &amp; 109744,109744)</f>
        <v>109744</v>
      </c>
      <c r="D1688" t="s">
        <v>589</v>
      </c>
      <c r="E1688" t="s">
        <v>301</v>
      </c>
      <c r="F1688" t="s">
        <v>305</v>
      </c>
      <c r="G1688" t="s">
        <v>304</v>
      </c>
      <c r="H1688" t="s">
        <v>54</v>
      </c>
      <c r="I1688" t="s">
        <v>31</v>
      </c>
      <c r="J1688" t="s">
        <v>43</v>
      </c>
      <c r="K1688" t="s">
        <v>44</v>
      </c>
      <c r="L1688" t="s">
        <v>73</v>
      </c>
      <c r="M1688" t="s">
        <v>4205</v>
      </c>
      <c r="N1688" t="s">
        <v>582</v>
      </c>
      <c r="P1688" t="s">
        <v>4171</v>
      </c>
      <c r="Q1688" t="s">
        <v>69</v>
      </c>
      <c r="R1688">
        <v>43124.733495370368</v>
      </c>
      <c r="S1688">
        <v>43405.497256944444</v>
      </c>
      <c r="T1688" t="s">
        <v>4204</v>
      </c>
      <c r="U1688" t="s">
        <v>4221</v>
      </c>
      <c r="V1688" t="s">
        <v>35</v>
      </c>
      <c r="W1688" t="s">
        <v>4171</v>
      </c>
    </row>
    <row r="1689" spans="1:23" x14ac:dyDescent="0.25">
      <c r="A1689" t="s">
        <v>633</v>
      </c>
      <c r="B1689" s="19">
        <v>18492</v>
      </c>
      <c r="C1689" s="2">
        <f>HYPERLINK(URLs!B36 &amp; 109742,109742)</f>
        <v>109742</v>
      </c>
      <c r="D1689" t="s">
        <v>4291</v>
      </c>
      <c r="E1689" t="s">
        <v>301</v>
      </c>
      <c r="F1689" t="s">
        <v>305</v>
      </c>
      <c r="G1689" t="s">
        <v>304</v>
      </c>
      <c r="H1689" t="s">
        <v>54</v>
      </c>
      <c r="I1689" t="s">
        <v>31</v>
      </c>
      <c r="J1689" t="s">
        <v>43</v>
      </c>
      <c r="K1689" t="s">
        <v>44</v>
      </c>
      <c r="L1689" t="s">
        <v>73</v>
      </c>
      <c r="M1689" t="s">
        <v>4205</v>
      </c>
      <c r="N1689" t="s">
        <v>60</v>
      </c>
      <c r="P1689" t="s">
        <v>307</v>
      </c>
      <c r="Q1689" t="s">
        <v>69</v>
      </c>
      <c r="R1689">
        <v>43124.723101851851</v>
      </c>
      <c r="S1689">
        <v>43215.183657407404</v>
      </c>
      <c r="T1689" t="s">
        <v>4204</v>
      </c>
      <c r="U1689" t="s">
        <v>4209</v>
      </c>
      <c r="V1689" t="s">
        <v>35</v>
      </c>
      <c r="W1689" t="s">
        <v>307</v>
      </c>
    </row>
    <row r="1690" spans="1:23" x14ac:dyDescent="0.25">
      <c r="A1690" t="s">
        <v>633</v>
      </c>
      <c r="B1690" s="19">
        <v>18492</v>
      </c>
      <c r="C1690" s="2">
        <f>HYPERLINK(URLs!B36 &amp; 106298,106298)</f>
        <v>106298</v>
      </c>
      <c r="D1690" t="s">
        <v>589</v>
      </c>
      <c r="E1690" t="s">
        <v>4208</v>
      </c>
      <c r="F1690" t="s">
        <v>305</v>
      </c>
      <c r="G1690" t="s">
        <v>304</v>
      </c>
      <c r="H1690" t="s">
        <v>116</v>
      </c>
      <c r="I1690" t="s">
        <v>31</v>
      </c>
      <c r="J1690" t="s">
        <v>43</v>
      </c>
      <c r="K1690" t="s">
        <v>44</v>
      </c>
      <c r="L1690" t="s">
        <v>45</v>
      </c>
      <c r="M1690" t="s">
        <v>4220</v>
      </c>
      <c r="N1690" t="s">
        <v>510</v>
      </c>
      <c r="P1690" t="s">
        <v>69</v>
      </c>
      <c r="Q1690" t="s">
        <v>69</v>
      </c>
      <c r="R1690">
        <v>43028.803506944445</v>
      </c>
      <c r="S1690">
        <v>43405.514189814814</v>
      </c>
      <c r="T1690" t="s">
        <v>288</v>
      </c>
      <c r="U1690" t="s">
        <v>4221</v>
      </c>
      <c r="V1690" t="s">
        <v>35</v>
      </c>
      <c r="W1690" t="s">
        <v>4171</v>
      </c>
    </row>
    <row r="1691" spans="1:23" x14ac:dyDescent="0.25">
      <c r="A1691" t="s">
        <v>633</v>
      </c>
      <c r="B1691" s="19">
        <v>18492</v>
      </c>
      <c r="C1691" s="2">
        <f>HYPERLINK(URLs!B36 &amp; 104334,104334)</f>
        <v>104334</v>
      </c>
      <c r="D1691" t="s">
        <v>3688</v>
      </c>
      <c r="E1691" t="s">
        <v>4208</v>
      </c>
      <c r="F1691" t="s">
        <v>305</v>
      </c>
      <c r="G1691" t="s">
        <v>304</v>
      </c>
      <c r="H1691" t="s">
        <v>54</v>
      </c>
      <c r="I1691" t="s">
        <v>31</v>
      </c>
      <c r="J1691" t="s">
        <v>43</v>
      </c>
      <c r="K1691" t="s">
        <v>44</v>
      </c>
      <c r="L1691" t="s">
        <v>45</v>
      </c>
      <c r="M1691" t="s">
        <v>260</v>
      </c>
      <c r="N1691" t="s">
        <v>157</v>
      </c>
      <c r="P1691" t="s">
        <v>69</v>
      </c>
      <c r="Q1691" t="s">
        <v>69</v>
      </c>
      <c r="R1691">
        <v>42983.561435185184</v>
      </c>
      <c r="S1691">
        <v>43215.855613425927</v>
      </c>
      <c r="T1691" t="s">
        <v>301</v>
      </c>
      <c r="U1691" t="s">
        <v>4209</v>
      </c>
      <c r="V1691" t="s">
        <v>35</v>
      </c>
      <c r="W1691" t="s">
        <v>307</v>
      </c>
    </row>
    <row r="1692" spans="1:23" x14ac:dyDescent="0.25">
      <c r="A1692" t="s">
        <v>633</v>
      </c>
      <c r="B1692" s="19">
        <v>18492</v>
      </c>
      <c r="C1692" s="2">
        <f>HYPERLINK(URLs!B36 &amp; 104333,104333)</f>
        <v>104333</v>
      </c>
      <c r="D1692" t="s">
        <v>570</v>
      </c>
      <c r="E1692" t="s">
        <v>4204</v>
      </c>
      <c r="F1692" t="s">
        <v>305</v>
      </c>
      <c r="G1692" t="s">
        <v>337</v>
      </c>
      <c r="H1692" t="s">
        <v>54</v>
      </c>
      <c r="I1692" t="s">
        <v>31</v>
      </c>
      <c r="J1692" t="s">
        <v>43</v>
      </c>
      <c r="K1692" t="s">
        <v>44</v>
      </c>
      <c r="L1692" t="s">
        <v>73</v>
      </c>
      <c r="M1692" t="s">
        <v>4205</v>
      </c>
      <c r="N1692" t="s">
        <v>60</v>
      </c>
      <c r="P1692" t="s">
        <v>69</v>
      </c>
      <c r="Q1692" t="s">
        <v>3708</v>
      </c>
      <c r="R1692">
        <v>42983.560416666667</v>
      </c>
      <c r="S1692">
        <v>43423.872442129628</v>
      </c>
      <c r="T1692" t="s">
        <v>301</v>
      </c>
      <c r="U1692" t="s">
        <v>35</v>
      </c>
      <c r="V1692" t="s">
        <v>35</v>
      </c>
      <c r="W1692" t="s">
        <v>4158</v>
      </c>
    </row>
    <row r="1693" spans="1:23" x14ac:dyDescent="0.25">
      <c r="A1693" t="s">
        <v>633</v>
      </c>
      <c r="B1693" s="19">
        <v>18492</v>
      </c>
      <c r="C1693" s="2">
        <f>HYPERLINK(URLs!B36 &amp; 104097,104097)</f>
        <v>104097</v>
      </c>
      <c r="D1693" t="s">
        <v>181</v>
      </c>
      <c r="E1693" t="s">
        <v>4204</v>
      </c>
      <c r="F1693" t="s">
        <v>319</v>
      </c>
      <c r="G1693" t="s">
        <v>304</v>
      </c>
      <c r="H1693" t="s">
        <v>54</v>
      </c>
      <c r="I1693" t="s">
        <v>31</v>
      </c>
      <c r="J1693" t="s">
        <v>43</v>
      </c>
      <c r="K1693" t="s">
        <v>44</v>
      </c>
      <c r="L1693" t="s">
        <v>73</v>
      </c>
      <c r="M1693" t="s">
        <v>4205</v>
      </c>
      <c r="N1693" t="s">
        <v>60</v>
      </c>
      <c r="P1693" t="s">
        <v>69</v>
      </c>
      <c r="Q1693" t="s">
        <v>3708</v>
      </c>
      <c r="R1693">
        <v>42976.893518518518</v>
      </c>
      <c r="S1693">
        <v>43423.927407407406</v>
      </c>
      <c r="T1693" t="s">
        <v>1</v>
      </c>
      <c r="U1693" t="s">
        <v>35</v>
      </c>
      <c r="V1693" t="s">
        <v>35</v>
      </c>
      <c r="W1693" t="s">
        <v>4098</v>
      </c>
    </row>
    <row r="1694" spans="1:23" x14ac:dyDescent="0.25">
      <c r="A1694" t="s">
        <v>633</v>
      </c>
      <c r="B1694" s="19">
        <v>18502</v>
      </c>
      <c r="C1694" s="2">
        <f>HYPERLINK(URLs!B36 &amp; 104136,104136)</f>
        <v>104136</v>
      </c>
      <c r="D1694" t="s">
        <v>3684</v>
      </c>
      <c r="E1694" t="s">
        <v>134</v>
      </c>
      <c r="F1694" t="s">
        <v>319</v>
      </c>
      <c r="G1694" t="s">
        <v>304</v>
      </c>
      <c r="H1694" t="s">
        <v>56</v>
      </c>
      <c r="I1694" t="s">
        <v>57</v>
      </c>
      <c r="J1694" t="s">
        <v>58</v>
      </c>
      <c r="K1694" t="s">
        <v>33</v>
      </c>
      <c r="L1694" t="s">
        <v>106</v>
      </c>
      <c r="M1694" t="s">
        <v>270</v>
      </c>
      <c r="N1694" t="s">
        <v>46</v>
      </c>
      <c r="P1694" t="s">
        <v>107</v>
      </c>
      <c r="Q1694" t="s">
        <v>528</v>
      </c>
      <c r="R1694">
        <v>42977.767268518517</v>
      </c>
      <c r="S1694">
        <v>43042.616828703707</v>
      </c>
      <c r="T1694" t="s">
        <v>2</v>
      </c>
      <c r="U1694" t="s">
        <v>35</v>
      </c>
      <c r="V1694" t="s">
        <v>35</v>
      </c>
      <c r="W1694" t="s">
        <v>69</v>
      </c>
    </row>
    <row r="1695" spans="1:23" x14ac:dyDescent="0.25">
      <c r="A1695" t="s">
        <v>665</v>
      </c>
      <c r="B1695" s="19">
        <v>18516</v>
      </c>
      <c r="C1695" s="2">
        <f>HYPERLINK(URLs!B36 &amp; 104469,104469)</f>
        <v>104469</v>
      </c>
      <c r="D1695" t="s">
        <v>3696</v>
      </c>
      <c r="E1695" t="s">
        <v>183</v>
      </c>
      <c r="F1695" t="s">
        <v>305</v>
      </c>
      <c r="G1695" t="s">
        <v>304</v>
      </c>
      <c r="H1695" t="s">
        <v>54</v>
      </c>
      <c r="I1695" t="s">
        <v>31</v>
      </c>
      <c r="J1695" t="s">
        <v>32</v>
      </c>
      <c r="K1695" t="s">
        <v>33</v>
      </c>
      <c r="L1695" t="s">
        <v>96</v>
      </c>
      <c r="M1695" t="s">
        <v>275</v>
      </c>
      <c r="N1695" t="s">
        <v>60</v>
      </c>
      <c r="P1695" t="s">
        <v>133</v>
      </c>
      <c r="Q1695" t="s">
        <v>133</v>
      </c>
      <c r="R1695">
        <v>42986.603032407409</v>
      </c>
      <c r="S1695">
        <v>43231.657997685186</v>
      </c>
      <c r="T1695" t="s">
        <v>301</v>
      </c>
      <c r="U1695" t="s">
        <v>4017</v>
      </c>
      <c r="V1695" t="s">
        <v>321</v>
      </c>
      <c r="W1695" t="s">
        <v>307</v>
      </c>
    </row>
    <row r="1696" spans="1:23" x14ac:dyDescent="0.25">
      <c r="A1696" t="s">
        <v>665</v>
      </c>
      <c r="B1696" s="19">
        <v>18516</v>
      </c>
      <c r="C1696" s="2">
        <f>HYPERLINK(URLs!B36 &amp; 104468,104468)</f>
        <v>104468</v>
      </c>
      <c r="D1696" t="s">
        <v>3694</v>
      </c>
      <c r="E1696" t="s">
        <v>134</v>
      </c>
      <c r="F1696" t="s">
        <v>319</v>
      </c>
      <c r="G1696" t="s">
        <v>304</v>
      </c>
      <c r="H1696" t="s">
        <v>54</v>
      </c>
      <c r="I1696" t="s">
        <v>31</v>
      </c>
      <c r="J1696" t="s">
        <v>32</v>
      </c>
      <c r="K1696" t="s">
        <v>33</v>
      </c>
      <c r="L1696" t="s">
        <v>96</v>
      </c>
      <c r="M1696" t="s">
        <v>275</v>
      </c>
      <c r="N1696" t="s">
        <v>60</v>
      </c>
      <c r="P1696" t="s">
        <v>133</v>
      </c>
      <c r="Q1696" t="s">
        <v>3695</v>
      </c>
      <c r="R1696">
        <v>42986.602268518516</v>
      </c>
      <c r="S1696">
        <v>43215.921909722223</v>
      </c>
      <c r="T1696" t="s">
        <v>301</v>
      </c>
      <c r="U1696" t="s">
        <v>4026</v>
      </c>
      <c r="V1696" t="s">
        <v>321</v>
      </c>
      <c r="W1696" t="s">
        <v>4172</v>
      </c>
    </row>
    <row r="1697" spans="1:23" x14ac:dyDescent="0.25">
      <c r="A1697" t="s">
        <v>665</v>
      </c>
      <c r="B1697" s="19">
        <v>18516</v>
      </c>
      <c r="C1697" s="2">
        <f>HYPERLINK(URLs!B36 &amp; 104225,104225)</f>
        <v>104225</v>
      </c>
      <c r="D1697" t="s">
        <v>182</v>
      </c>
      <c r="E1697" t="s">
        <v>183</v>
      </c>
      <c r="F1697" t="s">
        <v>305</v>
      </c>
      <c r="G1697" t="s">
        <v>304</v>
      </c>
      <c r="H1697" t="s">
        <v>54</v>
      </c>
      <c r="I1697" t="s">
        <v>31</v>
      </c>
      <c r="J1697" t="s">
        <v>32</v>
      </c>
      <c r="K1697" t="s">
        <v>33</v>
      </c>
      <c r="L1697" t="s">
        <v>96</v>
      </c>
      <c r="M1697" t="s">
        <v>275</v>
      </c>
      <c r="N1697" t="s">
        <v>60</v>
      </c>
      <c r="P1697" t="s">
        <v>133</v>
      </c>
      <c r="R1697">
        <v>42979.541909722226</v>
      </c>
      <c r="S1697">
        <v>43293.768611111111</v>
      </c>
      <c r="T1697" t="s">
        <v>5</v>
      </c>
      <c r="U1697" t="s">
        <v>35</v>
      </c>
      <c r="V1697" t="s">
        <v>35</v>
      </c>
      <c r="W1697" t="s">
        <v>4098</v>
      </c>
    </row>
    <row r="1698" spans="1:23" x14ac:dyDescent="0.25">
      <c r="B1698" s="19">
        <v>18520</v>
      </c>
      <c r="C1698" s="2">
        <f>HYPERLINK(URLs!B36 &amp; 104601,104601)</f>
        <v>104601</v>
      </c>
      <c r="D1698" t="s">
        <v>3700</v>
      </c>
      <c r="E1698" t="s">
        <v>112</v>
      </c>
      <c r="F1698" t="s">
        <v>319</v>
      </c>
      <c r="G1698" t="s">
        <v>304</v>
      </c>
      <c r="H1698" t="s">
        <v>54</v>
      </c>
      <c r="I1698" t="s">
        <v>31</v>
      </c>
      <c r="J1698" t="s">
        <v>43</v>
      </c>
      <c r="K1698" t="s">
        <v>44</v>
      </c>
      <c r="L1698" t="s">
        <v>73</v>
      </c>
      <c r="M1698" t="s">
        <v>263</v>
      </c>
      <c r="N1698" t="s">
        <v>3513</v>
      </c>
      <c r="P1698" t="s">
        <v>107</v>
      </c>
      <c r="Q1698" t="s">
        <v>107</v>
      </c>
      <c r="R1698">
        <v>42990.73940972222</v>
      </c>
      <c r="S1698">
        <v>43405.942280092589</v>
      </c>
      <c r="T1698" t="s">
        <v>70</v>
      </c>
      <c r="U1698" t="s">
        <v>4003</v>
      </c>
      <c r="V1698" t="s">
        <v>35</v>
      </c>
      <c r="W1698" t="s">
        <v>4171</v>
      </c>
    </row>
    <row r="1699" spans="1:23" x14ac:dyDescent="0.25">
      <c r="B1699" s="19">
        <v>18520</v>
      </c>
      <c r="C1699" s="2">
        <f>HYPERLINK(URLs!B36 &amp; 104544,104544)</f>
        <v>104544</v>
      </c>
      <c r="D1699" t="s">
        <v>3697</v>
      </c>
      <c r="E1699" t="s">
        <v>112</v>
      </c>
      <c r="F1699" t="s">
        <v>305</v>
      </c>
      <c r="G1699" t="s">
        <v>304</v>
      </c>
      <c r="H1699" t="s">
        <v>54</v>
      </c>
      <c r="I1699" t="s">
        <v>31</v>
      </c>
      <c r="J1699" t="s">
        <v>43</v>
      </c>
      <c r="K1699" t="s">
        <v>44</v>
      </c>
      <c r="L1699" t="s">
        <v>73</v>
      </c>
      <c r="M1699" t="s">
        <v>263</v>
      </c>
      <c r="N1699" t="s">
        <v>579</v>
      </c>
      <c r="P1699" t="s">
        <v>107</v>
      </c>
      <c r="Q1699" t="s">
        <v>3698</v>
      </c>
      <c r="R1699">
        <v>42989.557291666664</v>
      </c>
      <c r="S1699">
        <v>43039.808645833335</v>
      </c>
      <c r="T1699" t="s">
        <v>53</v>
      </c>
      <c r="U1699" t="s">
        <v>4027</v>
      </c>
      <c r="V1699" t="s">
        <v>35</v>
      </c>
      <c r="W1699" t="s">
        <v>4172</v>
      </c>
    </row>
    <row r="1700" spans="1:23" x14ac:dyDescent="0.25">
      <c r="B1700" s="19">
        <v>18520</v>
      </c>
      <c r="C1700" s="2">
        <f>HYPERLINK(URLs!B36 &amp; 104242,104242)</f>
        <v>104242</v>
      </c>
      <c r="D1700" t="s">
        <v>3686</v>
      </c>
      <c r="E1700" t="s">
        <v>3687</v>
      </c>
      <c r="F1700" t="s">
        <v>305</v>
      </c>
      <c r="G1700" t="s">
        <v>353</v>
      </c>
      <c r="H1700" t="s">
        <v>56</v>
      </c>
      <c r="I1700" t="s">
        <v>31</v>
      </c>
      <c r="J1700" t="s">
        <v>32</v>
      </c>
      <c r="K1700" t="s">
        <v>33</v>
      </c>
      <c r="L1700" t="s">
        <v>73</v>
      </c>
      <c r="M1700" t="s">
        <v>263</v>
      </c>
      <c r="N1700" t="s">
        <v>46</v>
      </c>
      <c r="P1700" t="s">
        <v>69</v>
      </c>
      <c r="Q1700" t="s">
        <v>69</v>
      </c>
      <c r="R1700">
        <v>42979.6565162037</v>
      </c>
      <c r="S1700">
        <v>43079.149618055555</v>
      </c>
      <c r="T1700" t="s">
        <v>1</v>
      </c>
      <c r="U1700" t="s">
        <v>35</v>
      </c>
      <c r="V1700" t="s">
        <v>35</v>
      </c>
      <c r="W1700" t="s">
        <v>307</v>
      </c>
    </row>
    <row r="1701" spans="1:23" x14ac:dyDescent="0.25">
      <c r="B1701" s="19">
        <v>18520</v>
      </c>
      <c r="C1701" s="2">
        <f>HYPERLINK(URLs!B36 &amp; 97636,97636)</f>
        <v>97636</v>
      </c>
      <c r="D1701" t="s">
        <v>3475</v>
      </c>
      <c r="E1701" t="s">
        <v>112</v>
      </c>
      <c r="F1701" t="s">
        <v>305</v>
      </c>
      <c r="G1701" t="s">
        <v>304</v>
      </c>
      <c r="H1701" t="s">
        <v>54</v>
      </c>
      <c r="I1701" t="s">
        <v>31</v>
      </c>
      <c r="J1701" t="s">
        <v>43</v>
      </c>
      <c r="K1701" t="s">
        <v>44</v>
      </c>
      <c r="L1701" t="s">
        <v>73</v>
      </c>
      <c r="M1701" t="s">
        <v>263</v>
      </c>
      <c r="N1701" t="s">
        <v>579</v>
      </c>
      <c r="P1701" t="s">
        <v>107</v>
      </c>
      <c r="Q1701" t="s">
        <v>107</v>
      </c>
      <c r="R1701">
        <v>42823.811956018515</v>
      </c>
      <c r="S1701">
        <v>43214.207337962966</v>
      </c>
      <c r="T1701" t="s">
        <v>301</v>
      </c>
      <c r="U1701" t="s">
        <v>4008</v>
      </c>
      <c r="V1701" t="s">
        <v>35</v>
      </c>
      <c r="W1701" t="s">
        <v>307</v>
      </c>
    </row>
    <row r="1702" spans="1:23" x14ac:dyDescent="0.25">
      <c r="B1702" s="19">
        <v>18520</v>
      </c>
      <c r="C1702" s="2">
        <f>HYPERLINK(URLs!B36 &amp; 94974,94974)</f>
        <v>94974</v>
      </c>
      <c r="D1702" t="s">
        <v>531</v>
      </c>
      <c r="E1702" t="s">
        <v>387</v>
      </c>
      <c r="F1702" t="s">
        <v>305</v>
      </c>
      <c r="G1702" t="s">
        <v>337</v>
      </c>
      <c r="H1702" t="s">
        <v>54</v>
      </c>
      <c r="I1702" t="s">
        <v>31</v>
      </c>
      <c r="J1702" t="s">
        <v>43</v>
      </c>
      <c r="K1702" t="s">
        <v>44</v>
      </c>
      <c r="L1702" t="s">
        <v>73</v>
      </c>
      <c r="M1702" t="s">
        <v>263</v>
      </c>
      <c r="N1702" t="s">
        <v>60</v>
      </c>
      <c r="P1702" t="s">
        <v>107</v>
      </c>
      <c r="Q1702" t="s">
        <v>3708</v>
      </c>
      <c r="R1702">
        <v>42759.783310185187</v>
      </c>
      <c r="S1702">
        <v>43423.863622685189</v>
      </c>
      <c r="T1702" t="s">
        <v>317</v>
      </c>
      <c r="U1702" t="s">
        <v>35</v>
      </c>
      <c r="V1702" t="s">
        <v>35</v>
      </c>
      <c r="W1702" t="s">
        <v>4156</v>
      </c>
    </row>
    <row r="1703" spans="1:23" x14ac:dyDescent="0.25">
      <c r="B1703" s="19">
        <v>18520</v>
      </c>
      <c r="C1703" s="2">
        <f>HYPERLINK(URLs!B36 &amp; 94973,94973)</f>
        <v>94973</v>
      </c>
      <c r="D1703" t="s">
        <v>3417</v>
      </c>
      <c r="E1703" t="s">
        <v>72</v>
      </c>
      <c r="F1703" t="s">
        <v>305</v>
      </c>
      <c r="G1703" t="s">
        <v>337</v>
      </c>
      <c r="H1703" t="s">
        <v>54</v>
      </c>
      <c r="I1703" t="s">
        <v>68</v>
      </c>
      <c r="J1703" t="s">
        <v>43</v>
      </c>
      <c r="K1703" t="s">
        <v>33</v>
      </c>
      <c r="L1703" t="s">
        <v>73</v>
      </c>
      <c r="M1703" t="s">
        <v>263</v>
      </c>
      <c r="N1703" t="s">
        <v>60</v>
      </c>
      <c r="P1703" t="s">
        <v>107</v>
      </c>
      <c r="Q1703" t="s">
        <v>65</v>
      </c>
      <c r="R1703">
        <v>42759.782094907408</v>
      </c>
      <c r="S1703">
        <v>42983.354548611111</v>
      </c>
      <c r="T1703" t="s">
        <v>317</v>
      </c>
      <c r="U1703" t="s">
        <v>35</v>
      </c>
      <c r="V1703" t="s">
        <v>35</v>
      </c>
      <c r="W1703" t="s">
        <v>69</v>
      </c>
    </row>
    <row r="1704" spans="1:23" x14ac:dyDescent="0.25">
      <c r="B1704" s="19">
        <v>18520</v>
      </c>
      <c r="C1704" s="2">
        <f>HYPERLINK(URLs!B36 &amp; 94968,94968)</f>
        <v>94968</v>
      </c>
      <c r="D1704" t="s">
        <v>111</v>
      </c>
      <c r="E1704" t="s">
        <v>112</v>
      </c>
      <c r="F1704" t="s">
        <v>319</v>
      </c>
      <c r="G1704" t="s">
        <v>304</v>
      </c>
      <c r="H1704" t="s">
        <v>54</v>
      </c>
      <c r="I1704" t="s">
        <v>31</v>
      </c>
      <c r="J1704" t="s">
        <v>43</v>
      </c>
      <c r="K1704" t="s">
        <v>44</v>
      </c>
      <c r="L1704" t="s">
        <v>73</v>
      </c>
      <c r="M1704" t="s">
        <v>263</v>
      </c>
      <c r="N1704" t="s">
        <v>60</v>
      </c>
      <c r="P1704" t="s">
        <v>107</v>
      </c>
      <c r="Q1704" t="s">
        <v>3708</v>
      </c>
      <c r="R1704">
        <v>42759.680289351854</v>
      </c>
      <c r="S1704">
        <v>43423.896527777775</v>
      </c>
      <c r="T1704" t="s">
        <v>1</v>
      </c>
      <c r="U1704" t="s">
        <v>4003</v>
      </c>
      <c r="V1704" t="s">
        <v>35</v>
      </c>
      <c r="W1704" t="s">
        <v>4098</v>
      </c>
    </row>
    <row r="1705" spans="1:23" x14ac:dyDescent="0.25">
      <c r="A1705" t="s">
        <v>641</v>
      </c>
      <c r="B1705" s="19">
        <v>18581</v>
      </c>
      <c r="C1705" s="2">
        <f>HYPERLINK(URLs!B36 &amp; 104606,104606)</f>
        <v>104606</v>
      </c>
      <c r="D1705" t="s">
        <v>184</v>
      </c>
      <c r="E1705" t="s">
        <v>4208</v>
      </c>
      <c r="F1705" t="s">
        <v>305</v>
      </c>
      <c r="G1705" t="s">
        <v>304</v>
      </c>
      <c r="H1705" t="s">
        <v>54</v>
      </c>
      <c r="I1705" t="s">
        <v>68</v>
      </c>
      <c r="J1705" t="s">
        <v>58</v>
      </c>
      <c r="K1705" t="s">
        <v>51</v>
      </c>
      <c r="L1705" t="s">
        <v>45</v>
      </c>
      <c r="M1705" t="s">
        <v>282</v>
      </c>
      <c r="N1705" t="s">
        <v>60</v>
      </c>
      <c r="O1705" t="s">
        <v>492</v>
      </c>
      <c r="P1705" t="s">
        <v>69</v>
      </c>
      <c r="Q1705" t="s">
        <v>2305</v>
      </c>
      <c r="R1705">
        <v>42990.900243055556</v>
      </c>
      <c r="S1705">
        <v>43406.237233796295</v>
      </c>
      <c r="T1705" t="s">
        <v>1</v>
      </c>
      <c r="U1705" t="s">
        <v>35</v>
      </c>
      <c r="V1705" t="s">
        <v>35</v>
      </c>
      <c r="W1705" t="s">
        <v>4171</v>
      </c>
    </row>
    <row r="1706" spans="1:23" x14ac:dyDescent="0.25">
      <c r="A1706" t="s">
        <v>641</v>
      </c>
      <c r="B1706" s="19">
        <v>18603</v>
      </c>
      <c r="C1706" s="2">
        <f>HYPERLINK(URLs!B36 &amp; 105118,105118)</f>
        <v>105118</v>
      </c>
      <c r="D1706" t="s">
        <v>3715</v>
      </c>
      <c r="E1706" t="s">
        <v>405</v>
      </c>
      <c r="F1706" t="s">
        <v>305</v>
      </c>
      <c r="G1706" t="s">
        <v>304</v>
      </c>
      <c r="H1706" t="s">
        <v>54</v>
      </c>
      <c r="I1706" t="s">
        <v>68</v>
      </c>
      <c r="J1706" t="s">
        <v>58</v>
      </c>
      <c r="K1706" t="s">
        <v>51</v>
      </c>
      <c r="L1706" t="s">
        <v>34</v>
      </c>
      <c r="M1706" t="s">
        <v>3704</v>
      </c>
      <c r="N1706" t="s">
        <v>46</v>
      </c>
      <c r="P1706" t="s">
        <v>69</v>
      </c>
      <c r="Q1706" t="s">
        <v>3706</v>
      </c>
      <c r="R1706">
        <v>43001.944189814814</v>
      </c>
      <c r="S1706">
        <v>43024.744143518517</v>
      </c>
      <c r="T1706" t="s">
        <v>53</v>
      </c>
      <c r="U1706" t="s">
        <v>35</v>
      </c>
      <c r="V1706" t="s">
        <v>35</v>
      </c>
      <c r="W1706" t="s">
        <v>4177</v>
      </c>
    </row>
    <row r="1707" spans="1:23" x14ac:dyDescent="0.25">
      <c r="A1707" t="s">
        <v>641</v>
      </c>
      <c r="B1707" s="19">
        <v>18603</v>
      </c>
      <c r="C1707" s="2">
        <f>HYPERLINK(URLs!B36 &amp; 105117,105117)</f>
        <v>105117</v>
      </c>
      <c r="D1707" t="s">
        <v>3713</v>
      </c>
      <c r="E1707" t="s">
        <v>3703</v>
      </c>
      <c r="F1707" t="s">
        <v>305</v>
      </c>
      <c r="G1707" t="s">
        <v>304</v>
      </c>
      <c r="H1707" t="s">
        <v>54</v>
      </c>
      <c r="I1707" t="s">
        <v>68</v>
      </c>
      <c r="J1707" t="s">
        <v>58</v>
      </c>
      <c r="K1707" t="s">
        <v>51</v>
      </c>
      <c r="L1707" t="s">
        <v>34</v>
      </c>
      <c r="M1707" t="s">
        <v>3704</v>
      </c>
      <c r="N1707" t="s">
        <v>46</v>
      </c>
      <c r="O1707" t="s">
        <v>3714</v>
      </c>
      <c r="P1707" t="s">
        <v>69</v>
      </c>
      <c r="Q1707" t="s">
        <v>3706</v>
      </c>
      <c r="R1707">
        <v>43001.944201388891</v>
      </c>
      <c r="S1707">
        <v>43385.57613425926</v>
      </c>
      <c r="T1707" t="s">
        <v>53</v>
      </c>
      <c r="U1707" t="s">
        <v>35</v>
      </c>
      <c r="V1707" t="s">
        <v>35</v>
      </c>
      <c r="W1707" t="s">
        <v>4098</v>
      </c>
    </row>
    <row r="1708" spans="1:23" x14ac:dyDescent="0.25">
      <c r="A1708" t="s">
        <v>641</v>
      </c>
      <c r="B1708" s="19">
        <v>18603</v>
      </c>
      <c r="C1708" s="2">
        <f>HYPERLINK(URLs!B36 &amp; 104857,104857)</f>
        <v>104857</v>
      </c>
      <c r="D1708" t="s">
        <v>3707</v>
      </c>
      <c r="E1708" t="s">
        <v>167</v>
      </c>
      <c r="F1708" t="s">
        <v>305</v>
      </c>
      <c r="G1708" t="s">
        <v>310</v>
      </c>
      <c r="H1708" t="s">
        <v>54</v>
      </c>
      <c r="I1708" t="s">
        <v>68</v>
      </c>
      <c r="J1708" t="s">
        <v>58</v>
      </c>
      <c r="K1708" t="s">
        <v>51</v>
      </c>
      <c r="L1708" t="s">
        <v>34</v>
      </c>
      <c r="M1708" t="s">
        <v>3304</v>
      </c>
      <c r="N1708" t="s">
        <v>46</v>
      </c>
      <c r="O1708" t="s">
        <v>3705</v>
      </c>
      <c r="P1708" t="s">
        <v>69</v>
      </c>
      <c r="Q1708" t="s">
        <v>3708</v>
      </c>
      <c r="R1708">
        <v>42996.86314814815</v>
      </c>
      <c r="S1708">
        <v>43001.944212962961</v>
      </c>
      <c r="T1708" t="s">
        <v>301</v>
      </c>
      <c r="U1708" t="s">
        <v>35</v>
      </c>
      <c r="V1708" t="s">
        <v>35</v>
      </c>
      <c r="W1708" t="s">
        <v>4143</v>
      </c>
    </row>
    <row r="1709" spans="1:23" x14ac:dyDescent="0.25">
      <c r="A1709" t="s">
        <v>641</v>
      </c>
      <c r="B1709" s="19">
        <v>18603</v>
      </c>
      <c r="C1709" s="2">
        <f>HYPERLINK(URLs!B36 &amp; 104603,104603)</f>
        <v>104603</v>
      </c>
      <c r="D1709" t="s">
        <v>3702</v>
      </c>
      <c r="E1709" t="s">
        <v>3703</v>
      </c>
      <c r="F1709" t="s">
        <v>305</v>
      </c>
      <c r="G1709" t="s">
        <v>337</v>
      </c>
      <c r="H1709" t="s">
        <v>54</v>
      </c>
      <c r="I1709" t="s">
        <v>68</v>
      </c>
      <c r="J1709" t="s">
        <v>58</v>
      </c>
      <c r="K1709" t="s">
        <v>51</v>
      </c>
      <c r="L1709" t="s">
        <v>34</v>
      </c>
      <c r="M1709" t="s">
        <v>3704</v>
      </c>
      <c r="N1709" t="s">
        <v>46</v>
      </c>
      <c r="O1709" t="s">
        <v>3705</v>
      </c>
      <c r="P1709" t="s">
        <v>69</v>
      </c>
      <c r="Q1709" t="s">
        <v>3706</v>
      </c>
      <c r="R1709">
        <v>42990.827523148146</v>
      </c>
      <c r="S1709">
        <v>43169.014814814815</v>
      </c>
      <c r="T1709" t="s">
        <v>560</v>
      </c>
      <c r="U1709" t="s">
        <v>35</v>
      </c>
      <c r="V1709" t="s">
        <v>35</v>
      </c>
      <c r="W1709" t="s">
        <v>4175</v>
      </c>
    </row>
    <row r="1710" spans="1:23" x14ac:dyDescent="0.25">
      <c r="A1710" t="s">
        <v>633</v>
      </c>
      <c r="B1710" s="19">
        <v>18636</v>
      </c>
      <c r="C1710" s="2">
        <f>HYPERLINK(URLs!B36 &amp; 104898,104898)</f>
        <v>104898</v>
      </c>
      <c r="D1710" t="s">
        <v>3710</v>
      </c>
      <c r="E1710" t="s">
        <v>112</v>
      </c>
      <c r="F1710" t="s">
        <v>319</v>
      </c>
      <c r="G1710" t="s">
        <v>304</v>
      </c>
      <c r="H1710" t="s">
        <v>54</v>
      </c>
      <c r="I1710" t="s">
        <v>31</v>
      </c>
      <c r="J1710" t="s">
        <v>43</v>
      </c>
      <c r="K1710" t="s">
        <v>51</v>
      </c>
      <c r="L1710" t="s">
        <v>73</v>
      </c>
      <c r="M1710" t="s">
        <v>263</v>
      </c>
      <c r="N1710" t="s">
        <v>3711</v>
      </c>
      <c r="P1710" t="s">
        <v>107</v>
      </c>
      <c r="Q1710" t="s">
        <v>107</v>
      </c>
      <c r="R1710">
        <v>42997.576666666668</v>
      </c>
      <c r="S1710">
        <v>43228.692013888889</v>
      </c>
      <c r="T1710" t="s">
        <v>301</v>
      </c>
      <c r="U1710" t="s">
        <v>4029</v>
      </c>
      <c r="V1710" t="s">
        <v>35</v>
      </c>
      <c r="W1710" t="s">
        <v>4171</v>
      </c>
    </row>
    <row r="1711" spans="1:23" x14ac:dyDescent="0.25">
      <c r="A1711" t="s">
        <v>633</v>
      </c>
      <c r="B1711" s="19">
        <v>18636</v>
      </c>
      <c r="C1711" s="2">
        <f>HYPERLINK(URLs!B36 &amp; 104897,104897)</f>
        <v>104897</v>
      </c>
      <c r="D1711" t="s">
        <v>3709</v>
      </c>
      <c r="E1711" t="s">
        <v>112</v>
      </c>
      <c r="F1711" t="s">
        <v>305</v>
      </c>
      <c r="G1711" t="s">
        <v>304</v>
      </c>
      <c r="H1711" t="s">
        <v>54</v>
      </c>
      <c r="I1711" t="s">
        <v>31</v>
      </c>
      <c r="J1711" t="s">
        <v>43</v>
      </c>
      <c r="K1711" t="s">
        <v>51</v>
      </c>
      <c r="L1711" t="s">
        <v>73</v>
      </c>
      <c r="M1711" t="s">
        <v>263</v>
      </c>
      <c r="N1711" t="s">
        <v>572</v>
      </c>
      <c r="P1711" t="s">
        <v>107</v>
      </c>
      <c r="Q1711" t="s">
        <v>307</v>
      </c>
      <c r="R1711">
        <v>42997.575937499998</v>
      </c>
      <c r="S1711">
        <v>43215.937210648146</v>
      </c>
      <c r="T1711" t="s">
        <v>301</v>
      </c>
      <c r="U1711" t="s">
        <v>4028</v>
      </c>
      <c r="V1711" t="s">
        <v>35</v>
      </c>
      <c r="W1711" t="s">
        <v>307</v>
      </c>
    </row>
    <row r="1712" spans="1:23" x14ac:dyDescent="0.25">
      <c r="A1712" t="s">
        <v>633</v>
      </c>
      <c r="B1712" s="19">
        <v>18636</v>
      </c>
      <c r="C1712" s="2">
        <f>HYPERLINK(URLs!B36 &amp; 104896,104896)</f>
        <v>104896</v>
      </c>
      <c r="D1712" t="s">
        <v>571</v>
      </c>
      <c r="E1712" t="s">
        <v>112</v>
      </c>
      <c r="F1712" t="s">
        <v>319</v>
      </c>
      <c r="G1712" t="s">
        <v>304</v>
      </c>
      <c r="H1712" t="s">
        <v>54</v>
      </c>
      <c r="I1712" t="s">
        <v>31</v>
      </c>
      <c r="J1712" t="s">
        <v>43</v>
      </c>
      <c r="K1712" t="s">
        <v>51</v>
      </c>
      <c r="L1712" t="s">
        <v>73</v>
      </c>
      <c r="M1712" t="s">
        <v>263</v>
      </c>
      <c r="N1712" t="s">
        <v>572</v>
      </c>
      <c r="O1712" t="s">
        <v>573</v>
      </c>
      <c r="P1712" t="s">
        <v>107</v>
      </c>
      <c r="Q1712" t="s">
        <v>107</v>
      </c>
      <c r="R1712">
        <v>42997.574745370373</v>
      </c>
      <c r="S1712">
        <v>43215.937199074076</v>
      </c>
      <c r="T1712" t="s">
        <v>301</v>
      </c>
      <c r="U1712" t="s">
        <v>35</v>
      </c>
      <c r="V1712" t="s">
        <v>35</v>
      </c>
      <c r="W1712" t="s">
        <v>4172</v>
      </c>
    </row>
    <row r="1713" spans="1:23" x14ac:dyDescent="0.25">
      <c r="A1713" t="s">
        <v>633</v>
      </c>
      <c r="B1713" s="19">
        <v>18636</v>
      </c>
      <c r="C1713" s="2">
        <f>HYPERLINK(URLs!B36 &amp; 104803,104803)</f>
        <v>104803</v>
      </c>
      <c r="D1713" t="s">
        <v>185</v>
      </c>
      <c r="E1713" t="s">
        <v>112</v>
      </c>
      <c r="F1713" t="s">
        <v>319</v>
      </c>
      <c r="G1713" t="s">
        <v>304</v>
      </c>
      <c r="H1713" t="s">
        <v>54</v>
      </c>
      <c r="I1713" t="s">
        <v>31</v>
      </c>
      <c r="J1713" t="s">
        <v>43</v>
      </c>
      <c r="K1713" t="s">
        <v>51</v>
      </c>
      <c r="L1713" t="s">
        <v>73</v>
      </c>
      <c r="M1713" t="s">
        <v>263</v>
      </c>
      <c r="N1713" t="s">
        <v>447</v>
      </c>
      <c r="P1713" t="s">
        <v>107</v>
      </c>
      <c r="Q1713" t="s">
        <v>107</v>
      </c>
      <c r="R1713">
        <v>42993.794328703705</v>
      </c>
      <c r="S1713">
        <v>43215.937210648146</v>
      </c>
      <c r="T1713" t="s">
        <v>1</v>
      </c>
      <c r="U1713" t="s">
        <v>35</v>
      </c>
      <c r="V1713" t="s">
        <v>35</v>
      </c>
      <c r="W1713" t="s">
        <v>4098</v>
      </c>
    </row>
    <row r="1714" spans="1:23" x14ac:dyDescent="0.25">
      <c r="A1714" t="s">
        <v>665</v>
      </c>
      <c r="B1714" s="19">
        <v>18638</v>
      </c>
      <c r="C1714" s="2">
        <f>HYPERLINK(URLs!B36 &amp; 102933,102933)</f>
        <v>102933</v>
      </c>
      <c r="D1714" t="s">
        <v>3652</v>
      </c>
      <c r="E1714" t="s">
        <v>70</v>
      </c>
      <c r="F1714" t="s">
        <v>319</v>
      </c>
      <c r="G1714" t="s">
        <v>304</v>
      </c>
      <c r="H1714" t="s">
        <v>30</v>
      </c>
      <c r="I1714" t="s">
        <v>31</v>
      </c>
      <c r="J1714" t="s">
        <v>43</v>
      </c>
      <c r="K1714" t="s">
        <v>51</v>
      </c>
      <c r="L1714" t="s">
        <v>73</v>
      </c>
      <c r="M1714" t="s">
        <v>3648</v>
      </c>
      <c r="N1714" t="s">
        <v>60</v>
      </c>
      <c r="O1714" t="s">
        <v>3653</v>
      </c>
      <c r="P1714" t="s">
        <v>307</v>
      </c>
      <c r="R1714">
        <v>42942.805254629631</v>
      </c>
      <c r="S1714">
        <v>43215.872662037036</v>
      </c>
      <c r="T1714" t="s">
        <v>301</v>
      </c>
      <c r="U1714" t="s">
        <v>4024</v>
      </c>
      <c r="V1714" t="s">
        <v>35</v>
      </c>
      <c r="W1714" t="s">
        <v>4172</v>
      </c>
    </row>
    <row r="1715" spans="1:23" x14ac:dyDescent="0.25">
      <c r="A1715" t="s">
        <v>665</v>
      </c>
      <c r="B1715" s="19">
        <v>18638</v>
      </c>
      <c r="C1715" s="2">
        <f>HYPERLINK(URLs!B36 &amp; 102928,102928)</f>
        <v>102928</v>
      </c>
      <c r="D1715" t="s">
        <v>4203</v>
      </c>
      <c r="E1715" t="s">
        <v>560</v>
      </c>
      <c r="F1715" t="s">
        <v>305</v>
      </c>
      <c r="G1715" t="s">
        <v>304</v>
      </c>
      <c r="H1715" t="s">
        <v>54</v>
      </c>
      <c r="I1715" t="s">
        <v>31</v>
      </c>
      <c r="J1715" t="s">
        <v>43</v>
      </c>
      <c r="K1715" t="s">
        <v>44</v>
      </c>
      <c r="L1715" t="s">
        <v>73</v>
      </c>
      <c r="M1715" t="s">
        <v>3648</v>
      </c>
      <c r="N1715" t="s">
        <v>60</v>
      </c>
      <c r="P1715" t="s">
        <v>307</v>
      </c>
      <c r="R1715">
        <v>42942.786932870367</v>
      </c>
      <c r="S1715">
        <v>43231.080069444448</v>
      </c>
      <c r="T1715" t="s">
        <v>301</v>
      </c>
      <c r="U1715" t="s">
        <v>35</v>
      </c>
      <c r="V1715" t="s">
        <v>35</v>
      </c>
      <c r="W1715" t="s">
        <v>307</v>
      </c>
    </row>
    <row r="1716" spans="1:23" x14ac:dyDescent="0.25">
      <c r="A1716" t="s">
        <v>665</v>
      </c>
      <c r="B1716" s="19">
        <v>18638</v>
      </c>
      <c r="C1716" s="2">
        <f>HYPERLINK(URLs!B36 &amp; 102847,102847)</f>
        <v>102847</v>
      </c>
      <c r="D1716" t="s">
        <v>3647</v>
      </c>
      <c r="E1716" t="s">
        <v>560</v>
      </c>
      <c r="F1716" t="s">
        <v>319</v>
      </c>
      <c r="G1716" t="s">
        <v>304</v>
      </c>
      <c r="H1716" t="s">
        <v>54</v>
      </c>
      <c r="I1716" t="s">
        <v>31</v>
      </c>
      <c r="J1716" t="s">
        <v>43</v>
      </c>
      <c r="K1716" t="s">
        <v>44</v>
      </c>
      <c r="L1716" t="s">
        <v>73</v>
      </c>
      <c r="M1716" t="s">
        <v>3648</v>
      </c>
      <c r="N1716" t="s">
        <v>46</v>
      </c>
      <c r="P1716" t="s">
        <v>307</v>
      </c>
      <c r="R1716">
        <v>42941.646145833336</v>
      </c>
      <c r="S1716">
        <v>43215.872650462959</v>
      </c>
      <c r="T1716" t="s">
        <v>70</v>
      </c>
      <c r="U1716" t="s">
        <v>35</v>
      </c>
      <c r="V1716" t="s">
        <v>35</v>
      </c>
      <c r="W1716" t="s">
        <v>4098</v>
      </c>
    </row>
    <row r="1717" spans="1:23" x14ac:dyDescent="0.25">
      <c r="A1717" t="s">
        <v>665</v>
      </c>
      <c r="B1717" s="19">
        <v>18701</v>
      </c>
      <c r="C1717" s="2">
        <f>HYPERLINK(URLs!B36 &amp; 105579,105579)</f>
        <v>105579</v>
      </c>
      <c r="D1717" t="s">
        <v>3730</v>
      </c>
      <c r="E1717" t="s">
        <v>134</v>
      </c>
      <c r="F1717" t="s">
        <v>319</v>
      </c>
      <c r="G1717" t="s">
        <v>304</v>
      </c>
      <c r="H1717" t="s">
        <v>116</v>
      </c>
      <c r="I1717" t="s">
        <v>31</v>
      </c>
      <c r="J1717" t="s">
        <v>32</v>
      </c>
      <c r="K1717" t="s">
        <v>44</v>
      </c>
      <c r="L1717" t="s">
        <v>45</v>
      </c>
      <c r="M1717" t="s">
        <v>260</v>
      </c>
      <c r="N1717" t="s">
        <v>510</v>
      </c>
      <c r="P1717" t="s">
        <v>69</v>
      </c>
      <c r="Q1717" t="s">
        <v>69</v>
      </c>
      <c r="R1717">
        <v>43012.822766203702</v>
      </c>
      <c r="S1717">
        <v>43217.640243055554</v>
      </c>
      <c r="T1717" t="s">
        <v>301</v>
      </c>
      <c r="U1717" t="s">
        <v>4026</v>
      </c>
      <c r="V1717" t="s">
        <v>4057</v>
      </c>
      <c r="W1717" t="s">
        <v>4172</v>
      </c>
    </row>
    <row r="1718" spans="1:23" x14ac:dyDescent="0.25">
      <c r="A1718" t="s">
        <v>665</v>
      </c>
      <c r="B1718" s="19">
        <v>18701</v>
      </c>
      <c r="C1718" s="2">
        <f>HYPERLINK(URLs!B36 &amp; 105419,105419)</f>
        <v>105419</v>
      </c>
      <c r="D1718" t="s">
        <v>3727</v>
      </c>
      <c r="E1718" t="s">
        <v>62</v>
      </c>
      <c r="F1718" t="s">
        <v>319</v>
      </c>
      <c r="G1718" t="s">
        <v>304</v>
      </c>
      <c r="H1718" t="s">
        <v>116</v>
      </c>
      <c r="I1718" t="s">
        <v>31</v>
      </c>
      <c r="J1718" t="s">
        <v>32</v>
      </c>
      <c r="K1718" t="s">
        <v>44</v>
      </c>
      <c r="L1718" t="s">
        <v>45</v>
      </c>
      <c r="M1718" t="s">
        <v>260</v>
      </c>
      <c r="N1718" t="s">
        <v>510</v>
      </c>
      <c r="P1718" t="s">
        <v>69</v>
      </c>
      <c r="Q1718" t="s">
        <v>69</v>
      </c>
      <c r="R1718">
        <v>43007.794756944444</v>
      </c>
      <c r="S1718">
        <v>43217.640243055554</v>
      </c>
      <c r="T1718" t="s">
        <v>301</v>
      </c>
      <c r="U1718" t="s">
        <v>35</v>
      </c>
      <c r="V1718" t="s">
        <v>4057</v>
      </c>
      <c r="W1718" t="s">
        <v>4171</v>
      </c>
    </row>
    <row r="1719" spans="1:23" x14ac:dyDescent="0.25">
      <c r="A1719" t="s">
        <v>665</v>
      </c>
      <c r="B1719" s="19">
        <v>18701</v>
      </c>
      <c r="C1719" s="2">
        <f>HYPERLINK(URLs!B36 &amp; 105418,105418)</f>
        <v>105418</v>
      </c>
      <c r="D1719" t="s">
        <v>3726</v>
      </c>
      <c r="E1719" t="s">
        <v>577</v>
      </c>
      <c r="F1719" t="s">
        <v>305</v>
      </c>
      <c r="G1719" t="s">
        <v>304</v>
      </c>
      <c r="H1719" t="s">
        <v>116</v>
      </c>
      <c r="I1719" t="s">
        <v>31</v>
      </c>
      <c r="J1719" t="s">
        <v>32</v>
      </c>
      <c r="K1719" t="s">
        <v>44</v>
      </c>
      <c r="L1719" t="s">
        <v>45</v>
      </c>
      <c r="M1719" t="s">
        <v>260</v>
      </c>
      <c r="N1719" t="s">
        <v>510</v>
      </c>
      <c r="P1719" t="s">
        <v>69</v>
      </c>
      <c r="Q1719" t="s">
        <v>69</v>
      </c>
      <c r="R1719">
        <v>43007.793854166666</v>
      </c>
      <c r="S1719">
        <v>43231.097627314812</v>
      </c>
      <c r="T1719" t="s">
        <v>301</v>
      </c>
      <c r="U1719" t="s">
        <v>4033</v>
      </c>
      <c r="V1719" t="s">
        <v>4057</v>
      </c>
      <c r="W1719" t="s">
        <v>307</v>
      </c>
    </row>
    <row r="1720" spans="1:23" x14ac:dyDescent="0.25">
      <c r="A1720" t="s">
        <v>665</v>
      </c>
      <c r="B1720" s="19">
        <v>18701</v>
      </c>
      <c r="C1720" s="2">
        <f>HYPERLINK(URLs!B36 &amp; 105417,105417)</f>
        <v>105417</v>
      </c>
      <c r="D1720" t="s">
        <v>3725</v>
      </c>
      <c r="E1720" t="s">
        <v>62</v>
      </c>
      <c r="F1720" t="s">
        <v>319</v>
      </c>
      <c r="G1720" t="s">
        <v>304</v>
      </c>
      <c r="H1720" t="s">
        <v>116</v>
      </c>
      <c r="I1720" t="s">
        <v>31</v>
      </c>
      <c r="J1720" t="s">
        <v>32</v>
      </c>
      <c r="K1720" t="s">
        <v>44</v>
      </c>
      <c r="L1720" t="s">
        <v>45</v>
      </c>
      <c r="M1720" t="s">
        <v>260</v>
      </c>
      <c r="N1720" t="s">
        <v>60</v>
      </c>
      <c r="P1720" t="s">
        <v>69</v>
      </c>
      <c r="Q1720" t="s">
        <v>69</v>
      </c>
      <c r="R1720">
        <v>43007.792361111111</v>
      </c>
      <c r="S1720">
        <v>43217.640231481484</v>
      </c>
      <c r="T1720" t="s">
        <v>301</v>
      </c>
      <c r="U1720" t="s">
        <v>4032</v>
      </c>
      <c r="V1720" t="s">
        <v>4057</v>
      </c>
      <c r="W1720" t="s">
        <v>3698</v>
      </c>
    </row>
    <row r="1721" spans="1:23" x14ac:dyDescent="0.25">
      <c r="A1721" t="s">
        <v>665</v>
      </c>
      <c r="B1721" s="19">
        <v>18701</v>
      </c>
      <c r="C1721" s="2">
        <f>HYPERLINK(URLs!B36 &amp; 105276,105276)</f>
        <v>105276</v>
      </c>
      <c r="D1721" t="s">
        <v>186</v>
      </c>
      <c r="E1721" t="s">
        <v>80</v>
      </c>
      <c r="F1721" t="s">
        <v>42</v>
      </c>
      <c r="H1721" t="s">
        <v>56</v>
      </c>
      <c r="I1721" t="s">
        <v>31</v>
      </c>
      <c r="J1721" t="s">
        <v>32</v>
      </c>
      <c r="K1721" t="s">
        <v>51</v>
      </c>
      <c r="L1721" t="s">
        <v>45</v>
      </c>
      <c r="M1721" t="s">
        <v>260</v>
      </c>
      <c r="N1721" t="s">
        <v>46</v>
      </c>
      <c r="O1721" t="s">
        <v>487</v>
      </c>
      <c r="P1721" t="s">
        <v>69</v>
      </c>
      <c r="R1721">
        <v>43004.80574074074</v>
      </c>
      <c r="S1721">
        <v>43217.640243055554</v>
      </c>
      <c r="T1721" t="s">
        <v>1</v>
      </c>
      <c r="U1721" t="s">
        <v>35</v>
      </c>
      <c r="V1721" t="s">
        <v>4057</v>
      </c>
      <c r="W1721" t="s">
        <v>4098</v>
      </c>
    </row>
    <row r="1722" spans="1:23" x14ac:dyDescent="0.25">
      <c r="A1722" t="s">
        <v>633</v>
      </c>
      <c r="B1722" s="19">
        <v>18720</v>
      </c>
      <c r="C1722" s="2">
        <f>HYPERLINK(URLs!B36 &amp; 105392,105392)</f>
        <v>105392</v>
      </c>
      <c r="D1722" t="s">
        <v>3721</v>
      </c>
      <c r="E1722" t="s">
        <v>288</v>
      </c>
      <c r="F1722" t="s">
        <v>305</v>
      </c>
      <c r="G1722" t="s">
        <v>304</v>
      </c>
      <c r="H1722" t="s">
        <v>30</v>
      </c>
      <c r="I1722" t="s">
        <v>68</v>
      </c>
      <c r="J1722" t="s">
        <v>58</v>
      </c>
      <c r="K1722" t="s">
        <v>44</v>
      </c>
      <c r="L1722" t="s">
        <v>380</v>
      </c>
      <c r="M1722" t="s">
        <v>434</v>
      </c>
      <c r="N1722" t="s">
        <v>447</v>
      </c>
      <c r="P1722" t="s">
        <v>190</v>
      </c>
      <c r="Q1722" t="s">
        <v>3722</v>
      </c>
      <c r="R1722">
        <v>43007.258194444446</v>
      </c>
      <c r="S1722">
        <v>43206.798819444448</v>
      </c>
      <c r="T1722" t="s">
        <v>4</v>
      </c>
      <c r="U1722" t="s">
        <v>3993</v>
      </c>
      <c r="V1722" t="s">
        <v>35</v>
      </c>
      <c r="W1722" t="s">
        <v>307</v>
      </c>
    </row>
    <row r="1723" spans="1:23" x14ac:dyDescent="0.25">
      <c r="A1723" t="s">
        <v>665</v>
      </c>
      <c r="B1723" s="19">
        <v>18723</v>
      </c>
      <c r="C1723" s="2">
        <f>HYPERLINK(URLs!B36 &amp; 105580,105580)</f>
        <v>105580</v>
      </c>
      <c r="D1723" t="s">
        <v>3731</v>
      </c>
      <c r="E1723" t="s">
        <v>3144</v>
      </c>
      <c r="F1723" t="s">
        <v>319</v>
      </c>
      <c r="G1723" t="s">
        <v>304</v>
      </c>
      <c r="H1723" t="s">
        <v>116</v>
      </c>
      <c r="I1723" t="s">
        <v>31</v>
      </c>
      <c r="J1723" t="s">
        <v>43</v>
      </c>
      <c r="K1723" t="s">
        <v>44</v>
      </c>
      <c r="L1723" t="s">
        <v>45</v>
      </c>
      <c r="M1723" t="s">
        <v>106</v>
      </c>
      <c r="N1723" t="s">
        <v>510</v>
      </c>
      <c r="P1723" t="s">
        <v>69</v>
      </c>
      <c r="Q1723" t="s">
        <v>69</v>
      </c>
      <c r="R1723">
        <v>43012.832754629628</v>
      </c>
      <c r="S1723">
        <v>43333.424178240741</v>
      </c>
      <c r="T1723" t="s">
        <v>301</v>
      </c>
      <c r="U1723" t="s">
        <v>4026</v>
      </c>
      <c r="V1723" t="s">
        <v>35</v>
      </c>
      <c r="W1723" t="s">
        <v>4172</v>
      </c>
    </row>
    <row r="1724" spans="1:23" x14ac:dyDescent="0.25">
      <c r="A1724" t="s">
        <v>665</v>
      </c>
      <c r="B1724" s="19">
        <v>18723</v>
      </c>
      <c r="C1724" s="2">
        <f>HYPERLINK(URLs!B36 &amp; 105477,105477)</f>
        <v>105477</v>
      </c>
      <c r="D1724" t="s">
        <v>3729</v>
      </c>
      <c r="E1724" t="s">
        <v>577</v>
      </c>
      <c r="F1724" t="s">
        <v>305</v>
      </c>
      <c r="G1724" t="s">
        <v>304</v>
      </c>
      <c r="H1724" t="s">
        <v>116</v>
      </c>
      <c r="I1724" t="s">
        <v>31</v>
      </c>
      <c r="J1724" t="s">
        <v>43</v>
      </c>
      <c r="K1724" t="s">
        <v>44</v>
      </c>
      <c r="L1724" t="s">
        <v>45</v>
      </c>
      <c r="M1724" t="s">
        <v>106</v>
      </c>
      <c r="N1724" t="s">
        <v>510</v>
      </c>
      <c r="P1724" t="s">
        <v>69</v>
      </c>
      <c r="Q1724" t="s">
        <v>69</v>
      </c>
      <c r="R1724">
        <v>43011.291446759256</v>
      </c>
      <c r="S1724">
        <v>43231.098541666666</v>
      </c>
      <c r="T1724" t="s">
        <v>80</v>
      </c>
      <c r="U1724" t="s">
        <v>4033</v>
      </c>
      <c r="V1724" t="s">
        <v>35</v>
      </c>
      <c r="W1724" t="s">
        <v>307</v>
      </c>
    </row>
    <row r="1725" spans="1:23" x14ac:dyDescent="0.25">
      <c r="A1725" t="s">
        <v>665</v>
      </c>
      <c r="B1725" s="19">
        <v>18723</v>
      </c>
      <c r="C1725" s="2">
        <f>HYPERLINK(URLs!B36 &amp; 105472,105472)</f>
        <v>105472</v>
      </c>
      <c r="D1725" t="s">
        <v>3728</v>
      </c>
      <c r="E1725" t="s">
        <v>80</v>
      </c>
      <c r="F1725" t="s">
        <v>319</v>
      </c>
      <c r="G1725" t="s">
        <v>304</v>
      </c>
      <c r="H1725" t="s">
        <v>56</v>
      </c>
      <c r="I1725" t="s">
        <v>31</v>
      </c>
      <c r="J1725" t="s">
        <v>43</v>
      </c>
      <c r="K1725" t="s">
        <v>44</v>
      </c>
      <c r="L1725" t="s">
        <v>45</v>
      </c>
      <c r="M1725" t="s">
        <v>106</v>
      </c>
      <c r="N1725" t="s">
        <v>60</v>
      </c>
      <c r="P1725" t="s">
        <v>69</v>
      </c>
      <c r="Q1725" t="s">
        <v>69</v>
      </c>
      <c r="R1725">
        <v>43011.217824074076</v>
      </c>
      <c r="S1725">
        <v>43018.699641203704</v>
      </c>
      <c r="T1725" t="s">
        <v>80</v>
      </c>
      <c r="U1725" t="s">
        <v>35</v>
      </c>
      <c r="V1725" t="s">
        <v>35</v>
      </c>
      <c r="W1725" t="s">
        <v>3698</v>
      </c>
    </row>
    <row r="1726" spans="1:23" x14ac:dyDescent="0.25">
      <c r="A1726" t="s">
        <v>665</v>
      </c>
      <c r="B1726" s="19">
        <v>18723</v>
      </c>
      <c r="C1726" s="2">
        <f>HYPERLINK(URLs!B36 &amp; 105471,105471)</f>
        <v>105471</v>
      </c>
      <c r="D1726" t="s">
        <v>187</v>
      </c>
      <c r="E1726" t="s">
        <v>80</v>
      </c>
      <c r="F1726" t="s">
        <v>67</v>
      </c>
      <c r="H1726" t="s">
        <v>56</v>
      </c>
      <c r="I1726" t="s">
        <v>31</v>
      </c>
      <c r="J1726" t="s">
        <v>43</v>
      </c>
      <c r="K1726" t="s">
        <v>44</v>
      </c>
      <c r="L1726" t="s">
        <v>45</v>
      </c>
      <c r="M1726" t="s">
        <v>106</v>
      </c>
      <c r="N1726" t="s">
        <v>46</v>
      </c>
      <c r="O1726" t="s">
        <v>487</v>
      </c>
      <c r="P1726" t="s">
        <v>69</v>
      </c>
      <c r="R1726">
        <v>43011.217835648145</v>
      </c>
      <c r="S1726">
        <v>43059.373217592591</v>
      </c>
      <c r="T1726" t="s">
        <v>80</v>
      </c>
      <c r="U1726" t="s">
        <v>35</v>
      </c>
      <c r="V1726" t="s">
        <v>35</v>
      </c>
      <c r="W1726" t="s">
        <v>4098</v>
      </c>
    </row>
    <row r="1727" spans="1:23" x14ac:dyDescent="0.25">
      <c r="A1727" t="s">
        <v>665</v>
      </c>
      <c r="B1727" s="19">
        <v>18723</v>
      </c>
      <c r="C1727" s="2">
        <f>HYPERLINK(URLs!B36 &amp; 105408,105408)</f>
        <v>105408</v>
      </c>
      <c r="D1727" t="s">
        <v>3723</v>
      </c>
      <c r="E1727" t="s">
        <v>577</v>
      </c>
      <c r="F1727" t="s">
        <v>305</v>
      </c>
      <c r="G1727" t="s">
        <v>304</v>
      </c>
      <c r="H1727" t="s">
        <v>116</v>
      </c>
      <c r="I1727" t="s">
        <v>31</v>
      </c>
      <c r="J1727" t="s">
        <v>43</v>
      </c>
      <c r="K1727" t="s">
        <v>44</v>
      </c>
      <c r="L1727" t="s">
        <v>45</v>
      </c>
      <c r="M1727" t="s">
        <v>106</v>
      </c>
      <c r="N1727" t="s">
        <v>510</v>
      </c>
      <c r="P1727" t="s">
        <v>69</v>
      </c>
      <c r="Q1727" t="s">
        <v>69</v>
      </c>
      <c r="R1727">
        <v>43007.596747685187</v>
      </c>
      <c r="S1727">
        <v>43391.269085648149</v>
      </c>
      <c r="T1727" t="s">
        <v>1</v>
      </c>
      <c r="U1727" t="s">
        <v>35</v>
      </c>
      <c r="V1727" t="s">
        <v>35</v>
      </c>
      <c r="W1727" t="s">
        <v>4171</v>
      </c>
    </row>
    <row r="1728" spans="1:23" x14ac:dyDescent="0.25">
      <c r="A1728" t="s">
        <v>665</v>
      </c>
      <c r="B1728" s="19">
        <v>18760</v>
      </c>
      <c r="C1728" s="2">
        <f>HYPERLINK(URLs!B36 &amp; 106982,106982)</f>
        <v>106982</v>
      </c>
      <c r="D1728" t="s">
        <v>3932</v>
      </c>
      <c r="E1728" t="s">
        <v>3365</v>
      </c>
      <c r="F1728" t="s">
        <v>305</v>
      </c>
      <c r="G1728" t="s">
        <v>304</v>
      </c>
      <c r="H1728" t="s">
        <v>30</v>
      </c>
      <c r="I1728" t="s">
        <v>68</v>
      </c>
      <c r="J1728" t="s">
        <v>43</v>
      </c>
      <c r="K1728" t="s">
        <v>33</v>
      </c>
      <c r="L1728" t="s">
        <v>34</v>
      </c>
      <c r="M1728" t="s">
        <v>3780</v>
      </c>
      <c r="N1728" t="s">
        <v>46</v>
      </c>
      <c r="O1728" t="s">
        <v>4047</v>
      </c>
      <c r="P1728" t="s">
        <v>69</v>
      </c>
      <c r="Q1728" t="s">
        <v>4068</v>
      </c>
      <c r="R1728">
        <v>43045.762592592589</v>
      </c>
      <c r="S1728">
        <v>43167.887766203705</v>
      </c>
      <c r="T1728" t="s">
        <v>53</v>
      </c>
      <c r="U1728" t="s">
        <v>4037</v>
      </c>
      <c r="V1728" t="s">
        <v>35</v>
      </c>
      <c r="W1728" t="s">
        <v>4176</v>
      </c>
    </row>
    <row r="1729" spans="1:23" x14ac:dyDescent="0.25">
      <c r="A1729" t="s">
        <v>665</v>
      </c>
      <c r="B1729" s="19">
        <v>18760</v>
      </c>
      <c r="C1729" s="2">
        <f>HYPERLINK(URLs!B36 &amp; 106981,106981)</f>
        <v>106981</v>
      </c>
      <c r="D1729" t="s">
        <v>3931</v>
      </c>
      <c r="E1729" t="s">
        <v>3787</v>
      </c>
      <c r="F1729" t="s">
        <v>305</v>
      </c>
      <c r="G1729" t="s">
        <v>337</v>
      </c>
      <c r="H1729" t="s">
        <v>30</v>
      </c>
      <c r="I1729" t="s">
        <v>68</v>
      </c>
      <c r="J1729" t="s">
        <v>43</v>
      </c>
      <c r="K1729" t="s">
        <v>33</v>
      </c>
      <c r="L1729" t="s">
        <v>34</v>
      </c>
      <c r="M1729" t="s">
        <v>3780</v>
      </c>
      <c r="N1729" t="s">
        <v>46</v>
      </c>
      <c r="P1729" t="s">
        <v>69</v>
      </c>
      <c r="Q1729" t="s">
        <v>2305</v>
      </c>
      <c r="R1729">
        <v>43045.761840277781</v>
      </c>
      <c r="S1729">
        <v>43255.569351851853</v>
      </c>
      <c r="T1729" t="s">
        <v>53</v>
      </c>
      <c r="U1729" t="s">
        <v>35</v>
      </c>
      <c r="V1729" t="s">
        <v>35</v>
      </c>
      <c r="W1729" t="s">
        <v>4167</v>
      </c>
    </row>
    <row r="1730" spans="1:23" x14ac:dyDescent="0.25">
      <c r="A1730" t="s">
        <v>665</v>
      </c>
      <c r="B1730" s="19">
        <v>18760</v>
      </c>
      <c r="C1730" s="2">
        <f>HYPERLINK(URLs!B36 &amp; 106301,106301)</f>
        <v>106301</v>
      </c>
      <c r="D1730" t="s">
        <v>3928</v>
      </c>
      <c r="E1730" t="s">
        <v>3787</v>
      </c>
      <c r="F1730" t="s">
        <v>305</v>
      </c>
      <c r="G1730" t="s">
        <v>304</v>
      </c>
      <c r="H1730" t="s">
        <v>30</v>
      </c>
      <c r="I1730" t="s">
        <v>68</v>
      </c>
      <c r="J1730" t="s">
        <v>43</v>
      </c>
      <c r="K1730" t="s">
        <v>33</v>
      </c>
      <c r="L1730" t="s">
        <v>34</v>
      </c>
      <c r="M1730" t="s">
        <v>3780</v>
      </c>
      <c r="N1730" t="s">
        <v>46</v>
      </c>
      <c r="O1730" t="s">
        <v>3929</v>
      </c>
      <c r="P1730" t="s">
        <v>69</v>
      </c>
      <c r="Q1730" t="s">
        <v>2305</v>
      </c>
      <c r="R1730">
        <v>43028.845983796295</v>
      </c>
      <c r="S1730">
        <v>43255.570289351854</v>
      </c>
      <c r="T1730" t="s">
        <v>3930</v>
      </c>
      <c r="U1730" t="s">
        <v>35</v>
      </c>
      <c r="V1730" t="s">
        <v>35</v>
      </c>
      <c r="W1730" t="s">
        <v>4098</v>
      </c>
    </row>
    <row r="1731" spans="1:23" x14ac:dyDescent="0.25">
      <c r="A1731" t="s">
        <v>665</v>
      </c>
      <c r="B1731" s="19">
        <v>18760</v>
      </c>
      <c r="C1731" s="2">
        <f>HYPERLINK(URLs!B36 &amp; 105631,105631)</f>
        <v>105631</v>
      </c>
      <c r="D1731" t="s">
        <v>3926</v>
      </c>
      <c r="E1731" t="s">
        <v>3914</v>
      </c>
      <c r="F1731" t="s">
        <v>305</v>
      </c>
      <c r="G1731" t="s">
        <v>304</v>
      </c>
      <c r="H1731" t="s">
        <v>30</v>
      </c>
      <c r="I1731" t="s">
        <v>68</v>
      </c>
      <c r="J1731" t="s">
        <v>43</v>
      </c>
      <c r="K1731" t="s">
        <v>33</v>
      </c>
      <c r="L1731" t="s">
        <v>34</v>
      </c>
      <c r="M1731" t="s">
        <v>3780</v>
      </c>
      <c r="N1731" t="s">
        <v>46</v>
      </c>
      <c r="O1731" t="s">
        <v>533</v>
      </c>
      <c r="P1731" t="s">
        <v>69</v>
      </c>
      <c r="Q1731" t="s">
        <v>3927</v>
      </c>
      <c r="R1731">
        <v>43013.813449074078</v>
      </c>
      <c r="S1731">
        <v>43087.159930555557</v>
      </c>
      <c r="T1731" t="s">
        <v>2</v>
      </c>
      <c r="U1731" t="s">
        <v>35</v>
      </c>
      <c r="V1731" t="s">
        <v>35</v>
      </c>
      <c r="W1731" t="s">
        <v>4143</v>
      </c>
    </row>
    <row r="1732" spans="1:23" x14ac:dyDescent="0.25">
      <c r="A1732" t="s">
        <v>633</v>
      </c>
      <c r="B1732" s="19">
        <v>18773</v>
      </c>
      <c r="C1732" s="2">
        <f>HYPERLINK(URLs!B36 &amp; 105902,105902)</f>
        <v>105902</v>
      </c>
      <c r="D1732" t="s">
        <v>583</v>
      </c>
      <c r="E1732" t="s">
        <v>94</v>
      </c>
      <c r="F1732" t="s">
        <v>67</v>
      </c>
      <c r="H1732" t="s">
        <v>54</v>
      </c>
      <c r="I1732" t="s">
        <v>68</v>
      </c>
      <c r="J1732" t="s">
        <v>58</v>
      </c>
      <c r="K1732" t="s">
        <v>51</v>
      </c>
      <c r="L1732" t="s">
        <v>73</v>
      </c>
      <c r="M1732" t="s">
        <v>263</v>
      </c>
      <c r="N1732" t="s">
        <v>60</v>
      </c>
      <c r="P1732" t="s">
        <v>190</v>
      </c>
      <c r="R1732">
        <v>43019.698194444441</v>
      </c>
      <c r="S1732">
        <v>43350.806076388886</v>
      </c>
      <c r="T1732" t="s">
        <v>301</v>
      </c>
      <c r="U1732" t="s">
        <v>35</v>
      </c>
      <c r="V1732" t="s">
        <v>35</v>
      </c>
      <c r="W1732" t="s">
        <v>4171</v>
      </c>
    </row>
    <row r="1733" spans="1:23" x14ac:dyDescent="0.25">
      <c r="A1733" t="s">
        <v>633</v>
      </c>
      <c r="B1733" s="19">
        <v>18773</v>
      </c>
      <c r="C1733" s="2">
        <f>HYPERLINK(URLs!B36 &amp; 105901,105901)</f>
        <v>105901</v>
      </c>
      <c r="D1733" t="s">
        <v>3736</v>
      </c>
      <c r="E1733" t="s">
        <v>72</v>
      </c>
      <c r="F1733" t="s">
        <v>305</v>
      </c>
      <c r="G1733" t="s">
        <v>337</v>
      </c>
      <c r="H1733" t="s">
        <v>54</v>
      </c>
      <c r="I1733" t="s">
        <v>68</v>
      </c>
      <c r="J1733" t="s">
        <v>58</v>
      </c>
      <c r="K1733" t="s">
        <v>51</v>
      </c>
      <c r="L1733" t="s">
        <v>73</v>
      </c>
      <c r="M1733" t="s">
        <v>263</v>
      </c>
      <c r="N1733" t="s">
        <v>60</v>
      </c>
      <c r="P1733" t="s">
        <v>190</v>
      </c>
      <c r="Q1733" t="s">
        <v>159</v>
      </c>
      <c r="R1733">
        <v>43019.697546296295</v>
      </c>
      <c r="S1733">
        <v>43215.858067129629</v>
      </c>
      <c r="T1733" t="s">
        <v>301</v>
      </c>
      <c r="U1733" t="s">
        <v>35</v>
      </c>
      <c r="V1733" t="s">
        <v>35</v>
      </c>
      <c r="W1733" t="s">
        <v>307</v>
      </c>
    </row>
    <row r="1734" spans="1:23" x14ac:dyDescent="0.25">
      <c r="A1734" t="s">
        <v>633</v>
      </c>
      <c r="B1734" s="19">
        <v>18773</v>
      </c>
      <c r="C1734" s="2">
        <f>HYPERLINK(URLs!B36 &amp; 105692,105692)</f>
        <v>105692</v>
      </c>
      <c r="D1734" t="s">
        <v>188</v>
      </c>
      <c r="E1734" t="s">
        <v>94</v>
      </c>
      <c r="F1734" t="s">
        <v>42</v>
      </c>
      <c r="H1734" t="s">
        <v>54</v>
      </c>
      <c r="I1734" t="s">
        <v>68</v>
      </c>
      <c r="J1734" t="s">
        <v>58</v>
      </c>
      <c r="K1734" t="s">
        <v>51</v>
      </c>
      <c r="L1734" t="s">
        <v>73</v>
      </c>
      <c r="M1734" t="s">
        <v>263</v>
      </c>
      <c r="N1734" t="s">
        <v>60</v>
      </c>
      <c r="O1734" t="s">
        <v>189</v>
      </c>
      <c r="P1734" t="s">
        <v>190</v>
      </c>
      <c r="R1734">
        <v>43014.852986111109</v>
      </c>
      <c r="S1734">
        <v>43382.661203703705</v>
      </c>
      <c r="T1734" t="s">
        <v>2</v>
      </c>
      <c r="U1734" t="s">
        <v>35</v>
      </c>
      <c r="V1734" t="s">
        <v>35</v>
      </c>
      <c r="W1734" t="s">
        <v>4098</v>
      </c>
    </row>
    <row r="1735" spans="1:23" x14ac:dyDescent="0.25">
      <c r="A1735" t="s">
        <v>633</v>
      </c>
      <c r="B1735" s="19">
        <v>18783</v>
      </c>
      <c r="C1735" s="2">
        <f>HYPERLINK(URLs!B36 &amp; 105800,105800)</f>
        <v>105800</v>
      </c>
      <c r="D1735" t="s">
        <v>576</v>
      </c>
      <c r="E1735" t="s">
        <v>577</v>
      </c>
      <c r="F1735" t="s">
        <v>305</v>
      </c>
      <c r="G1735" t="s">
        <v>304</v>
      </c>
      <c r="H1735" t="s">
        <v>116</v>
      </c>
      <c r="I1735" t="s">
        <v>31</v>
      </c>
      <c r="J1735" t="s">
        <v>32</v>
      </c>
      <c r="K1735" t="s">
        <v>33</v>
      </c>
      <c r="L1735" t="s">
        <v>52</v>
      </c>
      <c r="M1735" t="s">
        <v>283</v>
      </c>
      <c r="N1735" t="s">
        <v>510</v>
      </c>
      <c r="P1735" t="s">
        <v>69</v>
      </c>
      <c r="Q1735" t="s">
        <v>69</v>
      </c>
      <c r="R1735">
        <v>43018.56040509259</v>
      </c>
      <c r="S1735">
        <v>43403.474432870367</v>
      </c>
      <c r="T1735" t="s">
        <v>192</v>
      </c>
      <c r="U1735" t="s">
        <v>35</v>
      </c>
      <c r="V1735" t="s">
        <v>321</v>
      </c>
      <c r="W1735" t="s">
        <v>4171</v>
      </c>
    </row>
    <row r="1736" spans="1:23" x14ac:dyDescent="0.25">
      <c r="A1736" t="s">
        <v>633</v>
      </c>
      <c r="B1736" s="19">
        <v>18783</v>
      </c>
      <c r="C1736" s="2">
        <f>HYPERLINK(URLs!B36 &amp; 105799,105799)</f>
        <v>105799</v>
      </c>
      <c r="D1736" t="s">
        <v>3735</v>
      </c>
      <c r="E1736" t="s">
        <v>577</v>
      </c>
      <c r="F1736" t="s">
        <v>305</v>
      </c>
      <c r="G1736" t="s">
        <v>304</v>
      </c>
      <c r="H1736" t="s">
        <v>116</v>
      </c>
      <c r="I1736" t="s">
        <v>31</v>
      </c>
      <c r="J1736" t="s">
        <v>32</v>
      </c>
      <c r="K1736" t="s">
        <v>33</v>
      </c>
      <c r="L1736" t="s">
        <v>52</v>
      </c>
      <c r="M1736" t="s">
        <v>283</v>
      </c>
      <c r="N1736" t="s">
        <v>3724</v>
      </c>
      <c r="P1736" t="s">
        <v>69</v>
      </c>
      <c r="Q1736" t="s">
        <v>69</v>
      </c>
      <c r="R1736">
        <v>43018.559664351851</v>
      </c>
      <c r="S1736">
        <v>43223.480405092596</v>
      </c>
      <c r="T1736" t="s">
        <v>192</v>
      </c>
      <c r="U1736" t="s">
        <v>4033</v>
      </c>
      <c r="V1736" t="s">
        <v>321</v>
      </c>
      <c r="W1736" t="s">
        <v>307</v>
      </c>
    </row>
    <row r="1737" spans="1:23" x14ac:dyDescent="0.25">
      <c r="A1737" t="s">
        <v>633</v>
      </c>
      <c r="B1737" s="19">
        <v>18783</v>
      </c>
      <c r="C1737" s="2">
        <f>HYPERLINK(URLs!B36 &amp; 105795,105795)</f>
        <v>105795</v>
      </c>
      <c r="D1737" t="s">
        <v>3733</v>
      </c>
      <c r="E1737" t="s">
        <v>134</v>
      </c>
      <c r="F1737" t="s">
        <v>319</v>
      </c>
      <c r="G1737" t="s">
        <v>304</v>
      </c>
      <c r="H1737" t="s">
        <v>56</v>
      </c>
      <c r="I1737" t="s">
        <v>31</v>
      </c>
      <c r="J1737" t="s">
        <v>32</v>
      </c>
      <c r="K1737" t="s">
        <v>33</v>
      </c>
      <c r="L1737" t="s">
        <v>52</v>
      </c>
      <c r="M1737" t="s">
        <v>283</v>
      </c>
      <c r="N1737" t="s">
        <v>60</v>
      </c>
      <c r="P1737" t="s">
        <v>69</v>
      </c>
      <c r="Q1737" t="s">
        <v>3734</v>
      </c>
      <c r="R1737">
        <v>43018.558356481481</v>
      </c>
      <c r="S1737">
        <v>43039.809699074074</v>
      </c>
      <c r="T1737" t="s">
        <v>192</v>
      </c>
      <c r="U1737" t="s">
        <v>4026</v>
      </c>
      <c r="V1737" t="s">
        <v>321</v>
      </c>
      <c r="W1737" t="s">
        <v>4172</v>
      </c>
    </row>
    <row r="1738" spans="1:23" x14ac:dyDescent="0.25">
      <c r="A1738" t="s">
        <v>633</v>
      </c>
      <c r="B1738" s="19">
        <v>18783</v>
      </c>
      <c r="C1738" s="2">
        <f>HYPERLINK(URLs!B36 &amp; 105794,105794)</f>
        <v>105794</v>
      </c>
      <c r="D1738" t="s">
        <v>191</v>
      </c>
      <c r="E1738" t="s">
        <v>64</v>
      </c>
      <c r="F1738" t="s">
        <v>67</v>
      </c>
      <c r="H1738" t="s">
        <v>56</v>
      </c>
      <c r="I1738" t="s">
        <v>31</v>
      </c>
      <c r="J1738" t="s">
        <v>32</v>
      </c>
      <c r="K1738" t="s">
        <v>33</v>
      </c>
      <c r="L1738" t="s">
        <v>52</v>
      </c>
      <c r="M1738" t="s">
        <v>283</v>
      </c>
      <c r="N1738" t="s">
        <v>46</v>
      </c>
      <c r="P1738" t="s">
        <v>69</v>
      </c>
      <c r="R1738">
        <v>43018.558368055557</v>
      </c>
      <c r="S1738">
        <v>43018.56040509259</v>
      </c>
      <c r="T1738" t="s">
        <v>192</v>
      </c>
      <c r="U1738" t="s">
        <v>35</v>
      </c>
      <c r="V1738" t="s">
        <v>321</v>
      </c>
      <c r="W1738" t="s">
        <v>4098</v>
      </c>
    </row>
    <row r="1739" spans="1:23" x14ac:dyDescent="0.25">
      <c r="A1739" t="s">
        <v>633</v>
      </c>
      <c r="B1739" s="19">
        <v>18783</v>
      </c>
      <c r="C1739" s="2">
        <f>HYPERLINK(URLs!B36 &amp; 105751,105751)</f>
        <v>105751</v>
      </c>
      <c r="D1739" t="s">
        <v>3732</v>
      </c>
      <c r="E1739" t="s">
        <v>64</v>
      </c>
      <c r="F1739" t="s">
        <v>305</v>
      </c>
      <c r="G1739" t="s">
        <v>310</v>
      </c>
      <c r="H1739" t="s">
        <v>56</v>
      </c>
      <c r="I1739" t="s">
        <v>31</v>
      </c>
      <c r="J1739" t="s">
        <v>32</v>
      </c>
      <c r="K1739" t="s">
        <v>33</v>
      </c>
      <c r="L1739" t="s">
        <v>52</v>
      </c>
      <c r="M1739" t="s">
        <v>283</v>
      </c>
      <c r="N1739" t="s">
        <v>46</v>
      </c>
      <c r="P1739" t="s">
        <v>69</v>
      </c>
      <c r="Q1739" t="s">
        <v>2973</v>
      </c>
      <c r="R1739">
        <v>43017.851134259261</v>
      </c>
      <c r="S1739">
        <v>43122.134965277779</v>
      </c>
      <c r="T1739" t="s">
        <v>1</v>
      </c>
      <c r="U1739" t="s">
        <v>35</v>
      </c>
      <c r="V1739" t="s">
        <v>321</v>
      </c>
      <c r="W1739" t="s">
        <v>3698</v>
      </c>
    </row>
    <row r="1740" spans="1:23" x14ac:dyDescent="0.25">
      <c r="A1740" t="s">
        <v>618</v>
      </c>
      <c r="B1740" s="19">
        <v>18817</v>
      </c>
      <c r="C1740" s="2">
        <f>HYPERLINK(URLs!B36 &amp; 121413,121413)</f>
        <v>121413</v>
      </c>
      <c r="D1740" t="s">
        <v>4953</v>
      </c>
      <c r="E1740" t="s">
        <v>387</v>
      </c>
      <c r="F1740" t="s">
        <v>67</v>
      </c>
      <c r="H1740" t="s">
        <v>54</v>
      </c>
      <c r="I1740" t="s">
        <v>31</v>
      </c>
      <c r="J1740" t="s">
        <v>32</v>
      </c>
      <c r="K1740" t="s">
        <v>33</v>
      </c>
      <c r="L1740" t="s">
        <v>73</v>
      </c>
      <c r="M1740" t="s">
        <v>263</v>
      </c>
      <c r="N1740" t="s">
        <v>4195</v>
      </c>
      <c r="P1740" t="s">
        <v>190</v>
      </c>
      <c r="Q1740" t="s">
        <v>190</v>
      </c>
      <c r="R1740">
        <v>43397.986331018517</v>
      </c>
      <c r="S1740">
        <v>43403.729560185187</v>
      </c>
      <c r="T1740" t="s">
        <v>53</v>
      </c>
      <c r="U1740" t="s">
        <v>35</v>
      </c>
      <c r="V1740" t="s">
        <v>321</v>
      </c>
      <c r="W1740" t="s">
        <v>4410</v>
      </c>
    </row>
    <row r="1741" spans="1:23" x14ac:dyDescent="0.25">
      <c r="A1741" t="s">
        <v>618</v>
      </c>
      <c r="B1741" s="19">
        <v>18817</v>
      </c>
      <c r="C1741" s="2">
        <f>HYPERLINK(URLs!B36 &amp; 106095,106095)</f>
        <v>106095</v>
      </c>
      <c r="D1741" t="s">
        <v>586</v>
      </c>
      <c r="E1741" t="s">
        <v>110</v>
      </c>
      <c r="F1741" t="s">
        <v>319</v>
      </c>
      <c r="G1741" t="s">
        <v>304</v>
      </c>
      <c r="H1741" t="s">
        <v>54</v>
      </c>
      <c r="I1741" t="s">
        <v>31</v>
      </c>
      <c r="J1741" t="s">
        <v>32</v>
      </c>
      <c r="K1741" t="s">
        <v>33</v>
      </c>
      <c r="L1741" t="s">
        <v>73</v>
      </c>
      <c r="M1741" t="s">
        <v>263</v>
      </c>
      <c r="N1741" t="s">
        <v>4216</v>
      </c>
      <c r="P1741" t="s">
        <v>190</v>
      </c>
      <c r="Q1741" t="s">
        <v>190</v>
      </c>
      <c r="R1741">
        <v>43024.769259259258</v>
      </c>
      <c r="S1741">
        <v>43397.986770833333</v>
      </c>
      <c r="T1741" t="s">
        <v>301</v>
      </c>
      <c r="U1741" t="s">
        <v>4217</v>
      </c>
      <c r="V1741" t="s">
        <v>321</v>
      </c>
      <c r="W1741" t="s">
        <v>4171</v>
      </c>
    </row>
    <row r="1742" spans="1:23" x14ac:dyDescent="0.25">
      <c r="A1742" t="s">
        <v>618</v>
      </c>
      <c r="B1742" s="19">
        <v>18817</v>
      </c>
      <c r="C1742" s="2">
        <f>HYPERLINK(URLs!B36 &amp; 106094,106094)</f>
        <v>106094</v>
      </c>
      <c r="D1742" t="s">
        <v>585</v>
      </c>
      <c r="E1742" t="s">
        <v>110</v>
      </c>
      <c r="F1742" t="s">
        <v>305</v>
      </c>
      <c r="G1742" t="s">
        <v>337</v>
      </c>
      <c r="H1742" t="s">
        <v>54</v>
      </c>
      <c r="I1742" t="s">
        <v>31</v>
      </c>
      <c r="J1742" t="s">
        <v>32</v>
      </c>
      <c r="K1742" t="s">
        <v>33</v>
      </c>
      <c r="L1742" t="s">
        <v>73</v>
      </c>
      <c r="M1742" t="s">
        <v>263</v>
      </c>
      <c r="N1742" t="s">
        <v>60</v>
      </c>
      <c r="P1742" t="s">
        <v>190</v>
      </c>
      <c r="Q1742" t="s">
        <v>4215</v>
      </c>
      <c r="R1742">
        <v>43024.76871527778</v>
      </c>
      <c r="S1742">
        <v>43215.860011574077</v>
      </c>
      <c r="T1742" t="s">
        <v>301</v>
      </c>
      <c r="U1742" t="s">
        <v>35</v>
      </c>
      <c r="V1742" t="s">
        <v>321</v>
      </c>
      <c r="W1742" t="s">
        <v>307</v>
      </c>
    </row>
    <row r="1743" spans="1:23" x14ac:dyDescent="0.25">
      <c r="A1743" t="s">
        <v>618</v>
      </c>
      <c r="B1743" s="19">
        <v>18817</v>
      </c>
      <c r="C1743" s="2">
        <f>HYPERLINK(URLs!B36 &amp; 106032,106032)</f>
        <v>106032</v>
      </c>
      <c r="D1743" t="s">
        <v>193</v>
      </c>
      <c r="E1743" t="s">
        <v>110</v>
      </c>
      <c r="F1743" t="s">
        <v>29</v>
      </c>
      <c r="H1743" t="s">
        <v>54</v>
      </c>
      <c r="I1743" t="s">
        <v>31</v>
      </c>
      <c r="J1743" t="s">
        <v>32</v>
      </c>
      <c r="K1743" t="s">
        <v>33</v>
      </c>
      <c r="L1743" t="s">
        <v>73</v>
      </c>
      <c r="M1743" t="s">
        <v>263</v>
      </c>
      <c r="N1743" t="s">
        <v>60</v>
      </c>
      <c r="P1743" t="s">
        <v>190</v>
      </c>
      <c r="Q1743" t="s">
        <v>190</v>
      </c>
      <c r="R1743">
        <v>43021.847372685188</v>
      </c>
      <c r="S1743">
        <v>43397.986967592595</v>
      </c>
      <c r="T1743" t="s">
        <v>1</v>
      </c>
      <c r="U1743" t="s">
        <v>35</v>
      </c>
      <c r="V1743" t="s">
        <v>321</v>
      </c>
      <c r="W1743" t="s">
        <v>4098</v>
      </c>
    </row>
    <row r="1744" spans="1:23" x14ac:dyDescent="0.25">
      <c r="A1744" t="s">
        <v>665</v>
      </c>
      <c r="B1744" s="19">
        <v>18827</v>
      </c>
      <c r="C1744" s="2">
        <f>HYPERLINK(URLs!B36 &amp; 106100,106100)</f>
        <v>106100</v>
      </c>
      <c r="D1744" t="s">
        <v>588</v>
      </c>
      <c r="E1744" t="s">
        <v>4080</v>
      </c>
      <c r="F1744" t="s">
        <v>305</v>
      </c>
      <c r="G1744" t="s">
        <v>304</v>
      </c>
      <c r="H1744" t="s">
        <v>116</v>
      </c>
      <c r="I1744" t="s">
        <v>31</v>
      </c>
      <c r="J1744" t="s">
        <v>32</v>
      </c>
      <c r="K1744" t="s">
        <v>33</v>
      </c>
      <c r="L1744" t="s">
        <v>52</v>
      </c>
      <c r="M1744" t="s">
        <v>282</v>
      </c>
      <c r="N1744" t="s">
        <v>510</v>
      </c>
      <c r="P1744" t="s">
        <v>69</v>
      </c>
      <c r="Q1744" t="s">
        <v>69</v>
      </c>
      <c r="R1744">
        <v>43024.782118055555</v>
      </c>
      <c r="S1744">
        <v>43221.866956018515</v>
      </c>
      <c r="T1744" t="s">
        <v>301</v>
      </c>
      <c r="U1744" t="s">
        <v>4219</v>
      </c>
      <c r="V1744" t="s">
        <v>321</v>
      </c>
      <c r="W1744" t="s">
        <v>4171</v>
      </c>
    </row>
    <row r="1745" spans="1:23" x14ac:dyDescent="0.25">
      <c r="A1745" t="s">
        <v>665</v>
      </c>
      <c r="B1745" s="19">
        <v>18827</v>
      </c>
      <c r="C1745" s="2">
        <f>HYPERLINK(URLs!B36 &amp; 106099,106099)</f>
        <v>106099</v>
      </c>
      <c r="D1745" t="s">
        <v>587</v>
      </c>
      <c r="E1745" t="s">
        <v>4080</v>
      </c>
      <c r="F1745" t="s">
        <v>305</v>
      </c>
      <c r="G1745" t="s">
        <v>304</v>
      </c>
      <c r="H1745" t="s">
        <v>116</v>
      </c>
      <c r="I1745" t="s">
        <v>31</v>
      </c>
      <c r="J1745" t="s">
        <v>32</v>
      </c>
      <c r="K1745" t="s">
        <v>44</v>
      </c>
      <c r="L1745" t="s">
        <v>52</v>
      </c>
      <c r="M1745" t="s">
        <v>282</v>
      </c>
      <c r="N1745" t="s">
        <v>572</v>
      </c>
      <c r="P1745" t="s">
        <v>69</v>
      </c>
      <c r="Q1745" t="s">
        <v>2305</v>
      </c>
      <c r="R1745">
        <v>43024.7812962963</v>
      </c>
      <c r="S1745">
        <v>43224.217326388891</v>
      </c>
      <c r="T1745" t="s">
        <v>301</v>
      </c>
      <c r="U1745" t="s">
        <v>4218</v>
      </c>
      <c r="V1745" t="s">
        <v>321</v>
      </c>
      <c r="W1745" t="s">
        <v>307</v>
      </c>
    </row>
    <row r="1746" spans="1:23" x14ac:dyDescent="0.25">
      <c r="A1746" t="s">
        <v>665</v>
      </c>
      <c r="B1746" s="19">
        <v>18827</v>
      </c>
      <c r="C1746" s="2">
        <f>HYPERLINK(URLs!B36 &amp; 106089,106089)</f>
        <v>106089</v>
      </c>
      <c r="D1746" t="s">
        <v>446</v>
      </c>
      <c r="E1746" t="s">
        <v>4080</v>
      </c>
      <c r="F1746" t="s">
        <v>305</v>
      </c>
      <c r="G1746" t="s">
        <v>304</v>
      </c>
      <c r="H1746" t="s">
        <v>56</v>
      </c>
      <c r="I1746" t="s">
        <v>31</v>
      </c>
      <c r="J1746" t="s">
        <v>32</v>
      </c>
      <c r="K1746" t="s">
        <v>51</v>
      </c>
      <c r="L1746" t="s">
        <v>52</v>
      </c>
      <c r="M1746" t="s">
        <v>282</v>
      </c>
      <c r="N1746" t="s">
        <v>46</v>
      </c>
      <c r="P1746" t="s">
        <v>69</v>
      </c>
      <c r="Q1746" t="s">
        <v>1503</v>
      </c>
      <c r="R1746">
        <v>43024.702696759261</v>
      </c>
      <c r="S1746">
        <v>43221.873194444444</v>
      </c>
      <c r="T1746" t="s">
        <v>1</v>
      </c>
      <c r="U1746" t="s">
        <v>35</v>
      </c>
      <c r="V1746" t="s">
        <v>321</v>
      </c>
      <c r="W1746" t="s">
        <v>4098</v>
      </c>
    </row>
    <row r="1747" spans="1:23" x14ac:dyDescent="0.25">
      <c r="A1747" t="s">
        <v>665</v>
      </c>
      <c r="B1747" s="19">
        <v>18879</v>
      </c>
      <c r="C1747" s="2">
        <f>HYPERLINK(URLs!B36 &amp; 106597,106597)</f>
        <v>106597</v>
      </c>
      <c r="D1747" t="s">
        <v>3741</v>
      </c>
      <c r="E1747" t="s">
        <v>194</v>
      </c>
      <c r="F1747" t="s">
        <v>305</v>
      </c>
      <c r="G1747" t="s">
        <v>304</v>
      </c>
      <c r="H1747" t="s">
        <v>116</v>
      </c>
      <c r="I1747" t="s">
        <v>31</v>
      </c>
      <c r="J1747" t="s">
        <v>32</v>
      </c>
      <c r="K1747" t="s">
        <v>33</v>
      </c>
      <c r="L1747" t="s">
        <v>195</v>
      </c>
      <c r="M1747" t="s">
        <v>284</v>
      </c>
      <c r="N1747" t="s">
        <v>572</v>
      </c>
      <c r="P1747" t="s">
        <v>190</v>
      </c>
      <c r="Q1747" t="s">
        <v>1503</v>
      </c>
      <c r="R1747">
        <v>43034.717951388891</v>
      </c>
      <c r="S1747">
        <v>43234.721006944441</v>
      </c>
      <c r="T1747" t="s">
        <v>288</v>
      </c>
      <c r="U1747" t="s">
        <v>3993</v>
      </c>
      <c r="V1747" t="s">
        <v>321</v>
      </c>
      <c r="W1747" t="s">
        <v>307</v>
      </c>
    </row>
    <row r="1748" spans="1:23" x14ac:dyDescent="0.25">
      <c r="A1748" t="s">
        <v>665</v>
      </c>
      <c r="B1748" s="19">
        <v>18879</v>
      </c>
      <c r="C1748" s="2">
        <f>HYPERLINK(URLs!B36 &amp; 106596,106596)</f>
        <v>106596</v>
      </c>
      <c r="D1748" t="s">
        <v>287</v>
      </c>
      <c r="E1748" t="s">
        <v>194</v>
      </c>
      <c r="F1748" t="s">
        <v>319</v>
      </c>
      <c r="G1748" t="s">
        <v>304</v>
      </c>
      <c r="H1748" t="s">
        <v>116</v>
      </c>
      <c r="I1748" t="s">
        <v>31</v>
      </c>
      <c r="J1748" t="s">
        <v>32</v>
      </c>
      <c r="K1748" t="s">
        <v>33</v>
      </c>
      <c r="L1748" t="s">
        <v>195</v>
      </c>
      <c r="M1748" t="s">
        <v>284</v>
      </c>
      <c r="N1748" t="s">
        <v>60</v>
      </c>
      <c r="P1748" t="s">
        <v>190</v>
      </c>
      <c r="Q1748" t="s">
        <v>3708</v>
      </c>
      <c r="R1748">
        <v>43034.717962962961</v>
      </c>
      <c r="S1748">
        <v>43423.920011574075</v>
      </c>
      <c r="T1748" t="s">
        <v>288</v>
      </c>
      <c r="U1748" t="s">
        <v>35</v>
      </c>
      <c r="V1748" t="s">
        <v>321</v>
      </c>
      <c r="W1748" t="s">
        <v>4098</v>
      </c>
    </row>
    <row r="1749" spans="1:23" x14ac:dyDescent="0.25">
      <c r="A1749" t="s">
        <v>665</v>
      </c>
      <c r="B1749" s="19">
        <v>18879</v>
      </c>
      <c r="C1749" s="2">
        <f>HYPERLINK(URLs!B36 &amp; 106484,106484)</f>
        <v>106484</v>
      </c>
      <c r="D1749" t="s">
        <v>590</v>
      </c>
      <c r="E1749" t="s">
        <v>194</v>
      </c>
      <c r="F1749" t="s">
        <v>305</v>
      </c>
      <c r="G1749" t="s">
        <v>337</v>
      </c>
      <c r="H1749" t="s">
        <v>116</v>
      </c>
      <c r="I1749" t="s">
        <v>31</v>
      </c>
      <c r="J1749" t="s">
        <v>32</v>
      </c>
      <c r="K1749" t="s">
        <v>33</v>
      </c>
      <c r="L1749" t="s">
        <v>195</v>
      </c>
      <c r="M1749" t="s">
        <v>284</v>
      </c>
      <c r="N1749" t="s">
        <v>60</v>
      </c>
      <c r="P1749" t="s">
        <v>190</v>
      </c>
      <c r="Q1749" t="s">
        <v>3708</v>
      </c>
      <c r="R1749">
        <v>43032.853449074071</v>
      </c>
      <c r="S1749">
        <v>43423.872511574074</v>
      </c>
      <c r="T1749" t="s">
        <v>1</v>
      </c>
      <c r="U1749" t="s">
        <v>35</v>
      </c>
      <c r="V1749" t="s">
        <v>321</v>
      </c>
      <c r="W1749" t="s">
        <v>4158</v>
      </c>
    </row>
    <row r="1750" spans="1:23" x14ac:dyDescent="0.25">
      <c r="A1750" t="s">
        <v>665</v>
      </c>
      <c r="B1750" s="19">
        <v>18888</v>
      </c>
      <c r="C1750" s="2">
        <f>HYPERLINK(URLs!B36 &amp; 108291,108291)</f>
        <v>108291</v>
      </c>
      <c r="D1750" t="s">
        <v>1502</v>
      </c>
      <c r="E1750" t="s">
        <v>94</v>
      </c>
      <c r="F1750" t="s">
        <v>305</v>
      </c>
      <c r="G1750" t="s">
        <v>337</v>
      </c>
      <c r="H1750" t="s">
        <v>116</v>
      </c>
      <c r="I1750" t="s">
        <v>31</v>
      </c>
      <c r="J1750" t="s">
        <v>32</v>
      </c>
      <c r="K1750" t="s">
        <v>33</v>
      </c>
      <c r="L1750" t="s">
        <v>73</v>
      </c>
      <c r="M1750" t="s">
        <v>295</v>
      </c>
      <c r="N1750" t="s">
        <v>60</v>
      </c>
      <c r="P1750" t="s">
        <v>190</v>
      </c>
      <c r="Q1750" t="s">
        <v>3708</v>
      </c>
      <c r="R1750">
        <v>43073.733981481484</v>
      </c>
      <c r="S1750">
        <v>43423.863634259258</v>
      </c>
      <c r="T1750" t="s">
        <v>94</v>
      </c>
      <c r="U1750" t="s">
        <v>35</v>
      </c>
      <c r="V1750" t="s">
        <v>321</v>
      </c>
      <c r="W1750" t="s">
        <v>4156</v>
      </c>
    </row>
    <row r="1751" spans="1:23" x14ac:dyDescent="0.25">
      <c r="A1751" t="s">
        <v>665</v>
      </c>
      <c r="B1751" s="19">
        <v>18888</v>
      </c>
      <c r="C1751" s="2">
        <f>HYPERLINK(URLs!B36 &amp; 107497,107497)</f>
        <v>107497</v>
      </c>
      <c r="D1751" t="s">
        <v>3749</v>
      </c>
      <c r="E1751" t="s">
        <v>94</v>
      </c>
      <c r="F1751" t="s">
        <v>305</v>
      </c>
      <c r="G1751" t="s">
        <v>310</v>
      </c>
      <c r="H1751" t="s">
        <v>116</v>
      </c>
      <c r="I1751" t="s">
        <v>31</v>
      </c>
      <c r="J1751" t="s">
        <v>32</v>
      </c>
      <c r="K1751" t="s">
        <v>33</v>
      </c>
      <c r="L1751" t="s">
        <v>73</v>
      </c>
      <c r="M1751" t="s">
        <v>295</v>
      </c>
      <c r="N1751" t="s">
        <v>582</v>
      </c>
      <c r="P1751" t="s">
        <v>190</v>
      </c>
      <c r="Q1751" t="s">
        <v>3750</v>
      </c>
      <c r="R1751">
        <v>43055.672650462962</v>
      </c>
      <c r="S1751">
        <v>43067.834317129629</v>
      </c>
      <c r="T1751" t="s">
        <v>171</v>
      </c>
      <c r="U1751" t="s">
        <v>35</v>
      </c>
      <c r="V1751" t="s">
        <v>321</v>
      </c>
      <c r="W1751" t="s">
        <v>4171</v>
      </c>
    </row>
    <row r="1752" spans="1:23" x14ac:dyDescent="0.25">
      <c r="A1752" t="s">
        <v>665</v>
      </c>
      <c r="B1752" s="19">
        <v>18888</v>
      </c>
      <c r="C1752" s="2">
        <f>HYPERLINK(URLs!B36 &amp; 107494,107494)</f>
        <v>107494</v>
      </c>
      <c r="D1752" t="s">
        <v>3747</v>
      </c>
      <c r="E1752" t="s">
        <v>94</v>
      </c>
      <c r="F1752" t="s">
        <v>305</v>
      </c>
      <c r="G1752" t="s">
        <v>353</v>
      </c>
      <c r="H1752" t="s">
        <v>116</v>
      </c>
      <c r="I1752" t="s">
        <v>31</v>
      </c>
      <c r="J1752" t="s">
        <v>32</v>
      </c>
      <c r="K1752" t="s">
        <v>33</v>
      </c>
      <c r="L1752" t="s">
        <v>73</v>
      </c>
      <c r="M1752" t="s">
        <v>295</v>
      </c>
      <c r="N1752" t="s">
        <v>60</v>
      </c>
      <c r="P1752" t="s">
        <v>190</v>
      </c>
      <c r="Q1752" t="s">
        <v>3748</v>
      </c>
      <c r="R1752">
        <v>43055.671817129631</v>
      </c>
      <c r="S1752">
        <v>43169.154317129629</v>
      </c>
      <c r="T1752" t="s">
        <v>171</v>
      </c>
      <c r="U1752" t="s">
        <v>35</v>
      </c>
      <c r="V1752" t="s">
        <v>321</v>
      </c>
      <c r="W1752" t="s">
        <v>307</v>
      </c>
    </row>
    <row r="1753" spans="1:23" x14ac:dyDescent="0.25">
      <c r="A1753" t="s">
        <v>665</v>
      </c>
      <c r="B1753" s="19">
        <v>18888</v>
      </c>
      <c r="C1753" s="2">
        <f>HYPERLINK(URLs!B36 &amp; 107184,107184)</f>
        <v>107184</v>
      </c>
      <c r="D1753" t="s">
        <v>3745</v>
      </c>
      <c r="E1753" t="s">
        <v>94</v>
      </c>
      <c r="F1753" t="s">
        <v>305</v>
      </c>
      <c r="G1753" t="s">
        <v>310</v>
      </c>
      <c r="H1753" t="s">
        <v>116</v>
      </c>
      <c r="I1753" t="s">
        <v>31</v>
      </c>
      <c r="J1753" t="s">
        <v>32</v>
      </c>
      <c r="K1753" t="s">
        <v>33</v>
      </c>
      <c r="L1753" t="s">
        <v>73</v>
      </c>
      <c r="M1753" t="s">
        <v>295</v>
      </c>
      <c r="N1753" t="s">
        <v>60</v>
      </c>
      <c r="P1753" t="s">
        <v>190</v>
      </c>
      <c r="Q1753" t="s">
        <v>3746</v>
      </c>
      <c r="R1753">
        <v>43048.708414351851</v>
      </c>
      <c r="S1753">
        <v>43215.861608796295</v>
      </c>
      <c r="T1753" t="s">
        <v>301</v>
      </c>
      <c r="U1753" t="s">
        <v>35</v>
      </c>
      <c r="V1753" t="s">
        <v>321</v>
      </c>
      <c r="W1753" t="s">
        <v>4158</v>
      </c>
    </row>
    <row r="1754" spans="1:23" x14ac:dyDescent="0.25">
      <c r="A1754" t="s">
        <v>665</v>
      </c>
      <c r="B1754" s="19">
        <v>18888</v>
      </c>
      <c r="C1754" s="2">
        <f>HYPERLINK(URLs!B36 &amp; 106868,106868)</f>
        <v>106868</v>
      </c>
      <c r="D1754" t="s">
        <v>4036</v>
      </c>
      <c r="E1754" t="s">
        <v>94</v>
      </c>
      <c r="F1754" t="s">
        <v>319</v>
      </c>
      <c r="G1754" t="s">
        <v>353</v>
      </c>
      <c r="H1754" t="s">
        <v>116</v>
      </c>
      <c r="I1754" t="s">
        <v>31</v>
      </c>
      <c r="J1754" t="s">
        <v>32</v>
      </c>
      <c r="K1754" t="s">
        <v>44</v>
      </c>
      <c r="L1754" t="s">
        <v>73</v>
      </c>
      <c r="M1754" t="s">
        <v>295</v>
      </c>
      <c r="N1754" t="s">
        <v>60</v>
      </c>
      <c r="P1754" t="s">
        <v>190</v>
      </c>
      <c r="Q1754" t="s">
        <v>3708</v>
      </c>
      <c r="R1754">
        <v>43041.693715277775</v>
      </c>
      <c r="S1754">
        <v>43423.895011574074</v>
      </c>
      <c r="T1754" t="s">
        <v>1</v>
      </c>
      <c r="U1754" t="s">
        <v>35</v>
      </c>
      <c r="V1754" t="s">
        <v>321</v>
      </c>
      <c r="W1754" t="s">
        <v>4098</v>
      </c>
    </row>
    <row r="1755" spans="1:23" x14ac:dyDescent="0.25">
      <c r="A1755" t="s">
        <v>618</v>
      </c>
      <c r="B1755" s="19">
        <v>18911</v>
      </c>
      <c r="C1755" s="2">
        <f>HYPERLINK(URLs!B36 &amp; 106662,106662)</f>
        <v>106662</v>
      </c>
      <c r="D1755" t="s">
        <v>3743</v>
      </c>
      <c r="E1755" t="s">
        <v>110</v>
      </c>
      <c r="F1755" t="s">
        <v>305</v>
      </c>
      <c r="G1755" t="s">
        <v>353</v>
      </c>
      <c r="H1755" t="s">
        <v>116</v>
      </c>
      <c r="I1755" t="s">
        <v>31</v>
      </c>
      <c r="J1755" t="s">
        <v>32</v>
      </c>
      <c r="K1755" t="s">
        <v>33</v>
      </c>
      <c r="L1755" t="s">
        <v>73</v>
      </c>
      <c r="M1755" t="s">
        <v>273</v>
      </c>
      <c r="N1755" t="s">
        <v>60</v>
      </c>
      <c r="P1755" t="s">
        <v>190</v>
      </c>
      <c r="Q1755" t="s">
        <v>2481</v>
      </c>
      <c r="R1755">
        <v>43035.851840277777</v>
      </c>
      <c r="S1755">
        <v>43135.146192129629</v>
      </c>
      <c r="T1755" t="s">
        <v>1</v>
      </c>
      <c r="U1755" t="s">
        <v>35</v>
      </c>
      <c r="V1755" t="s">
        <v>321</v>
      </c>
      <c r="W1755" t="s">
        <v>307</v>
      </c>
    </row>
    <row r="1756" spans="1:23" x14ac:dyDescent="0.25">
      <c r="A1756" t="s">
        <v>633</v>
      </c>
      <c r="B1756" s="19">
        <v>18930</v>
      </c>
      <c r="C1756" s="2">
        <f>HYPERLINK(URLs!B36 &amp; 106769,106769)</f>
        <v>106769</v>
      </c>
      <c r="D1756" t="s">
        <v>3744</v>
      </c>
      <c r="E1756" t="s">
        <v>112</v>
      </c>
      <c r="F1756" t="s">
        <v>319</v>
      </c>
      <c r="G1756" t="s">
        <v>304</v>
      </c>
      <c r="H1756" t="s">
        <v>30</v>
      </c>
      <c r="I1756" t="s">
        <v>31</v>
      </c>
      <c r="J1756" t="s">
        <v>32</v>
      </c>
      <c r="K1756" t="s">
        <v>51</v>
      </c>
      <c r="L1756" t="s">
        <v>96</v>
      </c>
      <c r="M1756" t="s">
        <v>292</v>
      </c>
      <c r="N1756" t="s">
        <v>121</v>
      </c>
      <c r="P1756" t="s">
        <v>65</v>
      </c>
      <c r="Q1756" t="s">
        <v>65</v>
      </c>
      <c r="R1756">
        <v>43039.707951388889</v>
      </c>
      <c r="S1756">
        <v>43215.980844907404</v>
      </c>
      <c r="T1756" t="s">
        <v>301</v>
      </c>
      <c r="U1756" t="s">
        <v>35</v>
      </c>
      <c r="V1756" t="s">
        <v>35</v>
      </c>
      <c r="W1756" t="s">
        <v>4178</v>
      </c>
    </row>
    <row r="1757" spans="1:23" x14ac:dyDescent="0.25">
      <c r="A1757" t="s">
        <v>633</v>
      </c>
      <c r="B1757" s="19">
        <v>18930</v>
      </c>
      <c r="C1757" s="2">
        <f>HYPERLINK(URLs!B36 &amp; 73287,73287)</f>
        <v>73287</v>
      </c>
      <c r="D1757" t="s">
        <v>290</v>
      </c>
      <c r="E1757" t="s">
        <v>291</v>
      </c>
      <c r="F1757" t="s">
        <v>29</v>
      </c>
      <c r="H1757" t="s">
        <v>30</v>
      </c>
      <c r="I1757" t="s">
        <v>31</v>
      </c>
      <c r="J1757" t="s">
        <v>32</v>
      </c>
      <c r="K1757" t="s">
        <v>33</v>
      </c>
      <c r="L1757" t="s">
        <v>96</v>
      </c>
      <c r="M1757" t="s">
        <v>292</v>
      </c>
      <c r="N1757" t="s">
        <v>46</v>
      </c>
      <c r="P1757" t="s">
        <v>65</v>
      </c>
      <c r="R1757">
        <v>42333.685243055559</v>
      </c>
      <c r="S1757">
        <v>43053.988854166666</v>
      </c>
      <c r="T1757" t="s">
        <v>293</v>
      </c>
      <c r="U1757" t="s">
        <v>35</v>
      </c>
      <c r="V1757" t="s">
        <v>35</v>
      </c>
      <c r="W1757" t="s">
        <v>4098</v>
      </c>
    </row>
    <row r="1758" spans="1:23" x14ac:dyDescent="0.25">
      <c r="A1758" t="s">
        <v>665</v>
      </c>
      <c r="B1758" s="19">
        <v>18960</v>
      </c>
      <c r="C1758" s="2">
        <f>HYPERLINK(URLs!B36 &amp; 110384,110384)</f>
        <v>110384</v>
      </c>
      <c r="D1758" t="s">
        <v>4339</v>
      </c>
      <c r="E1758" t="s">
        <v>387</v>
      </c>
      <c r="F1758" t="s">
        <v>305</v>
      </c>
      <c r="G1758" t="s">
        <v>304</v>
      </c>
      <c r="H1758" t="s">
        <v>54</v>
      </c>
      <c r="I1758" t="s">
        <v>31</v>
      </c>
      <c r="J1758" t="s">
        <v>43</v>
      </c>
      <c r="K1758" t="s">
        <v>51</v>
      </c>
      <c r="L1758" t="s">
        <v>73</v>
      </c>
      <c r="M1758" t="s">
        <v>264</v>
      </c>
      <c r="N1758" t="s">
        <v>60</v>
      </c>
      <c r="P1758" t="s">
        <v>449</v>
      </c>
      <c r="Q1758" t="s">
        <v>2854</v>
      </c>
      <c r="R1758">
        <v>43145.253148148149</v>
      </c>
      <c r="S1758">
        <v>43271.51866898148</v>
      </c>
      <c r="T1758" t="s">
        <v>4340</v>
      </c>
      <c r="U1758" t="s">
        <v>35</v>
      </c>
      <c r="V1758" t="s">
        <v>35</v>
      </c>
      <c r="W1758" t="s">
        <v>4236</v>
      </c>
    </row>
    <row r="1759" spans="1:23" x14ac:dyDescent="0.25">
      <c r="A1759" t="s">
        <v>665</v>
      </c>
      <c r="B1759" s="19">
        <v>18960</v>
      </c>
      <c r="C1759" s="2">
        <f>HYPERLINK(URLs!B36 &amp; 109801,109801)</f>
        <v>109801</v>
      </c>
      <c r="D1759" t="s">
        <v>4300</v>
      </c>
      <c r="E1759" t="s">
        <v>91</v>
      </c>
      <c r="F1759" t="s">
        <v>305</v>
      </c>
      <c r="G1759" t="s">
        <v>337</v>
      </c>
      <c r="H1759" t="s">
        <v>54</v>
      </c>
      <c r="I1759" t="s">
        <v>68</v>
      </c>
      <c r="J1759" t="s">
        <v>43</v>
      </c>
      <c r="K1759" t="s">
        <v>33</v>
      </c>
      <c r="L1759" t="s">
        <v>73</v>
      </c>
      <c r="M1759" t="s">
        <v>264</v>
      </c>
      <c r="N1759" t="s">
        <v>157</v>
      </c>
      <c r="P1759" t="s">
        <v>449</v>
      </c>
      <c r="Q1759" t="s">
        <v>2854</v>
      </c>
      <c r="R1759">
        <v>43125.989259259259</v>
      </c>
      <c r="S1759">
        <v>43204.161631944444</v>
      </c>
      <c r="T1759" t="s">
        <v>53</v>
      </c>
      <c r="U1759" t="s">
        <v>35</v>
      </c>
      <c r="V1759" t="s">
        <v>35</v>
      </c>
      <c r="W1759" t="s">
        <v>307</v>
      </c>
    </row>
    <row r="1760" spans="1:23" x14ac:dyDescent="0.25">
      <c r="A1760" t="s">
        <v>665</v>
      </c>
      <c r="B1760" s="19">
        <v>18960</v>
      </c>
      <c r="C1760" s="2">
        <f>HYPERLINK(URLs!B36 &amp; 109725,109725)</f>
        <v>109725</v>
      </c>
      <c r="D1760" t="s">
        <v>4283</v>
      </c>
      <c r="E1760" t="s">
        <v>91</v>
      </c>
      <c r="F1760" t="s">
        <v>319</v>
      </c>
      <c r="G1760" t="s">
        <v>304</v>
      </c>
      <c r="H1760" t="s">
        <v>54</v>
      </c>
      <c r="I1760" t="s">
        <v>31</v>
      </c>
      <c r="J1760" t="s">
        <v>43</v>
      </c>
      <c r="K1760" t="s">
        <v>51</v>
      </c>
      <c r="L1760" t="s">
        <v>73</v>
      </c>
      <c r="M1760" t="s">
        <v>264</v>
      </c>
      <c r="N1760" t="s">
        <v>3711</v>
      </c>
      <c r="P1760" t="s">
        <v>449</v>
      </c>
      <c r="Q1760" t="s">
        <v>2854</v>
      </c>
      <c r="R1760">
        <v>43124.551076388889</v>
      </c>
      <c r="S1760">
        <v>43146.985451388886</v>
      </c>
      <c r="T1760" t="s">
        <v>110</v>
      </c>
      <c r="U1760" t="s">
        <v>4284</v>
      </c>
      <c r="V1760" t="s">
        <v>35</v>
      </c>
      <c r="W1760" t="s">
        <v>4171</v>
      </c>
    </row>
    <row r="1761" spans="1:23" x14ac:dyDescent="0.25">
      <c r="A1761" t="s">
        <v>665</v>
      </c>
      <c r="B1761" s="19">
        <v>18960</v>
      </c>
      <c r="C1761" s="2">
        <f>HYPERLINK(URLs!B36 &amp; 107177,107177)</f>
        <v>107177</v>
      </c>
      <c r="D1761" t="s">
        <v>4232</v>
      </c>
      <c r="E1761" t="s">
        <v>91</v>
      </c>
      <c r="F1761" t="s">
        <v>305</v>
      </c>
      <c r="G1761" t="s">
        <v>337</v>
      </c>
      <c r="H1761" t="s">
        <v>54</v>
      </c>
      <c r="I1761" t="s">
        <v>31</v>
      </c>
      <c r="J1761" t="s">
        <v>43</v>
      </c>
      <c r="K1761" t="s">
        <v>51</v>
      </c>
      <c r="L1761" t="s">
        <v>73</v>
      </c>
      <c r="M1761" t="s">
        <v>264</v>
      </c>
      <c r="N1761" t="s">
        <v>60</v>
      </c>
      <c r="P1761" t="s">
        <v>449</v>
      </c>
      <c r="Q1761" t="s">
        <v>3509</v>
      </c>
      <c r="R1761">
        <v>43048.600370370368</v>
      </c>
      <c r="S1761">
        <v>43145.252870370372</v>
      </c>
      <c r="T1761" t="s">
        <v>171</v>
      </c>
      <c r="U1761" t="s">
        <v>35</v>
      </c>
      <c r="V1761" t="s">
        <v>35</v>
      </c>
      <c r="W1761" t="s">
        <v>4179</v>
      </c>
    </row>
    <row r="1762" spans="1:23" x14ac:dyDescent="0.25">
      <c r="A1762" t="s">
        <v>665</v>
      </c>
      <c r="B1762" s="19">
        <v>18960</v>
      </c>
      <c r="C1762" s="2">
        <f>HYPERLINK(URLs!B36 &amp; 106983,106983)</f>
        <v>106983</v>
      </c>
      <c r="D1762" t="s">
        <v>4230</v>
      </c>
      <c r="E1762" t="s">
        <v>91</v>
      </c>
      <c r="F1762" t="s">
        <v>305</v>
      </c>
      <c r="G1762" t="s">
        <v>304</v>
      </c>
      <c r="H1762" t="s">
        <v>54</v>
      </c>
      <c r="I1762" t="s">
        <v>31</v>
      </c>
      <c r="J1762" t="s">
        <v>43</v>
      </c>
      <c r="K1762" t="s">
        <v>51</v>
      </c>
      <c r="L1762" t="s">
        <v>73</v>
      </c>
      <c r="M1762" t="s">
        <v>264</v>
      </c>
      <c r="N1762" t="s">
        <v>60</v>
      </c>
      <c r="P1762" t="s">
        <v>449</v>
      </c>
      <c r="Q1762" t="s">
        <v>2854</v>
      </c>
      <c r="R1762">
        <v>43045.778796296298</v>
      </c>
      <c r="S1762">
        <v>43357.633564814816</v>
      </c>
      <c r="T1762" t="s">
        <v>301</v>
      </c>
      <c r="U1762" t="s">
        <v>35</v>
      </c>
      <c r="V1762" t="s">
        <v>35</v>
      </c>
      <c r="W1762" t="s">
        <v>4231</v>
      </c>
    </row>
    <row r="1763" spans="1:23" x14ac:dyDescent="0.25">
      <c r="A1763" t="s">
        <v>665</v>
      </c>
      <c r="B1763" s="19">
        <v>18960</v>
      </c>
      <c r="C1763" s="2">
        <f>HYPERLINK(URLs!B36 &amp; 106778,106778)</f>
        <v>106778</v>
      </c>
      <c r="D1763" t="s">
        <v>4229</v>
      </c>
      <c r="E1763" t="s">
        <v>91</v>
      </c>
      <c r="F1763" t="s">
        <v>319</v>
      </c>
      <c r="G1763" t="s">
        <v>304</v>
      </c>
      <c r="H1763" t="s">
        <v>54</v>
      </c>
      <c r="I1763" t="s">
        <v>31</v>
      </c>
      <c r="J1763" t="s">
        <v>43</v>
      </c>
      <c r="K1763" t="s">
        <v>51</v>
      </c>
      <c r="L1763" t="s">
        <v>73</v>
      </c>
      <c r="M1763" t="s">
        <v>264</v>
      </c>
      <c r="N1763" t="s">
        <v>60</v>
      </c>
      <c r="P1763" t="s">
        <v>449</v>
      </c>
      <c r="Q1763" t="s">
        <v>2854</v>
      </c>
      <c r="R1763">
        <v>43040.259687500002</v>
      </c>
      <c r="S1763">
        <v>43353.402002314811</v>
      </c>
      <c r="T1763" t="s">
        <v>450</v>
      </c>
      <c r="U1763" t="s">
        <v>35</v>
      </c>
      <c r="V1763" t="s">
        <v>35</v>
      </c>
      <c r="W1763" t="s">
        <v>4098</v>
      </c>
    </row>
    <row r="1764" spans="1:23" x14ac:dyDescent="0.25">
      <c r="A1764" t="s">
        <v>633</v>
      </c>
      <c r="B1764" s="19">
        <v>19024</v>
      </c>
      <c r="C1764" s="2">
        <f>HYPERLINK(URLs!B36 &amp; 107556,107556)</f>
        <v>107556</v>
      </c>
      <c r="D1764" t="s">
        <v>594</v>
      </c>
      <c r="E1764" t="s">
        <v>64</v>
      </c>
      <c r="F1764" t="s">
        <v>305</v>
      </c>
      <c r="G1764" t="s">
        <v>304</v>
      </c>
      <c r="H1764" t="s">
        <v>116</v>
      </c>
      <c r="I1764" t="s">
        <v>31</v>
      </c>
      <c r="J1764" t="s">
        <v>32</v>
      </c>
      <c r="K1764" t="s">
        <v>33</v>
      </c>
      <c r="L1764" t="s">
        <v>52</v>
      </c>
      <c r="M1764" t="s">
        <v>283</v>
      </c>
      <c r="N1764" t="s">
        <v>510</v>
      </c>
      <c r="P1764" t="s">
        <v>69</v>
      </c>
      <c r="Q1764" t="s">
        <v>69</v>
      </c>
      <c r="R1764">
        <v>43056.849027777775</v>
      </c>
      <c r="S1764">
        <v>43405.501342592594</v>
      </c>
      <c r="T1764" t="s">
        <v>53</v>
      </c>
      <c r="U1764" t="s">
        <v>35</v>
      </c>
      <c r="V1764" t="s">
        <v>35</v>
      </c>
      <c r="W1764" t="s">
        <v>4171</v>
      </c>
    </row>
    <row r="1765" spans="1:23" x14ac:dyDescent="0.25">
      <c r="A1765" t="s">
        <v>633</v>
      </c>
      <c r="B1765" s="19">
        <v>19024</v>
      </c>
      <c r="C1765" s="2">
        <f>HYPERLINK(URLs!B36 &amp; 107555,107555)</f>
        <v>107555</v>
      </c>
      <c r="D1765" t="s">
        <v>4234</v>
      </c>
      <c r="E1765" t="s">
        <v>173</v>
      </c>
      <c r="F1765" t="s">
        <v>305</v>
      </c>
      <c r="G1765" t="s">
        <v>304</v>
      </c>
      <c r="H1765" t="s">
        <v>116</v>
      </c>
      <c r="I1765" t="s">
        <v>31</v>
      </c>
      <c r="J1765" t="s">
        <v>32</v>
      </c>
      <c r="K1765" t="s">
        <v>33</v>
      </c>
      <c r="L1765" t="s">
        <v>52</v>
      </c>
      <c r="M1765" t="s">
        <v>283</v>
      </c>
      <c r="N1765" t="s">
        <v>60</v>
      </c>
      <c r="P1765" t="s">
        <v>69</v>
      </c>
      <c r="R1765">
        <v>43056.847939814812</v>
      </c>
      <c r="S1765">
        <v>43238.36210648148</v>
      </c>
      <c r="T1765" t="s">
        <v>53</v>
      </c>
      <c r="U1765" t="s">
        <v>4037</v>
      </c>
      <c r="V1765" t="s">
        <v>35</v>
      </c>
      <c r="W1765" t="s">
        <v>307</v>
      </c>
    </row>
    <row r="1766" spans="1:23" x14ac:dyDescent="0.25">
      <c r="A1766" t="s">
        <v>633</v>
      </c>
      <c r="B1766" s="19">
        <v>19024</v>
      </c>
      <c r="C1766" s="2">
        <f>HYPERLINK(URLs!B36 &amp; 107554,107554)</f>
        <v>107554</v>
      </c>
      <c r="D1766" t="s">
        <v>484</v>
      </c>
      <c r="E1766" t="s">
        <v>64</v>
      </c>
      <c r="F1766" t="s">
        <v>319</v>
      </c>
      <c r="G1766" t="s">
        <v>304</v>
      </c>
      <c r="H1766" t="s">
        <v>116</v>
      </c>
      <c r="I1766" t="s">
        <v>31</v>
      </c>
      <c r="J1766" t="s">
        <v>32</v>
      </c>
      <c r="K1766" t="s">
        <v>33</v>
      </c>
      <c r="L1766" t="s">
        <v>52</v>
      </c>
      <c r="M1766" t="s">
        <v>283</v>
      </c>
      <c r="N1766" t="s">
        <v>60</v>
      </c>
      <c r="P1766" t="s">
        <v>69</v>
      </c>
      <c r="Q1766" t="s">
        <v>3708</v>
      </c>
      <c r="R1766">
        <v>43056.847962962966</v>
      </c>
      <c r="S1766">
        <v>43423.923587962963</v>
      </c>
      <c r="T1766" t="s">
        <v>53</v>
      </c>
      <c r="U1766" t="s">
        <v>35</v>
      </c>
      <c r="V1766" t="s">
        <v>35</v>
      </c>
      <c r="W1766" t="s">
        <v>4098</v>
      </c>
    </row>
    <row r="1767" spans="1:23" x14ac:dyDescent="0.25">
      <c r="A1767" t="s">
        <v>633</v>
      </c>
      <c r="B1767" s="19">
        <v>19024</v>
      </c>
      <c r="C1767" s="2">
        <f>HYPERLINK(URLs!B36 &amp; 107269,107269)</f>
        <v>107269</v>
      </c>
      <c r="D1767" t="s">
        <v>592</v>
      </c>
      <c r="E1767" t="s">
        <v>173</v>
      </c>
      <c r="F1767" t="s">
        <v>305</v>
      </c>
      <c r="G1767" t="s">
        <v>337</v>
      </c>
      <c r="H1767" t="s">
        <v>116</v>
      </c>
      <c r="I1767" t="s">
        <v>31</v>
      </c>
      <c r="J1767" t="s">
        <v>32</v>
      </c>
      <c r="K1767" t="s">
        <v>33</v>
      </c>
      <c r="L1767" t="s">
        <v>52</v>
      </c>
      <c r="M1767" t="s">
        <v>283</v>
      </c>
      <c r="N1767" t="s">
        <v>60</v>
      </c>
      <c r="P1767" t="s">
        <v>69</v>
      </c>
      <c r="Q1767" t="s">
        <v>3708</v>
      </c>
      <c r="R1767">
        <v>43051.318136574075</v>
      </c>
      <c r="S1767">
        <v>43423.872407407405</v>
      </c>
      <c r="T1767" t="s">
        <v>4</v>
      </c>
      <c r="U1767" t="s">
        <v>35</v>
      </c>
      <c r="V1767" t="s">
        <v>35</v>
      </c>
      <c r="W1767" t="s">
        <v>4158</v>
      </c>
    </row>
    <row r="1768" spans="1:23" x14ac:dyDescent="0.25">
      <c r="A1768" t="s">
        <v>633</v>
      </c>
      <c r="B1768" s="19">
        <v>19047</v>
      </c>
      <c r="C1768" s="2">
        <f>HYPERLINK(URLs!B36 &amp; 106586,106586)</f>
        <v>106586</v>
      </c>
      <c r="D1768" t="s">
        <v>3739</v>
      </c>
      <c r="E1768" t="s">
        <v>494</v>
      </c>
      <c r="F1768" t="s">
        <v>319</v>
      </c>
      <c r="G1768" t="s">
        <v>304</v>
      </c>
      <c r="H1768" t="s">
        <v>30</v>
      </c>
      <c r="I1768" t="s">
        <v>68</v>
      </c>
      <c r="J1768" t="s">
        <v>43</v>
      </c>
      <c r="K1768" t="s">
        <v>33</v>
      </c>
      <c r="L1768" t="s">
        <v>106</v>
      </c>
      <c r="M1768" t="s">
        <v>495</v>
      </c>
      <c r="N1768" t="s">
        <v>60</v>
      </c>
      <c r="O1768" t="s">
        <v>3740</v>
      </c>
      <c r="P1768" t="s">
        <v>190</v>
      </c>
      <c r="R1768">
        <v>43034.574166666665</v>
      </c>
      <c r="S1768">
        <v>43073.229131944441</v>
      </c>
      <c r="T1768" t="s">
        <v>5</v>
      </c>
      <c r="U1768" t="s">
        <v>35</v>
      </c>
      <c r="V1768" t="s">
        <v>35</v>
      </c>
      <c r="W1768" t="s">
        <v>4163</v>
      </c>
    </row>
    <row r="1769" spans="1:23" x14ac:dyDescent="0.25">
      <c r="A1769" t="s">
        <v>665</v>
      </c>
      <c r="B1769" s="19">
        <v>19139</v>
      </c>
      <c r="C1769" s="2">
        <f>HYPERLINK(URLs!B36 &amp; 109433,109433)</f>
        <v>109433</v>
      </c>
      <c r="D1769" t="s">
        <v>4256</v>
      </c>
      <c r="E1769" t="s">
        <v>494</v>
      </c>
      <c r="F1769" t="s">
        <v>305</v>
      </c>
      <c r="G1769" t="s">
        <v>304</v>
      </c>
      <c r="H1769" t="s">
        <v>54</v>
      </c>
      <c r="I1769" t="s">
        <v>31</v>
      </c>
      <c r="J1769" t="s">
        <v>32</v>
      </c>
      <c r="K1769" t="s">
        <v>44</v>
      </c>
      <c r="L1769" t="s">
        <v>106</v>
      </c>
      <c r="M1769" t="s">
        <v>495</v>
      </c>
      <c r="N1769" t="s">
        <v>60</v>
      </c>
      <c r="P1769" t="s">
        <v>107</v>
      </c>
      <c r="Q1769" t="s">
        <v>3509</v>
      </c>
      <c r="R1769">
        <v>43116.262754629628</v>
      </c>
      <c r="S1769">
        <v>43116.264432870368</v>
      </c>
      <c r="T1769" t="s">
        <v>53</v>
      </c>
      <c r="U1769" t="s">
        <v>35</v>
      </c>
      <c r="V1769" t="s">
        <v>35</v>
      </c>
      <c r="W1769" t="s">
        <v>69</v>
      </c>
    </row>
    <row r="1770" spans="1:23" x14ac:dyDescent="0.25">
      <c r="A1770" t="s">
        <v>665</v>
      </c>
      <c r="B1770" s="19">
        <v>19139</v>
      </c>
      <c r="C1770" s="2">
        <f>HYPERLINK(URLs!B36 &amp; 108358,108358)</f>
        <v>108358</v>
      </c>
      <c r="D1770" t="s">
        <v>1513</v>
      </c>
      <c r="E1770" t="s">
        <v>108</v>
      </c>
      <c r="F1770" t="s">
        <v>305</v>
      </c>
      <c r="G1770" t="s">
        <v>337</v>
      </c>
      <c r="H1770" t="s">
        <v>54</v>
      </c>
      <c r="I1770" t="s">
        <v>31</v>
      </c>
      <c r="J1770" t="s">
        <v>32</v>
      </c>
      <c r="K1770" t="s">
        <v>44</v>
      </c>
      <c r="L1770" t="s">
        <v>106</v>
      </c>
      <c r="M1770" t="s">
        <v>495</v>
      </c>
      <c r="N1770" t="s">
        <v>60</v>
      </c>
      <c r="P1770" t="s">
        <v>107</v>
      </c>
      <c r="Q1770" t="s">
        <v>3708</v>
      </c>
      <c r="R1770">
        <v>43074.717303240737</v>
      </c>
      <c r="S1770">
        <v>43423.866759259261</v>
      </c>
      <c r="T1770" t="s">
        <v>108</v>
      </c>
      <c r="U1770" t="s">
        <v>35</v>
      </c>
      <c r="V1770" t="s">
        <v>35</v>
      </c>
      <c r="W1770" t="s">
        <v>4163</v>
      </c>
    </row>
    <row r="1771" spans="1:23" x14ac:dyDescent="0.25">
      <c r="A1771" t="s">
        <v>665</v>
      </c>
      <c r="B1771" s="19">
        <v>19139</v>
      </c>
      <c r="C1771" s="2">
        <f>HYPERLINK(URLs!B36 &amp; 108356,108356)</f>
        <v>108356</v>
      </c>
      <c r="D1771" t="s">
        <v>1512</v>
      </c>
      <c r="E1771" t="s">
        <v>108</v>
      </c>
      <c r="F1771" t="s">
        <v>305</v>
      </c>
      <c r="G1771" t="s">
        <v>337</v>
      </c>
      <c r="H1771" t="s">
        <v>54</v>
      </c>
      <c r="I1771" t="s">
        <v>31</v>
      </c>
      <c r="J1771" t="s">
        <v>32</v>
      </c>
      <c r="K1771" t="s">
        <v>44</v>
      </c>
      <c r="L1771" t="s">
        <v>106</v>
      </c>
      <c r="M1771" t="s">
        <v>495</v>
      </c>
      <c r="N1771" t="s">
        <v>60</v>
      </c>
      <c r="P1771" t="s">
        <v>107</v>
      </c>
      <c r="Q1771" t="s">
        <v>3708</v>
      </c>
      <c r="R1771">
        <v>43074.701342592591</v>
      </c>
      <c r="S1771">
        <v>43423.863483796296</v>
      </c>
      <c r="T1771" t="s">
        <v>108</v>
      </c>
      <c r="U1771" t="s">
        <v>35</v>
      </c>
      <c r="V1771" t="s">
        <v>35</v>
      </c>
      <c r="W1771" t="s">
        <v>4156</v>
      </c>
    </row>
    <row r="1772" spans="1:23" x14ac:dyDescent="0.25">
      <c r="A1772" t="s">
        <v>665</v>
      </c>
      <c r="B1772" s="19">
        <v>19139</v>
      </c>
      <c r="C1772" s="2">
        <f>HYPERLINK(URLs!B36 &amp; 107941,107941)</f>
        <v>107941</v>
      </c>
      <c r="D1772" t="s">
        <v>1511</v>
      </c>
      <c r="E1772" t="s">
        <v>494</v>
      </c>
      <c r="F1772" t="s">
        <v>319</v>
      </c>
      <c r="G1772" t="s">
        <v>304</v>
      </c>
      <c r="H1772" t="s">
        <v>54</v>
      </c>
      <c r="I1772" t="s">
        <v>31</v>
      </c>
      <c r="J1772" t="s">
        <v>32</v>
      </c>
      <c r="K1772" t="s">
        <v>44</v>
      </c>
      <c r="L1772" t="s">
        <v>106</v>
      </c>
      <c r="M1772" t="s">
        <v>495</v>
      </c>
      <c r="N1772" t="s">
        <v>60</v>
      </c>
      <c r="P1772" t="s">
        <v>107</v>
      </c>
      <c r="Q1772" t="s">
        <v>3708</v>
      </c>
      <c r="R1772">
        <v>43066.750555555554</v>
      </c>
      <c r="S1772">
        <v>43423.884363425925</v>
      </c>
      <c r="T1772" t="s">
        <v>1</v>
      </c>
      <c r="U1772" t="s">
        <v>35</v>
      </c>
      <c r="V1772" t="s">
        <v>35</v>
      </c>
      <c r="W1772" t="s">
        <v>4098</v>
      </c>
    </row>
    <row r="1773" spans="1:23" x14ac:dyDescent="0.25">
      <c r="A1773" t="s">
        <v>633</v>
      </c>
      <c r="B1773" s="19">
        <v>19164</v>
      </c>
      <c r="C1773" s="2">
        <f>HYPERLINK(URLs!B36 &amp; 112466,112466)</f>
        <v>112466</v>
      </c>
      <c r="D1773" t="s">
        <v>4417</v>
      </c>
      <c r="E1773" t="s">
        <v>387</v>
      </c>
      <c r="F1773" t="s">
        <v>305</v>
      </c>
      <c r="G1773" t="s">
        <v>337</v>
      </c>
      <c r="H1773" t="s">
        <v>56</v>
      </c>
      <c r="I1773" t="s">
        <v>68</v>
      </c>
      <c r="J1773" t="s">
        <v>43</v>
      </c>
      <c r="K1773" t="s">
        <v>33</v>
      </c>
      <c r="L1773" t="s">
        <v>73</v>
      </c>
      <c r="M1773" t="s">
        <v>263</v>
      </c>
      <c r="N1773" t="s">
        <v>46</v>
      </c>
      <c r="P1773" t="s">
        <v>3765</v>
      </c>
      <c r="Q1773" t="s">
        <v>4833</v>
      </c>
      <c r="R1773">
        <v>43208.452905092592</v>
      </c>
      <c r="S1773">
        <v>43399.146666666667</v>
      </c>
      <c r="T1773" t="s">
        <v>91</v>
      </c>
      <c r="U1773" t="s">
        <v>35</v>
      </c>
      <c r="V1773" t="s">
        <v>35</v>
      </c>
      <c r="W1773" t="s">
        <v>4231</v>
      </c>
    </row>
    <row r="1774" spans="1:23" x14ac:dyDescent="0.25">
      <c r="A1774" t="s">
        <v>633</v>
      </c>
      <c r="B1774" s="19">
        <v>19164</v>
      </c>
      <c r="C1774" s="2">
        <f>HYPERLINK(URLs!B36 &amp; 112414,112414)</f>
        <v>112414</v>
      </c>
      <c r="D1774" t="s">
        <v>4731</v>
      </c>
      <c r="E1774" t="s">
        <v>490</v>
      </c>
      <c r="F1774" t="s">
        <v>42</v>
      </c>
      <c r="H1774" t="s">
        <v>54</v>
      </c>
      <c r="I1774" t="s">
        <v>68</v>
      </c>
      <c r="J1774" t="s">
        <v>43</v>
      </c>
      <c r="K1774" t="s">
        <v>33</v>
      </c>
      <c r="L1774" t="s">
        <v>73</v>
      </c>
      <c r="M1774" t="s">
        <v>263</v>
      </c>
      <c r="N1774" t="s">
        <v>60</v>
      </c>
      <c r="O1774" t="s">
        <v>5081</v>
      </c>
      <c r="P1774" t="s">
        <v>3765</v>
      </c>
      <c r="R1774">
        <v>43207.438344907408</v>
      </c>
      <c r="S1774">
        <v>43418.392280092594</v>
      </c>
      <c r="T1774" t="s">
        <v>301</v>
      </c>
      <c r="U1774" t="s">
        <v>35</v>
      </c>
      <c r="V1774" t="s">
        <v>35</v>
      </c>
      <c r="W1774" t="s">
        <v>4732</v>
      </c>
    </row>
    <row r="1775" spans="1:23" x14ac:dyDescent="0.25">
      <c r="A1775" t="s">
        <v>633</v>
      </c>
      <c r="B1775" s="19">
        <v>19164</v>
      </c>
      <c r="C1775" s="2">
        <f>HYPERLINK(URLs!B36 &amp; 107377,107377)</f>
        <v>107377</v>
      </c>
      <c r="D1775" t="s">
        <v>3766</v>
      </c>
      <c r="E1775" t="s">
        <v>91</v>
      </c>
      <c r="F1775" t="s">
        <v>305</v>
      </c>
      <c r="G1775" t="s">
        <v>337</v>
      </c>
      <c r="H1775" t="s">
        <v>56</v>
      </c>
      <c r="I1775" t="s">
        <v>68</v>
      </c>
      <c r="J1775" t="s">
        <v>43</v>
      </c>
      <c r="K1775" t="s">
        <v>33</v>
      </c>
      <c r="L1775" t="s">
        <v>73</v>
      </c>
      <c r="M1775" t="s">
        <v>263</v>
      </c>
      <c r="N1775" t="s">
        <v>46</v>
      </c>
      <c r="P1775" t="s">
        <v>3765</v>
      </c>
      <c r="Q1775" t="s">
        <v>159</v>
      </c>
      <c r="R1775">
        <v>43053.620405092595</v>
      </c>
      <c r="S1775">
        <v>43215.862361111111</v>
      </c>
      <c r="T1775" t="s">
        <v>91</v>
      </c>
      <c r="U1775" t="s">
        <v>35</v>
      </c>
      <c r="V1775" t="s">
        <v>35</v>
      </c>
      <c r="W1775" t="s">
        <v>3555</v>
      </c>
    </row>
    <row r="1776" spans="1:23" x14ac:dyDescent="0.25">
      <c r="A1776" t="s">
        <v>633</v>
      </c>
      <c r="B1776" s="19">
        <v>19164</v>
      </c>
      <c r="C1776" s="2">
        <f>HYPERLINK(URLs!B36 &amp; 107325,107325)</f>
        <v>107325</v>
      </c>
      <c r="D1776" t="s">
        <v>3764</v>
      </c>
      <c r="E1776" t="s">
        <v>91</v>
      </c>
      <c r="F1776" t="s">
        <v>42</v>
      </c>
      <c r="H1776" t="s">
        <v>56</v>
      </c>
      <c r="I1776" t="s">
        <v>68</v>
      </c>
      <c r="J1776" t="s">
        <v>43</v>
      </c>
      <c r="K1776" t="s">
        <v>33</v>
      </c>
      <c r="L1776" t="s">
        <v>73</v>
      </c>
      <c r="M1776" t="s">
        <v>263</v>
      </c>
      <c r="N1776" t="s">
        <v>60</v>
      </c>
      <c r="O1776" t="s">
        <v>4233</v>
      </c>
      <c r="P1776" t="s">
        <v>3765</v>
      </c>
      <c r="R1776">
        <v>43052.96570601852</v>
      </c>
      <c r="S1776">
        <v>43382.660960648151</v>
      </c>
      <c r="T1776" t="s">
        <v>2850</v>
      </c>
      <c r="U1776" t="s">
        <v>35</v>
      </c>
      <c r="V1776" t="s">
        <v>35</v>
      </c>
      <c r="W1776" t="s">
        <v>4098</v>
      </c>
    </row>
    <row r="1777" spans="1:23" x14ac:dyDescent="0.25">
      <c r="A1777" t="s">
        <v>633</v>
      </c>
      <c r="B1777" s="19">
        <v>19188</v>
      </c>
      <c r="C1777" s="2">
        <f>HYPERLINK(URLs!B36 &amp; 108199,108199)</f>
        <v>108199</v>
      </c>
      <c r="D1777" t="s">
        <v>3752</v>
      </c>
      <c r="E1777" t="s">
        <v>2</v>
      </c>
      <c r="F1777" t="s">
        <v>305</v>
      </c>
      <c r="G1777" t="s">
        <v>1621</v>
      </c>
      <c r="H1777" t="s">
        <v>54</v>
      </c>
      <c r="I1777" t="s">
        <v>31</v>
      </c>
      <c r="J1777" t="s">
        <v>32</v>
      </c>
      <c r="K1777" t="s">
        <v>33</v>
      </c>
      <c r="L1777" t="s">
        <v>45</v>
      </c>
      <c r="M1777" t="s">
        <v>3753</v>
      </c>
      <c r="N1777" t="s">
        <v>46</v>
      </c>
      <c r="P1777" t="s">
        <v>69</v>
      </c>
      <c r="Q1777" t="s">
        <v>3754</v>
      </c>
      <c r="R1777">
        <v>43070.954236111109</v>
      </c>
      <c r="S1777">
        <v>43423.865115740744</v>
      </c>
      <c r="T1777" t="s">
        <v>2</v>
      </c>
      <c r="U1777" t="s">
        <v>35</v>
      </c>
      <c r="V1777" t="s">
        <v>321</v>
      </c>
      <c r="W1777" t="s">
        <v>4163</v>
      </c>
    </row>
    <row r="1778" spans="1:23" x14ac:dyDescent="0.25">
      <c r="A1778" t="s">
        <v>665</v>
      </c>
      <c r="B1778" s="19">
        <v>19240</v>
      </c>
      <c r="C1778" s="2">
        <f>HYPERLINK(URLs!B36 &amp; 110653,110653)</f>
        <v>110653</v>
      </c>
      <c r="D1778" t="s">
        <v>4346</v>
      </c>
      <c r="E1778" t="s">
        <v>387</v>
      </c>
      <c r="F1778" t="s">
        <v>319</v>
      </c>
      <c r="G1778" t="s">
        <v>304</v>
      </c>
      <c r="H1778" t="s">
        <v>30</v>
      </c>
      <c r="I1778" t="s">
        <v>68</v>
      </c>
      <c r="J1778" t="s">
        <v>43</v>
      </c>
      <c r="K1778" t="s">
        <v>33</v>
      </c>
      <c r="L1778" t="s">
        <v>73</v>
      </c>
      <c r="M1778" t="s">
        <v>263</v>
      </c>
      <c r="N1778" t="s">
        <v>60</v>
      </c>
      <c r="P1778" t="s">
        <v>307</v>
      </c>
      <c r="Q1778" t="s">
        <v>3762</v>
      </c>
      <c r="R1778">
        <v>43153.847418981481</v>
      </c>
      <c r="S1778">
        <v>43215.98332175926</v>
      </c>
      <c r="T1778" t="s">
        <v>70</v>
      </c>
      <c r="U1778" t="s">
        <v>35</v>
      </c>
      <c r="V1778" t="s">
        <v>35</v>
      </c>
      <c r="W1778" t="s">
        <v>4172</v>
      </c>
    </row>
    <row r="1779" spans="1:23" x14ac:dyDescent="0.25">
      <c r="A1779" t="s">
        <v>665</v>
      </c>
      <c r="B1779" s="19">
        <v>19240</v>
      </c>
      <c r="C1779" s="2">
        <f>HYPERLINK(URLs!B36 &amp; 108841,108841)</f>
        <v>108841</v>
      </c>
      <c r="D1779" t="s">
        <v>4063</v>
      </c>
      <c r="E1779" t="s">
        <v>131</v>
      </c>
      <c r="F1779" t="s">
        <v>305</v>
      </c>
      <c r="G1779" t="s">
        <v>337</v>
      </c>
      <c r="H1779" t="s">
        <v>56</v>
      </c>
      <c r="I1779" t="s">
        <v>31</v>
      </c>
      <c r="J1779" t="s">
        <v>43</v>
      </c>
      <c r="K1779" t="s">
        <v>51</v>
      </c>
      <c r="L1779" t="s">
        <v>73</v>
      </c>
      <c r="M1779" t="s">
        <v>263</v>
      </c>
      <c r="N1779" t="s">
        <v>60</v>
      </c>
      <c r="P1779" t="s">
        <v>69</v>
      </c>
      <c r="Q1779" t="s">
        <v>3708</v>
      </c>
      <c r="R1779">
        <v>43084.695173611108</v>
      </c>
      <c r="S1779">
        <v>43423.872511574074</v>
      </c>
      <c r="T1779" t="s">
        <v>301</v>
      </c>
      <c r="U1779" t="s">
        <v>35</v>
      </c>
      <c r="V1779" t="s">
        <v>35</v>
      </c>
      <c r="W1779" t="s">
        <v>4158</v>
      </c>
    </row>
    <row r="1780" spans="1:23" x14ac:dyDescent="0.25">
      <c r="A1780" t="s">
        <v>665</v>
      </c>
      <c r="B1780" s="19">
        <v>19240</v>
      </c>
      <c r="C1780" s="2">
        <f>HYPERLINK(URLs!B36 &amp; 108840,108840)</f>
        <v>108840</v>
      </c>
      <c r="D1780" t="s">
        <v>4062</v>
      </c>
      <c r="E1780" t="s">
        <v>91</v>
      </c>
      <c r="F1780" t="s">
        <v>319</v>
      </c>
      <c r="G1780" t="s">
        <v>304</v>
      </c>
      <c r="H1780" t="s">
        <v>56</v>
      </c>
      <c r="I1780" t="s">
        <v>31</v>
      </c>
      <c r="J1780" t="s">
        <v>43</v>
      </c>
      <c r="K1780" t="s">
        <v>2156</v>
      </c>
      <c r="L1780" t="s">
        <v>73</v>
      </c>
      <c r="M1780" t="s">
        <v>263</v>
      </c>
      <c r="N1780" t="s">
        <v>582</v>
      </c>
      <c r="P1780" t="s">
        <v>69</v>
      </c>
      <c r="Q1780" t="s">
        <v>69</v>
      </c>
      <c r="R1780">
        <v>43084.694374999999</v>
      </c>
      <c r="S1780">
        <v>43228.690555555557</v>
      </c>
      <c r="T1780" t="s">
        <v>301</v>
      </c>
      <c r="U1780" t="s">
        <v>4239</v>
      </c>
      <c r="V1780" t="s">
        <v>35</v>
      </c>
      <c r="W1780" t="s">
        <v>4171</v>
      </c>
    </row>
    <row r="1781" spans="1:23" x14ac:dyDescent="0.25">
      <c r="A1781" t="s">
        <v>665</v>
      </c>
      <c r="B1781" s="19">
        <v>19240</v>
      </c>
      <c r="C1781" s="2">
        <f>HYPERLINK(URLs!B36 &amp; 108839,108839)</f>
        <v>108839</v>
      </c>
      <c r="D1781" t="s">
        <v>4061</v>
      </c>
      <c r="E1781" t="s">
        <v>131</v>
      </c>
      <c r="F1781" t="s">
        <v>305</v>
      </c>
      <c r="G1781" t="s">
        <v>337</v>
      </c>
      <c r="H1781" t="s">
        <v>54</v>
      </c>
      <c r="I1781" t="s">
        <v>31</v>
      </c>
      <c r="J1781" t="s">
        <v>32</v>
      </c>
      <c r="K1781" t="s">
        <v>44</v>
      </c>
      <c r="L1781" t="s">
        <v>73</v>
      </c>
      <c r="M1781" t="s">
        <v>263</v>
      </c>
      <c r="N1781" t="s">
        <v>60</v>
      </c>
      <c r="P1781" t="s">
        <v>69</v>
      </c>
      <c r="Q1781" t="s">
        <v>2481</v>
      </c>
      <c r="R1781">
        <v>43084.693657407406</v>
      </c>
      <c r="S1781">
        <v>43215.864189814813</v>
      </c>
      <c r="T1781" t="s">
        <v>301</v>
      </c>
      <c r="U1781" t="s">
        <v>35</v>
      </c>
      <c r="V1781" t="s">
        <v>321</v>
      </c>
      <c r="W1781" t="s">
        <v>307</v>
      </c>
    </row>
    <row r="1782" spans="1:23" x14ac:dyDescent="0.25">
      <c r="A1782" t="s">
        <v>665</v>
      </c>
      <c r="B1782" s="19">
        <v>19240</v>
      </c>
      <c r="C1782" s="2">
        <f>HYPERLINK(URLs!B36 &amp; 108797,108797)</f>
        <v>108797</v>
      </c>
      <c r="D1782" t="s">
        <v>4045</v>
      </c>
      <c r="E1782" t="s">
        <v>112</v>
      </c>
      <c r="F1782" t="s">
        <v>67</v>
      </c>
      <c r="H1782" t="s">
        <v>116</v>
      </c>
      <c r="I1782" t="s">
        <v>31</v>
      </c>
      <c r="J1782" t="s">
        <v>32</v>
      </c>
      <c r="K1782" t="s">
        <v>51</v>
      </c>
      <c r="L1782" t="s">
        <v>73</v>
      </c>
      <c r="M1782" t="s">
        <v>263</v>
      </c>
      <c r="N1782" t="s">
        <v>518</v>
      </c>
      <c r="P1782" t="s">
        <v>69</v>
      </c>
      <c r="R1782">
        <v>43083.688206018516</v>
      </c>
      <c r="S1782">
        <v>43215.837592592594</v>
      </c>
      <c r="T1782" t="s">
        <v>301</v>
      </c>
      <c r="U1782" t="s">
        <v>35</v>
      </c>
      <c r="V1782" t="s">
        <v>321</v>
      </c>
      <c r="W1782" t="s">
        <v>4171</v>
      </c>
    </row>
    <row r="1783" spans="1:23" x14ac:dyDescent="0.25">
      <c r="A1783" t="s">
        <v>665</v>
      </c>
      <c r="B1783" s="19">
        <v>19240</v>
      </c>
      <c r="C1783" s="2">
        <f>HYPERLINK(URLs!B36 &amp; 108795,108795)</f>
        <v>108795</v>
      </c>
      <c r="D1783" t="s">
        <v>4238</v>
      </c>
      <c r="E1783" t="s">
        <v>70</v>
      </c>
      <c r="F1783" t="s">
        <v>305</v>
      </c>
      <c r="G1783" t="s">
        <v>337</v>
      </c>
      <c r="H1783" t="s">
        <v>30</v>
      </c>
      <c r="I1783" t="s">
        <v>68</v>
      </c>
      <c r="J1783" t="s">
        <v>43</v>
      </c>
      <c r="K1783" t="s">
        <v>33</v>
      </c>
      <c r="L1783" t="s">
        <v>73</v>
      </c>
      <c r="M1783" t="s">
        <v>263</v>
      </c>
      <c r="N1783" t="s">
        <v>60</v>
      </c>
      <c r="P1783" t="s">
        <v>69</v>
      </c>
      <c r="Q1783" t="s">
        <v>2731</v>
      </c>
      <c r="R1783">
        <v>43083.687280092592</v>
      </c>
      <c r="S1783">
        <v>43237.680949074071</v>
      </c>
      <c r="T1783" t="s">
        <v>301</v>
      </c>
      <c r="U1783" t="s">
        <v>35</v>
      </c>
      <c r="V1783" t="s">
        <v>35</v>
      </c>
      <c r="W1783" t="s">
        <v>307</v>
      </c>
    </row>
    <row r="1784" spans="1:23" x14ac:dyDescent="0.25">
      <c r="A1784" t="s">
        <v>665</v>
      </c>
      <c r="B1784" s="19">
        <v>19240</v>
      </c>
      <c r="C1784" s="2">
        <f>HYPERLINK(URLs!B36 &amp; 108794,108794)</f>
        <v>108794</v>
      </c>
      <c r="D1784" t="s">
        <v>4044</v>
      </c>
      <c r="E1784" t="s">
        <v>112</v>
      </c>
      <c r="F1784" t="s">
        <v>305</v>
      </c>
      <c r="G1784" t="s">
        <v>337</v>
      </c>
      <c r="H1784" t="s">
        <v>116</v>
      </c>
      <c r="I1784" t="s">
        <v>31</v>
      </c>
      <c r="J1784" t="s">
        <v>32</v>
      </c>
      <c r="K1784" t="s">
        <v>51</v>
      </c>
      <c r="L1784" t="s">
        <v>73</v>
      </c>
      <c r="M1784" t="s">
        <v>263</v>
      </c>
      <c r="N1784" t="s">
        <v>60</v>
      </c>
      <c r="P1784" t="s">
        <v>69</v>
      </c>
      <c r="Q1784" t="s">
        <v>3708</v>
      </c>
      <c r="R1784">
        <v>43083.686678240738</v>
      </c>
      <c r="S1784">
        <v>43423.872361111113</v>
      </c>
      <c r="T1784" t="s">
        <v>301</v>
      </c>
      <c r="U1784" t="s">
        <v>35</v>
      </c>
      <c r="V1784" t="s">
        <v>321</v>
      </c>
      <c r="W1784" t="s">
        <v>4158</v>
      </c>
    </row>
    <row r="1785" spans="1:23" x14ac:dyDescent="0.25">
      <c r="A1785" t="s">
        <v>665</v>
      </c>
      <c r="B1785" s="19">
        <v>19240</v>
      </c>
      <c r="C1785" s="2">
        <f>HYPERLINK(URLs!B36 &amp; 108535,108535)</f>
        <v>108535</v>
      </c>
      <c r="D1785" t="s">
        <v>4038</v>
      </c>
      <c r="E1785" t="s">
        <v>70</v>
      </c>
      <c r="F1785" t="s">
        <v>42</v>
      </c>
      <c r="H1785" t="s">
        <v>116</v>
      </c>
      <c r="I1785" t="s">
        <v>31</v>
      </c>
      <c r="J1785" t="s">
        <v>32</v>
      </c>
      <c r="K1785" t="s">
        <v>51</v>
      </c>
      <c r="L1785" t="s">
        <v>73</v>
      </c>
      <c r="M1785" t="s">
        <v>263</v>
      </c>
      <c r="N1785" t="s">
        <v>60</v>
      </c>
      <c r="O1785" t="s">
        <v>4237</v>
      </c>
      <c r="P1785" t="s">
        <v>69</v>
      </c>
      <c r="R1785">
        <v>43080.352662037039</v>
      </c>
      <c r="S1785">
        <v>43336.409363425926</v>
      </c>
      <c r="T1785" t="s">
        <v>4</v>
      </c>
      <c r="U1785" t="s">
        <v>35</v>
      </c>
      <c r="V1785" t="s">
        <v>321</v>
      </c>
      <c r="W1785" t="s">
        <v>4098</v>
      </c>
    </row>
    <row r="1786" spans="1:23" x14ac:dyDescent="0.25">
      <c r="A1786" t="s">
        <v>665</v>
      </c>
      <c r="B1786" s="19">
        <v>19240</v>
      </c>
      <c r="C1786" s="2">
        <f>HYPERLINK(URLs!B36 &amp; 98910,98910)</f>
        <v>98910</v>
      </c>
      <c r="D1786" t="s">
        <v>4067</v>
      </c>
      <c r="E1786" t="s">
        <v>110</v>
      </c>
      <c r="F1786" t="s">
        <v>319</v>
      </c>
      <c r="G1786" t="s">
        <v>304</v>
      </c>
      <c r="H1786" t="s">
        <v>30</v>
      </c>
      <c r="I1786" t="s">
        <v>68</v>
      </c>
      <c r="J1786" t="s">
        <v>43</v>
      </c>
      <c r="K1786" t="s">
        <v>33</v>
      </c>
      <c r="L1786" t="s">
        <v>73</v>
      </c>
      <c r="M1786" t="s">
        <v>263</v>
      </c>
      <c r="N1786" t="s">
        <v>60</v>
      </c>
      <c r="P1786" t="s">
        <v>307</v>
      </c>
      <c r="Q1786" t="s">
        <v>3762</v>
      </c>
      <c r="R1786">
        <v>42856.738692129627</v>
      </c>
      <c r="S1786">
        <v>43088.86273148148</v>
      </c>
      <c r="T1786" t="s">
        <v>53</v>
      </c>
      <c r="U1786" t="s">
        <v>35</v>
      </c>
      <c r="V1786" t="s">
        <v>35</v>
      </c>
      <c r="W1786" t="s">
        <v>4158</v>
      </c>
    </row>
    <row r="1787" spans="1:23" x14ac:dyDescent="0.25">
      <c r="A1787" t="s">
        <v>665</v>
      </c>
      <c r="B1787" s="19">
        <v>19240</v>
      </c>
      <c r="C1787" s="2">
        <f>HYPERLINK(URLs!B36 &amp; 98774,98774)</f>
        <v>98774</v>
      </c>
      <c r="D1787" t="s">
        <v>4066</v>
      </c>
      <c r="E1787" t="s">
        <v>110</v>
      </c>
      <c r="F1787" t="s">
        <v>319</v>
      </c>
      <c r="G1787" t="s">
        <v>304</v>
      </c>
      <c r="H1787" t="s">
        <v>30</v>
      </c>
      <c r="I1787" t="s">
        <v>68</v>
      </c>
      <c r="J1787" t="s">
        <v>43</v>
      </c>
      <c r="K1787" t="s">
        <v>33</v>
      </c>
      <c r="L1787" t="s">
        <v>73</v>
      </c>
      <c r="M1787" t="s">
        <v>263</v>
      </c>
      <c r="N1787" t="s">
        <v>60</v>
      </c>
      <c r="P1787" t="s">
        <v>307</v>
      </c>
      <c r="Q1787" t="s">
        <v>3762</v>
      </c>
      <c r="R1787">
        <v>42851.821701388886</v>
      </c>
      <c r="S1787">
        <v>43153.850011574075</v>
      </c>
      <c r="T1787" t="s">
        <v>3313</v>
      </c>
      <c r="U1787" t="s">
        <v>35</v>
      </c>
      <c r="V1787" t="s">
        <v>35</v>
      </c>
      <c r="W1787" t="s">
        <v>4098</v>
      </c>
    </row>
    <row r="1788" spans="1:23" x14ac:dyDescent="0.25">
      <c r="A1788" t="s">
        <v>618</v>
      </c>
      <c r="B1788" s="19">
        <v>19256</v>
      </c>
      <c r="C1788" s="2">
        <f>HYPERLINK(URLs!B36 &amp; 109014,109014)</f>
        <v>109014</v>
      </c>
      <c r="D1788" t="s">
        <v>4075</v>
      </c>
      <c r="E1788" t="s">
        <v>112</v>
      </c>
      <c r="F1788" t="s">
        <v>67</v>
      </c>
      <c r="H1788" t="s">
        <v>54</v>
      </c>
      <c r="I1788" t="s">
        <v>68</v>
      </c>
      <c r="J1788" t="s">
        <v>58</v>
      </c>
      <c r="K1788" t="s">
        <v>44</v>
      </c>
      <c r="L1788" t="s">
        <v>73</v>
      </c>
      <c r="M1788" t="s">
        <v>263</v>
      </c>
      <c r="N1788" t="s">
        <v>3777</v>
      </c>
      <c r="P1788" t="s">
        <v>69</v>
      </c>
      <c r="R1788">
        <v>43091.823240740741</v>
      </c>
      <c r="S1788">
        <v>43215.863622685189</v>
      </c>
      <c r="T1788" t="s">
        <v>301</v>
      </c>
      <c r="U1788" t="s">
        <v>35</v>
      </c>
      <c r="V1788" t="s">
        <v>35</v>
      </c>
      <c r="W1788" t="s">
        <v>4171</v>
      </c>
    </row>
    <row r="1789" spans="1:23" x14ac:dyDescent="0.25">
      <c r="A1789" t="s">
        <v>618</v>
      </c>
      <c r="B1789" s="19">
        <v>19256</v>
      </c>
      <c r="C1789" s="2">
        <f>HYPERLINK(URLs!B36 &amp; 109013,109013)</f>
        <v>109013</v>
      </c>
      <c r="D1789" t="s">
        <v>4074</v>
      </c>
      <c r="E1789" t="s">
        <v>387</v>
      </c>
      <c r="F1789" t="s">
        <v>305</v>
      </c>
      <c r="G1789" t="s">
        <v>328</v>
      </c>
      <c r="H1789" t="s">
        <v>54</v>
      </c>
      <c r="I1789" t="s">
        <v>68</v>
      </c>
      <c r="J1789" t="s">
        <v>58</v>
      </c>
      <c r="K1789" t="s">
        <v>44</v>
      </c>
      <c r="L1789" t="s">
        <v>73</v>
      </c>
      <c r="M1789" t="s">
        <v>263</v>
      </c>
      <c r="N1789" t="s">
        <v>3777</v>
      </c>
      <c r="P1789" t="s">
        <v>69</v>
      </c>
      <c r="Q1789" t="s">
        <v>2481</v>
      </c>
      <c r="R1789">
        <v>43091.82240740741</v>
      </c>
      <c r="S1789">
        <v>43215.863622685189</v>
      </c>
      <c r="T1789" t="s">
        <v>301</v>
      </c>
      <c r="U1789" t="s">
        <v>35</v>
      </c>
      <c r="V1789" t="s">
        <v>35</v>
      </c>
      <c r="W1789" t="s">
        <v>307</v>
      </c>
    </row>
    <row r="1790" spans="1:23" x14ac:dyDescent="0.25">
      <c r="A1790" t="s">
        <v>618</v>
      </c>
      <c r="B1790" s="19">
        <v>19256</v>
      </c>
      <c r="C1790" s="2">
        <f>HYPERLINK(URLs!B36 &amp; 109012,109012)</f>
        <v>109012</v>
      </c>
      <c r="D1790" t="s">
        <v>4073</v>
      </c>
      <c r="E1790" t="s">
        <v>112</v>
      </c>
      <c r="F1790" t="s">
        <v>305</v>
      </c>
      <c r="G1790" t="s">
        <v>337</v>
      </c>
      <c r="H1790" t="s">
        <v>54</v>
      </c>
      <c r="I1790" t="s">
        <v>68</v>
      </c>
      <c r="J1790" t="s">
        <v>58</v>
      </c>
      <c r="K1790" t="s">
        <v>44</v>
      </c>
      <c r="L1790" t="s">
        <v>73</v>
      </c>
      <c r="M1790" t="s">
        <v>263</v>
      </c>
      <c r="N1790" t="s">
        <v>3777</v>
      </c>
      <c r="P1790" t="s">
        <v>69</v>
      </c>
      <c r="Q1790" t="s">
        <v>3708</v>
      </c>
      <c r="R1790">
        <v>43091.821655092594</v>
      </c>
      <c r="S1790">
        <v>43423.872511574074</v>
      </c>
      <c r="T1790" t="s">
        <v>301</v>
      </c>
      <c r="U1790" t="s">
        <v>35</v>
      </c>
      <c r="V1790" t="s">
        <v>35</v>
      </c>
      <c r="W1790" t="s">
        <v>4158</v>
      </c>
    </row>
    <row r="1791" spans="1:23" x14ac:dyDescent="0.25">
      <c r="A1791" t="s">
        <v>618</v>
      </c>
      <c r="B1791" s="19">
        <v>19256</v>
      </c>
      <c r="C1791" s="2">
        <f>HYPERLINK(URLs!B36 &amp; 108603,108603)</f>
        <v>108603</v>
      </c>
      <c r="D1791" t="s">
        <v>4069</v>
      </c>
      <c r="E1791" t="s">
        <v>112</v>
      </c>
      <c r="F1791" t="s">
        <v>42</v>
      </c>
      <c r="H1791" t="s">
        <v>54</v>
      </c>
      <c r="I1791" t="s">
        <v>68</v>
      </c>
      <c r="J1791" t="s">
        <v>58</v>
      </c>
      <c r="K1791" t="s">
        <v>44</v>
      </c>
      <c r="L1791" t="s">
        <v>73</v>
      </c>
      <c r="M1791" t="s">
        <v>263</v>
      </c>
      <c r="N1791" t="s">
        <v>3777</v>
      </c>
      <c r="O1791" t="s">
        <v>3775</v>
      </c>
      <c r="P1791" t="s">
        <v>69</v>
      </c>
      <c r="R1791">
        <v>43081.395416666666</v>
      </c>
      <c r="S1791">
        <v>43350.813159722224</v>
      </c>
      <c r="T1791" t="s">
        <v>4</v>
      </c>
      <c r="U1791" t="s">
        <v>35</v>
      </c>
      <c r="V1791" t="s">
        <v>35</v>
      </c>
      <c r="W1791" t="s">
        <v>4098</v>
      </c>
    </row>
    <row r="1792" spans="1:23" x14ac:dyDescent="0.25">
      <c r="A1792" t="s">
        <v>633</v>
      </c>
      <c r="B1792" s="19">
        <v>19261</v>
      </c>
      <c r="C1792" s="2">
        <f>HYPERLINK(URLs!B36 &amp; 108793,108793)</f>
        <v>108793</v>
      </c>
      <c r="D1792" t="s">
        <v>4051</v>
      </c>
      <c r="E1792" t="s">
        <v>112</v>
      </c>
      <c r="F1792" t="s">
        <v>319</v>
      </c>
      <c r="G1792" t="s">
        <v>304</v>
      </c>
      <c r="H1792" t="s">
        <v>54</v>
      </c>
      <c r="I1792" t="s">
        <v>31</v>
      </c>
      <c r="J1792" t="s">
        <v>43</v>
      </c>
      <c r="K1792" t="s">
        <v>44</v>
      </c>
      <c r="L1792" t="s">
        <v>73</v>
      </c>
      <c r="M1792" t="s">
        <v>263</v>
      </c>
      <c r="N1792" t="s">
        <v>3711</v>
      </c>
      <c r="P1792" t="s">
        <v>69</v>
      </c>
      <c r="Q1792" t="s">
        <v>69</v>
      </c>
      <c r="R1792">
        <v>43083.683703703704</v>
      </c>
      <c r="S1792">
        <v>43404.501516203702</v>
      </c>
      <c r="T1792" t="s">
        <v>301</v>
      </c>
      <c r="U1792" t="s">
        <v>4072</v>
      </c>
      <c r="V1792" t="s">
        <v>35</v>
      </c>
      <c r="W1792" t="s">
        <v>4171</v>
      </c>
    </row>
    <row r="1793" spans="1:23" x14ac:dyDescent="0.25">
      <c r="A1793" t="s">
        <v>633</v>
      </c>
      <c r="B1793" s="19">
        <v>19261</v>
      </c>
      <c r="C1793" s="2">
        <f>HYPERLINK(URLs!B36 &amp; 108792,108792)</f>
        <v>108792</v>
      </c>
      <c r="D1793" t="s">
        <v>4050</v>
      </c>
      <c r="E1793" t="s">
        <v>112</v>
      </c>
      <c r="F1793" t="s">
        <v>305</v>
      </c>
      <c r="G1793" t="s">
        <v>304</v>
      </c>
      <c r="H1793" t="s">
        <v>54</v>
      </c>
      <c r="I1793" t="s">
        <v>31</v>
      </c>
      <c r="J1793" t="s">
        <v>43</v>
      </c>
      <c r="K1793" t="s">
        <v>44</v>
      </c>
      <c r="L1793" t="s">
        <v>73</v>
      </c>
      <c r="M1793" t="s">
        <v>263</v>
      </c>
      <c r="N1793" t="s">
        <v>572</v>
      </c>
      <c r="P1793" t="s">
        <v>69</v>
      </c>
      <c r="Q1793" t="s">
        <v>3762</v>
      </c>
      <c r="R1793">
        <v>43083.682997685188</v>
      </c>
      <c r="S1793">
        <v>43215.917395833334</v>
      </c>
      <c r="T1793" t="s">
        <v>301</v>
      </c>
      <c r="U1793" t="s">
        <v>4071</v>
      </c>
      <c r="V1793" t="s">
        <v>35</v>
      </c>
      <c r="W1793" t="s">
        <v>307</v>
      </c>
    </row>
    <row r="1794" spans="1:23" x14ac:dyDescent="0.25">
      <c r="A1794" t="s">
        <v>633</v>
      </c>
      <c r="B1794" s="19">
        <v>19261</v>
      </c>
      <c r="C1794" s="2">
        <f>HYPERLINK(URLs!B36 &amp; 108791,108791)</f>
        <v>108791</v>
      </c>
      <c r="D1794" t="s">
        <v>4049</v>
      </c>
      <c r="E1794" t="s">
        <v>112</v>
      </c>
      <c r="F1794" t="s">
        <v>319</v>
      </c>
      <c r="G1794" t="s">
        <v>304</v>
      </c>
      <c r="H1794" t="s">
        <v>56</v>
      </c>
      <c r="I1794" t="s">
        <v>31</v>
      </c>
      <c r="J1794" t="s">
        <v>43</v>
      </c>
      <c r="K1794" t="s">
        <v>2156</v>
      </c>
      <c r="L1794" t="s">
        <v>73</v>
      </c>
      <c r="M1794" t="s">
        <v>263</v>
      </c>
      <c r="N1794" t="s">
        <v>121</v>
      </c>
      <c r="P1794" t="s">
        <v>69</v>
      </c>
      <c r="Q1794" t="s">
        <v>3762</v>
      </c>
      <c r="R1794">
        <v>43083.681851851848</v>
      </c>
      <c r="S1794">
        <v>43215.917384259257</v>
      </c>
      <c r="T1794" t="s">
        <v>301</v>
      </c>
      <c r="U1794" t="s">
        <v>35</v>
      </c>
      <c r="V1794" t="s">
        <v>35</v>
      </c>
      <c r="W1794" t="s">
        <v>4172</v>
      </c>
    </row>
    <row r="1795" spans="1:23" x14ac:dyDescent="0.25">
      <c r="A1795" t="s">
        <v>633</v>
      </c>
      <c r="B1795" s="19">
        <v>19261</v>
      </c>
      <c r="C1795" s="2">
        <f>HYPERLINK(URLs!B36 &amp; 108640,108640)</f>
        <v>108640</v>
      </c>
      <c r="D1795" t="s">
        <v>4048</v>
      </c>
      <c r="E1795" t="s">
        <v>112</v>
      </c>
      <c r="F1795" t="s">
        <v>319</v>
      </c>
      <c r="G1795" t="s">
        <v>304</v>
      </c>
      <c r="H1795" t="s">
        <v>56</v>
      </c>
      <c r="I1795" t="s">
        <v>31</v>
      </c>
      <c r="J1795" t="s">
        <v>43</v>
      </c>
      <c r="K1795" t="s">
        <v>2156</v>
      </c>
      <c r="L1795" t="s">
        <v>73</v>
      </c>
      <c r="M1795" t="s">
        <v>263</v>
      </c>
      <c r="N1795" t="s">
        <v>60</v>
      </c>
      <c r="P1795" t="s">
        <v>69</v>
      </c>
      <c r="Q1795" t="s">
        <v>3762</v>
      </c>
      <c r="R1795">
        <v>43081.766481481478</v>
      </c>
      <c r="S1795">
        <v>43215.917384259257</v>
      </c>
      <c r="T1795" t="s">
        <v>131</v>
      </c>
      <c r="U1795" t="s">
        <v>35</v>
      </c>
      <c r="V1795" t="s">
        <v>35</v>
      </c>
      <c r="W1795" t="s">
        <v>4098</v>
      </c>
    </row>
    <row r="1796" spans="1:23" x14ac:dyDescent="0.25">
      <c r="A1796" t="s">
        <v>633</v>
      </c>
      <c r="B1796" s="19">
        <v>19262</v>
      </c>
      <c r="C1796" s="2">
        <f>HYPERLINK(URLs!B36 &amp; 108906,108906)</f>
        <v>108906</v>
      </c>
      <c r="D1796" t="s">
        <v>4065</v>
      </c>
      <c r="E1796" t="s">
        <v>72</v>
      </c>
      <c r="F1796" t="s">
        <v>319</v>
      </c>
      <c r="G1796" t="s">
        <v>304</v>
      </c>
      <c r="H1796" t="s">
        <v>56</v>
      </c>
      <c r="I1796" t="s">
        <v>31</v>
      </c>
      <c r="J1796" t="s">
        <v>32</v>
      </c>
      <c r="K1796" t="s">
        <v>44</v>
      </c>
      <c r="L1796" t="s">
        <v>73</v>
      </c>
      <c r="M1796" t="s">
        <v>263</v>
      </c>
      <c r="N1796" t="s">
        <v>121</v>
      </c>
      <c r="P1796" t="s">
        <v>69</v>
      </c>
      <c r="Q1796" t="s">
        <v>3762</v>
      </c>
      <c r="R1796">
        <v>43087.97960648148</v>
      </c>
      <c r="S1796">
        <v>43090.940405092595</v>
      </c>
      <c r="T1796" t="s">
        <v>131</v>
      </c>
      <c r="U1796" t="s">
        <v>35</v>
      </c>
      <c r="V1796" t="s">
        <v>35</v>
      </c>
      <c r="W1796" t="s">
        <v>4172</v>
      </c>
    </row>
    <row r="1797" spans="1:23" x14ac:dyDescent="0.25">
      <c r="A1797" t="s">
        <v>633</v>
      </c>
      <c r="B1797" s="19">
        <v>19262</v>
      </c>
      <c r="C1797" s="2">
        <f>HYPERLINK(URLs!B36 &amp; 108742,108742)</f>
        <v>108742</v>
      </c>
      <c r="D1797" t="s">
        <v>4043</v>
      </c>
      <c r="E1797" t="s">
        <v>131</v>
      </c>
      <c r="F1797" t="s">
        <v>305</v>
      </c>
      <c r="G1797" t="s">
        <v>304</v>
      </c>
      <c r="H1797" t="s">
        <v>56</v>
      </c>
      <c r="I1797" t="s">
        <v>31</v>
      </c>
      <c r="J1797" t="s">
        <v>32</v>
      </c>
      <c r="K1797" t="s">
        <v>44</v>
      </c>
      <c r="L1797" t="s">
        <v>73</v>
      </c>
      <c r="M1797" t="s">
        <v>263</v>
      </c>
      <c r="N1797" t="s">
        <v>572</v>
      </c>
      <c r="P1797" t="s">
        <v>69</v>
      </c>
      <c r="Q1797" t="s">
        <v>3762</v>
      </c>
      <c r="R1797">
        <v>43083.002233796295</v>
      </c>
      <c r="S1797">
        <v>43214.207430555558</v>
      </c>
      <c r="T1797" t="s">
        <v>131</v>
      </c>
      <c r="U1797" t="s">
        <v>4071</v>
      </c>
      <c r="V1797" t="s">
        <v>35</v>
      </c>
      <c r="W1797" t="s">
        <v>307</v>
      </c>
    </row>
    <row r="1798" spans="1:23" x14ac:dyDescent="0.25">
      <c r="A1798" t="s">
        <v>633</v>
      </c>
      <c r="B1798" s="19">
        <v>19262</v>
      </c>
      <c r="C1798" s="2">
        <f>HYPERLINK(URLs!B36 &amp; 108741,108741)</f>
        <v>108741</v>
      </c>
      <c r="D1798" t="s">
        <v>4042</v>
      </c>
      <c r="E1798" t="s">
        <v>131</v>
      </c>
      <c r="F1798" t="s">
        <v>319</v>
      </c>
      <c r="G1798" t="s">
        <v>304</v>
      </c>
      <c r="H1798" t="s">
        <v>56</v>
      </c>
      <c r="I1798" t="s">
        <v>31</v>
      </c>
      <c r="J1798" t="s">
        <v>32</v>
      </c>
      <c r="K1798" t="s">
        <v>2156</v>
      </c>
      <c r="L1798" t="s">
        <v>73</v>
      </c>
      <c r="M1798" t="s">
        <v>263</v>
      </c>
      <c r="N1798" t="s">
        <v>60</v>
      </c>
      <c r="P1798" t="s">
        <v>69</v>
      </c>
      <c r="Q1798" t="s">
        <v>3762</v>
      </c>
      <c r="R1798">
        <v>43083.002245370371</v>
      </c>
      <c r="S1798">
        <v>43097.786446759259</v>
      </c>
      <c r="T1798" t="s">
        <v>131</v>
      </c>
      <c r="U1798" t="s">
        <v>35</v>
      </c>
      <c r="V1798" t="s">
        <v>35</v>
      </c>
      <c r="W1798" t="s">
        <v>4098</v>
      </c>
    </row>
    <row r="1799" spans="1:23" x14ac:dyDescent="0.25">
      <c r="A1799" t="s">
        <v>633</v>
      </c>
      <c r="B1799" s="19">
        <v>19262</v>
      </c>
      <c r="C1799" s="2">
        <f>HYPERLINK(URLs!B36 &amp; 108638,108638)</f>
        <v>108638</v>
      </c>
      <c r="D1799" t="s">
        <v>4040</v>
      </c>
      <c r="E1799" t="s">
        <v>131</v>
      </c>
      <c r="F1799" t="s">
        <v>319</v>
      </c>
      <c r="G1799" t="s">
        <v>304</v>
      </c>
      <c r="H1799" t="s">
        <v>116</v>
      </c>
      <c r="I1799" t="s">
        <v>31</v>
      </c>
      <c r="J1799" t="s">
        <v>32</v>
      </c>
      <c r="K1799" t="s">
        <v>44</v>
      </c>
      <c r="L1799" t="s">
        <v>73</v>
      </c>
      <c r="M1799" t="s">
        <v>263</v>
      </c>
      <c r="N1799" t="s">
        <v>3513</v>
      </c>
      <c r="P1799" t="s">
        <v>69</v>
      </c>
      <c r="Q1799" t="s">
        <v>3762</v>
      </c>
      <c r="R1799">
        <v>43081.760775462964</v>
      </c>
      <c r="S1799">
        <v>43404.499351851853</v>
      </c>
      <c r="T1799" t="s">
        <v>131</v>
      </c>
      <c r="U1799" t="s">
        <v>4070</v>
      </c>
      <c r="V1799" t="s">
        <v>35</v>
      </c>
      <c r="W1799" t="s">
        <v>4171</v>
      </c>
    </row>
    <row r="1800" spans="1:23" x14ac:dyDescent="0.25">
      <c r="A1800" t="s">
        <v>618</v>
      </c>
      <c r="B1800" s="19">
        <v>19291</v>
      </c>
      <c r="C1800" s="2">
        <f>HYPERLINK(URLs!B36 &amp; 115369,115369)</f>
        <v>115369</v>
      </c>
      <c r="D1800" t="s">
        <v>4464</v>
      </c>
      <c r="E1800" t="s">
        <v>387</v>
      </c>
      <c r="F1800" t="s">
        <v>67</v>
      </c>
      <c r="H1800" t="s">
        <v>54</v>
      </c>
      <c r="I1800" t="s">
        <v>31</v>
      </c>
      <c r="J1800" t="s">
        <v>43</v>
      </c>
      <c r="K1800" t="s">
        <v>51</v>
      </c>
      <c r="L1800" t="s">
        <v>73</v>
      </c>
      <c r="M1800" t="s">
        <v>263</v>
      </c>
      <c r="N1800" t="s">
        <v>4921</v>
      </c>
      <c r="P1800" t="s">
        <v>69</v>
      </c>
      <c r="R1800">
        <v>43265.890451388892</v>
      </c>
      <c r="S1800">
        <v>43397.934016203704</v>
      </c>
      <c r="T1800" t="s">
        <v>53</v>
      </c>
      <c r="U1800" t="s">
        <v>35</v>
      </c>
      <c r="V1800" t="s">
        <v>35</v>
      </c>
      <c r="W1800" t="s">
        <v>4410</v>
      </c>
    </row>
    <row r="1801" spans="1:23" x14ac:dyDescent="0.25">
      <c r="A1801" t="s">
        <v>618</v>
      </c>
      <c r="B1801" s="19">
        <v>19291</v>
      </c>
      <c r="C1801" s="2">
        <f>HYPERLINK(URLs!B36 &amp; 108810,108810)</f>
        <v>108810</v>
      </c>
      <c r="D1801" t="s">
        <v>4060</v>
      </c>
      <c r="E1801" t="s">
        <v>91</v>
      </c>
      <c r="F1801" t="s">
        <v>42</v>
      </c>
      <c r="H1801" t="s">
        <v>56</v>
      </c>
      <c r="I1801" t="s">
        <v>31</v>
      </c>
      <c r="J1801" t="s">
        <v>43</v>
      </c>
      <c r="K1801" t="s">
        <v>51</v>
      </c>
      <c r="L1801" t="s">
        <v>73</v>
      </c>
      <c r="M1801" t="s">
        <v>263</v>
      </c>
      <c r="N1801" t="s">
        <v>60</v>
      </c>
      <c r="P1801" t="s">
        <v>69</v>
      </c>
      <c r="R1801">
        <v>43083.993043981478</v>
      </c>
      <c r="S1801">
        <v>43382.660983796297</v>
      </c>
      <c r="T1801" t="s">
        <v>131</v>
      </c>
      <c r="U1801" t="s">
        <v>35</v>
      </c>
      <c r="V1801" t="s">
        <v>35</v>
      </c>
      <c r="W1801" t="s">
        <v>4098</v>
      </c>
    </row>
    <row r="1802" spans="1:23" x14ac:dyDescent="0.25">
      <c r="A1802" t="s">
        <v>633</v>
      </c>
      <c r="B1802" s="19">
        <v>19300</v>
      </c>
      <c r="C1802" s="2">
        <f>HYPERLINK(URLs!B36 &amp; 109262,109262)</f>
        <v>109262</v>
      </c>
      <c r="D1802" t="s">
        <v>4093</v>
      </c>
      <c r="E1802" t="s">
        <v>288</v>
      </c>
      <c r="F1802" t="s">
        <v>305</v>
      </c>
      <c r="G1802" t="s">
        <v>304</v>
      </c>
      <c r="H1802" t="s">
        <v>116</v>
      </c>
      <c r="I1802" t="s">
        <v>31</v>
      </c>
      <c r="J1802" t="s">
        <v>32</v>
      </c>
      <c r="K1802" t="s">
        <v>2156</v>
      </c>
      <c r="L1802" t="s">
        <v>380</v>
      </c>
      <c r="M1802" t="s">
        <v>434</v>
      </c>
      <c r="N1802" t="s">
        <v>582</v>
      </c>
      <c r="P1802" t="s">
        <v>69</v>
      </c>
      <c r="Q1802" t="s">
        <v>69</v>
      </c>
      <c r="R1802">
        <v>43110.188356481478</v>
      </c>
      <c r="S1802">
        <v>43399.373252314814</v>
      </c>
      <c r="T1802" t="s">
        <v>288</v>
      </c>
      <c r="U1802" t="s">
        <v>4058</v>
      </c>
      <c r="V1802" t="s">
        <v>321</v>
      </c>
      <c r="W1802" t="s">
        <v>4171</v>
      </c>
    </row>
    <row r="1803" spans="1:23" x14ac:dyDescent="0.25">
      <c r="A1803" t="s">
        <v>633</v>
      </c>
      <c r="B1803" s="19">
        <v>19300</v>
      </c>
      <c r="C1803" s="2">
        <f>HYPERLINK(URLs!B36 &amp; 109148,109148)</f>
        <v>109148</v>
      </c>
      <c r="D1803" t="s">
        <v>4084</v>
      </c>
      <c r="E1803" t="s">
        <v>3440</v>
      </c>
      <c r="F1803" t="s">
        <v>305</v>
      </c>
      <c r="G1803" t="s">
        <v>304</v>
      </c>
      <c r="H1803" t="s">
        <v>116</v>
      </c>
      <c r="I1803" t="s">
        <v>31</v>
      </c>
      <c r="J1803" t="s">
        <v>32</v>
      </c>
      <c r="K1803" t="s">
        <v>2156</v>
      </c>
      <c r="L1803" t="s">
        <v>380</v>
      </c>
      <c r="M1803" t="s">
        <v>434</v>
      </c>
      <c r="N1803" t="s">
        <v>60</v>
      </c>
      <c r="P1803" t="s">
        <v>69</v>
      </c>
      <c r="Q1803" t="s">
        <v>2305</v>
      </c>
      <c r="R1803">
        <v>43108.282627314817</v>
      </c>
      <c r="S1803">
        <v>43206.798831018517</v>
      </c>
      <c r="T1803" t="s">
        <v>53</v>
      </c>
      <c r="U1803" t="s">
        <v>4088</v>
      </c>
      <c r="V1803" t="s">
        <v>321</v>
      </c>
      <c r="W1803" t="s">
        <v>307</v>
      </c>
    </row>
    <row r="1804" spans="1:23" x14ac:dyDescent="0.25">
      <c r="A1804" t="s">
        <v>633</v>
      </c>
      <c r="B1804" s="19">
        <v>19300</v>
      </c>
      <c r="C1804" s="2">
        <f>HYPERLINK(URLs!B36 &amp; 109147,109147)</f>
        <v>109147</v>
      </c>
      <c r="D1804" t="s">
        <v>4083</v>
      </c>
      <c r="E1804" t="s">
        <v>435</v>
      </c>
      <c r="F1804" t="s">
        <v>319</v>
      </c>
      <c r="G1804" t="s">
        <v>304</v>
      </c>
      <c r="H1804" t="s">
        <v>116</v>
      </c>
      <c r="I1804" t="s">
        <v>31</v>
      </c>
      <c r="J1804" t="s">
        <v>32</v>
      </c>
      <c r="K1804" t="s">
        <v>2156</v>
      </c>
      <c r="L1804" t="s">
        <v>380</v>
      </c>
      <c r="M1804" t="s">
        <v>434</v>
      </c>
      <c r="N1804" t="s">
        <v>60</v>
      </c>
      <c r="P1804" t="s">
        <v>69</v>
      </c>
      <c r="Q1804" t="s">
        <v>3708</v>
      </c>
      <c r="R1804">
        <v>43108.282650462963</v>
      </c>
      <c r="S1804">
        <v>43423.912569444445</v>
      </c>
      <c r="T1804" t="s">
        <v>53</v>
      </c>
      <c r="U1804" t="s">
        <v>35</v>
      </c>
      <c r="V1804" t="s">
        <v>321</v>
      </c>
      <c r="W1804" t="s">
        <v>4098</v>
      </c>
    </row>
    <row r="1805" spans="1:23" x14ac:dyDescent="0.25">
      <c r="A1805" t="s">
        <v>633</v>
      </c>
      <c r="B1805" s="19">
        <v>19300</v>
      </c>
      <c r="C1805" s="2">
        <f>HYPERLINK(URLs!B36 &amp; 108931,108931)</f>
        <v>108931</v>
      </c>
      <c r="D1805" t="s">
        <v>4082</v>
      </c>
      <c r="E1805" t="s">
        <v>435</v>
      </c>
      <c r="F1805" t="s">
        <v>305</v>
      </c>
      <c r="G1805" t="s">
        <v>337</v>
      </c>
      <c r="H1805" t="s">
        <v>116</v>
      </c>
      <c r="I1805" t="s">
        <v>31</v>
      </c>
      <c r="J1805" t="s">
        <v>32</v>
      </c>
      <c r="K1805" t="s">
        <v>2156</v>
      </c>
      <c r="L1805" t="s">
        <v>380</v>
      </c>
      <c r="M1805" t="s">
        <v>434</v>
      </c>
      <c r="N1805" t="s">
        <v>60</v>
      </c>
      <c r="P1805" t="s">
        <v>69</v>
      </c>
      <c r="Q1805" t="s">
        <v>3708</v>
      </c>
      <c r="R1805">
        <v>43088.480752314812</v>
      </c>
      <c r="S1805">
        <v>43423.872523148151</v>
      </c>
      <c r="T1805" t="s">
        <v>5</v>
      </c>
      <c r="U1805" t="s">
        <v>35</v>
      </c>
      <c r="V1805" t="s">
        <v>321</v>
      </c>
      <c r="W1805" t="s">
        <v>4158</v>
      </c>
    </row>
    <row r="1806" spans="1:23" x14ac:dyDescent="0.25">
      <c r="A1806" t="s">
        <v>665</v>
      </c>
      <c r="B1806" s="19">
        <v>19341</v>
      </c>
      <c r="C1806" s="2">
        <f>HYPERLINK(URLs!B36 &amp; 109770,109770)</f>
        <v>109770</v>
      </c>
      <c r="D1806" t="s">
        <v>4296</v>
      </c>
      <c r="E1806" t="s">
        <v>62</v>
      </c>
      <c r="F1806" t="s">
        <v>319</v>
      </c>
      <c r="G1806" t="s">
        <v>304</v>
      </c>
      <c r="H1806" t="s">
        <v>116</v>
      </c>
      <c r="I1806" t="s">
        <v>31</v>
      </c>
      <c r="J1806" t="s">
        <v>32</v>
      </c>
      <c r="K1806" t="s">
        <v>51</v>
      </c>
      <c r="L1806" t="s">
        <v>45</v>
      </c>
      <c r="M1806" t="s">
        <v>260</v>
      </c>
      <c r="N1806" t="s">
        <v>510</v>
      </c>
      <c r="O1806" t="s">
        <v>487</v>
      </c>
      <c r="P1806" t="s">
        <v>3698</v>
      </c>
      <c r="Q1806" t="s">
        <v>3734</v>
      </c>
      <c r="R1806">
        <v>43124.965185185189</v>
      </c>
      <c r="S1806">
        <v>43404.505474537036</v>
      </c>
      <c r="T1806" t="s">
        <v>53</v>
      </c>
      <c r="U1806" t="s">
        <v>35</v>
      </c>
      <c r="V1806" t="s">
        <v>35</v>
      </c>
      <c r="W1806" t="s">
        <v>4171</v>
      </c>
    </row>
    <row r="1807" spans="1:23" x14ac:dyDescent="0.25">
      <c r="A1807" t="s">
        <v>665</v>
      </c>
      <c r="B1807" s="19">
        <v>19341</v>
      </c>
      <c r="C1807" s="2">
        <f>HYPERLINK(URLs!B36 &amp; 109769,109769)</f>
        <v>109769</v>
      </c>
      <c r="D1807" t="s">
        <v>4295</v>
      </c>
      <c r="E1807" t="s">
        <v>577</v>
      </c>
      <c r="F1807" t="s">
        <v>305</v>
      </c>
      <c r="G1807" t="s">
        <v>304</v>
      </c>
      <c r="H1807" t="s">
        <v>116</v>
      </c>
      <c r="I1807" t="s">
        <v>31</v>
      </c>
      <c r="J1807" t="s">
        <v>32</v>
      </c>
      <c r="K1807" t="s">
        <v>51</v>
      </c>
      <c r="L1807" t="s">
        <v>45</v>
      </c>
      <c r="M1807" t="s">
        <v>260</v>
      </c>
      <c r="N1807" t="s">
        <v>3513</v>
      </c>
      <c r="P1807" t="s">
        <v>3698</v>
      </c>
      <c r="Q1807" t="s">
        <v>3734</v>
      </c>
      <c r="R1807">
        <v>43124.962719907409</v>
      </c>
      <c r="S1807">
        <v>43223.477430555555</v>
      </c>
      <c r="T1807" t="s">
        <v>53</v>
      </c>
      <c r="U1807" t="s">
        <v>4277</v>
      </c>
      <c r="V1807" t="s">
        <v>35</v>
      </c>
      <c r="W1807" t="s">
        <v>307</v>
      </c>
    </row>
    <row r="1808" spans="1:23" x14ac:dyDescent="0.25">
      <c r="A1808" t="s">
        <v>665</v>
      </c>
      <c r="B1808" s="19">
        <v>19341</v>
      </c>
      <c r="C1808" s="2">
        <f>HYPERLINK(URLs!B36 &amp; 109768,109768)</f>
        <v>109768</v>
      </c>
      <c r="D1808" t="s">
        <v>4294</v>
      </c>
      <c r="E1808" t="s">
        <v>3479</v>
      </c>
      <c r="F1808" t="s">
        <v>67</v>
      </c>
      <c r="H1808" t="s">
        <v>116</v>
      </c>
      <c r="I1808" t="s">
        <v>31</v>
      </c>
      <c r="J1808" t="s">
        <v>32</v>
      </c>
      <c r="K1808" t="s">
        <v>51</v>
      </c>
      <c r="L1808" t="s">
        <v>45</v>
      </c>
      <c r="M1808" t="s">
        <v>260</v>
      </c>
      <c r="N1808" t="s">
        <v>60</v>
      </c>
      <c r="P1808" t="s">
        <v>3698</v>
      </c>
      <c r="R1808">
        <v>43124.962731481479</v>
      </c>
      <c r="S1808">
        <v>43124.965185185189</v>
      </c>
      <c r="T1808" t="s">
        <v>53</v>
      </c>
      <c r="U1808" t="s">
        <v>35</v>
      </c>
      <c r="V1808" t="s">
        <v>35</v>
      </c>
      <c r="W1808" t="s">
        <v>4098</v>
      </c>
    </row>
    <row r="1809" spans="1:23" x14ac:dyDescent="0.25">
      <c r="A1809" t="s">
        <v>665</v>
      </c>
      <c r="B1809" s="19">
        <v>19341</v>
      </c>
      <c r="C1809" s="2">
        <f>HYPERLINK(URLs!B36 &amp; 109065,109065)</f>
        <v>109065</v>
      </c>
      <c r="D1809" t="s">
        <v>4242</v>
      </c>
      <c r="E1809" t="s">
        <v>3479</v>
      </c>
      <c r="F1809" t="s">
        <v>319</v>
      </c>
      <c r="G1809" t="s">
        <v>304</v>
      </c>
      <c r="H1809" t="s">
        <v>116</v>
      </c>
      <c r="I1809" t="s">
        <v>31</v>
      </c>
      <c r="J1809" t="s">
        <v>32</v>
      </c>
      <c r="K1809" t="s">
        <v>51</v>
      </c>
      <c r="L1809" t="s">
        <v>45</v>
      </c>
      <c r="M1809" t="s">
        <v>260</v>
      </c>
      <c r="N1809" t="s">
        <v>121</v>
      </c>
      <c r="O1809" t="s">
        <v>487</v>
      </c>
      <c r="P1809" t="s">
        <v>3698</v>
      </c>
      <c r="Q1809" t="s">
        <v>3734</v>
      </c>
      <c r="R1809">
        <v>43103.758206018516</v>
      </c>
      <c r="S1809">
        <v>43137.529872685183</v>
      </c>
      <c r="T1809" t="s">
        <v>1</v>
      </c>
      <c r="U1809" t="s">
        <v>35</v>
      </c>
      <c r="V1809" t="s">
        <v>35</v>
      </c>
      <c r="W1809" t="s">
        <v>4172</v>
      </c>
    </row>
    <row r="1810" spans="1:23" x14ac:dyDescent="0.25">
      <c r="A1810" t="s">
        <v>665</v>
      </c>
      <c r="B1810" s="19">
        <v>19381</v>
      </c>
      <c r="C1810" s="2">
        <f>HYPERLINK(URLs!B36 &amp; 109767,109767)</f>
        <v>109767</v>
      </c>
      <c r="D1810" t="s">
        <v>4293</v>
      </c>
      <c r="E1810" t="s">
        <v>64</v>
      </c>
      <c r="F1810" t="s">
        <v>319</v>
      </c>
      <c r="G1810" t="s">
        <v>304</v>
      </c>
      <c r="H1810" t="s">
        <v>116</v>
      </c>
      <c r="I1810" t="s">
        <v>31</v>
      </c>
      <c r="J1810" t="s">
        <v>32</v>
      </c>
      <c r="K1810" t="s">
        <v>44</v>
      </c>
      <c r="L1810" t="s">
        <v>52</v>
      </c>
      <c r="M1810" t="s">
        <v>4092</v>
      </c>
      <c r="N1810" t="s">
        <v>572</v>
      </c>
      <c r="P1810" t="s">
        <v>190</v>
      </c>
      <c r="Q1810" t="s">
        <v>89</v>
      </c>
      <c r="R1810">
        <v>43124.950844907406</v>
      </c>
      <c r="S1810">
        <v>43124.953043981484</v>
      </c>
      <c r="T1810" t="s">
        <v>53</v>
      </c>
      <c r="U1810" t="s">
        <v>35</v>
      </c>
      <c r="V1810" t="s">
        <v>321</v>
      </c>
      <c r="W1810" t="s">
        <v>69</v>
      </c>
    </row>
    <row r="1811" spans="1:23" x14ac:dyDescent="0.25">
      <c r="A1811" t="s">
        <v>665</v>
      </c>
      <c r="B1811" s="19">
        <v>19381</v>
      </c>
      <c r="C1811" s="2">
        <f>HYPERLINK(URLs!B36 &amp; 109766,109766)</f>
        <v>109766</v>
      </c>
      <c r="D1811" t="s">
        <v>4292</v>
      </c>
      <c r="E1811" t="s">
        <v>64</v>
      </c>
      <c r="F1811" t="s">
        <v>319</v>
      </c>
      <c r="G1811" t="s">
        <v>304</v>
      </c>
      <c r="H1811" t="s">
        <v>116</v>
      </c>
      <c r="I1811" t="s">
        <v>31</v>
      </c>
      <c r="J1811" t="s">
        <v>32</v>
      </c>
      <c r="K1811" t="s">
        <v>44</v>
      </c>
      <c r="L1811" t="s">
        <v>52</v>
      </c>
      <c r="M1811" t="s">
        <v>4092</v>
      </c>
      <c r="N1811" t="s">
        <v>60</v>
      </c>
      <c r="P1811" t="s">
        <v>190</v>
      </c>
      <c r="Q1811" t="s">
        <v>3708</v>
      </c>
      <c r="R1811">
        <v>43124.950856481482</v>
      </c>
      <c r="S1811">
        <v>43423.884583333333</v>
      </c>
      <c r="T1811" t="s">
        <v>53</v>
      </c>
      <c r="U1811" t="s">
        <v>35</v>
      </c>
      <c r="V1811" t="s">
        <v>321</v>
      </c>
      <c r="W1811" t="s">
        <v>4098</v>
      </c>
    </row>
    <row r="1812" spans="1:23" x14ac:dyDescent="0.25">
      <c r="A1812" t="s">
        <v>665</v>
      </c>
      <c r="B1812" s="19">
        <v>19381</v>
      </c>
      <c r="C1812" s="2">
        <f>HYPERLINK(URLs!B36 &amp; 109256,109256)</f>
        <v>109256</v>
      </c>
      <c r="D1812" t="s">
        <v>4243</v>
      </c>
      <c r="E1812" t="s">
        <v>64</v>
      </c>
      <c r="F1812" t="s">
        <v>305</v>
      </c>
      <c r="G1812" t="s">
        <v>337</v>
      </c>
      <c r="H1812" t="s">
        <v>116</v>
      </c>
      <c r="I1812" t="s">
        <v>31</v>
      </c>
      <c r="J1812" t="s">
        <v>32</v>
      </c>
      <c r="K1812" t="s">
        <v>44</v>
      </c>
      <c r="L1812" t="s">
        <v>52</v>
      </c>
      <c r="M1812" t="s">
        <v>4092</v>
      </c>
      <c r="N1812" t="s">
        <v>60</v>
      </c>
      <c r="P1812" t="s">
        <v>190</v>
      </c>
      <c r="Q1812" t="s">
        <v>3708</v>
      </c>
      <c r="R1812">
        <v>43109.869652777779</v>
      </c>
      <c r="S1812">
        <v>43423.863599537035</v>
      </c>
      <c r="T1812" t="s">
        <v>1</v>
      </c>
      <c r="U1812" t="s">
        <v>35</v>
      </c>
      <c r="V1812" t="s">
        <v>321</v>
      </c>
      <c r="W1812" t="s">
        <v>4156</v>
      </c>
    </row>
    <row r="1813" spans="1:23" x14ac:dyDescent="0.25">
      <c r="A1813" t="s">
        <v>665</v>
      </c>
      <c r="B1813" s="19">
        <v>19381</v>
      </c>
      <c r="C1813" s="2">
        <f>HYPERLINK(URLs!B36 &amp; 109251,109251)</f>
        <v>109251</v>
      </c>
      <c r="D1813" t="s">
        <v>4090</v>
      </c>
      <c r="E1813" t="s">
        <v>64</v>
      </c>
      <c r="F1813" t="s">
        <v>305</v>
      </c>
      <c r="G1813" t="s">
        <v>353</v>
      </c>
      <c r="H1813" t="s">
        <v>56</v>
      </c>
      <c r="I1813" t="s">
        <v>31</v>
      </c>
      <c r="J1813" t="s">
        <v>32</v>
      </c>
      <c r="K1813" t="s">
        <v>33</v>
      </c>
      <c r="L1813" t="s">
        <v>45</v>
      </c>
      <c r="M1813" t="s">
        <v>106</v>
      </c>
      <c r="N1813" t="s">
        <v>46</v>
      </c>
      <c r="P1813" t="s">
        <v>190</v>
      </c>
      <c r="Q1813" t="s">
        <v>4091</v>
      </c>
      <c r="R1813">
        <v>43109.851550925923</v>
      </c>
      <c r="S1813">
        <v>43192.158356481479</v>
      </c>
      <c r="T1813" t="s">
        <v>1</v>
      </c>
      <c r="U1813" t="s">
        <v>35</v>
      </c>
      <c r="V1813" t="s">
        <v>321</v>
      </c>
      <c r="W1813" t="s">
        <v>307</v>
      </c>
    </row>
    <row r="1814" spans="1:23" x14ac:dyDescent="0.25">
      <c r="A1814" t="s">
        <v>665</v>
      </c>
      <c r="B1814" s="19">
        <v>19381</v>
      </c>
      <c r="C1814" s="2">
        <f>HYPERLINK(URLs!B36 &amp; 99851,99851)</f>
        <v>99851</v>
      </c>
      <c r="D1814" t="s">
        <v>4194</v>
      </c>
      <c r="E1814" t="s">
        <v>2537</v>
      </c>
      <c r="F1814" t="s">
        <v>305</v>
      </c>
      <c r="G1814" t="s">
        <v>304</v>
      </c>
      <c r="H1814" t="s">
        <v>30</v>
      </c>
      <c r="I1814" t="s">
        <v>31</v>
      </c>
      <c r="J1814" t="s">
        <v>32</v>
      </c>
      <c r="K1814" t="s">
        <v>33</v>
      </c>
      <c r="L1814" t="s">
        <v>45</v>
      </c>
      <c r="M1814" t="s">
        <v>106</v>
      </c>
      <c r="N1814" t="s">
        <v>518</v>
      </c>
      <c r="P1814" t="s">
        <v>69</v>
      </c>
      <c r="R1814">
        <v>42878.494525462964</v>
      </c>
      <c r="S1814">
        <v>43223.478090277778</v>
      </c>
      <c r="T1814" t="s">
        <v>3147</v>
      </c>
      <c r="U1814" t="s">
        <v>4014</v>
      </c>
      <c r="V1814" t="s">
        <v>35</v>
      </c>
      <c r="W1814" t="s">
        <v>307</v>
      </c>
    </row>
    <row r="1815" spans="1:23" x14ac:dyDescent="0.25">
      <c r="A1815" t="s">
        <v>618</v>
      </c>
      <c r="B1815" s="19">
        <v>19390</v>
      </c>
      <c r="C1815" s="2">
        <f>HYPERLINK(URLs!B36 &amp; 117287,117287)</f>
        <v>117287</v>
      </c>
      <c r="D1815" t="s">
        <v>4696</v>
      </c>
      <c r="E1815" t="s">
        <v>387</v>
      </c>
      <c r="F1815" t="s">
        <v>67</v>
      </c>
      <c r="H1815" t="s">
        <v>54</v>
      </c>
      <c r="I1815" t="s">
        <v>31</v>
      </c>
      <c r="J1815" t="s">
        <v>43</v>
      </c>
      <c r="K1815" t="s">
        <v>44</v>
      </c>
      <c r="L1815" t="s">
        <v>73</v>
      </c>
      <c r="M1815" t="s">
        <v>263</v>
      </c>
      <c r="N1815" t="s">
        <v>60</v>
      </c>
      <c r="P1815" t="s">
        <v>69</v>
      </c>
      <c r="R1815">
        <v>43306.960266203707</v>
      </c>
      <c r="S1815">
        <v>43362.602650462963</v>
      </c>
      <c r="T1815" t="s">
        <v>131</v>
      </c>
      <c r="U1815" t="s">
        <v>35</v>
      </c>
      <c r="V1815" t="s">
        <v>35</v>
      </c>
      <c r="W1815" t="s">
        <v>4171</v>
      </c>
    </row>
    <row r="1816" spans="1:23" x14ac:dyDescent="0.25">
      <c r="A1816" t="s">
        <v>618</v>
      </c>
      <c r="B1816" s="19">
        <v>19390</v>
      </c>
      <c r="C1816" s="2">
        <f>HYPERLINK(URLs!B36 &amp; 109537,109537)</f>
        <v>109537</v>
      </c>
      <c r="D1816" t="s">
        <v>4261</v>
      </c>
      <c r="E1816" t="s">
        <v>131</v>
      </c>
      <c r="F1816" t="s">
        <v>305</v>
      </c>
      <c r="G1816" t="s">
        <v>353</v>
      </c>
      <c r="H1816" t="s">
        <v>54</v>
      </c>
      <c r="I1816" t="s">
        <v>31</v>
      </c>
      <c r="J1816" t="s">
        <v>43</v>
      </c>
      <c r="K1816" t="s">
        <v>44</v>
      </c>
      <c r="L1816" t="s">
        <v>73</v>
      </c>
      <c r="M1816" t="s">
        <v>263</v>
      </c>
      <c r="N1816" t="s">
        <v>4195</v>
      </c>
      <c r="P1816" t="s">
        <v>3698</v>
      </c>
      <c r="Q1816" t="s">
        <v>4262</v>
      </c>
      <c r="R1816">
        <v>43118.695625</v>
      </c>
      <c r="S1816">
        <v>43252.1483912037</v>
      </c>
      <c r="T1816" t="s">
        <v>301</v>
      </c>
      <c r="U1816" t="s">
        <v>35</v>
      </c>
      <c r="V1816" t="s">
        <v>35</v>
      </c>
      <c r="W1816" t="s">
        <v>4171</v>
      </c>
    </row>
    <row r="1817" spans="1:23" x14ac:dyDescent="0.25">
      <c r="A1817" t="s">
        <v>618</v>
      </c>
      <c r="B1817" s="19">
        <v>19390</v>
      </c>
      <c r="C1817" s="2">
        <f>HYPERLINK(URLs!B36 &amp; 109536,109536)</f>
        <v>109536</v>
      </c>
      <c r="D1817" t="s">
        <v>4259</v>
      </c>
      <c r="E1817" t="s">
        <v>131</v>
      </c>
      <c r="F1817" t="s">
        <v>305</v>
      </c>
      <c r="G1817" t="s">
        <v>337</v>
      </c>
      <c r="H1817" t="s">
        <v>54</v>
      </c>
      <c r="I1817" t="s">
        <v>31</v>
      </c>
      <c r="J1817" t="s">
        <v>43</v>
      </c>
      <c r="K1817" t="s">
        <v>44</v>
      </c>
      <c r="L1817" t="s">
        <v>73</v>
      </c>
      <c r="M1817" t="s">
        <v>263</v>
      </c>
      <c r="N1817" t="s">
        <v>60</v>
      </c>
      <c r="O1817" t="s">
        <v>4260</v>
      </c>
      <c r="P1817" t="s">
        <v>3698</v>
      </c>
      <c r="Q1817" t="s">
        <v>2481</v>
      </c>
      <c r="R1817">
        <v>43118.6950462963</v>
      </c>
      <c r="S1817">
        <v>43215.864814814813</v>
      </c>
      <c r="T1817" t="s">
        <v>301</v>
      </c>
      <c r="U1817" t="s">
        <v>35</v>
      </c>
      <c r="V1817" t="s">
        <v>35</v>
      </c>
      <c r="W1817" t="s">
        <v>307</v>
      </c>
    </row>
    <row r="1818" spans="1:23" x14ac:dyDescent="0.25">
      <c r="A1818" t="s">
        <v>618</v>
      </c>
      <c r="B1818" s="19">
        <v>19390</v>
      </c>
      <c r="C1818" s="2">
        <f>HYPERLINK(URLs!B36 &amp; 109333,109333)</f>
        <v>109333</v>
      </c>
      <c r="D1818" t="s">
        <v>4245</v>
      </c>
      <c r="E1818" t="s">
        <v>560</v>
      </c>
      <c r="F1818" t="s">
        <v>42</v>
      </c>
      <c r="H1818" t="s">
        <v>54</v>
      </c>
      <c r="I1818" t="s">
        <v>31</v>
      </c>
      <c r="J1818" t="s">
        <v>43</v>
      </c>
      <c r="K1818" t="s">
        <v>51</v>
      </c>
      <c r="L1818" t="s">
        <v>73</v>
      </c>
      <c r="M1818" t="s">
        <v>263</v>
      </c>
      <c r="N1818" t="s">
        <v>60</v>
      </c>
      <c r="P1818" t="s">
        <v>3698</v>
      </c>
      <c r="R1818">
        <v>43111.665393518517</v>
      </c>
      <c r="S1818">
        <v>43215.864814814813</v>
      </c>
      <c r="T1818" t="s">
        <v>1</v>
      </c>
      <c r="U1818" t="s">
        <v>35</v>
      </c>
      <c r="V1818" t="s">
        <v>35</v>
      </c>
      <c r="W1818" t="s">
        <v>4098</v>
      </c>
    </row>
    <row r="1819" spans="1:23" x14ac:dyDescent="0.25">
      <c r="A1819" t="s">
        <v>633</v>
      </c>
      <c r="B1819" s="19">
        <v>19399</v>
      </c>
      <c r="C1819" s="2">
        <f>HYPERLINK(URLs!B36 &amp; 109402,109402)</f>
        <v>109402</v>
      </c>
      <c r="D1819" t="s">
        <v>4251</v>
      </c>
      <c r="E1819" t="s">
        <v>119</v>
      </c>
      <c r="F1819" t="s">
        <v>305</v>
      </c>
      <c r="G1819" t="s">
        <v>353</v>
      </c>
      <c r="H1819" t="s">
        <v>56</v>
      </c>
      <c r="I1819" t="s">
        <v>31</v>
      </c>
      <c r="J1819" t="s">
        <v>32</v>
      </c>
      <c r="K1819" t="s">
        <v>44</v>
      </c>
      <c r="L1819" t="s">
        <v>34</v>
      </c>
      <c r="M1819" t="s">
        <v>268</v>
      </c>
      <c r="N1819" t="s">
        <v>60</v>
      </c>
      <c r="P1819" t="s">
        <v>190</v>
      </c>
      <c r="Q1819" t="s">
        <v>4252</v>
      </c>
      <c r="R1819">
        <v>43112.874236111114</v>
      </c>
      <c r="S1819">
        <v>43192.158437500002</v>
      </c>
      <c r="T1819" t="s">
        <v>1</v>
      </c>
      <c r="U1819" t="s">
        <v>35</v>
      </c>
      <c r="V1819" t="s">
        <v>321</v>
      </c>
      <c r="W1819" t="s">
        <v>4156</v>
      </c>
    </row>
    <row r="1820" spans="1:23" x14ac:dyDescent="0.25">
      <c r="A1820" t="s">
        <v>633</v>
      </c>
      <c r="B1820" s="19">
        <v>19399</v>
      </c>
      <c r="C1820" s="2">
        <f>HYPERLINK(URLs!B36 &amp; 93776,93776)</f>
        <v>93776</v>
      </c>
      <c r="D1820" t="s">
        <v>4184</v>
      </c>
      <c r="E1820" t="s">
        <v>100</v>
      </c>
      <c r="F1820" t="s">
        <v>305</v>
      </c>
      <c r="G1820" t="s">
        <v>337</v>
      </c>
      <c r="H1820" t="s">
        <v>116</v>
      </c>
      <c r="I1820" t="s">
        <v>31</v>
      </c>
      <c r="J1820" t="s">
        <v>32</v>
      </c>
      <c r="K1820" t="s">
        <v>51</v>
      </c>
      <c r="L1820" t="s">
        <v>34</v>
      </c>
      <c r="M1820" t="s">
        <v>268</v>
      </c>
      <c r="N1820" t="s">
        <v>46</v>
      </c>
      <c r="P1820" t="s">
        <v>77</v>
      </c>
      <c r="Q1820" t="s">
        <v>3708</v>
      </c>
      <c r="R1820">
        <v>42719.623935185184</v>
      </c>
      <c r="S1820">
        <v>43423.863564814812</v>
      </c>
      <c r="T1820" t="s">
        <v>149</v>
      </c>
      <c r="U1820" t="s">
        <v>35</v>
      </c>
      <c r="V1820" t="s">
        <v>35</v>
      </c>
      <c r="W1820" t="s">
        <v>4156</v>
      </c>
    </row>
    <row r="1821" spans="1:23" x14ac:dyDescent="0.25">
      <c r="A1821" t="s">
        <v>633</v>
      </c>
      <c r="B1821" s="19">
        <v>19402</v>
      </c>
      <c r="C1821" s="2">
        <f>HYPERLINK(URLs!B36 &amp; 110330,110330)</f>
        <v>110330</v>
      </c>
      <c r="D1821" t="s">
        <v>4338</v>
      </c>
      <c r="E1821" t="s">
        <v>2960</v>
      </c>
      <c r="F1821" t="s">
        <v>305</v>
      </c>
      <c r="G1821" t="s">
        <v>353</v>
      </c>
      <c r="H1821" t="s">
        <v>116</v>
      </c>
      <c r="I1821" t="s">
        <v>31</v>
      </c>
      <c r="J1821" t="s">
        <v>32</v>
      </c>
      <c r="K1821" t="s">
        <v>51</v>
      </c>
      <c r="L1821" t="s">
        <v>73</v>
      </c>
      <c r="M1821" t="s">
        <v>3648</v>
      </c>
      <c r="N1821" t="s">
        <v>60</v>
      </c>
      <c r="P1821" t="s">
        <v>3698</v>
      </c>
      <c r="Q1821" t="s">
        <v>69</v>
      </c>
      <c r="R1821">
        <v>43143.778333333335</v>
      </c>
      <c r="S1821">
        <v>43192.159224537034</v>
      </c>
      <c r="T1821" t="s">
        <v>4204</v>
      </c>
      <c r="U1821" t="s">
        <v>35</v>
      </c>
      <c r="V1821" t="s">
        <v>321</v>
      </c>
      <c r="W1821" t="s">
        <v>4172</v>
      </c>
    </row>
    <row r="1822" spans="1:23" x14ac:dyDescent="0.25">
      <c r="A1822" t="s">
        <v>633</v>
      </c>
      <c r="B1822" s="19">
        <v>19402</v>
      </c>
      <c r="C1822" s="2">
        <f>HYPERLINK(URLs!B36 &amp; 109542,109542)</f>
        <v>109542</v>
      </c>
      <c r="D1822" t="s">
        <v>4266</v>
      </c>
      <c r="E1822" t="s">
        <v>4204</v>
      </c>
      <c r="F1822" t="s">
        <v>305</v>
      </c>
      <c r="G1822" t="s">
        <v>310</v>
      </c>
      <c r="H1822" t="s">
        <v>116</v>
      </c>
      <c r="I1822" t="s">
        <v>31</v>
      </c>
      <c r="J1822" t="s">
        <v>32</v>
      </c>
      <c r="K1822" t="s">
        <v>51</v>
      </c>
      <c r="L1822" t="s">
        <v>73</v>
      </c>
      <c r="M1822" t="s">
        <v>4205</v>
      </c>
      <c r="N1822" t="s">
        <v>582</v>
      </c>
      <c r="P1822" t="s">
        <v>3698</v>
      </c>
      <c r="Q1822" t="s">
        <v>69</v>
      </c>
      <c r="R1822">
        <v>43118.700150462966</v>
      </c>
      <c r="S1822">
        <v>43215.910520833335</v>
      </c>
      <c r="T1822" t="s">
        <v>301</v>
      </c>
      <c r="U1822" t="s">
        <v>35</v>
      </c>
      <c r="V1822" t="s">
        <v>321</v>
      </c>
      <c r="W1822" t="s">
        <v>4171</v>
      </c>
    </row>
    <row r="1823" spans="1:23" x14ac:dyDescent="0.25">
      <c r="A1823" t="s">
        <v>633</v>
      </c>
      <c r="B1823" s="19">
        <v>19402</v>
      </c>
      <c r="C1823" s="2">
        <f>HYPERLINK(URLs!B36 &amp; 109541,109541)</f>
        <v>109541</v>
      </c>
      <c r="D1823" t="s">
        <v>4265</v>
      </c>
      <c r="E1823" t="s">
        <v>4204</v>
      </c>
      <c r="F1823" t="s">
        <v>305</v>
      </c>
      <c r="G1823" t="s">
        <v>353</v>
      </c>
      <c r="H1823" t="s">
        <v>116</v>
      </c>
      <c r="I1823" t="s">
        <v>31</v>
      </c>
      <c r="J1823" t="s">
        <v>32</v>
      </c>
      <c r="K1823" t="s">
        <v>51</v>
      </c>
      <c r="L1823" t="s">
        <v>73</v>
      </c>
      <c r="M1823" t="s">
        <v>4205</v>
      </c>
      <c r="N1823" t="s">
        <v>60</v>
      </c>
      <c r="O1823" t="s">
        <v>4255</v>
      </c>
      <c r="P1823" t="s">
        <v>3698</v>
      </c>
      <c r="Q1823" t="s">
        <v>69</v>
      </c>
      <c r="R1823">
        <v>43118.699537037035</v>
      </c>
      <c r="S1823">
        <v>43215.910520833335</v>
      </c>
      <c r="T1823" t="s">
        <v>301</v>
      </c>
      <c r="U1823" t="s">
        <v>35</v>
      </c>
      <c r="V1823" t="s">
        <v>321</v>
      </c>
      <c r="W1823" t="s">
        <v>307</v>
      </c>
    </row>
    <row r="1824" spans="1:23" x14ac:dyDescent="0.25">
      <c r="A1824" t="s">
        <v>633</v>
      </c>
      <c r="B1824" s="19">
        <v>19402</v>
      </c>
      <c r="C1824" s="2">
        <f>HYPERLINK(URLs!B36 &amp; 109405,109405)</f>
        <v>109405</v>
      </c>
      <c r="D1824" t="s">
        <v>4254</v>
      </c>
      <c r="E1824" t="s">
        <v>4204</v>
      </c>
      <c r="F1824" t="s">
        <v>319</v>
      </c>
      <c r="G1824" t="s">
        <v>304</v>
      </c>
      <c r="H1824" t="s">
        <v>116</v>
      </c>
      <c r="I1824" t="s">
        <v>31</v>
      </c>
      <c r="J1824" t="s">
        <v>32</v>
      </c>
      <c r="K1824" t="s">
        <v>51</v>
      </c>
      <c r="L1824" t="s">
        <v>73</v>
      </c>
      <c r="M1824" t="s">
        <v>4205</v>
      </c>
      <c r="N1824" t="s">
        <v>60</v>
      </c>
      <c r="O1824" t="s">
        <v>4255</v>
      </c>
      <c r="P1824" t="s">
        <v>3698</v>
      </c>
      <c r="Q1824" t="s">
        <v>69</v>
      </c>
      <c r="R1824">
        <v>43115.127569444441</v>
      </c>
      <c r="S1824">
        <v>43215.910532407404</v>
      </c>
      <c r="T1824" t="s">
        <v>3</v>
      </c>
      <c r="U1824" t="s">
        <v>35</v>
      </c>
      <c r="V1824" t="s">
        <v>321</v>
      </c>
      <c r="W1824" t="s">
        <v>4098</v>
      </c>
    </row>
    <row r="1825" spans="1:23" x14ac:dyDescent="0.25">
      <c r="A1825" t="s">
        <v>633</v>
      </c>
      <c r="B1825" s="19">
        <v>19411</v>
      </c>
      <c r="C1825" s="2">
        <f>HYPERLINK(URLs!B36 &amp; 109870,109870)</f>
        <v>109870</v>
      </c>
      <c r="D1825" t="s">
        <v>4309</v>
      </c>
      <c r="E1825" t="s">
        <v>5</v>
      </c>
      <c r="F1825" t="s">
        <v>305</v>
      </c>
      <c r="G1825" t="s">
        <v>304</v>
      </c>
      <c r="H1825" t="s">
        <v>116</v>
      </c>
      <c r="I1825" t="s">
        <v>68</v>
      </c>
      <c r="J1825" t="s">
        <v>43</v>
      </c>
      <c r="K1825" t="s">
        <v>33</v>
      </c>
      <c r="L1825" t="s">
        <v>34</v>
      </c>
      <c r="M1825" t="s">
        <v>266</v>
      </c>
      <c r="N1825" t="s">
        <v>510</v>
      </c>
      <c r="O1825" t="s">
        <v>4310</v>
      </c>
      <c r="P1825" t="s">
        <v>69</v>
      </c>
      <c r="Q1825" t="s">
        <v>1503</v>
      </c>
      <c r="R1825">
        <v>43129.883819444447</v>
      </c>
      <c r="S1825">
        <v>43277.572997685187</v>
      </c>
      <c r="T1825" t="s">
        <v>53</v>
      </c>
      <c r="U1825" t="s">
        <v>4284</v>
      </c>
      <c r="V1825" t="s">
        <v>35</v>
      </c>
      <c r="W1825" t="s">
        <v>4143</v>
      </c>
    </row>
    <row r="1826" spans="1:23" x14ac:dyDescent="0.25">
      <c r="A1826" t="s">
        <v>633</v>
      </c>
      <c r="B1826" s="19">
        <v>19411</v>
      </c>
      <c r="C1826" s="2">
        <f>HYPERLINK(URLs!B36 &amp; 109869,109869)</f>
        <v>109869</v>
      </c>
      <c r="D1826" t="s">
        <v>4307</v>
      </c>
      <c r="E1826" t="s">
        <v>136</v>
      </c>
      <c r="F1826" t="s">
        <v>319</v>
      </c>
      <c r="G1826" t="s">
        <v>304</v>
      </c>
      <c r="H1826" t="s">
        <v>30</v>
      </c>
      <c r="I1826" t="s">
        <v>68</v>
      </c>
      <c r="J1826" t="s">
        <v>43</v>
      </c>
      <c r="K1826" t="s">
        <v>33</v>
      </c>
      <c r="L1826" t="s">
        <v>34</v>
      </c>
      <c r="M1826" t="s">
        <v>266</v>
      </c>
      <c r="N1826" t="s">
        <v>46</v>
      </c>
      <c r="O1826" t="s">
        <v>4308</v>
      </c>
      <c r="P1826" t="s">
        <v>69</v>
      </c>
      <c r="Q1826" t="s">
        <v>1503</v>
      </c>
      <c r="R1826">
        <v>43129.883842592593</v>
      </c>
      <c r="S1826">
        <v>43140.978796296295</v>
      </c>
      <c r="T1826" t="s">
        <v>53</v>
      </c>
      <c r="U1826" t="s">
        <v>35</v>
      </c>
      <c r="V1826" t="s">
        <v>35</v>
      </c>
      <c r="W1826" t="s">
        <v>4098</v>
      </c>
    </row>
    <row r="1827" spans="1:23" x14ac:dyDescent="0.25">
      <c r="A1827" t="s">
        <v>633</v>
      </c>
      <c r="B1827" s="19">
        <v>19411</v>
      </c>
      <c r="C1827" s="2">
        <f>HYPERLINK(URLs!B36 &amp; 109378,109378)</f>
        <v>109378</v>
      </c>
      <c r="D1827" t="s">
        <v>4248</v>
      </c>
      <c r="E1827" t="s">
        <v>136</v>
      </c>
      <c r="F1827" t="s">
        <v>305</v>
      </c>
      <c r="G1827" t="s">
        <v>304</v>
      </c>
      <c r="H1827" t="s">
        <v>30</v>
      </c>
      <c r="I1827" t="s">
        <v>68</v>
      </c>
      <c r="J1827" t="s">
        <v>43</v>
      </c>
      <c r="K1827" t="s">
        <v>33</v>
      </c>
      <c r="L1827" t="s">
        <v>34</v>
      </c>
      <c r="M1827" t="s">
        <v>266</v>
      </c>
      <c r="N1827" t="s">
        <v>572</v>
      </c>
      <c r="O1827" t="s">
        <v>533</v>
      </c>
      <c r="P1827" t="s">
        <v>69</v>
      </c>
      <c r="Q1827" t="s">
        <v>1503</v>
      </c>
      <c r="R1827">
        <v>43112.556400462963</v>
      </c>
      <c r="S1827">
        <v>43237.657766203702</v>
      </c>
      <c r="T1827" t="s">
        <v>5</v>
      </c>
      <c r="U1827" t="s">
        <v>4249</v>
      </c>
      <c r="V1827" t="s">
        <v>35</v>
      </c>
      <c r="W1827" t="s">
        <v>4176</v>
      </c>
    </row>
    <row r="1828" spans="1:23" x14ac:dyDescent="0.25">
      <c r="A1828" t="s">
        <v>633</v>
      </c>
      <c r="B1828" s="19">
        <v>19411</v>
      </c>
      <c r="C1828" s="2">
        <f>HYPERLINK(URLs!B36 &amp; 105110,105110)</f>
        <v>105110</v>
      </c>
      <c r="D1828" t="s">
        <v>4213</v>
      </c>
      <c r="E1828" t="s">
        <v>88</v>
      </c>
      <c r="F1828" t="s">
        <v>305</v>
      </c>
      <c r="G1828" t="s">
        <v>337</v>
      </c>
      <c r="H1828" t="s">
        <v>30</v>
      </c>
      <c r="I1828" t="s">
        <v>68</v>
      </c>
      <c r="J1828" t="s">
        <v>43</v>
      </c>
      <c r="K1828" t="s">
        <v>33</v>
      </c>
      <c r="L1828" t="s">
        <v>34</v>
      </c>
      <c r="M1828" t="s">
        <v>266</v>
      </c>
      <c r="N1828" t="s">
        <v>46</v>
      </c>
      <c r="P1828" t="s">
        <v>107</v>
      </c>
      <c r="Q1828" t="s">
        <v>3509</v>
      </c>
      <c r="R1828">
        <v>43001.882627314815</v>
      </c>
      <c r="S1828">
        <v>43202.87300925926</v>
      </c>
      <c r="T1828" t="s">
        <v>53</v>
      </c>
      <c r="U1828" t="s">
        <v>35</v>
      </c>
      <c r="V1828" t="s">
        <v>35</v>
      </c>
      <c r="W1828" t="s">
        <v>4176</v>
      </c>
    </row>
    <row r="1829" spans="1:23" x14ac:dyDescent="0.25">
      <c r="A1829" t="s">
        <v>633</v>
      </c>
      <c r="B1829" s="19">
        <v>19411</v>
      </c>
      <c r="C1829" s="2">
        <f>HYPERLINK(URLs!B36 &amp; 102064,102064)</f>
        <v>102064</v>
      </c>
      <c r="D1829" t="s">
        <v>4200</v>
      </c>
      <c r="E1829" t="s">
        <v>175</v>
      </c>
      <c r="F1829" t="s">
        <v>67</v>
      </c>
      <c r="H1829" t="s">
        <v>30</v>
      </c>
      <c r="I1829" t="s">
        <v>68</v>
      </c>
      <c r="J1829" t="s">
        <v>43</v>
      </c>
      <c r="K1829" t="s">
        <v>33</v>
      </c>
      <c r="L1829" t="s">
        <v>34</v>
      </c>
      <c r="M1829" t="s">
        <v>266</v>
      </c>
      <c r="N1829" t="s">
        <v>46</v>
      </c>
      <c r="O1829" t="s">
        <v>174</v>
      </c>
      <c r="P1829" t="s">
        <v>107</v>
      </c>
      <c r="R1829">
        <v>42926.61346064815</v>
      </c>
      <c r="S1829">
        <v>43131.831064814818</v>
      </c>
      <c r="T1829" t="s">
        <v>175</v>
      </c>
      <c r="U1829" t="s">
        <v>35</v>
      </c>
      <c r="V1829" t="s">
        <v>35</v>
      </c>
      <c r="W1829" t="s">
        <v>4098</v>
      </c>
    </row>
    <row r="1830" spans="1:23" x14ac:dyDescent="0.25">
      <c r="A1830" t="s">
        <v>633</v>
      </c>
      <c r="B1830" s="19">
        <v>19411</v>
      </c>
      <c r="C1830" s="2">
        <f>HYPERLINK(URLs!B36 &amp; 100520,100520)</f>
        <v>100520</v>
      </c>
      <c r="D1830" t="s">
        <v>4197</v>
      </c>
      <c r="E1830" t="s">
        <v>175</v>
      </c>
      <c r="F1830" t="s">
        <v>67</v>
      </c>
      <c r="H1830" t="s">
        <v>30</v>
      </c>
      <c r="I1830" t="s">
        <v>68</v>
      </c>
      <c r="J1830" t="s">
        <v>43</v>
      </c>
      <c r="K1830" t="s">
        <v>33</v>
      </c>
      <c r="L1830" t="s">
        <v>34</v>
      </c>
      <c r="M1830" t="s">
        <v>266</v>
      </c>
      <c r="N1830" t="s">
        <v>46</v>
      </c>
      <c r="O1830" t="s">
        <v>533</v>
      </c>
      <c r="P1830" t="s">
        <v>107</v>
      </c>
      <c r="R1830">
        <v>42892.913912037038</v>
      </c>
      <c r="S1830">
        <v>43131.829837962963</v>
      </c>
      <c r="T1830" t="s">
        <v>1</v>
      </c>
      <c r="U1830" t="s">
        <v>35</v>
      </c>
      <c r="V1830" t="s">
        <v>35</v>
      </c>
      <c r="W1830" t="s">
        <v>4143</v>
      </c>
    </row>
    <row r="1831" spans="1:23" x14ac:dyDescent="0.25">
      <c r="A1831" t="s">
        <v>618</v>
      </c>
      <c r="B1831" s="19">
        <v>19418</v>
      </c>
      <c r="C1831" s="2">
        <f>HYPERLINK(URLs!B36 &amp; 109624,109624)</f>
        <v>109624</v>
      </c>
      <c r="D1831" t="s">
        <v>4274</v>
      </c>
      <c r="E1831" t="s">
        <v>335</v>
      </c>
      <c r="F1831" t="s">
        <v>42</v>
      </c>
      <c r="H1831" t="s">
        <v>54</v>
      </c>
      <c r="I1831" t="s">
        <v>31</v>
      </c>
      <c r="J1831" t="s">
        <v>43</v>
      </c>
      <c r="K1831" t="s">
        <v>44</v>
      </c>
      <c r="L1831" t="s">
        <v>195</v>
      </c>
      <c r="M1831" t="s">
        <v>2976</v>
      </c>
      <c r="N1831" t="s">
        <v>4195</v>
      </c>
      <c r="P1831" t="s">
        <v>107</v>
      </c>
      <c r="R1831">
        <v>43122.674224537041</v>
      </c>
      <c r="S1831">
        <v>43410.632789351854</v>
      </c>
      <c r="T1831" t="s">
        <v>288</v>
      </c>
      <c r="U1831" t="s">
        <v>35</v>
      </c>
      <c r="V1831" t="s">
        <v>35</v>
      </c>
      <c r="W1831" t="s">
        <v>4171</v>
      </c>
    </row>
    <row r="1832" spans="1:23" x14ac:dyDescent="0.25">
      <c r="A1832" t="s">
        <v>618</v>
      </c>
      <c r="B1832" s="19">
        <v>19418</v>
      </c>
      <c r="C1832" s="2">
        <f>HYPERLINK(URLs!B36 &amp; 109623,109623)</f>
        <v>109623</v>
      </c>
      <c r="D1832" t="s">
        <v>4273</v>
      </c>
      <c r="E1832" t="s">
        <v>288</v>
      </c>
      <c r="F1832" t="s">
        <v>67</v>
      </c>
      <c r="H1832" t="s">
        <v>54</v>
      </c>
      <c r="I1832" t="s">
        <v>31</v>
      </c>
      <c r="J1832" t="s">
        <v>43</v>
      </c>
      <c r="K1832" t="s">
        <v>44</v>
      </c>
      <c r="L1832" t="s">
        <v>195</v>
      </c>
      <c r="M1832" t="s">
        <v>2976</v>
      </c>
      <c r="N1832" t="s">
        <v>46</v>
      </c>
      <c r="P1832" t="s">
        <v>107</v>
      </c>
      <c r="R1832">
        <v>43122.67423611111</v>
      </c>
      <c r="S1832">
        <v>43410.632384259261</v>
      </c>
      <c r="T1832" t="s">
        <v>288</v>
      </c>
      <c r="U1832" t="s">
        <v>35</v>
      </c>
      <c r="V1832" t="s">
        <v>35</v>
      </c>
      <c r="W1832" t="s">
        <v>4098</v>
      </c>
    </row>
    <row r="1833" spans="1:23" x14ac:dyDescent="0.25">
      <c r="A1833" t="s">
        <v>618</v>
      </c>
      <c r="B1833" s="19">
        <v>19418</v>
      </c>
      <c r="C1833" s="2">
        <f>HYPERLINK(URLs!B36 &amp; 109478,109478)</f>
        <v>109478</v>
      </c>
      <c r="D1833" t="s">
        <v>4258</v>
      </c>
      <c r="E1833" t="s">
        <v>335</v>
      </c>
      <c r="F1833" t="s">
        <v>305</v>
      </c>
      <c r="G1833" t="s">
        <v>337</v>
      </c>
      <c r="H1833" t="s">
        <v>54</v>
      </c>
      <c r="I1833" t="s">
        <v>31</v>
      </c>
      <c r="J1833" t="s">
        <v>43</v>
      </c>
      <c r="K1833" t="s">
        <v>44</v>
      </c>
      <c r="L1833" t="s">
        <v>195</v>
      </c>
      <c r="M1833" t="s">
        <v>2976</v>
      </c>
      <c r="N1833" t="s">
        <v>60</v>
      </c>
      <c r="P1833" t="s">
        <v>107</v>
      </c>
      <c r="Q1833" t="s">
        <v>1503</v>
      </c>
      <c r="R1833">
        <v>43116.81832175926</v>
      </c>
      <c r="S1833">
        <v>43208.164814814816</v>
      </c>
      <c r="T1833" t="s">
        <v>5</v>
      </c>
      <c r="U1833" t="s">
        <v>35</v>
      </c>
      <c r="V1833" t="s">
        <v>35</v>
      </c>
      <c r="W1833" t="s">
        <v>307</v>
      </c>
    </row>
    <row r="1834" spans="1:23" x14ac:dyDescent="0.25">
      <c r="A1834" t="s">
        <v>665</v>
      </c>
      <c r="B1834" s="19">
        <v>19419</v>
      </c>
      <c r="C1834" s="2">
        <f>HYPERLINK(URLs!B36 &amp; 118045,118045)</f>
        <v>118045</v>
      </c>
      <c r="D1834" t="s">
        <v>4755</v>
      </c>
      <c r="E1834" t="s">
        <v>4717</v>
      </c>
      <c r="F1834" t="s">
        <v>305</v>
      </c>
      <c r="G1834" t="s">
        <v>353</v>
      </c>
      <c r="H1834" t="s">
        <v>116</v>
      </c>
      <c r="I1834" t="s">
        <v>31</v>
      </c>
      <c r="J1834" t="s">
        <v>32</v>
      </c>
      <c r="K1834" t="s">
        <v>33</v>
      </c>
      <c r="L1834" t="s">
        <v>34</v>
      </c>
      <c r="M1834" t="s">
        <v>274</v>
      </c>
      <c r="N1834" t="s">
        <v>46</v>
      </c>
      <c r="O1834" t="s">
        <v>4756</v>
      </c>
      <c r="P1834" t="s">
        <v>69</v>
      </c>
      <c r="Q1834" t="s">
        <v>69</v>
      </c>
      <c r="R1834">
        <v>43322.984560185185</v>
      </c>
      <c r="S1834">
        <v>43376.793680555558</v>
      </c>
      <c r="T1834" t="s">
        <v>53</v>
      </c>
      <c r="U1834" t="s">
        <v>35</v>
      </c>
      <c r="V1834" t="s">
        <v>321</v>
      </c>
      <c r="W1834" t="s">
        <v>4098</v>
      </c>
    </row>
    <row r="1835" spans="1:23" x14ac:dyDescent="0.25">
      <c r="A1835" t="s">
        <v>665</v>
      </c>
      <c r="B1835" s="19">
        <v>19419</v>
      </c>
      <c r="C1835" s="2">
        <f>HYPERLINK(URLs!B36 &amp; 117633,117633)</f>
        <v>117633</v>
      </c>
      <c r="D1835" t="s">
        <v>4750</v>
      </c>
      <c r="E1835" t="s">
        <v>4717</v>
      </c>
      <c r="F1835" t="s">
        <v>305</v>
      </c>
      <c r="G1835" t="s">
        <v>353</v>
      </c>
      <c r="H1835" t="s">
        <v>116</v>
      </c>
      <c r="I1835" t="s">
        <v>31</v>
      </c>
      <c r="J1835" t="s">
        <v>32</v>
      </c>
      <c r="K1835" t="s">
        <v>33</v>
      </c>
      <c r="L1835" t="s">
        <v>34</v>
      </c>
      <c r="M1835" t="s">
        <v>274</v>
      </c>
      <c r="N1835" t="s">
        <v>60</v>
      </c>
      <c r="P1835" t="s">
        <v>69</v>
      </c>
      <c r="Q1835" t="s">
        <v>69</v>
      </c>
      <c r="R1835">
        <v>43314.925127314818</v>
      </c>
      <c r="S1835">
        <v>43376.793645833335</v>
      </c>
      <c r="T1835" t="s">
        <v>53</v>
      </c>
      <c r="U1835" t="s">
        <v>35</v>
      </c>
      <c r="V1835" t="s">
        <v>321</v>
      </c>
      <c r="W1835" t="s">
        <v>4176</v>
      </c>
    </row>
    <row r="1836" spans="1:23" x14ac:dyDescent="0.25">
      <c r="A1836" t="s">
        <v>665</v>
      </c>
      <c r="B1836" s="19">
        <v>19419</v>
      </c>
      <c r="C1836" s="2">
        <f>HYPERLINK(URLs!B36 &amp; 109590,109590)</f>
        <v>109590</v>
      </c>
      <c r="D1836" t="s">
        <v>4272</v>
      </c>
      <c r="E1836" t="s">
        <v>136</v>
      </c>
      <c r="F1836" t="s">
        <v>305</v>
      </c>
      <c r="G1836" t="s">
        <v>304</v>
      </c>
      <c r="H1836" t="s">
        <v>54</v>
      </c>
      <c r="I1836" t="s">
        <v>31</v>
      </c>
      <c r="J1836" t="s">
        <v>32</v>
      </c>
      <c r="K1836" t="s">
        <v>51</v>
      </c>
      <c r="L1836" t="s">
        <v>34</v>
      </c>
      <c r="M1836" t="s">
        <v>274</v>
      </c>
      <c r="N1836" t="s">
        <v>572</v>
      </c>
      <c r="P1836" t="s">
        <v>69</v>
      </c>
      <c r="Q1836" t="s">
        <v>1503</v>
      </c>
      <c r="R1836">
        <v>43119.965416666666</v>
      </c>
      <c r="S1836">
        <v>43237.657777777778</v>
      </c>
      <c r="T1836" t="s">
        <v>53</v>
      </c>
      <c r="U1836" t="s">
        <v>4249</v>
      </c>
      <c r="V1836" t="s">
        <v>35</v>
      </c>
      <c r="W1836" t="s">
        <v>4176</v>
      </c>
    </row>
    <row r="1837" spans="1:23" x14ac:dyDescent="0.25">
      <c r="A1837" t="s">
        <v>665</v>
      </c>
      <c r="B1837" s="19">
        <v>19419</v>
      </c>
      <c r="C1837" s="2">
        <f>HYPERLINK(URLs!B36 &amp; 109589,109589)</f>
        <v>109589</v>
      </c>
      <c r="D1837" t="s">
        <v>4270</v>
      </c>
      <c r="E1837" t="s">
        <v>136</v>
      </c>
      <c r="F1837" t="s">
        <v>319</v>
      </c>
      <c r="G1837" t="s">
        <v>304</v>
      </c>
      <c r="H1837" t="s">
        <v>54</v>
      </c>
      <c r="I1837" t="s">
        <v>31</v>
      </c>
      <c r="J1837" t="s">
        <v>32</v>
      </c>
      <c r="K1837" t="s">
        <v>51</v>
      </c>
      <c r="L1837" t="s">
        <v>34</v>
      </c>
      <c r="M1837" t="s">
        <v>274</v>
      </c>
      <c r="N1837" t="s">
        <v>46</v>
      </c>
      <c r="O1837" t="s">
        <v>4271</v>
      </c>
      <c r="P1837" t="s">
        <v>69</v>
      </c>
      <c r="Q1837" t="s">
        <v>1503</v>
      </c>
      <c r="R1837">
        <v>43119.965439814812</v>
      </c>
      <c r="S1837">
        <v>43315.67392361111</v>
      </c>
      <c r="T1837" t="s">
        <v>53</v>
      </c>
      <c r="U1837" t="s">
        <v>35</v>
      </c>
      <c r="V1837" t="s">
        <v>35</v>
      </c>
      <c r="W1837" t="s">
        <v>4098</v>
      </c>
    </row>
    <row r="1838" spans="1:23" x14ac:dyDescent="0.25">
      <c r="A1838" t="s">
        <v>665</v>
      </c>
      <c r="B1838" s="19">
        <v>19435</v>
      </c>
      <c r="C1838" s="2">
        <f>HYPERLINK(URLs!B36 &amp; 109728,109728)</f>
        <v>109728</v>
      </c>
      <c r="D1838" t="s">
        <v>4286</v>
      </c>
      <c r="E1838" t="s">
        <v>72</v>
      </c>
      <c r="F1838" t="s">
        <v>305</v>
      </c>
      <c r="G1838" t="s">
        <v>353</v>
      </c>
      <c r="H1838" t="s">
        <v>54</v>
      </c>
      <c r="I1838" t="s">
        <v>31</v>
      </c>
      <c r="J1838" t="s">
        <v>43</v>
      </c>
      <c r="K1838" t="s">
        <v>44</v>
      </c>
      <c r="L1838" t="s">
        <v>73</v>
      </c>
      <c r="M1838" t="s">
        <v>263</v>
      </c>
      <c r="N1838" t="s">
        <v>60</v>
      </c>
      <c r="P1838" t="s">
        <v>190</v>
      </c>
      <c r="Q1838" t="s">
        <v>1503</v>
      </c>
      <c r="R1838">
        <v>43124.65420138889</v>
      </c>
      <c r="S1838">
        <v>43192.158750000002</v>
      </c>
      <c r="T1838" t="s">
        <v>288</v>
      </c>
      <c r="U1838" t="s">
        <v>35</v>
      </c>
      <c r="V1838" t="s">
        <v>35</v>
      </c>
      <c r="W1838" t="s">
        <v>4172</v>
      </c>
    </row>
    <row r="1839" spans="1:23" x14ac:dyDescent="0.25">
      <c r="A1839" t="s">
        <v>665</v>
      </c>
      <c r="B1839" s="19">
        <v>19435</v>
      </c>
      <c r="C1839" s="2">
        <f>HYPERLINK(URLs!B36 &amp; 109727,109727)</f>
        <v>109727</v>
      </c>
      <c r="D1839" t="s">
        <v>4285</v>
      </c>
      <c r="E1839" t="s">
        <v>387</v>
      </c>
      <c r="F1839" t="s">
        <v>67</v>
      </c>
      <c r="H1839" t="s">
        <v>54</v>
      </c>
      <c r="I1839" t="s">
        <v>31</v>
      </c>
      <c r="J1839" t="s">
        <v>43</v>
      </c>
      <c r="K1839" t="s">
        <v>44</v>
      </c>
      <c r="L1839" t="s">
        <v>73</v>
      </c>
      <c r="M1839" t="s">
        <v>263</v>
      </c>
      <c r="N1839" t="s">
        <v>60</v>
      </c>
      <c r="P1839" t="s">
        <v>190</v>
      </c>
      <c r="Q1839" t="s">
        <v>1503</v>
      </c>
      <c r="R1839">
        <v>43124.65421296296</v>
      </c>
      <c r="S1839">
        <v>43124.65420138889</v>
      </c>
      <c r="T1839" t="s">
        <v>288</v>
      </c>
      <c r="U1839" t="s">
        <v>35</v>
      </c>
      <c r="V1839" t="s">
        <v>35</v>
      </c>
      <c r="W1839" t="s">
        <v>4098</v>
      </c>
    </row>
    <row r="1840" spans="1:23" x14ac:dyDescent="0.25">
      <c r="A1840" t="s">
        <v>665</v>
      </c>
      <c r="B1840" s="19">
        <v>19435</v>
      </c>
      <c r="C1840" s="2">
        <f>HYPERLINK(URLs!B36 &amp; 109547,109547)</f>
        <v>109547</v>
      </c>
      <c r="D1840" t="s">
        <v>4268</v>
      </c>
      <c r="E1840" t="s">
        <v>387</v>
      </c>
      <c r="F1840" t="s">
        <v>305</v>
      </c>
      <c r="G1840" t="s">
        <v>353</v>
      </c>
      <c r="H1840" t="s">
        <v>54</v>
      </c>
      <c r="I1840" t="s">
        <v>31</v>
      </c>
      <c r="J1840" t="s">
        <v>43</v>
      </c>
      <c r="K1840" t="s">
        <v>44</v>
      </c>
      <c r="L1840" t="s">
        <v>73</v>
      </c>
      <c r="M1840" t="s">
        <v>263</v>
      </c>
      <c r="N1840" t="s">
        <v>60</v>
      </c>
      <c r="P1840" t="s">
        <v>190</v>
      </c>
      <c r="Q1840" t="s">
        <v>1503</v>
      </c>
      <c r="R1840">
        <v>43119.082280092596</v>
      </c>
      <c r="S1840">
        <v>43192.158553240741</v>
      </c>
      <c r="T1840" t="s">
        <v>4</v>
      </c>
      <c r="U1840" t="s">
        <v>35</v>
      </c>
      <c r="V1840" t="s">
        <v>35</v>
      </c>
      <c r="W1840" t="s">
        <v>307</v>
      </c>
    </row>
    <row r="1841" spans="1:23" x14ac:dyDescent="0.25">
      <c r="A1841" t="s">
        <v>618</v>
      </c>
      <c r="B1841" s="19">
        <v>19456</v>
      </c>
      <c r="C1841" s="2">
        <f>HYPERLINK(URLs!B36 &amp; 115368,115368)</f>
        <v>115368</v>
      </c>
      <c r="D1841" t="s">
        <v>4463</v>
      </c>
      <c r="E1841" t="s">
        <v>288</v>
      </c>
      <c r="F1841" t="s">
        <v>67</v>
      </c>
      <c r="H1841" t="s">
        <v>54</v>
      </c>
      <c r="I1841" t="s">
        <v>31</v>
      </c>
      <c r="J1841" t="s">
        <v>43</v>
      </c>
      <c r="K1841" t="s">
        <v>44</v>
      </c>
      <c r="L1841" t="s">
        <v>96</v>
      </c>
      <c r="M1841" t="s">
        <v>281</v>
      </c>
      <c r="N1841" t="s">
        <v>4921</v>
      </c>
      <c r="P1841" t="s">
        <v>69</v>
      </c>
      <c r="R1841">
        <v>43265.887453703705</v>
      </c>
      <c r="S1841">
        <v>43397.954212962963</v>
      </c>
      <c r="T1841" t="s">
        <v>53</v>
      </c>
      <c r="U1841" t="s">
        <v>35</v>
      </c>
      <c r="V1841" t="s">
        <v>35</v>
      </c>
      <c r="W1841" t="s">
        <v>4410</v>
      </c>
    </row>
    <row r="1842" spans="1:23" x14ac:dyDescent="0.25">
      <c r="A1842" t="s">
        <v>618</v>
      </c>
      <c r="B1842" s="19">
        <v>19456</v>
      </c>
      <c r="C1842" s="2">
        <f>HYPERLINK(URLs!B36 &amp; 109824,109824)</f>
        <v>109824</v>
      </c>
      <c r="D1842" t="s">
        <v>4302</v>
      </c>
      <c r="E1842" t="s">
        <v>4303</v>
      </c>
      <c r="F1842" t="s">
        <v>319</v>
      </c>
      <c r="G1842" t="s">
        <v>304</v>
      </c>
      <c r="H1842" t="s">
        <v>54</v>
      </c>
      <c r="I1842" t="s">
        <v>31</v>
      </c>
      <c r="J1842" t="s">
        <v>43</v>
      </c>
      <c r="K1842" t="s">
        <v>44</v>
      </c>
      <c r="L1842" t="s">
        <v>96</v>
      </c>
      <c r="M1842" t="s">
        <v>281</v>
      </c>
      <c r="N1842" t="s">
        <v>4195</v>
      </c>
      <c r="P1842" t="s">
        <v>69</v>
      </c>
      <c r="Q1842" t="s">
        <v>2854</v>
      </c>
      <c r="R1842">
        <v>43126.651539351849</v>
      </c>
      <c r="S1842">
        <v>43241.833784722221</v>
      </c>
      <c r="T1842" t="s">
        <v>301</v>
      </c>
      <c r="U1842" t="s">
        <v>35</v>
      </c>
      <c r="V1842" t="s">
        <v>35</v>
      </c>
      <c r="W1842" t="s">
        <v>4171</v>
      </c>
    </row>
    <row r="1843" spans="1:23" x14ac:dyDescent="0.25">
      <c r="A1843" t="s">
        <v>618</v>
      </c>
      <c r="B1843" s="19">
        <v>19456</v>
      </c>
      <c r="C1843" s="2">
        <f>HYPERLINK(URLs!B36 &amp; 109823,109823)</f>
        <v>109823</v>
      </c>
      <c r="D1843" t="s">
        <v>4301</v>
      </c>
      <c r="E1843" t="s">
        <v>110</v>
      </c>
      <c r="F1843" t="s">
        <v>305</v>
      </c>
      <c r="G1843" t="s">
        <v>337</v>
      </c>
      <c r="H1843" t="s">
        <v>54</v>
      </c>
      <c r="I1843" t="s">
        <v>31</v>
      </c>
      <c r="J1843" t="s">
        <v>43</v>
      </c>
      <c r="K1843" t="s">
        <v>44</v>
      </c>
      <c r="L1843" t="s">
        <v>73</v>
      </c>
      <c r="M1843" t="s">
        <v>263</v>
      </c>
      <c r="N1843" t="s">
        <v>60</v>
      </c>
      <c r="P1843" t="s">
        <v>69</v>
      </c>
      <c r="Q1843" t="s">
        <v>2481</v>
      </c>
      <c r="R1843">
        <v>43126.650659722225</v>
      </c>
      <c r="S1843">
        <v>43215.912592592591</v>
      </c>
      <c r="T1843" t="s">
        <v>301</v>
      </c>
      <c r="U1843" t="s">
        <v>35</v>
      </c>
      <c r="V1843" t="s">
        <v>35</v>
      </c>
      <c r="W1843" t="s">
        <v>307</v>
      </c>
    </row>
    <row r="1844" spans="1:23" x14ac:dyDescent="0.25">
      <c r="A1844" t="s">
        <v>618</v>
      </c>
      <c r="B1844" s="19">
        <v>19456</v>
      </c>
      <c r="C1844" s="2">
        <f>HYPERLINK(URLs!B36 &amp; 109645,109645)</f>
        <v>109645</v>
      </c>
      <c r="D1844" t="s">
        <v>4279</v>
      </c>
      <c r="E1844" t="s">
        <v>288</v>
      </c>
      <c r="F1844" t="s">
        <v>42</v>
      </c>
      <c r="H1844" t="s">
        <v>54</v>
      </c>
      <c r="I1844" t="s">
        <v>31</v>
      </c>
      <c r="J1844" t="s">
        <v>43</v>
      </c>
      <c r="K1844" t="s">
        <v>44</v>
      </c>
      <c r="L1844" t="s">
        <v>96</v>
      </c>
      <c r="M1844" t="s">
        <v>281</v>
      </c>
      <c r="N1844" t="s">
        <v>60</v>
      </c>
      <c r="P1844" t="s">
        <v>69</v>
      </c>
      <c r="R1844">
        <v>43123.337384259263</v>
      </c>
      <c r="S1844">
        <v>43322.550393518519</v>
      </c>
      <c r="T1844" t="s">
        <v>4</v>
      </c>
      <c r="U1844" t="s">
        <v>35</v>
      </c>
      <c r="V1844" t="s">
        <v>35</v>
      </c>
      <c r="W1844" t="s">
        <v>4098</v>
      </c>
    </row>
    <row r="1845" spans="1:23" x14ac:dyDescent="0.25">
      <c r="A1845" t="s">
        <v>641</v>
      </c>
      <c r="B1845" s="19">
        <v>19457</v>
      </c>
      <c r="C1845" s="2">
        <f>HYPERLINK(URLs!B36 &amp; 109826,109826)</f>
        <v>109826</v>
      </c>
      <c r="D1845" t="s">
        <v>4305</v>
      </c>
      <c r="E1845" t="s">
        <v>94</v>
      </c>
      <c r="F1845" t="s">
        <v>67</v>
      </c>
      <c r="H1845" t="s">
        <v>54</v>
      </c>
      <c r="I1845" t="s">
        <v>31</v>
      </c>
      <c r="J1845" t="s">
        <v>43</v>
      </c>
      <c r="K1845" t="s">
        <v>44</v>
      </c>
      <c r="L1845" t="s">
        <v>73</v>
      </c>
      <c r="M1845" t="s">
        <v>263</v>
      </c>
      <c r="N1845" t="s">
        <v>4195</v>
      </c>
      <c r="P1845" t="s">
        <v>69</v>
      </c>
      <c r="R1845">
        <v>43126.654479166667</v>
      </c>
      <c r="S1845">
        <v>43215.865983796299</v>
      </c>
      <c r="T1845" t="s">
        <v>301</v>
      </c>
      <c r="U1845" t="s">
        <v>35</v>
      </c>
      <c r="V1845" t="s">
        <v>35</v>
      </c>
      <c r="W1845" t="s">
        <v>4171</v>
      </c>
    </row>
    <row r="1846" spans="1:23" x14ac:dyDescent="0.25">
      <c r="A1846" t="s">
        <v>641</v>
      </c>
      <c r="B1846" s="19">
        <v>19457</v>
      </c>
      <c r="C1846" s="2">
        <f>HYPERLINK(URLs!B36 &amp; 109825,109825)</f>
        <v>109825</v>
      </c>
      <c r="D1846" t="s">
        <v>4304</v>
      </c>
      <c r="E1846" t="s">
        <v>94</v>
      </c>
      <c r="F1846" t="s">
        <v>305</v>
      </c>
      <c r="G1846" t="s">
        <v>337</v>
      </c>
      <c r="H1846" t="s">
        <v>54</v>
      </c>
      <c r="I1846" t="s">
        <v>31</v>
      </c>
      <c r="J1846" t="s">
        <v>43</v>
      </c>
      <c r="K1846" t="s">
        <v>44</v>
      </c>
      <c r="L1846" t="s">
        <v>73</v>
      </c>
      <c r="M1846" t="s">
        <v>263</v>
      </c>
      <c r="N1846" t="s">
        <v>60</v>
      </c>
      <c r="P1846" t="s">
        <v>69</v>
      </c>
      <c r="Q1846" t="s">
        <v>2481</v>
      </c>
      <c r="R1846">
        <v>43126.653738425928</v>
      </c>
      <c r="S1846">
        <v>43215.865995370368</v>
      </c>
      <c r="T1846" t="s">
        <v>301</v>
      </c>
      <c r="U1846" t="s">
        <v>35</v>
      </c>
      <c r="V1846" t="s">
        <v>35</v>
      </c>
      <c r="W1846" t="s">
        <v>307</v>
      </c>
    </row>
    <row r="1847" spans="1:23" x14ac:dyDescent="0.25">
      <c r="A1847" t="s">
        <v>641</v>
      </c>
      <c r="B1847" s="19">
        <v>19457</v>
      </c>
      <c r="C1847" s="2">
        <f>HYPERLINK(URLs!B36 &amp; 109646,109646)</f>
        <v>109646</v>
      </c>
      <c r="D1847" t="s">
        <v>4281</v>
      </c>
      <c r="E1847" t="s">
        <v>94</v>
      </c>
      <c r="F1847" t="s">
        <v>67</v>
      </c>
      <c r="H1847" t="s">
        <v>54</v>
      </c>
      <c r="I1847" t="s">
        <v>31</v>
      </c>
      <c r="J1847" t="s">
        <v>43</v>
      </c>
      <c r="K1847" t="s">
        <v>44</v>
      </c>
      <c r="L1847" t="s">
        <v>73</v>
      </c>
      <c r="M1847" t="s">
        <v>263</v>
      </c>
      <c r="N1847" t="s">
        <v>60</v>
      </c>
      <c r="P1847" t="s">
        <v>69</v>
      </c>
      <c r="R1847">
        <v>43123.35974537037</v>
      </c>
      <c r="S1847">
        <v>43304.983043981483</v>
      </c>
      <c r="T1847" t="s">
        <v>4</v>
      </c>
      <c r="U1847" t="s">
        <v>35</v>
      </c>
      <c r="V1847" t="s">
        <v>35</v>
      </c>
      <c r="W1847" t="s">
        <v>4098</v>
      </c>
    </row>
    <row r="1848" spans="1:23" x14ac:dyDescent="0.25">
      <c r="A1848" t="s">
        <v>665</v>
      </c>
      <c r="B1848" s="19">
        <v>19460</v>
      </c>
      <c r="C1848" s="2">
        <f>HYPERLINK(URLs!B36 &amp; 113165,113165)</f>
        <v>113165</v>
      </c>
      <c r="D1848" t="s">
        <v>4426</v>
      </c>
      <c r="E1848" t="s">
        <v>3787</v>
      </c>
      <c r="F1848" t="s">
        <v>319</v>
      </c>
      <c r="G1848" t="s">
        <v>304</v>
      </c>
      <c r="H1848" t="s">
        <v>116</v>
      </c>
      <c r="I1848" t="s">
        <v>68</v>
      </c>
      <c r="J1848" t="s">
        <v>58</v>
      </c>
      <c r="K1848" t="s">
        <v>44</v>
      </c>
      <c r="L1848" t="s">
        <v>34</v>
      </c>
      <c r="M1848" t="s">
        <v>3780</v>
      </c>
      <c r="N1848" t="s">
        <v>46</v>
      </c>
      <c r="O1848" t="s">
        <v>4666</v>
      </c>
      <c r="P1848" t="s">
        <v>4227</v>
      </c>
      <c r="Q1848" t="s">
        <v>4734</v>
      </c>
      <c r="R1848">
        <v>43227.658009259256</v>
      </c>
      <c r="S1848">
        <v>43325.627025462964</v>
      </c>
      <c r="T1848" t="s">
        <v>1917</v>
      </c>
      <c r="U1848" t="s">
        <v>35</v>
      </c>
      <c r="V1848" t="s">
        <v>35</v>
      </c>
      <c r="W1848" t="s">
        <v>3915</v>
      </c>
    </row>
    <row r="1849" spans="1:23" x14ac:dyDescent="0.25">
      <c r="A1849" t="s">
        <v>665</v>
      </c>
      <c r="B1849" s="19">
        <v>19460</v>
      </c>
      <c r="C1849" s="2">
        <f>HYPERLINK(URLs!B36 &amp; 113164,113164)</f>
        <v>113164</v>
      </c>
      <c r="D1849" t="s">
        <v>4425</v>
      </c>
      <c r="E1849" t="s">
        <v>3787</v>
      </c>
      <c r="F1849" t="s">
        <v>319</v>
      </c>
      <c r="G1849" t="s">
        <v>304</v>
      </c>
      <c r="H1849" t="s">
        <v>54</v>
      </c>
      <c r="I1849" t="s">
        <v>68</v>
      </c>
      <c r="J1849" t="s">
        <v>58</v>
      </c>
      <c r="K1849" t="s">
        <v>44</v>
      </c>
      <c r="L1849" t="s">
        <v>34</v>
      </c>
      <c r="M1849" t="s">
        <v>3780</v>
      </c>
      <c r="N1849" t="s">
        <v>46</v>
      </c>
      <c r="O1849" t="s">
        <v>4665</v>
      </c>
      <c r="P1849" t="s">
        <v>4227</v>
      </c>
      <c r="Q1849" t="s">
        <v>4734</v>
      </c>
      <c r="R1849">
        <v>43227.658020833333</v>
      </c>
      <c r="S1849">
        <v>43325.711585648147</v>
      </c>
      <c r="T1849" t="s">
        <v>1917</v>
      </c>
      <c r="U1849" t="s">
        <v>35</v>
      </c>
      <c r="V1849" t="s">
        <v>35</v>
      </c>
      <c r="W1849" t="s">
        <v>4098</v>
      </c>
    </row>
    <row r="1850" spans="1:23" x14ac:dyDescent="0.25">
      <c r="A1850" t="s">
        <v>665</v>
      </c>
      <c r="B1850" s="19">
        <v>19460</v>
      </c>
      <c r="C1850" s="2">
        <f>HYPERLINK(URLs!B36 &amp; 106714,106714)</f>
        <v>106714</v>
      </c>
      <c r="D1850" t="s">
        <v>4225</v>
      </c>
      <c r="E1850" t="s">
        <v>3787</v>
      </c>
      <c r="F1850" t="s">
        <v>305</v>
      </c>
      <c r="G1850" t="s">
        <v>304</v>
      </c>
      <c r="H1850" t="s">
        <v>54</v>
      </c>
      <c r="I1850" t="s">
        <v>68</v>
      </c>
      <c r="J1850" t="s">
        <v>58</v>
      </c>
      <c r="K1850" t="s">
        <v>44</v>
      </c>
      <c r="L1850" t="s">
        <v>34</v>
      </c>
      <c r="M1850" t="s">
        <v>3780</v>
      </c>
      <c r="N1850" t="s">
        <v>46</v>
      </c>
      <c r="O1850" t="s">
        <v>4226</v>
      </c>
      <c r="P1850" t="s">
        <v>4227</v>
      </c>
      <c r="R1850">
        <v>43038.804768518516</v>
      </c>
      <c r="S1850">
        <v>43329.483819444446</v>
      </c>
      <c r="T1850" t="s">
        <v>4228</v>
      </c>
      <c r="U1850" t="s">
        <v>35</v>
      </c>
      <c r="V1850" t="s">
        <v>35</v>
      </c>
      <c r="W1850" t="s">
        <v>4155</v>
      </c>
    </row>
    <row r="1851" spans="1:23" x14ac:dyDescent="0.25">
      <c r="A1851" t="s">
        <v>618</v>
      </c>
      <c r="B1851" s="19">
        <v>19482</v>
      </c>
      <c r="C1851" s="2">
        <f>HYPERLINK(URLs!B36 &amp; 113602,113602)</f>
        <v>113602</v>
      </c>
      <c r="D1851" t="s">
        <v>5043</v>
      </c>
      <c r="E1851" t="s">
        <v>134</v>
      </c>
      <c r="F1851" t="s">
        <v>319</v>
      </c>
      <c r="G1851" t="s">
        <v>304</v>
      </c>
      <c r="H1851" t="s">
        <v>116</v>
      </c>
      <c r="I1851" t="s">
        <v>31</v>
      </c>
      <c r="J1851" t="s">
        <v>32</v>
      </c>
      <c r="K1851" t="s">
        <v>33</v>
      </c>
      <c r="L1851" t="s">
        <v>408</v>
      </c>
      <c r="M1851" t="s">
        <v>4290</v>
      </c>
      <c r="N1851" t="s">
        <v>4922</v>
      </c>
      <c r="P1851" t="s">
        <v>190</v>
      </c>
      <c r="Q1851" t="s">
        <v>5099</v>
      </c>
      <c r="R1851">
        <v>43235.255023148151</v>
      </c>
      <c r="S1851">
        <v>43420.886087962965</v>
      </c>
      <c r="T1851" t="s">
        <v>53</v>
      </c>
      <c r="U1851" t="s">
        <v>5023</v>
      </c>
      <c r="V1851" t="s">
        <v>321</v>
      </c>
      <c r="W1851" t="s">
        <v>5001</v>
      </c>
    </row>
    <row r="1852" spans="1:23" x14ac:dyDescent="0.25">
      <c r="A1852" t="s">
        <v>618</v>
      </c>
      <c r="B1852" s="19">
        <v>19482</v>
      </c>
      <c r="C1852" s="2">
        <f>HYPERLINK(URLs!B36 &amp; 110115,110115)</f>
        <v>110115</v>
      </c>
      <c r="D1852" t="s">
        <v>4329</v>
      </c>
      <c r="E1852" t="s">
        <v>134</v>
      </c>
      <c r="F1852" t="s">
        <v>319</v>
      </c>
      <c r="G1852" t="s">
        <v>304</v>
      </c>
      <c r="H1852" t="s">
        <v>116</v>
      </c>
      <c r="I1852" t="s">
        <v>31</v>
      </c>
      <c r="J1852" t="s">
        <v>32</v>
      </c>
      <c r="K1852" t="s">
        <v>33</v>
      </c>
      <c r="L1852" t="s">
        <v>408</v>
      </c>
      <c r="M1852" t="s">
        <v>4290</v>
      </c>
      <c r="N1852" t="s">
        <v>510</v>
      </c>
      <c r="P1852" t="s">
        <v>190</v>
      </c>
      <c r="Q1852" t="s">
        <v>2416</v>
      </c>
      <c r="R1852">
        <v>43137.49559027778</v>
      </c>
      <c r="S1852">
        <v>43423.495219907411</v>
      </c>
      <c r="T1852" t="s">
        <v>4289</v>
      </c>
      <c r="U1852" t="s">
        <v>4219</v>
      </c>
      <c r="V1852" t="s">
        <v>321</v>
      </c>
      <c r="W1852" t="s">
        <v>4171</v>
      </c>
    </row>
    <row r="1853" spans="1:23" x14ac:dyDescent="0.25">
      <c r="A1853" t="s">
        <v>618</v>
      </c>
      <c r="B1853" s="19">
        <v>19482</v>
      </c>
      <c r="C1853" s="2">
        <f>HYPERLINK(URLs!B36 &amp; 110114,110114)</f>
        <v>110114</v>
      </c>
      <c r="D1853" t="s">
        <v>4328</v>
      </c>
      <c r="E1853" t="s">
        <v>4289</v>
      </c>
      <c r="F1853" t="s">
        <v>67</v>
      </c>
      <c r="H1853" t="s">
        <v>116</v>
      </c>
      <c r="I1853" t="s">
        <v>31</v>
      </c>
      <c r="J1853" t="s">
        <v>32</v>
      </c>
      <c r="K1853" t="s">
        <v>33</v>
      </c>
      <c r="L1853" t="s">
        <v>408</v>
      </c>
      <c r="M1853" t="s">
        <v>4290</v>
      </c>
      <c r="N1853" t="s">
        <v>60</v>
      </c>
      <c r="P1853" t="s">
        <v>190</v>
      </c>
      <c r="R1853">
        <v>43137.495613425926</v>
      </c>
      <c r="S1853">
        <v>43235.255023148151</v>
      </c>
      <c r="T1853" t="s">
        <v>4289</v>
      </c>
      <c r="U1853" t="s">
        <v>35</v>
      </c>
      <c r="V1853" t="s">
        <v>321</v>
      </c>
      <c r="W1853" t="s">
        <v>4098</v>
      </c>
    </row>
    <row r="1854" spans="1:23" x14ac:dyDescent="0.25">
      <c r="A1854" t="s">
        <v>618</v>
      </c>
      <c r="B1854" s="19">
        <v>19482</v>
      </c>
      <c r="C1854" s="2">
        <f>HYPERLINK(URLs!B36 &amp; 109739,109739)</f>
        <v>109739</v>
      </c>
      <c r="D1854" t="s">
        <v>4288</v>
      </c>
      <c r="E1854" t="s">
        <v>4289</v>
      </c>
      <c r="F1854" t="s">
        <v>305</v>
      </c>
      <c r="G1854" t="s">
        <v>337</v>
      </c>
      <c r="H1854" t="s">
        <v>116</v>
      </c>
      <c r="I1854" t="s">
        <v>31</v>
      </c>
      <c r="J1854" t="s">
        <v>32</v>
      </c>
      <c r="K1854" t="s">
        <v>33</v>
      </c>
      <c r="L1854" t="s">
        <v>408</v>
      </c>
      <c r="M1854" t="s">
        <v>4290</v>
      </c>
      <c r="N1854" t="s">
        <v>60</v>
      </c>
      <c r="P1854" t="s">
        <v>190</v>
      </c>
      <c r="Q1854" t="s">
        <v>2481</v>
      </c>
      <c r="R1854">
        <v>43124.707905092589</v>
      </c>
      <c r="S1854">
        <v>43238.63521990741</v>
      </c>
      <c r="T1854" t="s">
        <v>5</v>
      </c>
      <c r="U1854" t="s">
        <v>35</v>
      </c>
      <c r="V1854" t="s">
        <v>321</v>
      </c>
      <c r="W1854" t="s">
        <v>307</v>
      </c>
    </row>
    <row r="1855" spans="1:23" x14ac:dyDescent="0.25">
      <c r="B1855" s="19">
        <v>19510</v>
      </c>
      <c r="C1855" s="2">
        <f>HYPERLINK(URLs!B36 &amp; 109875,109875)</f>
        <v>109875</v>
      </c>
      <c r="D1855" t="s">
        <v>4312</v>
      </c>
      <c r="E1855" t="s">
        <v>112</v>
      </c>
      <c r="F1855" t="s">
        <v>42</v>
      </c>
      <c r="H1855" t="s">
        <v>54</v>
      </c>
      <c r="I1855" t="s">
        <v>68</v>
      </c>
      <c r="J1855" t="s">
        <v>58</v>
      </c>
      <c r="K1855" t="s">
        <v>51</v>
      </c>
      <c r="L1855" t="s">
        <v>73</v>
      </c>
      <c r="M1855" t="s">
        <v>263</v>
      </c>
      <c r="N1855" t="s">
        <v>60</v>
      </c>
      <c r="P1855" t="s">
        <v>4133</v>
      </c>
      <c r="R1855">
        <v>43130.026192129626</v>
      </c>
      <c r="S1855">
        <v>43382.690300925926</v>
      </c>
      <c r="T1855" t="s">
        <v>4313</v>
      </c>
      <c r="U1855" t="s">
        <v>35</v>
      </c>
      <c r="V1855" t="s">
        <v>35</v>
      </c>
      <c r="W1855" t="s">
        <v>3028</v>
      </c>
    </row>
    <row r="1856" spans="1:23" x14ac:dyDescent="0.25">
      <c r="A1856" t="s">
        <v>633</v>
      </c>
      <c r="B1856" s="19">
        <v>19511</v>
      </c>
      <c r="C1856" s="2">
        <f>HYPERLINK(URLs!B36 &amp; 109884,109884)</f>
        <v>109884</v>
      </c>
      <c r="D1856" t="s">
        <v>4314</v>
      </c>
      <c r="E1856" t="s">
        <v>5</v>
      </c>
      <c r="F1856" t="s">
        <v>305</v>
      </c>
      <c r="G1856" t="s">
        <v>395</v>
      </c>
      <c r="H1856" t="s">
        <v>56</v>
      </c>
      <c r="I1856" t="s">
        <v>31</v>
      </c>
      <c r="J1856" t="s">
        <v>43</v>
      </c>
      <c r="K1856" t="s">
        <v>2156</v>
      </c>
      <c r="L1856" t="s">
        <v>34</v>
      </c>
      <c r="M1856" t="s">
        <v>258</v>
      </c>
      <c r="N1856" t="s">
        <v>60</v>
      </c>
      <c r="P1856" t="s">
        <v>69</v>
      </c>
      <c r="Q1856" t="s">
        <v>159</v>
      </c>
      <c r="R1856">
        <v>43130.398159722223</v>
      </c>
      <c r="S1856">
        <v>43132.317361111112</v>
      </c>
      <c r="T1856" t="s">
        <v>5</v>
      </c>
      <c r="U1856" t="s">
        <v>35</v>
      </c>
      <c r="V1856" t="s">
        <v>35</v>
      </c>
      <c r="W1856" t="s">
        <v>4176</v>
      </c>
    </row>
    <row r="1857" spans="1:23" x14ac:dyDescent="0.25">
      <c r="A1857" t="s">
        <v>633</v>
      </c>
      <c r="B1857" s="19">
        <v>19511</v>
      </c>
      <c r="C1857" s="2">
        <f>HYPERLINK(URLs!B36 &amp; 109792,109792)</f>
        <v>109792</v>
      </c>
      <c r="D1857" t="s">
        <v>4297</v>
      </c>
      <c r="E1857" t="s">
        <v>164</v>
      </c>
      <c r="F1857" t="s">
        <v>319</v>
      </c>
      <c r="G1857" t="s">
        <v>304</v>
      </c>
      <c r="H1857" t="s">
        <v>54</v>
      </c>
      <c r="I1857" t="s">
        <v>68</v>
      </c>
      <c r="J1857" t="s">
        <v>43</v>
      </c>
      <c r="K1857" t="s">
        <v>33</v>
      </c>
      <c r="L1857" t="s">
        <v>34</v>
      </c>
      <c r="M1857" t="s">
        <v>2691</v>
      </c>
      <c r="N1857" t="s">
        <v>46</v>
      </c>
      <c r="O1857" t="s">
        <v>4298</v>
      </c>
      <c r="P1857" t="s">
        <v>69</v>
      </c>
      <c r="Q1857" t="s">
        <v>4299</v>
      </c>
      <c r="R1857">
        <v>43125.686238425929</v>
      </c>
      <c r="S1857">
        <v>43137.875011574077</v>
      </c>
      <c r="T1857" t="s">
        <v>53</v>
      </c>
      <c r="U1857" t="s">
        <v>35</v>
      </c>
      <c r="V1857" t="s">
        <v>35</v>
      </c>
      <c r="W1857" t="s">
        <v>4098</v>
      </c>
    </row>
    <row r="1858" spans="1:23" x14ac:dyDescent="0.25">
      <c r="A1858" t="s">
        <v>633</v>
      </c>
      <c r="B1858" s="19">
        <v>19511</v>
      </c>
      <c r="C1858" s="2">
        <f>HYPERLINK(URLs!B36 &amp; 109625,109625)</f>
        <v>109625</v>
      </c>
      <c r="D1858" t="s">
        <v>4276</v>
      </c>
      <c r="E1858" t="s">
        <v>134</v>
      </c>
      <c r="F1858" t="s">
        <v>305</v>
      </c>
      <c r="G1858" t="s">
        <v>304</v>
      </c>
      <c r="H1858" t="s">
        <v>54</v>
      </c>
      <c r="I1858" t="s">
        <v>68</v>
      </c>
      <c r="J1858" t="s">
        <v>43</v>
      </c>
      <c r="K1858" t="s">
        <v>33</v>
      </c>
      <c r="L1858" t="s">
        <v>34</v>
      </c>
      <c r="M1858" t="s">
        <v>2691</v>
      </c>
      <c r="N1858" t="s">
        <v>46</v>
      </c>
      <c r="P1858" t="s">
        <v>69</v>
      </c>
      <c r="R1858">
        <v>43122.68136574074</v>
      </c>
      <c r="S1858">
        <v>43220.633055555554</v>
      </c>
      <c r="T1858" t="s">
        <v>3671</v>
      </c>
      <c r="U1858" t="s">
        <v>4277</v>
      </c>
      <c r="V1858" t="s">
        <v>35</v>
      </c>
      <c r="W1858" t="s">
        <v>4176</v>
      </c>
    </row>
    <row r="1859" spans="1:23" x14ac:dyDescent="0.25">
      <c r="A1859" t="s">
        <v>618</v>
      </c>
      <c r="B1859" s="19">
        <v>19515</v>
      </c>
      <c r="C1859" s="2">
        <f>HYPERLINK(URLs!B36 &amp; 109909,109909)</f>
        <v>109909</v>
      </c>
      <c r="D1859" t="s">
        <v>4318</v>
      </c>
      <c r="E1859" t="s">
        <v>91</v>
      </c>
      <c r="F1859" t="s">
        <v>67</v>
      </c>
      <c r="H1859" t="s">
        <v>54</v>
      </c>
      <c r="I1859" t="s">
        <v>68</v>
      </c>
      <c r="J1859" t="s">
        <v>43</v>
      </c>
      <c r="K1859" t="s">
        <v>33</v>
      </c>
      <c r="L1859" t="s">
        <v>73</v>
      </c>
      <c r="M1859" t="s">
        <v>263</v>
      </c>
      <c r="N1859" t="s">
        <v>60</v>
      </c>
      <c r="P1859" t="s">
        <v>3698</v>
      </c>
      <c r="R1859">
        <v>43130.649328703701</v>
      </c>
      <c r="S1859">
        <v>43157.601076388892</v>
      </c>
      <c r="T1859" t="s">
        <v>1</v>
      </c>
      <c r="U1859" t="s">
        <v>35</v>
      </c>
      <c r="V1859" t="s">
        <v>35</v>
      </c>
      <c r="W1859" t="s">
        <v>4166</v>
      </c>
    </row>
    <row r="1860" spans="1:23" x14ac:dyDescent="0.25">
      <c r="A1860" t="s">
        <v>633</v>
      </c>
      <c r="B1860" s="19">
        <v>19530</v>
      </c>
      <c r="C1860" s="2">
        <f>HYPERLINK(URLs!B36 &amp; 109907,109907)</f>
        <v>109907</v>
      </c>
      <c r="D1860" t="s">
        <v>4316</v>
      </c>
      <c r="E1860" t="s">
        <v>387</v>
      </c>
      <c r="F1860" t="s">
        <v>305</v>
      </c>
      <c r="G1860" t="s">
        <v>353</v>
      </c>
      <c r="H1860" t="s">
        <v>56</v>
      </c>
      <c r="I1860" t="s">
        <v>68</v>
      </c>
      <c r="J1860" t="s">
        <v>58</v>
      </c>
      <c r="K1860" t="s">
        <v>44</v>
      </c>
      <c r="L1860" t="s">
        <v>73</v>
      </c>
      <c r="M1860" t="s">
        <v>263</v>
      </c>
      <c r="N1860" t="s">
        <v>60</v>
      </c>
      <c r="P1860" t="s">
        <v>449</v>
      </c>
      <c r="Q1860" t="s">
        <v>3287</v>
      </c>
      <c r="R1860">
        <v>43130.635648148149</v>
      </c>
      <c r="S1860">
        <v>43192.158912037034</v>
      </c>
      <c r="T1860" t="s">
        <v>86</v>
      </c>
      <c r="U1860" t="s">
        <v>35</v>
      </c>
      <c r="V1860" t="s">
        <v>35</v>
      </c>
      <c r="W1860" t="s">
        <v>4180</v>
      </c>
    </row>
    <row r="1861" spans="1:23" x14ac:dyDescent="0.25">
      <c r="A1861" t="s">
        <v>633</v>
      </c>
      <c r="B1861" s="19">
        <v>19536</v>
      </c>
      <c r="C1861" s="2">
        <f>HYPERLINK(URLs!B36 &amp; 110032,110032)</f>
        <v>110032</v>
      </c>
      <c r="D1861" t="s">
        <v>4322</v>
      </c>
      <c r="E1861" t="s">
        <v>2399</v>
      </c>
      <c r="F1861" t="s">
        <v>305</v>
      </c>
      <c r="G1861" t="s">
        <v>328</v>
      </c>
      <c r="H1861" t="s">
        <v>116</v>
      </c>
      <c r="I1861" t="s">
        <v>31</v>
      </c>
      <c r="J1861" t="s">
        <v>32</v>
      </c>
      <c r="K1861" t="s">
        <v>33</v>
      </c>
      <c r="L1861" t="s">
        <v>52</v>
      </c>
      <c r="M1861" t="s">
        <v>3445</v>
      </c>
      <c r="N1861" t="s">
        <v>60</v>
      </c>
      <c r="P1861" t="s">
        <v>3698</v>
      </c>
      <c r="Q1861" t="s">
        <v>4323</v>
      </c>
      <c r="R1861">
        <v>43132.772164351853</v>
      </c>
      <c r="S1861">
        <v>43192.161122685182</v>
      </c>
      <c r="T1861" t="s">
        <v>1</v>
      </c>
      <c r="U1861" t="s">
        <v>35</v>
      </c>
      <c r="V1861" t="s">
        <v>4057</v>
      </c>
      <c r="W1861" t="s">
        <v>307</v>
      </c>
    </row>
    <row r="1862" spans="1:23" x14ac:dyDescent="0.25">
      <c r="A1862" t="s">
        <v>665</v>
      </c>
      <c r="B1862" s="19">
        <v>19537</v>
      </c>
      <c r="C1862" s="2">
        <f>HYPERLINK(URLs!B36 &amp; 110239,110239)</f>
        <v>110239</v>
      </c>
      <c r="D1862" t="s">
        <v>4333</v>
      </c>
      <c r="E1862" t="s">
        <v>560</v>
      </c>
      <c r="F1862" t="s">
        <v>319</v>
      </c>
      <c r="G1862" t="s">
        <v>304</v>
      </c>
      <c r="H1862" t="s">
        <v>56</v>
      </c>
      <c r="I1862" t="s">
        <v>31</v>
      </c>
      <c r="J1862" t="s">
        <v>43</v>
      </c>
      <c r="K1862" t="s">
        <v>51</v>
      </c>
      <c r="L1862" t="s">
        <v>73</v>
      </c>
      <c r="M1862" t="s">
        <v>4205</v>
      </c>
      <c r="N1862" t="s">
        <v>121</v>
      </c>
      <c r="P1862" t="s">
        <v>3698</v>
      </c>
      <c r="Q1862" t="s">
        <v>2305</v>
      </c>
      <c r="R1862">
        <v>43139.916527777779</v>
      </c>
      <c r="S1862">
        <v>43215.911099537036</v>
      </c>
      <c r="T1862" t="s">
        <v>560</v>
      </c>
      <c r="U1862" t="s">
        <v>35</v>
      </c>
      <c r="V1862" t="s">
        <v>35</v>
      </c>
      <c r="W1862" t="s">
        <v>4172</v>
      </c>
    </row>
    <row r="1863" spans="1:23" x14ac:dyDescent="0.25">
      <c r="A1863" t="s">
        <v>665</v>
      </c>
      <c r="B1863" s="19">
        <v>19537</v>
      </c>
      <c r="C1863" s="2">
        <f>HYPERLINK(URLs!B36 &amp; 110084,110084)</f>
        <v>110084</v>
      </c>
      <c r="D1863" t="s">
        <v>4326</v>
      </c>
      <c r="E1863" t="s">
        <v>560</v>
      </c>
      <c r="F1863" t="s">
        <v>305</v>
      </c>
      <c r="G1863" t="s">
        <v>353</v>
      </c>
      <c r="H1863" t="s">
        <v>56</v>
      </c>
      <c r="I1863" t="s">
        <v>31</v>
      </c>
      <c r="J1863" t="s">
        <v>43</v>
      </c>
      <c r="K1863" t="s">
        <v>51</v>
      </c>
      <c r="L1863" t="s">
        <v>73</v>
      </c>
      <c r="M1863" t="s">
        <v>4205</v>
      </c>
      <c r="N1863" t="s">
        <v>60</v>
      </c>
      <c r="P1863" t="s">
        <v>3698</v>
      </c>
      <c r="Q1863" t="s">
        <v>2305</v>
      </c>
      <c r="R1863">
        <v>43136.793402777781</v>
      </c>
      <c r="S1863">
        <v>43215.911099537036</v>
      </c>
      <c r="T1863" t="s">
        <v>301</v>
      </c>
      <c r="U1863" t="s">
        <v>35</v>
      </c>
      <c r="V1863" t="s">
        <v>35</v>
      </c>
      <c r="W1863" t="s">
        <v>4171</v>
      </c>
    </row>
    <row r="1864" spans="1:23" x14ac:dyDescent="0.25">
      <c r="A1864" t="s">
        <v>665</v>
      </c>
      <c r="B1864" s="19">
        <v>19537</v>
      </c>
      <c r="C1864" s="2">
        <f>HYPERLINK(URLs!B36 &amp; 110083,110083)</f>
        <v>110083</v>
      </c>
      <c r="D1864" t="s">
        <v>4325</v>
      </c>
      <c r="E1864" t="s">
        <v>560</v>
      </c>
      <c r="F1864" t="s">
        <v>305</v>
      </c>
      <c r="G1864" t="s">
        <v>353</v>
      </c>
      <c r="H1864" t="s">
        <v>54</v>
      </c>
      <c r="I1864" t="s">
        <v>31</v>
      </c>
      <c r="J1864" t="s">
        <v>43</v>
      </c>
      <c r="K1864" t="s">
        <v>51</v>
      </c>
      <c r="L1864" t="s">
        <v>73</v>
      </c>
      <c r="M1864" t="s">
        <v>4205</v>
      </c>
      <c r="N1864" t="s">
        <v>60</v>
      </c>
      <c r="P1864" t="s">
        <v>3698</v>
      </c>
      <c r="Q1864" t="s">
        <v>2305</v>
      </c>
      <c r="R1864">
        <v>43136.79210648148</v>
      </c>
      <c r="S1864">
        <v>43215.911111111112</v>
      </c>
      <c r="T1864" t="s">
        <v>301</v>
      </c>
      <c r="U1864" t="s">
        <v>4249</v>
      </c>
      <c r="V1864" t="s">
        <v>35</v>
      </c>
      <c r="W1864" t="s">
        <v>307</v>
      </c>
    </row>
    <row r="1865" spans="1:23" x14ac:dyDescent="0.25">
      <c r="A1865" t="s">
        <v>665</v>
      </c>
      <c r="B1865" s="19">
        <v>19537</v>
      </c>
      <c r="C1865" s="2">
        <f>HYPERLINK(URLs!B36 &amp; 110034,110034)</f>
        <v>110034</v>
      </c>
      <c r="D1865" t="s">
        <v>4324</v>
      </c>
      <c r="E1865" t="s">
        <v>560</v>
      </c>
      <c r="F1865" t="s">
        <v>319</v>
      </c>
      <c r="G1865" t="s">
        <v>304</v>
      </c>
      <c r="H1865" t="s">
        <v>56</v>
      </c>
      <c r="I1865" t="s">
        <v>31</v>
      </c>
      <c r="J1865" t="s">
        <v>43</v>
      </c>
      <c r="K1865" t="s">
        <v>51</v>
      </c>
      <c r="L1865" t="s">
        <v>73</v>
      </c>
      <c r="M1865" t="s">
        <v>4205</v>
      </c>
      <c r="N1865" t="s">
        <v>60</v>
      </c>
      <c r="P1865" t="s">
        <v>3698</v>
      </c>
      <c r="Q1865" t="s">
        <v>2305</v>
      </c>
      <c r="R1865">
        <v>43132.907592592594</v>
      </c>
      <c r="S1865">
        <v>43215.911111111112</v>
      </c>
      <c r="T1865" t="s">
        <v>1</v>
      </c>
      <c r="U1865" t="s">
        <v>35</v>
      </c>
      <c r="V1865" t="s">
        <v>35</v>
      </c>
      <c r="W1865" t="s">
        <v>4098</v>
      </c>
    </row>
    <row r="1866" spans="1:23" x14ac:dyDescent="0.25">
      <c r="A1866" t="s">
        <v>665</v>
      </c>
      <c r="B1866" s="19">
        <v>19537</v>
      </c>
      <c r="C1866" s="2">
        <f>HYPERLINK(URLs!B36 &amp; 102927,102927)</f>
        <v>102927</v>
      </c>
      <c r="D1866" t="s">
        <v>4202</v>
      </c>
      <c r="E1866" t="s">
        <v>560</v>
      </c>
      <c r="F1866" t="s">
        <v>305</v>
      </c>
      <c r="G1866" t="s">
        <v>304</v>
      </c>
      <c r="H1866" t="s">
        <v>54</v>
      </c>
      <c r="I1866" t="s">
        <v>68</v>
      </c>
      <c r="J1866" t="s">
        <v>43</v>
      </c>
      <c r="K1866" t="s">
        <v>33</v>
      </c>
      <c r="L1866" t="s">
        <v>73</v>
      </c>
      <c r="M1866" t="s">
        <v>3648</v>
      </c>
      <c r="N1866" t="s">
        <v>46</v>
      </c>
      <c r="P1866" t="s">
        <v>307</v>
      </c>
      <c r="R1866">
        <v>42942.783530092594</v>
      </c>
      <c r="S1866">
        <v>43215.849814814814</v>
      </c>
      <c r="T1866" t="s">
        <v>301</v>
      </c>
      <c r="U1866" t="s">
        <v>35</v>
      </c>
      <c r="V1866" t="s">
        <v>35</v>
      </c>
      <c r="W1866" t="s">
        <v>307</v>
      </c>
    </row>
    <row r="1867" spans="1:23" x14ac:dyDescent="0.25">
      <c r="A1867" t="s">
        <v>665</v>
      </c>
      <c r="B1867" s="19">
        <v>19653</v>
      </c>
      <c r="C1867" s="2">
        <f>HYPERLINK(URLs!B36 &amp; 111511,111511)</f>
        <v>111511</v>
      </c>
      <c r="D1867" t="s">
        <v>4371</v>
      </c>
      <c r="E1867" t="s">
        <v>91</v>
      </c>
      <c r="F1867" t="s">
        <v>305</v>
      </c>
      <c r="G1867" t="s">
        <v>304</v>
      </c>
      <c r="H1867" t="s">
        <v>54</v>
      </c>
      <c r="I1867" t="s">
        <v>31</v>
      </c>
      <c r="J1867" t="s">
        <v>43</v>
      </c>
      <c r="K1867" t="s">
        <v>44</v>
      </c>
      <c r="L1867" t="s">
        <v>73</v>
      </c>
      <c r="M1867" t="s">
        <v>263</v>
      </c>
      <c r="N1867" t="s">
        <v>60</v>
      </c>
      <c r="P1867" t="s">
        <v>449</v>
      </c>
      <c r="Q1867" t="s">
        <v>3509</v>
      </c>
      <c r="R1867">
        <v>43180.529432870368</v>
      </c>
      <c r="S1867">
        <v>43265.444143518522</v>
      </c>
      <c r="T1867" t="s">
        <v>91</v>
      </c>
      <c r="U1867" t="s">
        <v>35</v>
      </c>
      <c r="V1867" t="s">
        <v>35</v>
      </c>
      <c r="W1867" t="s">
        <v>4236</v>
      </c>
    </row>
    <row r="1868" spans="1:23" x14ac:dyDescent="0.25">
      <c r="A1868" t="s">
        <v>665</v>
      </c>
      <c r="B1868" s="19">
        <v>19653</v>
      </c>
      <c r="C1868" s="2">
        <f>HYPERLINK(URLs!B36 &amp; 110641,110641)</f>
        <v>110641</v>
      </c>
      <c r="D1868" t="s">
        <v>4345</v>
      </c>
      <c r="E1868" t="s">
        <v>387</v>
      </c>
      <c r="F1868" t="s">
        <v>305</v>
      </c>
      <c r="G1868" t="s">
        <v>304</v>
      </c>
      <c r="H1868" t="s">
        <v>54</v>
      </c>
      <c r="I1868" t="s">
        <v>31</v>
      </c>
      <c r="J1868" t="s">
        <v>43</v>
      </c>
      <c r="K1868" t="s">
        <v>44</v>
      </c>
      <c r="L1868" t="s">
        <v>73</v>
      </c>
      <c r="M1868" t="s">
        <v>263</v>
      </c>
      <c r="N1868" t="s">
        <v>60</v>
      </c>
      <c r="P1868" t="s">
        <v>449</v>
      </c>
      <c r="Q1868" t="s">
        <v>2854</v>
      </c>
      <c r="R1868">
        <v>43153.502071759256</v>
      </c>
      <c r="S1868">
        <v>43360.579189814816</v>
      </c>
      <c r="T1868" t="s">
        <v>301</v>
      </c>
      <c r="U1868" t="s">
        <v>35</v>
      </c>
      <c r="V1868" t="s">
        <v>35</v>
      </c>
      <c r="W1868" t="s">
        <v>4231</v>
      </c>
    </row>
    <row r="1869" spans="1:23" x14ac:dyDescent="0.25">
      <c r="A1869" t="s">
        <v>665</v>
      </c>
      <c r="B1869" s="19">
        <v>19653</v>
      </c>
      <c r="C1869" s="2">
        <f>HYPERLINK(URLs!B36 &amp; 110510,110510)</f>
        <v>110510</v>
      </c>
      <c r="D1869" t="s">
        <v>4342</v>
      </c>
      <c r="E1869" t="s">
        <v>387</v>
      </c>
      <c r="F1869" t="s">
        <v>319</v>
      </c>
      <c r="G1869" t="s">
        <v>304</v>
      </c>
      <c r="H1869" t="s">
        <v>54</v>
      </c>
      <c r="I1869" t="s">
        <v>31</v>
      </c>
      <c r="J1869" t="s">
        <v>43</v>
      </c>
      <c r="K1869" t="s">
        <v>44</v>
      </c>
      <c r="L1869" t="s">
        <v>73</v>
      </c>
      <c r="M1869" t="s">
        <v>263</v>
      </c>
      <c r="N1869" t="s">
        <v>60</v>
      </c>
      <c r="P1869" t="s">
        <v>449</v>
      </c>
      <c r="Q1869" t="s">
        <v>2854</v>
      </c>
      <c r="R1869">
        <v>43147.700474537036</v>
      </c>
      <c r="S1869">
        <v>43353.404479166667</v>
      </c>
      <c r="T1869" t="s">
        <v>86</v>
      </c>
      <c r="U1869" t="s">
        <v>35</v>
      </c>
      <c r="V1869" t="s">
        <v>35</v>
      </c>
      <c r="W1869" t="s">
        <v>4098</v>
      </c>
    </row>
    <row r="1870" spans="1:23" x14ac:dyDescent="0.25">
      <c r="A1870" t="s">
        <v>665</v>
      </c>
      <c r="B1870" s="19">
        <v>19658</v>
      </c>
      <c r="C1870" s="2">
        <f>HYPERLINK(URLs!B36 &amp; 110690,110690)</f>
        <v>110690</v>
      </c>
      <c r="D1870" t="s">
        <v>4348</v>
      </c>
      <c r="E1870" t="s">
        <v>86</v>
      </c>
      <c r="F1870" t="s">
        <v>305</v>
      </c>
      <c r="G1870" t="s">
        <v>304</v>
      </c>
      <c r="H1870" t="s">
        <v>56</v>
      </c>
      <c r="I1870" t="s">
        <v>31</v>
      </c>
      <c r="J1870" t="s">
        <v>32</v>
      </c>
      <c r="K1870" t="s">
        <v>33</v>
      </c>
      <c r="L1870" t="s">
        <v>34</v>
      </c>
      <c r="M1870" t="s">
        <v>3704</v>
      </c>
      <c r="N1870" t="s">
        <v>46</v>
      </c>
      <c r="O1870" t="s">
        <v>4350</v>
      </c>
      <c r="P1870" t="s">
        <v>3428</v>
      </c>
      <c r="Q1870" t="s">
        <v>4351</v>
      </c>
      <c r="R1870">
        <v>43154.667222222219</v>
      </c>
      <c r="S1870">
        <v>43336.409745370373</v>
      </c>
      <c r="T1870" t="s">
        <v>86</v>
      </c>
      <c r="U1870" t="s">
        <v>35</v>
      </c>
      <c r="V1870" t="s">
        <v>35</v>
      </c>
      <c r="W1870" t="s">
        <v>4349</v>
      </c>
    </row>
    <row r="1871" spans="1:23" x14ac:dyDescent="0.25">
      <c r="A1871" t="s">
        <v>641</v>
      </c>
      <c r="B1871" s="19">
        <v>19693</v>
      </c>
      <c r="C1871" s="2">
        <f>HYPERLINK(URLs!B36 &amp; 110692,110692)</f>
        <v>110692</v>
      </c>
      <c r="D1871" t="s">
        <v>4353</v>
      </c>
      <c r="E1871" t="s">
        <v>64</v>
      </c>
      <c r="F1871" t="s">
        <v>67</v>
      </c>
      <c r="H1871" t="s">
        <v>56</v>
      </c>
      <c r="I1871" t="s">
        <v>68</v>
      </c>
      <c r="J1871" t="s">
        <v>43</v>
      </c>
      <c r="K1871" t="s">
        <v>33</v>
      </c>
      <c r="L1871" t="s">
        <v>73</v>
      </c>
      <c r="M1871" t="s">
        <v>263</v>
      </c>
      <c r="N1871" t="s">
        <v>46</v>
      </c>
      <c r="P1871" t="s">
        <v>69</v>
      </c>
      <c r="R1871">
        <v>43154.692025462966</v>
      </c>
      <c r="S1871">
        <v>43404.476412037038</v>
      </c>
      <c r="T1871" t="s">
        <v>5</v>
      </c>
      <c r="U1871" t="s">
        <v>35</v>
      </c>
      <c r="V1871" t="s">
        <v>35</v>
      </c>
      <c r="W1871" t="s">
        <v>4126</v>
      </c>
    </row>
    <row r="1872" spans="1:23" x14ac:dyDescent="0.25">
      <c r="A1872" t="s">
        <v>665</v>
      </c>
      <c r="B1872" s="19">
        <v>19732</v>
      </c>
      <c r="C1872" s="2">
        <f>HYPERLINK(URLs!B36 &amp; 110955,110955)</f>
        <v>110955</v>
      </c>
      <c r="D1872" t="s">
        <v>4364</v>
      </c>
      <c r="E1872" t="s">
        <v>288</v>
      </c>
      <c r="F1872" t="s">
        <v>319</v>
      </c>
      <c r="G1872" t="s">
        <v>304</v>
      </c>
      <c r="H1872" t="s">
        <v>116</v>
      </c>
      <c r="I1872" t="s">
        <v>31</v>
      </c>
      <c r="J1872" t="s">
        <v>43</v>
      </c>
      <c r="K1872" t="s">
        <v>44</v>
      </c>
      <c r="L1872" t="s">
        <v>96</v>
      </c>
      <c r="M1872" t="s">
        <v>281</v>
      </c>
      <c r="N1872" t="s">
        <v>60</v>
      </c>
      <c r="P1872" t="s">
        <v>3698</v>
      </c>
      <c r="Q1872" t="s">
        <v>3748</v>
      </c>
      <c r="R1872">
        <v>43165.007303240738</v>
      </c>
      <c r="S1872">
        <v>43208.754606481481</v>
      </c>
      <c r="T1872" t="s">
        <v>53</v>
      </c>
      <c r="U1872" t="s">
        <v>35</v>
      </c>
      <c r="V1872" t="s">
        <v>321</v>
      </c>
      <c r="W1872" t="s">
        <v>4158</v>
      </c>
    </row>
    <row r="1873" spans="1:23" x14ac:dyDescent="0.25">
      <c r="A1873" t="s">
        <v>665</v>
      </c>
      <c r="B1873" s="19">
        <v>19732</v>
      </c>
      <c r="C1873" s="2">
        <f>HYPERLINK(URLs!B36 &amp; 110951,110951)</f>
        <v>110951</v>
      </c>
      <c r="D1873" t="s">
        <v>4363</v>
      </c>
      <c r="E1873" t="s">
        <v>3671</v>
      </c>
      <c r="F1873" t="s">
        <v>319</v>
      </c>
      <c r="G1873" t="s">
        <v>304</v>
      </c>
      <c r="H1873" t="s">
        <v>116</v>
      </c>
      <c r="I1873" t="s">
        <v>31</v>
      </c>
      <c r="J1873" t="s">
        <v>43</v>
      </c>
      <c r="K1873" t="s">
        <v>44</v>
      </c>
      <c r="L1873" t="s">
        <v>96</v>
      </c>
      <c r="M1873" t="s">
        <v>281</v>
      </c>
      <c r="N1873" t="s">
        <v>3513</v>
      </c>
      <c r="P1873" t="s">
        <v>3698</v>
      </c>
      <c r="Q1873" t="s">
        <v>4360</v>
      </c>
      <c r="R1873">
        <v>43164.78806712963</v>
      </c>
      <c r="S1873">
        <v>43404.616064814814</v>
      </c>
      <c r="T1873" t="s">
        <v>288</v>
      </c>
      <c r="U1873" t="s">
        <v>35</v>
      </c>
      <c r="V1873" t="s">
        <v>321</v>
      </c>
      <c r="W1873" t="s">
        <v>4171</v>
      </c>
    </row>
    <row r="1874" spans="1:23" x14ac:dyDescent="0.25">
      <c r="A1874" t="s">
        <v>665</v>
      </c>
      <c r="B1874" s="19">
        <v>19732</v>
      </c>
      <c r="C1874" s="2">
        <f>HYPERLINK(URLs!B36 &amp; 110950,110950)</f>
        <v>110950</v>
      </c>
      <c r="D1874" t="s">
        <v>4362</v>
      </c>
      <c r="E1874" t="s">
        <v>3671</v>
      </c>
      <c r="F1874" t="s">
        <v>319</v>
      </c>
      <c r="G1874" t="s">
        <v>304</v>
      </c>
      <c r="H1874" t="s">
        <v>56</v>
      </c>
      <c r="I1874" t="s">
        <v>31</v>
      </c>
      <c r="J1874" t="s">
        <v>43</v>
      </c>
      <c r="K1874" t="s">
        <v>44</v>
      </c>
      <c r="L1874" t="s">
        <v>96</v>
      </c>
      <c r="M1874" t="s">
        <v>281</v>
      </c>
      <c r="N1874" t="s">
        <v>60</v>
      </c>
      <c r="P1874" t="s">
        <v>3698</v>
      </c>
      <c r="Q1874" t="s">
        <v>3698</v>
      </c>
      <c r="R1874">
        <v>43164.788078703707</v>
      </c>
      <c r="S1874">
        <v>43328.681030092594</v>
      </c>
      <c r="T1874" t="s">
        <v>288</v>
      </c>
      <c r="U1874" t="s">
        <v>35</v>
      </c>
      <c r="V1874" t="s">
        <v>321</v>
      </c>
      <c r="W1874" t="s">
        <v>4098</v>
      </c>
    </row>
    <row r="1875" spans="1:23" x14ac:dyDescent="0.25">
      <c r="A1875" t="s">
        <v>665</v>
      </c>
      <c r="B1875" s="19">
        <v>19732</v>
      </c>
      <c r="C1875" s="2">
        <f>HYPERLINK(URLs!B36 &amp; 110892,110892)</f>
        <v>110892</v>
      </c>
      <c r="D1875" t="s">
        <v>4358</v>
      </c>
      <c r="E1875" t="s">
        <v>3671</v>
      </c>
      <c r="F1875" t="s">
        <v>305</v>
      </c>
      <c r="G1875" t="s">
        <v>304</v>
      </c>
      <c r="H1875" t="s">
        <v>116</v>
      </c>
      <c r="I1875" t="s">
        <v>31</v>
      </c>
      <c r="J1875" t="s">
        <v>43</v>
      </c>
      <c r="K1875" t="s">
        <v>44</v>
      </c>
      <c r="L1875" t="s">
        <v>96</v>
      </c>
      <c r="M1875" t="s">
        <v>281</v>
      </c>
      <c r="N1875" t="s">
        <v>4359</v>
      </c>
      <c r="P1875" t="s">
        <v>3698</v>
      </c>
      <c r="Q1875" t="s">
        <v>4360</v>
      </c>
      <c r="R1875">
        <v>43160.782951388886</v>
      </c>
      <c r="S1875">
        <v>43360.67732638889</v>
      </c>
      <c r="T1875" t="s">
        <v>3</v>
      </c>
      <c r="U1875" t="s">
        <v>4361</v>
      </c>
      <c r="V1875" t="s">
        <v>321</v>
      </c>
      <c r="W1875" t="s">
        <v>307</v>
      </c>
    </row>
    <row r="1876" spans="1:23" x14ac:dyDescent="0.25">
      <c r="A1876" t="s">
        <v>618</v>
      </c>
      <c r="B1876" s="19">
        <v>19803</v>
      </c>
      <c r="C1876" s="2">
        <f>HYPERLINK(URLs!B36 &amp; 121411,121411)</f>
        <v>121411</v>
      </c>
      <c r="D1876" t="s">
        <v>4952</v>
      </c>
      <c r="E1876" t="s">
        <v>194</v>
      </c>
      <c r="F1876" t="s">
        <v>29</v>
      </c>
      <c r="H1876" t="s">
        <v>116</v>
      </c>
      <c r="I1876" t="s">
        <v>31</v>
      </c>
      <c r="J1876" t="s">
        <v>32</v>
      </c>
      <c r="K1876" t="s">
        <v>33</v>
      </c>
      <c r="L1876" t="s">
        <v>195</v>
      </c>
      <c r="M1876" t="s">
        <v>284</v>
      </c>
      <c r="N1876" t="s">
        <v>4921</v>
      </c>
      <c r="P1876" t="s">
        <v>69</v>
      </c>
      <c r="Q1876" t="s">
        <v>4367</v>
      </c>
      <c r="R1876">
        <v>43397.982581018521</v>
      </c>
      <c r="S1876">
        <v>43411.687708333331</v>
      </c>
      <c r="T1876" t="s">
        <v>53</v>
      </c>
      <c r="U1876" t="s">
        <v>35</v>
      </c>
      <c r="V1876" t="s">
        <v>321</v>
      </c>
      <c r="W1876" t="s">
        <v>4410</v>
      </c>
    </row>
    <row r="1877" spans="1:23" x14ac:dyDescent="0.25">
      <c r="A1877" t="s">
        <v>618</v>
      </c>
      <c r="B1877" s="19">
        <v>19803</v>
      </c>
      <c r="C1877" s="2">
        <f>HYPERLINK(URLs!B36 &amp; 111633,111633)</f>
        <v>111633</v>
      </c>
      <c r="D1877" t="s">
        <v>4374</v>
      </c>
      <c r="E1877" t="s">
        <v>194</v>
      </c>
      <c r="F1877" t="s">
        <v>305</v>
      </c>
      <c r="G1877" t="s">
        <v>337</v>
      </c>
      <c r="H1877" t="s">
        <v>54</v>
      </c>
      <c r="I1877" t="s">
        <v>31</v>
      </c>
      <c r="J1877" t="s">
        <v>32</v>
      </c>
      <c r="K1877" t="s">
        <v>33</v>
      </c>
      <c r="L1877" t="s">
        <v>195</v>
      </c>
      <c r="M1877" t="s">
        <v>284</v>
      </c>
      <c r="N1877" t="s">
        <v>60</v>
      </c>
      <c r="O1877" t="s">
        <v>4375</v>
      </c>
      <c r="P1877" t="s">
        <v>69</v>
      </c>
      <c r="Q1877" t="s">
        <v>3509</v>
      </c>
      <c r="R1877">
        <v>43182.680578703701</v>
      </c>
      <c r="S1877">
        <v>43202.867847222224</v>
      </c>
      <c r="T1877" t="s">
        <v>53</v>
      </c>
      <c r="U1877" t="s">
        <v>35</v>
      </c>
      <c r="V1877" t="s">
        <v>321</v>
      </c>
      <c r="W1877" t="s">
        <v>307</v>
      </c>
    </row>
    <row r="1878" spans="1:23" x14ac:dyDescent="0.25">
      <c r="A1878" t="s">
        <v>618</v>
      </c>
      <c r="B1878" s="19">
        <v>19803</v>
      </c>
      <c r="C1878" s="2">
        <f>HYPERLINK(URLs!B36 &amp; 111632,111632)</f>
        <v>111632</v>
      </c>
      <c r="D1878" t="s">
        <v>4372</v>
      </c>
      <c r="E1878" t="s">
        <v>194</v>
      </c>
      <c r="F1878" t="s">
        <v>29</v>
      </c>
      <c r="H1878" t="s">
        <v>116</v>
      </c>
      <c r="I1878" t="s">
        <v>31</v>
      </c>
      <c r="J1878" t="s">
        <v>32</v>
      </c>
      <c r="K1878" t="s">
        <v>33</v>
      </c>
      <c r="L1878" t="s">
        <v>195</v>
      </c>
      <c r="M1878" t="s">
        <v>284</v>
      </c>
      <c r="N1878" t="s">
        <v>46</v>
      </c>
      <c r="O1878" t="s">
        <v>4373</v>
      </c>
      <c r="P1878" t="s">
        <v>69</v>
      </c>
      <c r="Q1878" t="s">
        <v>4367</v>
      </c>
      <c r="R1878">
        <v>43182.680590277778</v>
      </c>
      <c r="S1878">
        <v>43411.687858796293</v>
      </c>
      <c r="T1878" t="s">
        <v>53</v>
      </c>
      <c r="U1878" t="s">
        <v>35</v>
      </c>
      <c r="V1878" t="s">
        <v>321</v>
      </c>
      <c r="W1878" t="s">
        <v>4098</v>
      </c>
    </row>
    <row r="1879" spans="1:23" x14ac:dyDescent="0.25">
      <c r="A1879" t="s">
        <v>618</v>
      </c>
      <c r="B1879" s="19">
        <v>19803</v>
      </c>
      <c r="C1879" s="2">
        <f>HYPERLINK(URLs!B36 &amp; 111173,111173)</f>
        <v>111173</v>
      </c>
      <c r="D1879" t="s">
        <v>4366</v>
      </c>
      <c r="E1879" t="s">
        <v>194</v>
      </c>
      <c r="F1879" t="s">
        <v>319</v>
      </c>
      <c r="G1879" t="s">
        <v>304</v>
      </c>
      <c r="H1879" t="s">
        <v>54</v>
      </c>
      <c r="I1879" t="s">
        <v>31</v>
      </c>
      <c r="J1879" t="s">
        <v>32</v>
      </c>
      <c r="K1879" t="s">
        <v>33</v>
      </c>
      <c r="L1879" t="s">
        <v>195</v>
      </c>
      <c r="M1879" t="s">
        <v>284</v>
      </c>
      <c r="N1879" t="s">
        <v>4195</v>
      </c>
      <c r="P1879" t="s">
        <v>69</v>
      </c>
      <c r="Q1879" t="s">
        <v>4367</v>
      </c>
      <c r="R1879">
        <v>43171.89503472222</v>
      </c>
      <c r="S1879">
        <v>43397.988113425927</v>
      </c>
      <c r="T1879" t="s">
        <v>1</v>
      </c>
      <c r="U1879" t="s">
        <v>35</v>
      </c>
      <c r="V1879" t="s">
        <v>321</v>
      </c>
      <c r="W1879" t="s">
        <v>4171</v>
      </c>
    </row>
    <row r="1880" spans="1:23" x14ac:dyDescent="0.25">
      <c r="A1880" t="s">
        <v>641</v>
      </c>
      <c r="B1880" s="19">
        <v>19849</v>
      </c>
      <c r="C1880" s="2">
        <f>HYPERLINK(URLs!B36 &amp; 118265,118265)</f>
        <v>118265</v>
      </c>
      <c r="D1880" t="s">
        <v>4777</v>
      </c>
      <c r="E1880" t="s">
        <v>387</v>
      </c>
      <c r="F1880" t="s">
        <v>305</v>
      </c>
      <c r="G1880" t="s">
        <v>304</v>
      </c>
      <c r="H1880" t="s">
        <v>116</v>
      </c>
      <c r="I1880" t="s">
        <v>31</v>
      </c>
      <c r="J1880" t="s">
        <v>43</v>
      </c>
      <c r="K1880" t="s">
        <v>44</v>
      </c>
      <c r="L1880" t="s">
        <v>73</v>
      </c>
      <c r="M1880" t="s">
        <v>263</v>
      </c>
      <c r="N1880" t="s">
        <v>4854</v>
      </c>
      <c r="P1880" t="s">
        <v>4171</v>
      </c>
      <c r="Q1880" t="s">
        <v>307</v>
      </c>
      <c r="R1880">
        <v>43328.914259259262</v>
      </c>
      <c r="S1880">
        <v>43376.586759259262</v>
      </c>
      <c r="T1880" t="s">
        <v>301</v>
      </c>
      <c r="U1880" t="s">
        <v>35</v>
      </c>
      <c r="V1880" t="s">
        <v>35</v>
      </c>
      <c r="W1880" t="s">
        <v>4707</v>
      </c>
    </row>
    <row r="1881" spans="1:23" x14ac:dyDescent="0.25">
      <c r="A1881" t="s">
        <v>641</v>
      </c>
      <c r="B1881" s="19">
        <v>19849</v>
      </c>
      <c r="C1881" s="2">
        <f>HYPERLINK(URLs!B36 &amp; 114353,114353)</f>
        <v>114353</v>
      </c>
      <c r="D1881" t="s">
        <v>4674</v>
      </c>
      <c r="E1881" t="s">
        <v>387</v>
      </c>
      <c r="F1881" t="s">
        <v>305</v>
      </c>
      <c r="G1881" t="s">
        <v>304</v>
      </c>
      <c r="H1881" t="s">
        <v>116</v>
      </c>
      <c r="I1881" t="s">
        <v>31</v>
      </c>
      <c r="J1881" t="s">
        <v>43</v>
      </c>
      <c r="K1881" t="s">
        <v>44</v>
      </c>
      <c r="L1881" t="s">
        <v>73</v>
      </c>
      <c r="M1881" t="s">
        <v>263</v>
      </c>
      <c r="N1881" t="s">
        <v>4836</v>
      </c>
      <c r="P1881" t="s">
        <v>4171</v>
      </c>
      <c r="Q1881" t="s">
        <v>307</v>
      </c>
      <c r="R1881">
        <v>43244.788784722223</v>
      </c>
      <c r="S1881">
        <v>43350.692326388889</v>
      </c>
      <c r="T1881" t="s">
        <v>131</v>
      </c>
      <c r="U1881" t="s">
        <v>35</v>
      </c>
      <c r="V1881" t="s">
        <v>321</v>
      </c>
      <c r="W1881" t="s">
        <v>4439</v>
      </c>
    </row>
    <row r="1882" spans="1:23" x14ac:dyDescent="0.25">
      <c r="A1882" t="s">
        <v>641</v>
      </c>
      <c r="B1882" s="19">
        <v>19849</v>
      </c>
      <c r="C1882" s="2">
        <f>HYPERLINK(URLs!B36 &amp; 114352,114352)</f>
        <v>114352</v>
      </c>
      <c r="D1882" t="s">
        <v>4673</v>
      </c>
      <c r="E1882" t="s">
        <v>131</v>
      </c>
      <c r="F1882" t="s">
        <v>319</v>
      </c>
      <c r="G1882" t="s">
        <v>304</v>
      </c>
      <c r="H1882" t="s">
        <v>116</v>
      </c>
      <c r="I1882" t="s">
        <v>31</v>
      </c>
      <c r="J1882" t="s">
        <v>43</v>
      </c>
      <c r="K1882" t="s">
        <v>44</v>
      </c>
      <c r="L1882" t="s">
        <v>73</v>
      </c>
      <c r="M1882" t="s">
        <v>263</v>
      </c>
      <c r="N1882" t="s">
        <v>331</v>
      </c>
      <c r="P1882" t="s">
        <v>4171</v>
      </c>
      <c r="Q1882" t="s">
        <v>3708</v>
      </c>
      <c r="R1882">
        <v>43244.788784722223</v>
      </c>
      <c r="S1882">
        <v>43423.931145833332</v>
      </c>
      <c r="T1882" t="s">
        <v>131</v>
      </c>
      <c r="U1882" t="s">
        <v>35</v>
      </c>
      <c r="V1882" t="s">
        <v>35</v>
      </c>
      <c r="W1882" t="s">
        <v>4098</v>
      </c>
    </row>
    <row r="1883" spans="1:23" x14ac:dyDescent="0.25">
      <c r="A1883" t="s">
        <v>641</v>
      </c>
      <c r="B1883" s="19">
        <v>19849</v>
      </c>
      <c r="C1883" s="2">
        <f>HYPERLINK(URLs!B36 &amp; 113543,113543)</f>
        <v>113543</v>
      </c>
      <c r="D1883" t="s">
        <v>4667</v>
      </c>
      <c r="E1883" t="s">
        <v>131</v>
      </c>
      <c r="F1883" t="s">
        <v>305</v>
      </c>
      <c r="G1883" t="s">
        <v>304</v>
      </c>
      <c r="H1883" t="s">
        <v>56</v>
      </c>
      <c r="I1883" t="s">
        <v>31</v>
      </c>
      <c r="J1883" t="s">
        <v>43</v>
      </c>
      <c r="K1883" t="s">
        <v>44</v>
      </c>
      <c r="L1883" t="s">
        <v>73</v>
      </c>
      <c r="M1883" t="s">
        <v>263</v>
      </c>
      <c r="N1883" t="s">
        <v>4834</v>
      </c>
      <c r="P1883" t="s">
        <v>4171</v>
      </c>
      <c r="R1883">
        <v>43234.436481481483</v>
      </c>
      <c r="S1883">
        <v>43350.692453703705</v>
      </c>
      <c r="T1883" t="s">
        <v>4668</v>
      </c>
      <c r="U1883" t="s">
        <v>4669</v>
      </c>
      <c r="V1883" t="s">
        <v>35</v>
      </c>
      <c r="W1883" t="s">
        <v>4171</v>
      </c>
    </row>
    <row r="1884" spans="1:23" x14ac:dyDescent="0.25">
      <c r="A1884" t="s">
        <v>641</v>
      </c>
      <c r="B1884" s="19">
        <v>19849</v>
      </c>
      <c r="C1884" s="2">
        <f>HYPERLINK(URLs!B36 &amp; 111694,111694)</f>
        <v>111694</v>
      </c>
      <c r="D1884" t="s">
        <v>4384</v>
      </c>
      <c r="E1884" t="s">
        <v>560</v>
      </c>
      <c r="F1884" t="s">
        <v>305</v>
      </c>
      <c r="G1884" t="s">
        <v>353</v>
      </c>
      <c r="H1884" t="s">
        <v>30</v>
      </c>
      <c r="I1884" t="s">
        <v>68</v>
      </c>
      <c r="J1884" t="s">
        <v>43</v>
      </c>
      <c r="K1884" t="s">
        <v>33</v>
      </c>
      <c r="L1884" t="s">
        <v>73</v>
      </c>
      <c r="M1884" t="s">
        <v>263</v>
      </c>
      <c r="N1884" t="s">
        <v>46</v>
      </c>
      <c r="P1884" t="s">
        <v>3698</v>
      </c>
      <c r="Q1884" t="s">
        <v>4158</v>
      </c>
      <c r="R1884">
        <v>43185.853877314818</v>
      </c>
      <c r="S1884">
        <v>43294.144652777781</v>
      </c>
      <c r="T1884" t="s">
        <v>53</v>
      </c>
      <c r="U1884" t="s">
        <v>35</v>
      </c>
      <c r="V1884" t="s">
        <v>35</v>
      </c>
      <c r="W1884" t="s">
        <v>4171</v>
      </c>
    </row>
    <row r="1885" spans="1:23" x14ac:dyDescent="0.25">
      <c r="A1885" t="s">
        <v>641</v>
      </c>
      <c r="B1885" s="19">
        <v>19849</v>
      </c>
      <c r="C1885" s="2">
        <f>HYPERLINK(URLs!B36 &amp; 111693,111693)</f>
        <v>111693</v>
      </c>
      <c r="D1885" t="s">
        <v>4383</v>
      </c>
      <c r="E1885" t="s">
        <v>387</v>
      </c>
      <c r="F1885" t="s">
        <v>305</v>
      </c>
      <c r="G1885" t="s">
        <v>337</v>
      </c>
      <c r="H1885" t="s">
        <v>30</v>
      </c>
      <c r="I1885" t="s">
        <v>68</v>
      </c>
      <c r="J1885" t="s">
        <v>43</v>
      </c>
      <c r="K1885" t="s">
        <v>33</v>
      </c>
      <c r="L1885" t="s">
        <v>73</v>
      </c>
      <c r="M1885" t="s">
        <v>263</v>
      </c>
      <c r="N1885" t="s">
        <v>46</v>
      </c>
      <c r="P1885" t="s">
        <v>3698</v>
      </c>
      <c r="Q1885" t="s">
        <v>4215</v>
      </c>
      <c r="R1885">
        <v>43185.851782407408</v>
      </c>
      <c r="S1885">
        <v>43237.682847222219</v>
      </c>
      <c r="T1885" t="s">
        <v>53</v>
      </c>
      <c r="U1885" t="s">
        <v>35</v>
      </c>
      <c r="V1885" t="s">
        <v>35</v>
      </c>
      <c r="W1885" t="s">
        <v>307</v>
      </c>
    </row>
    <row r="1886" spans="1:23" x14ac:dyDescent="0.25">
      <c r="A1886" t="s">
        <v>641</v>
      </c>
      <c r="B1886" s="19">
        <v>19849</v>
      </c>
      <c r="C1886" s="2">
        <f>HYPERLINK(URLs!B36 &amp; 111692,111692)</f>
        <v>111692</v>
      </c>
      <c r="D1886" t="s">
        <v>4382</v>
      </c>
      <c r="E1886" t="s">
        <v>560</v>
      </c>
      <c r="F1886" t="s">
        <v>319</v>
      </c>
      <c r="G1886" t="s">
        <v>353</v>
      </c>
      <c r="H1886" t="s">
        <v>30</v>
      </c>
      <c r="I1886" t="s">
        <v>68</v>
      </c>
      <c r="J1886" t="s">
        <v>43</v>
      </c>
      <c r="K1886" t="s">
        <v>33</v>
      </c>
      <c r="L1886" t="s">
        <v>73</v>
      </c>
      <c r="M1886" t="s">
        <v>263</v>
      </c>
      <c r="N1886" t="s">
        <v>60</v>
      </c>
      <c r="P1886" t="s">
        <v>3698</v>
      </c>
      <c r="Q1886" t="s">
        <v>3708</v>
      </c>
      <c r="R1886">
        <v>43185.851793981485</v>
      </c>
      <c r="S1886">
        <v>43423.931145833332</v>
      </c>
      <c r="T1886" t="s">
        <v>53</v>
      </c>
      <c r="U1886" t="s">
        <v>35</v>
      </c>
      <c r="V1886" t="s">
        <v>35</v>
      </c>
      <c r="W1886" t="s">
        <v>4098</v>
      </c>
    </row>
    <row r="1887" spans="1:23" x14ac:dyDescent="0.25">
      <c r="A1887" t="s">
        <v>641</v>
      </c>
      <c r="B1887" s="19">
        <v>19849</v>
      </c>
      <c r="C1887" s="2">
        <f>HYPERLINK(URLs!B36 &amp; 111459,111459)</f>
        <v>111459</v>
      </c>
      <c r="D1887" t="s">
        <v>4370</v>
      </c>
      <c r="E1887" t="s">
        <v>560</v>
      </c>
      <c r="F1887" t="s">
        <v>305</v>
      </c>
      <c r="G1887" t="s">
        <v>337</v>
      </c>
      <c r="H1887" t="s">
        <v>30</v>
      </c>
      <c r="I1887" t="s">
        <v>68</v>
      </c>
      <c r="J1887" t="s">
        <v>43</v>
      </c>
      <c r="K1887" t="s">
        <v>33</v>
      </c>
      <c r="L1887" t="s">
        <v>73</v>
      </c>
      <c r="M1887" t="s">
        <v>263</v>
      </c>
      <c r="N1887" t="s">
        <v>46</v>
      </c>
      <c r="P1887" t="s">
        <v>3698</v>
      </c>
      <c r="Q1887" t="s">
        <v>3708</v>
      </c>
      <c r="R1887">
        <v>43179.904027777775</v>
      </c>
      <c r="S1887">
        <v>43423.872465277775</v>
      </c>
      <c r="T1887" t="s">
        <v>1</v>
      </c>
      <c r="U1887" t="s">
        <v>35</v>
      </c>
      <c r="V1887" t="s">
        <v>35</v>
      </c>
      <c r="W1887" t="s">
        <v>4158</v>
      </c>
    </row>
    <row r="1888" spans="1:23" x14ac:dyDescent="0.25">
      <c r="A1888" t="s">
        <v>665</v>
      </c>
      <c r="B1888" s="19">
        <v>19892</v>
      </c>
      <c r="C1888" s="2">
        <f>HYPERLINK(URLs!B36 &amp; 111641,111641)</f>
        <v>111641</v>
      </c>
      <c r="D1888" t="s">
        <v>4379</v>
      </c>
      <c r="E1888" t="s">
        <v>3671</v>
      </c>
      <c r="F1888" t="s">
        <v>305</v>
      </c>
      <c r="G1888" t="s">
        <v>337</v>
      </c>
      <c r="H1888" t="s">
        <v>116</v>
      </c>
      <c r="I1888" t="s">
        <v>31</v>
      </c>
      <c r="J1888" t="s">
        <v>32</v>
      </c>
      <c r="K1888" t="s">
        <v>33</v>
      </c>
      <c r="L1888" t="s">
        <v>96</v>
      </c>
      <c r="M1888" t="s">
        <v>269</v>
      </c>
      <c r="N1888" t="s">
        <v>60</v>
      </c>
      <c r="P1888" t="s">
        <v>3698</v>
      </c>
      <c r="Q1888" t="s">
        <v>1503</v>
      </c>
      <c r="R1888">
        <v>43182.942557870374</v>
      </c>
      <c r="S1888">
        <v>43258.669212962966</v>
      </c>
      <c r="T1888" t="s">
        <v>1</v>
      </c>
      <c r="U1888" t="s">
        <v>35</v>
      </c>
      <c r="V1888" t="s">
        <v>321</v>
      </c>
      <c r="W1888" t="s">
        <v>307</v>
      </c>
    </row>
    <row r="1889" spans="1:23" x14ac:dyDescent="0.25">
      <c r="A1889" t="s">
        <v>618</v>
      </c>
      <c r="B1889" s="19">
        <v>19920</v>
      </c>
      <c r="C1889" s="2">
        <f>HYPERLINK(URLs!B36 &amp; 111859,111859)</f>
        <v>111859</v>
      </c>
      <c r="D1889" t="s">
        <v>4390</v>
      </c>
      <c r="E1889" t="s">
        <v>335</v>
      </c>
      <c r="F1889" t="s">
        <v>305</v>
      </c>
      <c r="G1889" t="s">
        <v>304</v>
      </c>
      <c r="H1889" t="s">
        <v>54</v>
      </c>
      <c r="I1889" t="s">
        <v>31</v>
      </c>
      <c r="J1889" t="s">
        <v>43</v>
      </c>
      <c r="K1889" t="s">
        <v>44</v>
      </c>
      <c r="L1889" t="s">
        <v>380</v>
      </c>
      <c r="M1889" t="s">
        <v>434</v>
      </c>
      <c r="N1889" t="s">
        <v>4195</v>
      </c>
      <c r="P1889" t="s">
        <v>65</v>
      </c>
      <c r="Q1889" t="s">
        <v>528</v>
      </c>
      <c r="R1889">
        <v>43189.231215277781</v>
      </c>
      <c r="S1889">
        <v>43402.397986111115</v>
      </c>
      <c r="T1889" t="s">
        <v>53</v>
      </c>
      <c r="U1889" t="s">
        <v>4391</v>
      </c>
      <c r="V1889" t="s">
        <v>35</v>
      </c>
      <c r="W1889" t="s">
        <v>4171</v>
      </c>
    </row>
    <row r="1890" spans="1:23" x14ac:dyDescent="0.25">
      <c r="A1890" t="s">
        <v>618</v>
      </c>
      <c r="B1890" s="19">
        <v>19920</v>
      </c>
      <c r="C1890" s="2">
        <f>HYPERLINK(URLs!B36 &amp; 111858,111858)</f>
        <v>111858</v>
      </c>
      <c r="D1890" t="s">
        <v>4389</v>
      </c>
      <c r="E1890" t="s">
        <v>335</v>
      </c>
      <c r="F1890" t="s">
        <v>319</v>
      </c>
      <c r="G1890" t="s">
        <v>304</v>
      </c>
      <c r="H1890" t="s">
        <v>54</v>
      </c>
      <c r="I1890" t="s">
        <v>31</v>
      </c>
      <c r="J1890" t="s">
        <v>43</v>
      </c>
      <c r="K1890" t="s">
        <v>44</v>
      </c>
      <c r="L1890" t="s">
        <v>380</v>
      </c>
      <c r="M1890" t="s">
        <v>434</v>
      </c>
      <c r="N1890" t="s">
        <v>60</v>
      </c>
      <c r="P1890" t="s">
        <v>65</v>
      </c>
      <c r="Q1890" t="s">
        <v>528</v>
      </c>
      <c r="R1890">
        <v>43189.231215277781</v>
      </c>
      <c r="S1890">
        <v>43208.958657407406</v>
      </c>
      <c r="T1890" t="s">
        <v>53</v>
      </c>
      <c r="U1890" t="s">
        <v>35</v>
      </c>
      <c r="V1890" t="s">
        <v>35</v>
      </c>
      <c r="W1890" t="s">
        <v>4098</v>
      </c>
    </row>
    <row r="1891" spans="1:23" x14ac:dyDescent="0.25">
      <c r="A1891" t="s">
        <v>618</v>
      </c>
      <c r="B1891" s="19">
        <v>19920</v>
      </c>
      <c r="C1891" s="2">
        <f>HYPERLINK(URLs!B36 &amp; 111857,111857)</f>
        <v>111857</v>
      </c>
      <c r="D1891" t="s">
        <v>4388</v>
      </c>
      <c r="E1891" t="s">
        <v>335</v>
      </c>
      <c r="F1891" t="s">
        <v>305</v>
      </c>
      <c r="G1891" t="s">
        <v>337</v>
      </c>
      <c r="H1891" t="s">
        <v>54</v>
      </c>
      <c r="I1891" t="s">
        <v>31</v>
      </c>
      <c r="J1891" t="s">
        <v>43</v>
      </c>
      <c r="K1891" t="s">
        <v>44</v>
      </c>
      <c r="L1891" t="s">
        <v>380</v>
      </c>
      <c r="M1891" t="s">
        <v>434</v>
      </c>
      <c r="N1891" t="s">
        <v>60</v>
      </c>
      <c r="P1891" t="s">
        <v>65</v>
      </c>
      <c r="Q1891" t="s">
        <v>3509</v>
      </c>
      <c r="R1891">
        <v>43188.907557870371</v>
      </c>
      <c r="S1891">
        <v>43194.609803240739</v>
      </c>
      <c r="T1891" t="s">
        <v>3</v>
      </c>
      <c r="U1891" t="s">
        <v>35</v>
      </c>
      <c r="V1891" t="s">
        <v>35</v>
      </c>
      <c r="W1891" t="s">
        <v>307</v>
      </c>
    </row>
    <row r="1892" spans="1:23" x14ac:dyDescent="0.25">
      <c r="A1892" t="s">
        <v>641</v>
      </c>
      <c r="B1892" s="19">
        <v>19931</v>
      </c>
      <c r="C1892" s="2">
        <f>HYPERLINK(URLs!B36 &amp; 113176,113176)</f>
        <v>113176</v>
      </c>
      <c r="D1892" t="s">
        <v>4427</v>
      </c>
      <c r="E1892" t="s">
        <v>164</v>
      </c>
      <c r="F1892" t="s">
        <v>67</v>
      </c>
      <c r="H1892" t="s">
        <v>54</v>
      </c>
      <c r="I1892" t="s">
        <v>31</v>
      </c>
      <c r="J1892" t="s">
        <v>43</v>
      </c>
      <c r="K1892" t="s">
        <v>51</v>
      </c>
      <c r="L1892" t="s">
        <v>34</v>
      </c>
      <c r="M1892" t="s">
        <v>278</v>
      </c>
      <c r="N1892" t="s">
        <v>4921</v>
      </c>
      <c r="O1892" t="s">
        <v>533</v>
      </c>
      <c r="P1892" t="s">
        <v>69</v>
      </c>
      <c r="R1892">
        <v>43227.856469907405</v>
      </c>
      <c r="S1892">
        <v>43397.967604166668</v>
      </c>
      <c r="T1892" t="s">
        <v>53</v>
      </c>
      <c r="U1892" t="s">
        <v>35</v>
      </c>
      <c r="V1892" t="s">
        <v>35</v>
      </c>
      <c r="W1892" t="s">
        <v>4176</v>
      </c>
    </row>
    <row r="1893" spans="1:23" x14ac:dyDescent="0.25">
      <c r="A1893" t="s">
        <v>641</v>
      </c>
      <c r="B1893" s="19">
        <v>19931</v>
      </c>
      <c r="C1893" s="2">
        <f>HYPERLINK(URLs!B36 &amp; 111875,111875)</f>
        <v>111875</v>
      </c>
      <c r="D1893" t="s">
        <v>4398</v>
      </c>
      <c r="E1893" t="s">
        <v>147</v>
      </c>
      <c r="F1893" t="s">
        <v>305</v>
      </c>
      <c r="G1893" t="s">
        <v>304</v>
      </c>
      <c r="H1893" t="s">
        <v>54</v>
      </c>
      <c r="I1893" t="s">
        <v>68</v>
      </c>
      <c r="J1893" t="s">
        <v>43</v>
      </c>
      <c r="K1893" t="s">
        <v>51</v>
      </c>
      <c r="L1893" t="s">
        <v>34</v>
      </c>
      <c r="M1893" t="s">
        <v>278</v>
      </c>
      <c r="N1893" t="s">
        <v>4399</v>
      </c>
      <c r="P1893" t="s">
        <v>69</v>
      </c>
      <c r="Q1893" t="s">
        <v>4400</v>
      </c>
      <c r="R1893">
        <v>43190.004606481481</v>
      </c>
      <c r="S1893">
        <v>43280.791863425926</v>
      </c>
      <c r="T1893" t="s">
        <v>53</v>
      </c>
      <c r="U1893" t="s">
        <v>35</v>
      </c>
      <c r="V1893" t="s">
        <v>35</v>
      </c>
      <c r="W1893" t="s">
        <v>4143</v>
      </c>
    </row>
    <row r="1894" spans="1:23" x14ac:dyDescent="0.25">
      <c r="A1894" t="s">
        <v>641</v>
      </c>
      <c r="B1894" s="19">
        <v>19931</v>
      </c>
      <c r="C1894" s="2">
        <f>HYPERLINK(URLs!B36 &amp; 111874,111874)</f>
        <v>111874</v>
      </c>
      <c r="D1894" t="s">
        <v>4396</v>
      </c>
      <c r="E1894" t="s">
        <v>164</v>
      </c>
      <c r="F1894" t="s">
        <v>67</v>
      </c>
      <c r="H1894" t="s">
        <v>54</v>
      </c>
      <c r="I1894" t="s">
        <v>31</v>
      </c>
      <c r="J1894" t="s">
        <v>43</v>
      </c>
      <c r="K1894" t="s">
        <v>51</v>
      </c>
      <c r="L1894" t="s">
        <v>34</v>
      </c>
      <c r="M1894" t="s">
        <v>278</v>
      </c>
      <c r="N1894" t="s">
        <v>46</v>
      </c>
      <c r="O1894" t="s">
        <v>4397</v>
      </c>
      <c r="P1894" t="s">
        <v>69</v>
      </c>
      <c r="R1894">
        <v>43190.004618055558</v>
      </c>
      <c r="S1894">
        <v>43377.121504629627</v>
      </c>
      <c r="T1894" t="s">
        <v>53</v>
      </c>
      <c r="U1894" t="s">
        <v>35</v>
      </c>
      <c r="V1894" t="s">
        <v>35</v>
      </c>
      <c r="W1894" t="s">
        <v>4098</v>
      </c>
    </row>
    <row r="1895" spans="1:23" x14ac:dyDescent="0.25">
      <c r="A1895" t="s">
        <v>641</v>
      </c>
      <c r="B1895" s="19">
        <v>19931</v>
      </c>
      <c r="C1895" s="2">
        <f>HYPERLINK(URLs!B36 &amp; 111871,111871)</f>
        <v>111871</v>
      </c>
      <c r="D1895" t="s">
        <v>4393</v>
      </c>
      <c r="E1895" t="s">
        <v>164</v>
      </c>
      <c r="F1895" t="s">
        <v>305</v>
      </c>
      <c r="G1895" t="s">
        <v>337</v>
      </c>
      <c r="H1895" t="s">
        <v>54</v>
      </c>
      <c r="I1895" t="s">
        <v>31</v>
      </c>
      <c r="J1895" t="s">
        <v>43</v>
      </c>
      <c r="K1895" t="s">
        <v>51</v>
      </c>
      <c r="L1895" t="s">
        <v>34</v>
      </c>
      <c r="M1895" t="s">
        <v>278</v>
      </c>
      <c r="N1895" t="s">
        <v>60</v>
      </c>
      <c r="O1895" t="s">
        <v>4394</v>
      </c>
      <c r="P1895" t="s">
        <v>69</v>
      </c>
      <c r="Q1895" t="s">
        <v>4395</v>
      </c>
      <c r="R1895">
        <v>43189.818935185183</v>
      </c>
      <c r="S1895">
        <v>43227.810532407406</v>
      </c>
      <c r="T1895" t="s">
        <v>1</v>
      </c>
      <c r="U1895" t="s">
        <v>35</v>
      </c>
      <c r="V1895" t="s">
        <v>35</v>
      </c>
      <c r="W1895" t="s">
        <v>307</v>
      </c>
    </row>
    <row r="1896" spans="1:23" x14ac:dyDescent="0.25">
      <c r="A1896" t="s">
        <v>633</v>
      </c>
      <c r="B1896" s="19">
        <v>19941</v>
      </c>
      <c r="C1896" s="2">
        <f>HYPERLINK(URLs!B36 &amp; 116225,116225)</f>
        <v>116225</v>
      </c>
      <c r="D1896" t="s">
        <v>4470</v>
      </c>
      <c r="E1896" t="s">
        <v>4471</v>
      </c>
      <c r="F1896" t="s">
        <v>319</v>
      </c>
      <c r="G1896" t="s">
        <v>304</v>
      </c>
      <c r="H1896" t="s">
        <v>116</v>
      </c>
      <c r="I1896" t="s">
        <v>31</v>
      </c>
      <c r="J1896" t="s">
        <v>32</v>
      </c>
      <c r="K1896" t="s">
        <v>33</v>
      </c>
      <c r="L1896" t="s">
        <v>45</v>
      </c>
      <c r="M1896" t="s">
        <v>4220</v>
      </c>
      <c r="N1896" t="s">
        <v>60</v>
      </c>
      <c r="P1896" t="s">
        <v>56</v>
      </c>
      <c r="Q1896" t="s">
        <v>4406</v>
      </c>
      <c r="R1896">
        <v>43283.275578703702</v>
      </c>
      <c r="S1896">
        <v>43283.27684027778</v>
      </c>
      <c r="T1896" t="s">
        <v>192</v>
      </c>
      <c r="U1896" t="s">
        <v>35</v>
      </c>
      <c r="V1896" t="s">
        <v>321</v>
      </c>
      <c r="W1896" t="s">
        <v>190</v>
      </c>
    </row>
    <row r="1897" spans="1:23" x14ac:dyDescent="0.25">
      <c r="A1897" t="s">
        <v>633</v>
      </c>
      <c r="B1897" s="19">
        <v>19941</v>
      </c>
      <c r="C1897" s="2">
        <f>HYPERLINK(URLs!B36 &amp; 112156,112156)</f>
        <v>112156</v>
      </c>
      <c r="D1897" t="s">
        <v>4405</v>
      </c>
      <c r="E1897" t="s">
        <v>4214</v>
      </c>
      <c r="F1897" t="s">
        <v>305</v>
      </c>
      <c r="G1897" t="s">
        <v>310</v>
      </c>
      <c r="H1897" t="s">
        <v>116</v>
      </c>
      <c r="I1897" t="s">
        <v>31</v>
      </c>
      <c r="J1897" t="s">
        <v>32</v>
      </c>
      <c r="K1897" t="s">
        <v>33</v>
      </c>
      <c r="L1897" t="s">
        <v>52</v>
      </c>
      <c r="M1897" t="s">
        <v>4092</v>
      </c>
      <c r="N1897" t="s">
        <v>518</v>
      </c>
      <c r="P1897" t="s">
        <v>394</v>
      </c>
      <c r="Q1897" t="s">
        <v>4406</v>
      </c>
      <c r="R1897">
        <v>43199.690092592595</v>
      </c>
      <c r="S1897">
        <v>43319.139687499999</v>
      </c>
      <c r="T1897" t="s">
        <v>53</v>
      </c>
      <c r="U1897" t="s">
        <v>35</v>
      </c>
      <c r="V1897" t="s">
        <v>321</v>
      </c>
      <c r="W1897" t="s">
        <v>4171</v>
      </c>
    </row>
    <row r="1898" spans="1:23" x14ac:dyDescent="0.25">
      <c r="A1898" t="s">
        <v>633</v>
      </c>
      <c r="B1898" s="19">
        <v>19941</v>
      </c>
      <c r="C1898" s="2">
        <f>HYPERLINK(URLs!B36 &amp; 112155,112155)</f>
        <v>112155</v>
      </c>
      <c r="D1898" t="s">
        <v>4404</v>
      </c>
      <c r="E1898" t="s">
        <v>4214</v>
      </c>
      <c r="F1898" t="s">
        <v>42</v>
      </c>
      <c r="H1898" t="s">
        <v>116</v>
      </c>
      <c r="I1898" t="s">
        <v>31</v>
      </c>
      <c r="J1898" t="s">
        <v>32</v>
      </c>
      <c r="K1898" t="s">
        <v>33</v>
      </c>
      <c r="L1898" t="s">
        <v>52</v>
      </c>
      <c r="M1898" t="s">
        <v>4092</v>
      </c>
      <c r="N1898" t="s">
        <v>60</v>
      </c>
      <c r="P1898" t="s">
        <v>394</v>
      </c>
      <c r="R1898">
        <v>43199.690092592595</v>
      </c>
      <c r="S1898">
        <v>43283.275578703702</v>
      </c>
      <c r="T1898" t="s">
        <v>53</v>
      </c>
      <c r="U1898" t="s">
        <v>35</v>
      </c>
      <c r="V1898" t="s">
        <v>321</v>
      </c>
      <c r="W1898" t="s">
        <v>4098</v>
      </c>
    </row>
    <row r="1899" spans="1:23" x14ac:dyDescent="0.25">
      <c r="A1899" t="s">
        <v>633</v>
      </c>
      <c r="B1899" s="19">
        <v>19941</v>
      </c>
      <c r="C1899" s="2">
        <f>HYPERLINK(URLs!B36 &amp; 111958,111958)</f>
        <v>111958</v>
      </c>
      <c r="D1899" t="s">
        <v>4403</v>
      </c>
      <c r="E1899" t="s">
        <v>4214</v>
      </c>
      <c r="F1899" t="s">
        <v>305</v>
      </c>
      <c r="G1899" t="s">
        <v>337</v>
      </c>
      <c r="H1899" t="s">
        <v>116</v>
      </c>
      <c r="I1899" t="s">
        <v>31</v>
      </c>
      <c r="J1899" t="s">
        <v>32</v>
      </c>
      <c r="K1899" t="s">
        <v>33</v>
      </c>
      <c r="L1899" t="s">
        <v>52</v>
      </c>
      <c r="M1899" t="s">
        <v>4092</v>
      </c>
      <c r="N1899" t="s">
        <v>60</v>
      </c>
      <c r="P1899" t="s">
        <v>394</v>
      </c>
      <c r="Q1899" t="s">
        <v>69</v>
      </c>
      <c r="R1899">
        <v>43193.706979166665</v>
      </c>
      <c r="S1899">
        <v>43237.67827546296</v>
      </c>
      <c r="T1899" t="s">
        <v>1</v>
      </c>
      <c r="U1899" t="s">
        <v>35</v>
      </c>
      <c r="V1899" t="s">
        <v>321</v>
      </c>
      <c r="W1899" t="s">
        <v>307</v>
      </c>
    </row>
    <row r="1900" spans="1:23" x14ac:dyDescent="0.25">
      <c r="A1900" t="s">
        <v>641</v>
      </c>
      <c r="B1900" s="19">
        <v>19984</v>
      </c>
      <c r="C1900" s="2">
        <f>HYPERLINK(URLs!B36 &amp; 112206,112206)</f>
        <v>112206</v>
      </c>
      <c r="D1900" t="s">
        <v>4408</v>
      </c>
      <c r="E1900" t="s">
        <v>387</v>
      </c>
      <c r="F1900" t="s">
        <v>319</v>
      </c>
      <c r="G1900" t="s">
        <v>304</v>
      </c>
      <c r="H1900" t="s">
        <v>56</v>
      </c>
      <c r="I1900" t="s">
        <v>68</v>
      </c>
      <c r="J1900" t="s">
        <v>43</v>
      </c>
      <c r="K1900" t="s">
        <v>33</v>
      </c>
      <c r="L1900" t="s">
        <v>73</v>
      </c>
      <c r="M1900" t="s">
        <v>263</v>
      </c>
      <c r="N1900" t="s">
        <v>572</v>
      </c>
      <c r="P1900" t="s">
        <v>190</v>
      </c>
      <c r="Q1900" t="s">
        <v>190</v>
      </c>
      <c r="R1900">
        <v>43200.870335648149</v>
      </c>
      <c r="S1900">
        <v>43404.521909722222</v>
      </c>
      <c r="T1900" t="s">
        <v>1</v>
      </c>
      <c r="U1900" t="s">
        <v>4830</v>
      </c>
      <c r="V1900" t="s">
        <v>35</v>
      </c>
      <c r="W1900" t="s">
        <v>4171</v>
      </c>
    </row>
    <row r="1901" spans="1:23" x14ac:dyDescent="0.25">
      <c r="A1901" t="s">
        <v>618</v>
      </c>
      <c r="B1901" s="19">
        <v>19991</v>
      </c>
      <c r="C1901" s="2">
        <f>HYPERLINK(URLs!B36 &amp; 120878,120878)</f>
        <v>120878</v>
      </c>
      <c r="D1901" t="s">
        <v>4935</v>
      </c>
      <c r="E1901" t="s">
        <v>435</v>
      </c>
      <c r="F1901" t="s">
        <v>67</v>
      </c>
      <c r="H1901" t="s">
        <v>116</v>
      </c>
      <c r="I1901" t="s">
        <v>31</v>
      </c>
      <c r="J1901" t="s">
        <v>32</v>
      </c>
      <c r="K1901" t="s">
        <v>33</v>
      </c>
      <c r="L1901" t="s">
        <v>73</v>
      </c>
      <c r="M1901" t="s">
        <v>295</v>
      </c>
      <c r="N1901" t="s">
        <v>60</v>
      </c>
      <c r="P1901" t="s">
        <v>69</v>
      </c>
      <c r="R1901">
        <v>43384.599687499998</v>
      </c>
      <c r="S1901">
        <v>43397.946006944447</v>
      </c>
      <c r="T1901" t="s">
        <v>301</v>
      </c>
      <c r="U1901" t="s">
        <v>35</v>
      </c>
      <c r="V1901" t="s">
        <v>321</v>
      </c>
      <c r="W1901" t="s">
        <v>4410</v>
      </c>
    </row>
    <row r="1902" spans="1:23" x14ac:dyDescent="0.25">
      <c r="A1902" t="s">
        <v>618</v>
      </c>
      <c r="B1902" s="19">
        <v>19991</v>
      </c>
      <c r="C1902" s="2">
        <f>HYPERLINK(URLs!B36 &amp; 112240,112240)</f>
        <v>112240</v>
      </c>
      <c r="D1902" t="s">
        <v>4412</v>
      </c>
      <c r="E1902" t="s">
        <v>94</v>
      </c>
      <c r="F1902" t="s">
        <v>67</v>
      </c>
      <c r="H1902" t="s">
        <v>116</v>
      </c>
      <c r="I1902" t="s">
        <v>31</v>
      </c>
      <c r="J1902" t="s">
        <v>32</v>
      </c>
      <c r="K1902" t="s">
        <v>33</v>
      </c>
      <c r="L1902" t="s">
        <v>73</v>
      </c>
      <c r="M1902" t="s">
        <v>295</v>
      </c>
      <c r="N1902" t="s">
        <v>518</v>
      </c>
      <c r="P1902" t="s">
        <v>69</v>
      </c>
      <c r="R1902">
        <v>43201.87908564815</v>
      </c>
      <c r="S1902">
        <v>43383.24732638889</v>
      </c>
      <c r="T1902" t="s">
        <v>53</v>
      </c>
      <c r="U1902" t="s">
        <v>35</v>
      </c>
      <c r="V1902" t="s">
        <v>321</v>
      </c>
      <c r="W1902" t="s">
        <v>4171</v>
      </c>
    </row>
    <row r="1903" spans="1:23" x14ac:dyDescent="0.25">
      <c r="A1903" t="s">
        <v>618</v>
      </c>
      <c r="B1903" s="19">
        <v>19991</v>
      </c>
      <c r="C1903" s="2">
        <f>HYPERLINK(URLs!B36 &amp; 112239,112239)</f>
        <v>112239</v>
      </c>
      <c r="D1903" t="s">
        <v>4411</v>
      </c>
      <c r="E1903" t="s">
        <v>435</v>
      </c>
      <c r="F1903" t="s">
        <v>67</v>
      </c>
      <c r="H1903" t="s">
        <v>116</v>
      </c>
      <c r="I1903" t="s">
        <v>31</v>
      </c>
      <c r="J1903" t="s">
        <v>32</v>
      </c>
      <c r="K1903" t="s">
        <v>33</v>
      </c>
      <c r="L1903" t="s">
        <v>73</v>
      </c>
      <c r="M1903" t="s">
        <v>295</v>
      </c>
      <c r="N1903" t="s">
        <v>60</v>
      </c>
      <c r="P1903" t="s">
        <v>69</v>
      </c>
      <c r="R1903">
        <v>43201.87909722222</v>
      </c>
      <c r="S1903">
        <v>43384.599687499998</v>
      </c>
      <c r="T1903" t="s">
        <v>53</v>
      </c>
      <c r="U1903" t="s">
        <v>35</v>
      </c>
      <c r="V1903" t="s">
        <v>321</v>
      </c>
      <c r="W1903" t="s">
        <v>4098</v>
      </c>
    </row>
    <row r="1904" spans="1:23" x14ac:dyDescent="0.25">
      <c r="A1904" t="s">
        <v>618</v>
      </c>
      <c r="B1904" s="19">
        <v>19991</v>
      </c>
      <c r="C1904" s="2">
        <f>HYPERLINK(URLs!B36 &amp; 112236,112236)</f>
        <v>112236</v>
      </c>
      <c r="D1904" t="s">
        <v>4831</v>
      </c>
      <c r="E1904" t="s">
        <v>435</v>
      </c>
      <c r="F1904" t="s">
        <v>305</v>
      </c>
      <c r="G1904" t="s">
        <v>337</v>
      </c>
      <c r="H1904" t="s">
        <v>116</v>
      </c>
      <c r="I1904" t="s">
        <v>31</v>
      </c>
      <c r="J1904" t="s">
        <v>32</v>
      </c>
      <c r="K1904" t="s">
        <v>33</v>
      </c>
      <c r="L1904" t="s">
        <v>73</v>
      </c>
      <c r="M1904" t="s">
        <v>295</v>
      </c>
      <c r="N1904" t="s">
        <v>60</v>
      </c>
      <c r="O1904" t="s">
        <v>4832</v>
      </c>
      <c r="P1904" t="s">
        <v>69</v>
      </c>
      <c r="Q1904" t="s">
        <v>2481</v>
      </c>
      <c r="R1904">
        <v>43201.812557870369</v>
      </c>
      <c r="S1904">
        <v>43403.789479166669</v>
      </c>
      <c r="T1904" t="s">
        <v>1</v>
      </c>
      <c r="U1904" t="s">
        <v>35</v>
      </c>
      <c r="V1904" t="s">
        <v>321</v>
      </c>
      <c r="W1904" t="s">
        <v>4670</v>
      </c>
    </row>
    <row r="1905" spans="1:23" x14ac:dyDescent="0.25">
      <c r="A1905" t="s">
        <v>618</v>
      </c>
      <c r="B1905" s="19">
        <v>20008</v>
      </c>
      <c r="C1905" s="2">
        <f>HYPERLINK(URLs!B36 &amp; 112353,112353)</f>
        <v>112353</v>
      </c>
      <c r="D1905" t="s">
        <v>4416</v>
      </c>
      <c r="E1905" t="s">
        <v>387</v>
      </c>
      <c r="F1905" t="s">
        <v>67</v>
      </c>
      <c r="H1905" t="s">
        <v>30</v>
      </c>
      <c r="I1905" t="s">
        <v>68</v>
      </c>
      <c r="J1905" t="s">
        <v>58</v>
      </c>
      <c r="K1905" t="s">
        <v>44</v>
      </c>
      <c r="L1905" t="s">
        <v>73</v>
      </c>
      <c r="M1905" t="s">
        <v>263</v>
      </c>
      <c r="N1905" t="s">
        <v>60</v>
      </c>
      <c r="P1905" t="s">
        <v>3698</v>
      </c>
      <c r="R1905">
        <v>43206.363518518519</v>
      </c>
      <c r="S1905">
        <v>43382.66134259259</v>
      </c>
      <c r="T1905" t="s">
        <v>4</v>
      </c>
      <c r="U1905" t="s">
        <v>35</v>
      </c>
      <c r="V1905" t="s">
        <v>35</v>
      </c>
      <c r="W1905" t="s">
        <v>4171</v>
      </c>
    </row>
    <row r="1906" spans="1:23" x14ac:dyDescent="0.25">
      <c r="A1906" t="s">
        <v>618</v>
      </c>
      <c r="B1906" s="19">
        <v>20048</v>
      </c>
      <c r="C1906" s="2">
        <f>HYPERLINK(URLs!B36 &amp; 112846,112846)</f>
        <v>112846</v>
      </c>
      <c r="D1906" t="s">
        <v>4422</v>
      </c>
      <c r="E1906" t="s">
        <v>134</v>
      </c>
      <c r="F1906" t="s">
        <v>305</v>
      </c>
      <c r="G1906" t="s">
        <v>304</v>
      </c>
      <c r="H1906" t="s">
        <v>30</v>
      </c>
      <c r="I1906" t="s">
        <v>68</v>
      </c>
      <c r="J1906" t="s">
        <v>58</v>
      </c>
      <c r="K1906" t="s">
        <v>44</v>
      </c>
      <c r="L1906" t="s">
        <v>34</v>
      </c>
      <c r="M1906" t="s">
        <v>271</v>
      </c>
      <c r="N1906" t="s">
        <v>46</v>
      </c>
      <c r="P1906" t="s">
        <v>69</v>
      </c>
      <c r="Q1906" t="s">
        <v>2416</v>
      </c>
      <c r="R1906">
        <v>43216.740543981483</v>
      </c>
      <c r="S1906">
        <v>43305.441550925927</v>
      </c>
      <c r="T1906" t="s">
        <v>53</v>
      </c>
      <c r="U1906" t="s">
        <v>4423</v>
      </c>
      <c r="V1906" t="s">
        <v>35</v>
      </c>
      <c r="W1906" t="s">
        <v>4143</v>
      </c>
    </row>
    <row r="1907" spans="1:23" x14ac:dyDescent="0.25">
      <c r="A1907" t="s">
        <v>618</v>
      </c>
      <c r="B1907" s="19">
        <v>20048</v>
      </c>
      <c r="C1907" s="2">
        <f>HYPERLINK(URLs!B36 &amp; 112845,112845)</f>
        <v>112845</v>
      </c>
      <c r="D1907" t="s">
        <v>4421</v>
      </c>
      <c r="E1907" t="s">
        <v>147</v>
      </c>
      <c r="F1907" t="s">
        <v>67</v>
      </c>
      <c r="H1907" t="s">
        <v>30</v>
      </c>
      <c r="I1907" t="s">
        <v>68</v>
      </c>
      <c r="J1907" t="s">
        <v>58</v>
      </c>
      <c r="K1907" t="s">
        <v>44</v>
      </c>
      <c r="L1907" t="s">
        <v>34</v>
      </c>
      <c r="M1907" t="s">
        <v>271</v>
      </c>
      <c r="N1907" t="s">
        <v>46</v>
      </c>
      <c r="O1907" t="s">
        <v>4420</v>
      </c>
      <c r="P1907" t="s">
        <v>69</v>
      </c>
      <c r="R1907">
        <v>43216.740543981483</v>
      </c>
      <c r="S1907">
        <v>43223.595092592594</v>
      </c>
      <c r="T1907" t="s">
        <v>53</v>
      </c>
      <c r="U1907" t="s">
        <v>35</v>
      </c>
      <c r="V1907" t="s">
        <v>35</v>
      </c>
      <c r="W1907" t="s">
        <v>4098</v>
      </c>
    </row>
    <row r="1908" spans="1:23" x14ac:dyDescent="0.25">
      <c r="A1908" t="s">
        <v>618</v>
      </c>
      <c r="B1908" s="19">
        <v>20048</v>
      </c>
      <c r="C1908" s="2">
        <f>HYPERLINK(URLs!B36 &amp; 112560,112560)</f>
        <v>112560</v>
      </c>
      <c r="D1908" t="s">
        <v>4419</v>
      </c>
      <c r="E1908" t="s">
        <v>147</v>
      </c>
      <c r="F1908" t="s">
        <v>67</v>
      </c>
      <c r="H1908" t="s">
        <v>30</v>
      </c>
      <c r="I1908" t="s">
        <v>68</v>
      </c>
      <c r="J1908" t="s">
        <v>58</v>
      </c>
      <c r="K1908" t="s">
        <v>44</v>
      </c>
      <c r="L1908" t="s">
        <v>34</v>
      </c>
      <c r="M1908" t="s">
        <v>271</v>
      </c>
      <c r="N1908" t="s">
        <v>4920</v>
      </c>
      <c r="O1908" t="s">
        <v>4420</v>
      </c>
      <c r="P1908" t="s">
        <v>69</v>
      </c>
      <c r="R1908">
        <v>43210.296203703707</v>
      </c>
      <c r="S1908">
        <v>43403.568206018521</v>
      </c>
      <c r="T1908" t="s">
        <v>4</v>
      </c>
      <c r="U1908" t="s">
        <v>35</v>
      </c>
      <c r="V1908" t="s">
        <v>35</v>
      </c>
      <c r="W1908" t="s">
        <v>4176</v>
      </c>
    </row>
    <row r="1909" spans="1:23" x14ac:dyDescent="0.25">
      <c r="A1909" t="s">
        <v>633</v>
      </c>
      <c r="B1909" s="19">
        <v>20180</v>
      </c>
      <c r="C1909" s="2">
        <f>HYPERLINK(URLs!B36 &amp; 113496,113496)</f>
        <v>113496</v>
      </c>
      <c r="D1909" t="s">
        <v>4433</v>
      </c>
      <c r="E1909" t="s">
        <v>94</v>
      </c>
      <c r="F1909" t="s">
        <v>305</v>
      </c>
      <c r="G1909" t="s">
        <v>310</v>
      </c>
      <c r="H1909" t="s">
        <v>54</v>
      </c>
      <c r="I1909" t="s">
        <v>31</v>
      </c>
      <c r="J1909" t="s">
        <v>32</v>
      </c>
      <c r="K1909" t="s">
        <v>33</v>
      </c>
      <c r="L1909" t="s">
        <v>73</v>
      </c>
      <c r="M1909" t="s">
        <v>295</v>
      </c>
      <c r="N1909" t="s">
        <v>60</v>
      </c>
      <c r="P1909" t="s">
        <v>3698</v>
      </c>
      <c r="Q1909" t="s">
        <v>2481</v>
      </c>
      <c r="R1909">
        <v>43231.616030092591</v>
      </c>
      <c r="S1909">
        <v>43285.793379629627</v>
      </c>
      <c r="T1909" t="s">
        <v>301</v>
      </c>
      <c r="U1909" t="s">
        <v>35</v>
      </c>
      <c r="V1909" t="s">
        <v>321</v>
      </c>
      <c r="W1909" t="s">
        <v>4171</v>
      </c>
    </row>
    <row r="1910" spans="1:23" x14ac:dyDescent="0.25">
      <c r="A1910" t="s">
        <v>633</v>
      </c>
      <c r="B1910" s="19">
        <v>20180</v>
      </c>
      <c r="C1910" s="2">
        <f>HYPERLINK(URLs!B36 &amp; 113495,113495)</f>
        <v>113495</v>
      </c>
      <c r="D1910" t="s">
        <v>4432</v>
      </c>
      <c r="E1910" t="s">
        <v>94</v>
      </c>
      <c r="F1910" t="s">
        <v>305</v>
      </c>
      <c r="G1910" t="s">
        <v>310</v>
      </c>
      <c r="H1910" t="s">
        <v>54</v>
      </c>
      <c r="I1910" t="s">
        <v>31</v>
      </c>
      <c r="J1910" t="s">
        <v>32</v>
      </c>
      <c r="K1910" t="s">
        <v>33</v>
      </c>
      <c r="L1910" t="s">
        <v>73</v>
      </c>
      <c r="M1910" t="s">
        <v>295</v>
      </c>
      <c r="N1910" t="s">
        <v>60</v>
      </c>
      <c r="P1910" t="s">
        <v>3698</v>
      </c>
      <c r="Q1910" t="s">
        <v>2481</v>
      </c>
      <c r="R1910">
        <v>43231.614537037036</v>
      </c>
      <c r="S1910">
        <v>43285.793344907404</v>
      </c>
      <c r="T1910" t="s">
        <v>301</v>
      </c>
      <c r="U1910" t="s">
        <v>35</v>
      </c>
      <c r="V1910" t="s">
        <v>321</v>
      </c>
      <c r="W1910" t="s">
        <v>4410</v>
      </c>
    </row>
    <row r="1911" spans="1:23" x14ac:dyDescent="0.25">
      <c r="A1911" t="s">
        <v>633</v>
      </c>
      <c r="B1911" s="19">
        <v>20180</v>
      </c>
      <c r="C1911" s="2">
        <f>HYPERLINK(URLs!B36 &amp; 113494,113494)</f>
        <v>113494</v>
      </c>
      <c r="D1911" t="s">
        <v>4431</v>
      </c>
      <c r="E1911" t="s">
        <v>94</v>
      </c>
      <c r="F1911" t="s">
        <v>305</v>
      </c>
      <c r="G1911" t="s">
        <v>310</v>
      </c>
      <c r="H1911" t="s">
        <v>54</v>
      </c>
      <c r="I1911" t="s">
        <v>31</v>
      </c>
      <c r="J1911" t="s">
        <v>32</v>
      </c>
      <c r="K1911" t="s">
        <v>33</v>
      </c>
      <c r="L1911" t="s">
        <v>73</v>
      </c>
      <c r="M1911" t="s">
        <v>295</v>
      </c>
      <c r="N1911" t="s">
        <v>46</v>
      </c>
      <c r="P1911" t="s">
        <v>3698</v>
      </c>
      <c r="Q1911" t="s">
        <v>2481</v>
      </c>
      <c r="R1911">
        <v>43231.614537037036</v>
      </c>
      <c r="S1911">
        <v>43285.793310185189</v>
      </c>
      <c r="T1911" t="s">
        <v>301</v>
      </c>
      <c r="U1911" t="s">
        <v>35</v>
      </c>
      <c r="V1911" t="s">
        <v>321</v>
      </c>
      <c r="W1911" t="s">
        <v>4098</v>
      </c>
    </row>
    <row r="1912" spans="1:23" x14ac:dyDescent="0.25">
      <c r="A1912" t="s">
        <v>633</v>
      </c>
      <c r="B1912" s="19">
        <v>20180</v>
      </c>
      <c r="C1912" s="2">
        <f>HYPERLINK(URLs!B36 &amp; 113447,113447)</f>
        <v>113447</v>
      </c>
      <c r="D1912" t="s">
        <v>4429</v>
      </c>
      <c r="E1912" t="s">
        <v>94</v>
      </c>
      <c r="F1912" t="s">
        <v>305</v>
      </c>
      <c r="G1912" t="s">
        <v>310</v>
      </c>
      <c r="H1912" t="s">
        <v>54</v>
      </c>
      <c r="I1912" t="s">
        <v>31</v>
      </c>
      <c r="J1912" t="s">
        <v>32</v>
      </c>
      <c r="K1912" t="s">
        <v>33</v>
      </c>
      <c r="L1912" t="s">
        <v>73</v>
      </c>
      <c r="M1912" t="s">
        <v>295</v>
      </c>
      <c r="N1912" t="s">
        <v>60</v>
      </c>
      <c r="P1912" t="s">
        <v>3698</v>
      </c>
      <c r="Q1912" t="s">
        <v>2481</v>
      </c>
      <c r="R1912">
        <v>43230.888715277775</v>
      </c>
      <c r="S1912">
        <v>43237.866620370369</v>
      </c>
      <c r="T1912" t="s">
        <v>1</v>
      </c>
      <c r="U1912" t="s">
        <v>35</v>
      </c>
      <c r="V1912" t="s">
        <v>321</v>
      </c>
      <c r="W1912" t="s">
        <v>307</v>
      </c>
    </row>
    <row r="1913" spans="1:23" x14ac:dyDescent="0.25">
      <c r="A1913" t="s">
        <v>633</v>
      </c>
      <c r="B1913" s="19">
        <v>20188</v>
      </c>
      <c r="C1913" s="2">
        <f>HYPERLINK(URLs!B36 &amp; 113600,113600)</f>
        <v>113600</v>
      </c>
      <c r="D1913" t="s">
        <v>4438</v>
      </c>
      <c r="E1913" t="s">
        <v>3671</v>
      </c>
      <c r="F1913" t="s">
        <v>305</v>
      </c>
      <c r="G1913" t="s">
        <v>310</v>
      </c>
      <c r="H1913" t="s">
        <v>116</v>
      </c>
      <c r="I1913" t="s">
        <v>31</v>
      </c>
      <c r="J1913" t="s">
        <v>32</v>
      </c>
      <c r="K1913" t="s">
        <v>33</v>
      </c>
      <c r="L1913" t="s">
        <v>96</v>
      </c>
      <c r="M1913" t="s">
        <v>269</v>
      </c>
      <c r="N1913" t="s">
        <v>60</v>
      </c>
      <c r="P1913" t="s">
        <v>3698</v>
      </c>
      <c r="Q1913" t="s">
        <v>1503</v>
      </c>
      <c r="R1913">
        <v>43235.247129629628</v>
      </c>
      <c r="S1913">
        <v>43326.733576388891</v>
      </c>
      <c r="T1913" t="s">
        <v>53</v>
      </c>
      <c r="U1913" t="s">
        <v>35</v>
      </c>
      <c r="V1913" t="s">
        <v>321</v>
      </c>
      <c r="W1913" t="s">
        <v>4171</v>
      </c>
    </row>
    <row r="1914" spans="1:23" x14ac:dyDescent="0.25">
      <c r="A1914" t="s">
        <v>633</v>
      </c>
      <c r="B1914" s="19">
        <v>20188</v>
      </c>
      <c r="C1914" s="2">
        <f>HYPERLINK(URLs!B36 &amp; 113599,113599)</f>
        <v>113599</v>
      </c>
      <c r="D1914" t="s">
        <v>4437</v>
      </c>
      <c r="E1914" t="s">
        <v>1</v>
      </c>
      <c r="F1914" t="s">
        <v>319</v>
      </c>
      <c r="G1914" t="s">
        <v>304</v>
      </c>
      <c r="H1914" t="s">
        <v>116</v>
      </c>
      <c r="I1914" t="s">
        <v>31</v>
      </c>
      <c r="J1914" t="s">
        <v>32</v>
      </c>
      <c r="K1914" t="s">
        <v>33</v>
      </c>
      <c r="L1914" t="s">
        <v>96</v>
      </c>
      <c r="M1914" t="s">
        <v>269</v>
      </c>
      <c r="N1914" t="s">
        <v>60</v>
      </c>
      <c r="P1914" t="s">
        <v>3698</v>
      </c>
      <c r="Q1914" t="s">
        <v>4735</v>
      </c>
      <c r="R1914">
        <v>43235.247129629628</v>
      </c>
      <c r="S1914">
        <v>43326.61005787037</v>
      </c>
      <c r="T1914" t="s">
        <v>53</v>
      </c>
      <c r="U1914" t="s">
        <v>35</v>
      </c>
      <c r="V1914" t="s">
        <v>321</v>
      </c>
      <c r="W1914" t="s">
        <v>4098</v>
      </c>
    </row>
    <row r="1915" spans="1:23" x14ac:dyDescent="0.25">
      <c r="A1915" t="s">
        <v>633</v>
      </c>
      <c r="B1915" s="19">
        <v>20188</v>
      </c>
      <c r="C1915" s="2">
        <f>HYPERLINK(URLs!B36 &amp; 113522,113522)</f>
        <v>113522</v>
      </c>
      <c r="D1915" t="s">
        <v>4435</v>
      </c>
      <c r="E1915" t="s">
        <v>3671</v>
      </c>
      <c r="F1915" t="s">
        <v>305</v>
      </c>
      <c r="G1915" t="s">
        <v>304</v>
      </c>
      <c r="H1915" t="s">
        <v>116</v>
      </c>
      <c r="I1915" t="s">
        <v>31</v>
      </c>
      <c r="J1915" t="s">
        <v>32</v>
      </c>
      <c r="K1915" t="s">
        <v>33</v>
      </c>
      <c r="L1915" t="s">
        <v>96</v>
      </c>
      <c r="M1915" t="s">
        <v>269</v>
      </c>
      <c r="N1915" t="s">
        <v>60</v>
      </c>
      <c r="P1915" t="s">
        <v>3698</v>
      </c>
      <c r="Q1915" t="s">
        <v>69</v>
      </c>
      <c r="R1915">
        <v>43231.888298611113</v>
      </c>
      <c r="S1915">
        <v>43326.732916666668</v>
      </c>
      <c r="T1915" t="s">
        <v>1</v>
      </c>
      <c r="U1915" t="s">
        <v>35</v>
      </c>
      <c r="V1915" t="s">
        <v>321</v>
      </c>
      <c r="W1915" t="s">
        <v>4436</v>
      </c>
    </row>
    <row r="1916" spans="1:23" x14ac:dyDescent="0.25">
      <c r="A1916" t="s">
        <v>618</v>
      </c>
      <c r="B1916" s="19">
        <v>20203</v>
      </c>
      <c r="C1916" s="2">
        <f>HYPERLINK(URLs!B36 &amp; 113724,113724)</f>
        <v>113724</v>
      </c>
      <c r="D1916" t="s">
        <v>4441</v>
      </c>
      <c r="E1916" t="s">
        <v>387</v>
      </c>
      <c r="F1916" t="s">
        <v>305</v>
      </c>
      <c r="G1916" t="s">
        <v>337</v>
      </c>
      <c r="H1916" t="s">
        <v>116</v>
      </c>
      <c r="I1916" t="s">
        <v>31</v>
      </c>
      <c r="J1916" t="s">
        <v>32</v>
      </c>
      <c r="K1916" t="s">
        <v>44</v>
      </c>
      <c r="L1916" t="s">
        <v>73</v>
      </c>
      <c r="M1916" t="s">
        <v>263</v>
      </c>
      <c r="N1916" t="s">
        <v>60</v>
      </c>
      <c r="P1916" t="s">
        <v>3911</v>
      </c>
      <c r="Q1916" t="s">
        <v>4835</v>
      </c>
      <c r="R1916">
        <v>43236.445555555554</v>
      </c>
      <c r="S1916">
        <v>43399.146701388891</v>
      </c>
      <c r="T1916" t="s">
        <v>91</v>
      </c>
      <c r="U1916" t="s">
        <v>35</v>
      </c>
      <c r="V1916" t="s">
        <v>321</v>
      </c>
      <c r="W1916" t="s">
        <v>4231</v>
      </c>
    </row>
    <row r="1917" spans="1:23" x14ac:dyDescent="0.25">
      <c r="A1917" t="s">
        <v>618</v>
      </c>
      <c r="B1917" s="19">
        <v>20203</v>
      </c>
      <c r="C1917" s="2">
        <f>HYPERLINK(URLs!B36 &amp; 113694,113694)</f>
        <v>113694</v>
      </c>
      <c r="D1917" t="s">
        <v>4440</v>
      </c>
      <c r="E1917" t="s">
        <v>387</v>
      </c>
      <c r="F1917" t="s">
        <v>305</v>
      </c>
      <c r="G1917" t="s">
        <v>353</v>
      </c>
      <c r="H1917" t="s">
        <v>56</v>
      </c>
      <c r="I1917" t="s">
        <v>31</v>
      </c>
      <c r="J1917" t="s">
        <v>43</v>
      </c>
      <c r="K1917" t="s">
        <v>2156</v>
      </c>
      <c r="L1917" t="s">
        <v>73</v>
      </c>
      <c r="M1917" t="s">
        <v>263</v>
      </c>
      <c r="N1917" t="s">
        <v>46</v>
      </c>
      <c r="P1917" t="s">
        <v>449</v>
      </c>
      <c r="Q1917" t="s">
        <v>2854</v>
      </c>
      <c r="R1917">
        <v>43235.947858796295</v>
      </c>
      <c r="S1917">
        <v>43273.142997685187</v>
      </c>
      <c r="T1917" t="s">
        <v>2850</v>
      </c>
      <c r="U1917" t="s">
        <v>35</v>
      </c>
      <c r="V1917" t="s">
        <v>35</v>
      </c>
      <c r="W1917" t="s">
        <v>4231</v>
      </c>
    </row>
    <row r="1918" spans="1:23" x14ac:dyDescent="0.25">
      <c r="A1918" t="s">
        <v>618</v>
      </c>
      <c r="B1918" s="19">
        <v>20203</v>
      </c>
      <c r="C1918" s="2">
        <f>HYPERLINK(URLs!B36 &amp; 104811,104811)</f>
        <v>104811</v>
      </c>
      <c r="D1918" t="s">
        <v>4825</v>
      </c>
      <c r="E1918" t="s">
        <v>91</v>
      </c>
      <c r="F1918" t="s">
        <v>67</v>
      </c>
      <c r="H1918" t="s">
        <v>116</v>
      </c>
      <c r="I1918" t="s">
        <v>31</v>
      </c>
      <c r="J1918" t="s">
        <v>32</v>
      </c>
      <c r="K1918" t="s">
        <v>44</v>
      </c>
      <c r="L1918" t="s">
        <v>73</v>
      </c>
      <c r="M1918" t="s">
        <v>263</v>
      </c>
      <c r="N1918" t="s">
        <v>4826</v>
      </c>
      <c r="O1918" t="s">
        <v>4733</v>
      </c>
      <c r="P1918" t="s">
        <v>3911</v>
      </c>
      <c r="R1918">
        <v>42994.510046296295</v>
      </c>
      <c r="S1918">
        <v>43363.563194444447</v>
      </c>
      <c r="T1918" t="s">
        <v>91</v>
      </c>
      <c r="U1918" t="s">
        <v>35</v>
      </c>
      <c r="V1918" t="s">
        <v>321</v>
      </c>
      <c r="W1918" t="s">
        <v>4732</v>
      </c>
    </row>
    <row r="1919" spans="1:23" x14ac:dyDescent="0.25">
      <c r="A1919" t="s">
        <v>618</v>
      </c>
      <c r="B1919" s="19">
        <v>20203</v>
      </c>
      <c r="C1919" s="2">
        <f>HYPERLINK(URLs!B36 &amp; 104132,104132)</f>
        <v>104132</v>
      </c>
      <c r="D1919" t="s">
        <v>4207</v>
      </c>
      <c r="E1919" t="s">
        <v>91</v>
      </c>
      <c r="F1919" t="s">
        <v>42</v>
      </c>
      <c r="H1919" t="s">
        <v>116</v>
      </c>
      <c r="I1919" t="s">
        <v>31</v>
      </c>
      <c r="J1919" t="s">
        <v>32</v>
      </c>
      <c r="K1919" t="s">
        <v>44</v>
      </c>
      <c r="L1919" t="s">
        <v>73</v>
      </c>
      <c r="M1919" t="s">
        <v>263</v>
      </c>
      <c r="N1919" t="s">
        <v>60</v>
      </c>
      <c r="O1919" t="s">
        <v>132</v>
      </c>
      <c r="P1919" t="s">
        <v>3911</v>
      </c>
      <c r="R1919">
        <v>42977.649351851855</v>
      </c>
      <c r="S1919">
        <v>43237.513622685183</v>
      </c>
      <c r="T1919" t="s">
        <v>86</v>
      </c>
      <c r="U1919" t="s">
        <v>35</v>
      </c>
      <c r="V1919" t="s">
        <v>321</v>
      </c>
      <c r="W1919" t="s">
        <v>4098</v>
      </c>
    </row>
    <row r="1920" spans="1:23" x14ac:dyDescent="0.25">
      <c r="A1920" t="s">
        <v>618</v>
      </c>
      <c r="B1920" s="19">
        <v>20227</v>
      </c>
      <c r="C1920" s="2">
        <f>HYPERLINK(URLs!B36 &amp; 111642,111642)</f>
        <v>111642</v>
      </c>
      <c r="D1920" t="s">
        <v>4380</v>
      </c>
      <c r="E1920" t="s">
        <v>4899</v>
      </c>
      <c r="F1920" t="s">
        <v>42</v>
      </c>
      <c r="H1920" t="s">
        <v>116</v>
      </c>
      <c r="I1920" t="s">
        <v>31</v>
      </c>
      <c r="J1920" t="s">
        <v>32</v>
      </c>
      <c r="K1920" t="s">
        <v>33</v>
      </c>
      <c r="L1920" t="s">
        <v>34</v>
      </c>
      <c r="M1920" t="s">
        <v>279</v>
      </c>
      <c r="N1920" t="s">
        <v>60</v>
      </c>
      <c r="O1920" t="s">
        <v>4381</v>
      </c>
      <c r="P1920" t="s">
        <v>69</v>
      </c>
      <c r="R1920">
        <v>43182.963252314818</v>
      </c>
      <c r="S1920">
        <v>43396.649178240739</v>
      </c>
      <c r="T1920" t="s">
        <v>53</v>
      </c>
      <c r="U1920" t="s">
        <v>35</v>
      </c>
      <c r="V1920" t="s">
        <v>321</v>
      </c>
      <c r="W1920" t="s">
        <v>4098</v>
      </c>
    </row>
    <row r="1921" spans="1:23" x14ac:dyDescent="0.25">
      <c r="A1921" t="s">
        <v>618</v>
      </c>
      <c r="B1921" s="19">
        <v>20227</v>
      </c>
      <c r="C1921" s="2">
        <f>HYPERLINK(URLs!B36 &amp; 111640,111640)</f>
        <v>111640</v>
      </c>
      <c r="D1921" t="s">
        <v>4377</v>
      </c>
      <c r="E1921" t="s">
        <v>136</v>
      </c>
      <c r="F1921" t="s">
        <v>305</v>
      </c>
      <c r="G1921" t="s">
        <v>337</v>
      </c>
      <c r="H1921" t="s">
        <v>54</v>
      </c>
      <c r="I1921" t="s">
        <v>31</v>
      </c>
      <c r="J1921" t="s">
        <v>32</v>
      </c>
      <c r="K1921" t="s">
        <v>33</v>
      </c>
      <c r="L1921" t="s">
        <v>34</v>
      </c>
      <c r="M1921" t="s">
        <v>279</v>
      </c>
      <c r="N1921" t="s">
        <v>60</v>
      </c>
      <c r="P1921" t="s">
        <v>69</v>
      </c>
      <c r="Q1921" t="s">
        <v>3509</v>
      </c>
      <c r="R1921">
        <v>43182.924641203703</v>
      </c>
      <c r="S1921">
        <v>43238.898576388892</v>
      </c>
      <c r="T1921" t="s">
        <v>1</v>
      </c>
      <c r="U1921" t="s">
        <v>35</v>
      </c>
      <c r="V1921" t="s">
        <v>321</v>
      </c>
      <c r="W1921" t="s">
        <v>307</v>
      </c>
    </row>
    <row r="1922" spans="1:23" x14ac:dyDescent="0.25">
      <c r="A1922" t="s">
        <v>618</v>
      </c>
      <c r="B1922" s="19">
        <v>20253</v>
      </c>
      <c r="C1922" s="2">
        <f>HYPERLINK(URLs!B36 &amp; 114359,114359)</f>
        <v>114359</v>
      </c>
      <c r="D1922" t="s">
        <v>4451</v>
      </c>
      <c r="E1922" t="s">
        <v>387</v>
      </c>
      <c r="F1922" t="s">
        <v>67</v>
      </c>
      <c r="H1922" t="s">
        <v>30</v>
      </c>
      <c r="I1922" t="s">
        <v>68</v>
      </c>
      <c r="J1922" t="s">
        <v>58</v>
      </c>
      <c r="K1922" t="s">
        <v>44</v>
      </c>
      <c r="L1922" t="s">
        <v>73</v>
      </c>
      <c r="M1922" t="s">
        <v>263</v>
      </c>
      <c r="N1922" t="s">
        <v>60</v>
      </c>
      <c r="P1922" t="s">
        <v>3698</v>
      </c>
      <c r="R1922">
        <v>43244.858402777776</v>
      </c>
      <c r="S1922">
        <v>43382.661087962966</v>
      </c>
      <c r="T1922" t="s">
        <v>301</v>
      </c>
      <c r="U1922" t="s">
        <v>35</v>
      </c>
      <c r="V1922" t="s">
        <v>35</v>
      </c>
      <c r="W1922" t="s">
        <v>4171</v>
      </c>
    </row>
    <row r="1923" spans="1:23" x14ac:dyDescent="0.25">
      <c r="A1923" t="s">
        <v>618</v>
      </c>
      <c r="B1923" s="19">
        <v>20253</v>
      </c>
      <c r="C1923" s="2">
        <f>HYPERLINK(URLs!B36 &amp; 114358,114358)</f>
        <v>114358</v>
      </c>
      <c r="D1923" t="s">
        <v>4450</v>
      </c>
      <c r="E1923" t="s">
        <v>387</v>
      </c>
      <c r="F1923" t="s">
        <v>42</v>
      </c>
      <c r="H1923" t="s">
        <v>54</v>
      </c>
      <c r="I1923" t="s">
        <v>68</v>
      </c>
      <c r="J1923" t="s">
        <v>58</v>
      </c>
      <c r="K1923" t="s">
        <v>44</v>
      </c>
      <c r="L1923" t="s">
        <v>73</v>
      </c>
      <c r="M1923" t="s">
        <v>263</v>
      </c>
      <c r="N1923" t="s">
        <v>60</v>
      </c>
      <c r="P1923" t="s">
        <v>3698</v>
      </c>
      <c r="R1923">
        <v>43244.858402777776</v>
      </c>
      <c r="S1923">
        <v>43382.661365740743</v>
      </c>
      <c r="T1923" t="s">
        <v>301</v>
      </c>
      <c r="U1923" t="s">
        <v>35</v>
      </c>
      <c r="V1923" t="s">
        <v>35</v>
      </c>
      <c r="W1923" t="s">
        <v>4098</v>
      </c>
    </row>
    <row r="1924" spans="1:23" x14ac:dyDescent="0.25">
      <c r="A1924" t="s">
        <v>618</v>
      </c>
      <c r="B1924" s="19">
        <v>20253</v>
      </c>
      <c r="C1924" s="2">
        <f>HYPERLINK(URLs!B36 &amp; 114279,114279)</f>
        <v>114279</v>
      </c>
      <c r="D1924" t="s">
        <v>4446</v>
      </c>
      <c r="E1924" t="s">
        <v>387</v>
      </c>
      <c r="F1924" t="s">
        <v>67</v>
      </c>
      <c r="H1924" t="s">
        <v>30</v>
      </c>
      <c r="I1924" t="s">
        <v>68</v>
      </c>
      <c r="J1924" t="s">
        <v>58</v>
      </c>
      <c r="K1924" t="s">
        <v>44</v>
      </c>
      <c r="L1924" t="s">
        <v>73</v>
      </c>
      <c r="M1924" t="s">
        <v>263</v>
      </c>
      <c r="N1924" t="s">
        <v>60</v>
      </c>
      <c r="P1924" t="s">
        <v>3698</v>
      </c>
      <c r="R1924">
        <v>43244.195925925924</v>
      </c>
      <c r="S1924">
        <v>43244.858807870369</v>
      </c>
      <c r="T1924" t="s">
        <v>4</v>
      </c>
      <c r="U1924" t="s">
        <v>35</v>
      </c>
      <c r="V1924" t="s">
        <v>35</v>
      </c>
      <c r="W1924" t="s">
        <v>4410</v>
      </c>
    </row>
    <row r="1925" spans="1:23" x14ac:dyDescent="0.25">
      <c r="A1925" t="s">
        <v>665</v>
      </c>
      <c r="B1925" s="19">
        <v>20257</v>
      </c>
      <c r="C1925" s="2">
        <f>HYPERLINK(URLs!B36 &amp; 114296,114296)</f>
        <v>114296</v>
      </c>
      <c r="D1925" t="s">
        <v>4448</v>
      </c>
      <c r="E1925" t="s">
        <v>91</v>
      </c>
      <c r="F1925" t="s">
        <v>305</v>
      </c>
      <c r="G1925" t="s">
        <v>328</v>
      </c>
      <c r="H1925" t="s">
        <v>56</v>
      </c>
      <c r="I1925" t="s">
        <v>31</v>
      </c>
      <c r="J1925" t="s">
        <v>43</v>
      </c>
      <c r="K1925" t="s">
        <v>2156</v>
      </c>
      <c r="L1925" t="s">
        <v>73</v>
      </c>
      <c r="M1925" t="s">
        <v>263</v>
      </c>
      <c r="N1925" t="s">
        <v>60</v>
      </c>
      <c r="O1925" t="s">
        <v>4449</v>
      </c>
      <c r="P1925" t="s">
        <v>3765</v>
      </c>
      <c r="Q1925" t="s">
        <v>2879</v>
      </c>
      <c r="R1925">
        <v>43244.41814814815</v>
      </c>
      <c r="S1925">
        <v>43314.665219907409</v>
      </c>
      <c r="T1925" t="s">
        <v>86</v>
      </c>
      <c r="U1925" t="s">
        <v>35</v>
      </c>
      <c r="V1925" t="s">
        <v>35</v>
      </c>
      <c r="W1925" t="s">
        <v>4210</v>
      </c>
    </row>
    <row r="1926" spans="1:23" x14ac:dyDescent="0.25">
      <c r="A1926" t="s">
        <v>618</v>
      </c>
      <c r="B1926" s="19">
        <v>20301</v>
      </c>
      <c r="C1926" s="2">
        <f>HYPERLINK(URLs!B36 &amp; 120025,120025)</f>
        <v>120025</v>
      </c>
      <c r="D1926" t="s">
        <v>4453</v>
      </c>
      <c r="E1926" t="s">
        <v>134</v>
      </c>
      <c r="F1926" t="s">
        <v>319</v>
      </c>
      <c r="G1926" t="s">
        <v>304</v>
      </c>
      <c r="H1926" t="s">
        <v>116</v>
      </c>
      <c r="I1926" t="s">
        <v>31</v>
      </c>
      <c r="J1926" t="s">
        <v>32</v>
      </c>
      <c r="K1926" t="s">
        <v>44</v>
      </c>
      <c r="L1926" t="s">
        <v>34</v>
      </c>
      <c r="M1926" t="s">
        <v>279</v>
      </c>
      <c r="N1926" t="s">
        <v>4922</v>
      </c>
      <c r="O1926" t="s">
        <v>4759</v>
      </c>
      <c r="P1926" t="s">
        <v>69</v>
      </c>
      <c r="Q1926" t="s">
        <v>69</v>
      </c>
      <c r="R1926">
        <v>43364.929803240739</v>
      </c>
      <c r="S1926">
        <v>43420.639849537038</v>
      </c>
      <c r="T1926" t="s">
        <v>53</v>
      </c>
      <c r="U1926" t="s">
        <v>5023</v>
      </c>
      <c r="V1926" t="s">
        <v>321</v>
      </c>
      <c r="W1926" t="s">
        <v>4176</v>
      </c>
    </row>
    <row r="1927" spans="1:23" x14ac:dyDescent="0.25">
      <c r="A1927" t="s">
        <v>618</v>
      </c>
      <c r="B1927" s="19">
        <v>20301</v>
      </c>
      <c r="C1927" s="2">
        <f>HYPERLINK(URLs!B36 &amp; 115000,115000)</f>
        <v>115000</v>
      </c>
      <c r="D1927" t="s">
        <v>4462</v>
      </c>
      <c r="E1927" t="s">
        <v>134</v>
      </c>
      <c r="F1927" t="s">
        <v>319</v>
      </c>
      <c r="G1927" t="s">
        <v>304</v>
      </c>
      <c r="H1927" t="s">
        <v>116</v>
      </c>
      <c r="I1927" t="s">
        <v>31</v>
      </c>
      <c r="J1927" t="s">
        <v>32</v>
      </c>
      <c r="K1927" t="s">
        <v>44</v>
      </c>
      <c r="L1927" t="s">
        <v>34</v>
      </c>
      <c r="M1927" t="s">
        <v>279</v>
      </c>
      <c r="N1927" t="s">
        <v>510</v>
      </c>
      <c r="O1927" t="s">
        <v>533</v>
      </c>
      <c r="P1927" t="s">
        <v>69</v>
      </c>
      <c r="Q1927" t="s">
        <v>69</v>
      </c>
      <c r="R1927">
        <v>43258.87605324074</v>
      </c>
      <c r="S1927">
        <v>43420.585046296299</v>
      </c>
      <c r="T1927" t="s">
        <v>53</v>
      </c>
      <c r="U1927" t="s">
        <v>35</v>
      </c>
      <c r="V1927" t="s">
        <v>321</v>
      </c>
      <c r="W1927" t="s">
        <v>4143</v>
      </c>
    </row>
    <row r="1928" spans="1:23" x14ac:dyDescent="0.25">
      <c r="A1928" t="s">
        <v>618</v>
      </c>
      <c r="B1928" s="19">
        <v>20301</v>
      </c>
      <c r="C1928" s="2">
        <f>HYPERLINK(URLs!B36 &amp; 114999,114999)</f>
        <v>114999</v>
      </c>
      <c r="D1928" t="s">
        <v>4461</v>
      </c>
      <c r="E1928" t="s">
        <v>136</v>
      </c>
      <c r="F1928" t="s">
        <v>42</v>
      </c>
      <c r="H1928" t="s">
        <v>116</v>
      </c>
      <c r="I1928" t="s">
        <v>31</v>
      </c>
      <c r="J1928" t="s">
        <v>32</v>
      </c>
      <c r="K1928" t="s">
        <v>44</v>
      </c>
      <c r="L1928" t="s">
        <v>34</v>
      </c>
      <c r="M1928" t="s">
        <v>279</v>
      </c>
      <c r="N1928" t="s">
        <v>60</v>
      </c>
      <c r="O1928" t="s">
        <v>5100</v>
      </c>
      <c r="P1928" t="s">
        <v>69</v>
      </c>
      <c r="Q1928" t="s">
        <v>69</v>
      </c>
      <c r="R1928">
        <v>43258.876064814816</v>
      </c>
      <c r="S1928">
        <v>43420.640636574077</v>
      </c>
      <c r="T1928" t="s">
        <v>53</v>
      </c>
      <c r="U1928" t="s">
        <v>35</v>
      </c>
      <c r="V1928" t="s">
        <v>321</v>
      </c>
      <c r="W1928" t="s">
        <v>4098</v>
      </c>
    </row>
    <row r="1929" spans="1:23" x14ac:dyDescent="0.25">
      <c r="A1929" t="s">
        <v>618</v>
      </c>
      <c r="B1929" s="19">
        <v>20301</v>
      </c>
      <c r="C1929" s="2">
        <f>HYPERLINK(URLs!B36 &amp; 114642,114642)</f>
        <v>114642</v>
      </c>
      <c r="D1929" t="s">
        <v>4837</v>
      </c>
      <c r="E1929" t="s">
        <v>136</v>
      </c>
      <c r="F1929" t="s">
        <v>319</v>
      </c>
      <c r="G1929" t="s">
        <v>337</v>
      </c>
      <c r="H1929" t="s">
        <v>116</v>
      </c>
      <c r="I1929" t="s">
        <v>31</v>
      </c>
      <c r="J1929" t="s">
        <v>32</v>
      </c>
      <c r="K1929" t="s">
        <v>44</v>
      </c>
      <c r="L1929" t="s">
        <v>34</v>
      </c>
      <c r="M1929" t="s">
        <v>279</v>
      </c>
      <c r="N1929" t="s">
        <v>60</v>
      </c>
      <c r="O1929" t="s">
        <v>533</v>
      </c>
      <c r="P1929" t="s">
        <v>69</v>
      </c>
      <c r="Q1929" t="s">
        <v>528</v>
      </c>
      <c r="R1929">
        <v>43251.812175925923</v>
      </c>
      <c r="S1929">
        <v>43403.792187500003</v>
      </c>
      <c r="T1929" t="s">
        <v>1</v>
      </c>
      <c r="U1929" t="s">
        <v>35</v>
      </c>
      <c r="V1929" t="s">
        <v>321</v>
      </c>
      <c r="W1929" t="s">
        <v>4670</v>
      </c>
    </row>
    <row r="1930" spans="1:23" x14ac:dyDescent="0.25">
      <c r="A1930" t="s">
        <v>618</v>
      </c>
      <c r="B1930" s="19">
        <v>20303</v>
      </c>
      <c r="C1930" s="2">
        <f>HYPERLINK(URLs!B36 &amp; 121343,121343)</f>
        <v>121343</v>
      </c>
      <c r="D1930" t="s">
        <v>4950</v>
      </c>
      <c r="E1930" t="s">
        <v>288</v>
      </c>
      <c r="F1930" t="s">
        <v>67</v>
      </c>
      <c r="H1930" t="s">
        <v>116</v>
      </c>
      <c r="I1930" t="s">
        <v>31</v>
      </c>
      <c r="J1930" t="s">
        <v>32</v>
      </c>
      <c r="K1930" t="s">
        <v>33</v>
      </c>
      <c r="L1930" t="s">
        <v>380</v>
      </c>
      <c r="M1930" t="s">
        <v>434</v>
      </c>
      <c r="N1930" t="s">
        <v>4922</v>
      </c>
      <c r="P1930" t="s">
        <v>69</v>
      </c>
      <c r="R1930">
        <v>43396.925451388888</v>
      </c>
      <c r="S1930">
        <v>43397.910740740743</v>
      </c>
      <c r="T1930" t="s">
        <v>53</v>
      </c>
      <c r="U1930" t="s">
        <v>35</v>
      </c>
      <c r="V1930" t="s">
        <v>321</v>
      </c>
      <c r="W1930" t="s">
        <v>4410</v>
      </c>
    </row>
    <row r="1931" spans="1:23" x14ac:dyDescent="0.25">
      <c r="A1931" t="s">
        <v>618</v>
      </c>
      <c r="B1931" s="19">
        <v>20303</v>
      </c>
      <c r="C1931" s="2">
        <f>HYPERLINK(URLs!B36 &amp; 120837,120837)</f>
        <v>120837</v>
      </c>
      <c r="D1931" t="s">
        <v>4933</v>
      </c>
      <c r="E1931" t="s">
        <v>288</v>
      </c>
      <c r="F1931" t="s">
        <v>305</v>
      </c>
      <c r="G1931" t="s">
        <v>337</v>
      </c>
      <c r="H1931" t="s">
        <v>116</v>
      </c>
      <c r="I1931" t="s">
        <v>31</v>
      </c>
      <c r="J1931" t="s">
        <v>32</v>
      </c>
      <c r="K1931" t="s">
        <v>33</v>
      </c>
      <c r="L1931" t="s">
        <v>380</v>
      </c>
      <c r="M1931" t="s">
        <v>434</v>
      </c>
      <c r="N1931" t="s">
        <v>46</v>
      </c>
      <c r="P1931" t="s">
        <v>69</v>
      </c>
      <c r="Q1931" t="s">
        <v>3708</v>
      </c>
      <c r="R1931">
        <v>43384.020196759258</v>
      </c>
      <c r="S1931">
        <v>43423.863541666666</v>
      </c>
      <c r="T1931" t="s">
        <v>288</v>
      </c>
      <c r="U1931" t="s">
        <v>35</v>
      </c>
      <c r="V1931" t="s">
        <v>321</v>
      </c>
      <c r="W1931" t="s">
        <v>4156</v>
      </c>
    </row>
    <row r="1932" spans="1:23" x14ac:dyDescent="0.25">
      <c r="A1932" t="s">
        <v>618</v>
      </c>
      <c r="B1932" s="19">
        <v>20303</v>
      </c>
      <c r="C1932" s="2">
        <f>HYPERLINK(URLs!B36 &amp; 114903,114903)</f>
        <v>114903</v>
      </c>
      <c r="D1932" t="s">
        <v>4838</v>
      </c>
      <c r="E1932" t="s">
        <v>335</v>
      </c>
      <c r="F1932" t="s">
        <v>319</v>
      </c>
      <c r="G1932" t="s">
        <v>337</v>
      </c>
      <c r="H1932" t="s">
        <v>116</v>
      </c>
      <c r="I1932" t="s">
        <v>31</v>
      </c>
      <c r="J1932" t="s">
        <v>32</v>
      </c>
      <c r="K1932" t="s">
        <v>33</v>
      </c>
      <c r="L1932" t="s">
        <v>380</v>
      </c>
      <c r="M1932" t="s">
        <v>434</v>
      </c>
      <c r="N1932" t="s">
        <v>60</v>
      </c>
      <c r="O1932" t="s">
        <v>4839</v>
      </c>
      <c r="P1932" t="s">
        <v>69</v>
      </c>
      <c r="Q1932" t="s">
        <v>1503</v>
      </c>
      <c r="R1932">
        <v>43257.616030092591</v>
      </c>
      <c r="S1932">
        <v>43403.787083333336</v>
      </c>
      <c r="T1932" t="s">
        <v>288</v>
      </c>
      <c r="U1932" t="s">
        <v>35</v>
      </c>
      <c r="V1932" t="s">
        <v>321</v>
      </c>
      <c r="W1932" t="s">
        <v>4670</v>
      </c>
    </row>
    <row r="1933" spans="1:23" x14ac:dyDescent="0.25">
      <c r="A1933" t="s">
        <v>618</v>
      </c>
      <c r="B1933" s="19">
        <v>20303</v>
      </c>
      <c r="C1933" s="2">
        <f>HYPERLINK(URLs!B36 &amp; 114902,114902)</f>
        <v>114902</v>
      </c>
      <c r="D1933" t="s">
        <v>4676</v>
      </c>
      <c r="E1933" t="s">
        <v>288</v>
      </c>
      <c r="F1933" t="s">
        <v>67</v>
      </c>
      <c r="H1933" t="s">
        <v>116</v>
      </c>
      <c r="I1933" t="s">
        <v>31</v>
      </c>
      <c r="J1933" t="s">
        <v>32</v>
      </c>
      <c r="K1933" t="s">
        <v>33</v>
      </c>
      <c r="L1933" t="s">
        <v>380</v>
      </c>
      <c r="M1933" t="s">
        <v>434</v>
      </c>
      <c r="N1933" t="s">
        <v>46</v>
      </c>
      <c r="P1933" t="s">
        <v>69</v>
      </c>
      <c r="R1933">
        <v>43257.616041666668</v>
      </c>
      <c r="S1933">
        <v>43396.925451388888</v>
      </c>
      <c r="T1933" t="s">
        <v>288</v>
      </c>
      <c r="U1933" t="s">
        <v>35</v>
      </c>
      <c r="V1933" t="s">
        <v>321</v>
      </c>
      <c r="W1933" t="s">
        <v>4098</v>
      </c>
    </row>
    <row r="1934" spans="1:23" x14ac:dyDescent="0.25">
      <c r="A1934" t="s">
        <v>618</v>
      </c>
      <c r="B1934" s="19">
        <v>20303</v>
      </c>
      <c r="C1934" s="2">
        <f>HYPERLINK(URLs!B36 &amp; 114646,114646)</f>
        <v>114646</v>
      </c>
      <c r="D1934" t="s">
        <v>4675</v>
      </c>
      <c r="E1934" t="s">
        <v>134</v>
      </c>
      <c r="F1934" t="s">
        <v>319</v>
      </c>
      <c r="G1934" t="s">
        <v>304</v>
      </c>
      <c r="H1934" t="s">
        <v>116</v>
      </c>
      <c r="I1934" t="s">
        <v>31</v>
      </c>
      <c r="J1934" t="s">
        <v>32</v>
      </c>
      <c r="K1934" t="s">
        <v>33</v>
      </c>
      <c r="L1934" t="s">
        <v>380</v>
      </c>
      <c r="M1934" t="s">
        <v>434</v>
      </c>
      <c r="N1934" t="s">
        <v>518</v>
      </c>
      <c r="P1934" t="s">
        <v>69</v>
      </c>
      <c r="Q1934" t="s">
        <v>528</v>
      </c>
      <c r="R1934">
        <v>43251.908263888887</v>
      </c>
      <c r="S1934">
        <v>43397.98746527778</v>
      </c>
      <c r="T1934" t="s">
        <v>1</v>
      </c>
      <c r="U1934" t="s">
        <v>4737</v>
      </c>
      <c r="V1934" t="s">
        <v>321</v>
      </c>
      <c r="W1934" t="s">
        <v>4171</v>
      </c>
    </row>
    <row r="1935" spans="1:23" x14ac:dyDescent="0.25">
      <c r="A1935" t="s">
        <v>618</v>
      </c>
      <c r="B1935" s="19">
        <v>20320</v>
      </c>
      <c r="C1935" s="2">
        <f>HYPERLINK(URLs!B36 &amp; 114788,114788)</f>
        <v>114788</v>
      </c>
      <c r="D1935" t="s">
        <v>4456</v>
      </c>
      <c r="E1935" t="s">
        <v>1</v>
      </c>
      <c r="F1935" t="s">
        <v>67</v>
      </c>
      <c r="H1935" t="s">
        <v>54</v>
      </c>
      <c r="I1935" t="s">
        <v>31</v>
      </c>
      <c r="J1935" t="s">
        <v>32</v>
      </c>
      <c r="K1935" t="s">
        <v>33</v>
      </c>
      <c r="L1935" t="s">
        <v>34</v>
      </c>
      <c r="M1935" t="s">
        <v>258</v>
      </c>
      <c r="N1935" t="s">
        <v>60</v>
      </c>
      <c r="O1935" t="s">
        <v>4457</v>
      </c>
      <c r="P1935" t="s">
        <v>69</v>
      </c>
      <c r="R1935">
        <v>43255.864293981482</v>
      </c>
      <c r="S1935">
        <v>43354.823101851849</v>
      </c>
      <c r="T1935" t="s">
        <v>1</v>
      </c>
      <c r="U1935" t="s">
        <v>35</v>
      </c>
      <c r="V1935" t="s">
        <v>35</v>
      </c>
      <c r="W1935" t="s">
        <v>4143</v>
      </c>
    </row>
    <row r="1936" spans="1:23" x14ac:dyDescent="0.25">
      <c r="A1936" t="s">
        <v>618</v>
      </c>
      <c r="B1936" s="19">
        <v>20446</v>
      </c>
      <c r="C1936" s="2">
        <f>HYPERLINK(URLs!B36 &amp; 115807,115807)</f>
        <v>115807</v>
      </c>
      <c r="D1936" t="s">
        <v>4467</v>
      </c>
      <c r="E1936" t="s">
        <v>387</v>
      </c>
      <c r="F1936" t="s">
        <v>67</v>
      </c>
      <c r="H1936" t="s">
        <v>30</v>
      </c>
      <c r="I1936" t="s">
        <v>68</v>
      </c>
      <c r="J1936" t="s">
        <v>43</v>
      </c>
      <c r="K1936" t="s">
        <v>33</v>
      </c>
      <c r="L1936" t="s">
        <v>73</v>
      </c>
      <c r="M1936" t="s">
        <v>263</v>
      </c>
      <c r="N1936" t="s">
        <v>60</v>
      </c>
      <c r="O1936" t="s">
        <v>4468</v>
      </c>
      <c r="P1936" t="s">
        <v>3698</v>
      </c>
      <c r="R1936">
        <v>43276.362002314818</v>
      </c>
      <c r="S1936">
        <v>43382.661006944443</v>
      </c>
      <c r="T1936" t="s">
        <v>4</v>
      </c>
      <c r="U1936" t="s">
        <v>35</v>
      </c>
      <c r="V1936" t="s">
        <v>35</v>
      </c>
      <c r="W1936" t="s">
        <v>4171</v>
      </c>
    </row>
    <row r="1937" spans="1:23" x14ac:dyDescent="0.25">
      <c r="A1937" t="s">
        <v>665</v>
      </c>
      <c r="B1937" s="19">
        <v>20501</v>
      </c>
      <c r="C1937" s="2">
        <f>HYPERLINK(URLs!B36 &amp; 117047,117047)</f>
        <v>117047</v>
      </c>
      <c r="D1937" t="s">
        <v>4693</v>
      </c>
      <c r="E1937" t="s">
        <v>288</v>
      </c>
      <c r="F1937" t="s">
        <v>305</v>
      </c>
      <c r="G1937" t="s">
        <v>310</v>
      </c>
      <c r="H1937" t="s">
        <v>116</v>
      </c>
      <c r="I1937" t="s">
        <v>31</v>
      </c>
      <c r="J1937" t="s">
        <v>32</v>
      </c>
      <c r="K1937" t="s">
        <v>51</v>
      </c>
      <c r="L1937" t="s">
        <v>96</v>
      </c>
      <c r="M1937" t="s">
        <v>269</v>
      </c>
      <c r="N1937" t="s">
        <v>60</v>
      </c>
      <c r="P1937" t="s">
        <v>3698</v>
      </c>
      <c r="Q1937" t="s">
        <v>4694</v>
      </c>
      <c r="R1937">
        <v>43300.528981481482</v>
      </c>
      <c r="S1937">
        <v>43313.476446759261</v>
      </c>
      <c r="T1937" t="s">
        <v>301</v>
      </c>
      <c r="U1937" t="s">
        <v>35</v>
      </c>
      <c r="V1937" t="s">
        <v>321</v>
      </c>
      <c r="W1937" t="s">
        <v>4169</v>
      </c>
    </row>
    <row r="1938" spans="1:23" x14ac:dyDescent="0.25">
      <c r="A1938" t="s">
        <v>665</v>
      </c>
      <c r="B1938" s="19">
        <v>20501</v>
      </c>
      <c r="C1938" s="2">
        <f>HYPERLINK(URLs!B36 &amp; 116735,116735)</f>
        <v>116735</v>
      </c>
      <c r="D1938" t="s">
        <v>4684</v>
      </c>
      <c r="E1938" t="s">
        <v>183</v>
      </c>
      <c r="F1938" t="s">
        <v>305</v>
      </c>
      <c r="G1938" t="s">
        <v>304</v>
      </c>
      <c r="H1938" t="s">
        <v>116</v>
      </c>
      <c r="I1938" t="s">
        <v>31</v>
      </c>
      <c r="J1938" t="s">
        <v>32</v>
      </c>
      <c r="K1938" t="s">
        <v>51</v>
      </c>
      <c r="L1938" t="s">
        <v>96</v>
      </c>
      <c r="M1938" t="s">
        <v>269</v>
      </c>
      <c r="N1938" t="s">
        <v>4703</v>
      </c>
      <c r="P1938" t="s">
        <v>3698</v>
      </c>
      <c r="Q1938" t="s">
        <v>4723</v>
      </c>
      <c r="R1938">
        <v>43293.852916666663</v>
      </c>
      <c r="S1938">
        <v>43325.145104166666</v>
      </c>
      <c r="T1938" t="s">
        <v>53</v>
      </c>
      <c r="U1938" t="s">
        <v>35</v>
      </c>
      <c r="V1938" t="s">
        <v>321</v>
      </c>
      <c r="W1938" t="s">
        <v>4439</v>
      </c>
    </row>
    <row r="1939" spans="1:23" x14ac:dyDescent="0.25">
      <c r="A1939" t="s">
        <v>665</v>
      </c>
      <c r="B1939" s="19">
        <v>20501</v>
      </c>
      <c r="C1939" s="2">
        <f>HYPERLINK(URLs!B36 &amp; 116733,116733)</f>
        <v>116733</v>
      </c>
      <c r="D1939" t="s">
        <v>4683</v>
      </c>
      <c r="E1939" t="s">
        <v>288</v>
      </c>
      <c r="F1939" t="s">
        <v>305</v>
      </c>
      <c r="G1939" t="s">
        <v>337</v>
      </c>
      <c r="H1939" t="s">
        <v>116</v>
      </c>
      <c r="I1939" t="s">
        <v>31</v>
      </c>
      <c r="J1939" t="s">
        <v>32</v>
      </c>
      <c r="K1939" t="s">
        <v>51</v>
      </c>
      <c r="L1939" t="s">
        <v>96</v>
      </c>
      <c r="M1939" t="s">
        <v>269</v>
      </c>
      <c r="N1939" t="s">
        <v>60</v>
      </c>
      <c r="P1939" t="s">
        <v>3698</v>
      </c>
      <c r="Q1939" t="s">
        <v>3708</v>
      </c>
      <c r="R1939">
        <v>43293.851597222223</v>
      </c>
      <c r="S1939">
        <v>43423.872430555559</v>
      </c>
      <c r="T1939" t="s">
        <v>53</v>
      </c>
      <c r="U1939" t="s">
        <v>35</v>
      </c>
      <c r="V1939" t="s">
        <v>321</v>
      </c>
      <c r="W1939" t="s">
        <v>4158</v>
      </c>
    </row>
    <row r="1940" spans="1:23" x14ac:dyDescent="0.25">
      <c r="A1940" t="s">
        <v>665</v>
      </c>
      <c r="B1940" s="19">
        <v>20501</v>
      </c>
      <c r="C1940" s="2">
        <f>HYPERLINK(URLs!B36 &amp; 116732,116732)</f>
        <v>116732</v>
      </c>
      <c r="D1940" t="s">
        <v>4682</v>
      </c>
      <c r="E1940" t="s">
        <v>183</v>
      </c>
      <c r="F1940" t="s">
        <v>319</v>
      </c>
      <c r="G1940" t="s">
        <v>304</v>
      </c>
      <c r="H1940" t="s">
        <v>116</v>
      </c>
      <c r="I1940" t="s">
        <v>31</v>
      </c>
      <c r="J1940" t="s">
        <v>32</v>
      </c>
      <c r="K1940" t="s">
        <v>51</v>
      </c>
      <c r="L1940" t="s">
        <v>96</v>
      </c>
      <c r="M1940" t="s">
        <v>269</v>
      </c>
      <c r="N1940" t="s">
        <v>60</v>
      </c>
      <c r="P1940" t="s">
        <v>3698</v>
      </c>
      <c r="Q1940" t="s">
        <v>3708</v>
      </c>
      <c r="R1940">
        <v>43293.8516087963</v>
      </c>
      <c r="S1940">
        <v>43423.913090277776</v>
      </c>
      <c r="T1940" t="s">
        <v>53</v>
      </c>
      <c r="U1940" t="s">
        <v>35</v>
      </c>
      <c r="V1940" t="s">
        <v>321</v>
      </c>
      <c r="W1940" t="s">
        <v>4098</v>
      </c>
    </row>
    <row r="1941" spans="1:23" x14ac:dyDescent="0.25">
      <c r="A1941" t="s">
        <v>665</v>
      </c>
      <c r="B1941" s="19">
        <v>20501</v>
      </c>
      <c r="C1941" s="2">
        <f>HYPERLINK(URLs!B36 &amp; 116320,116320)</f>
        <v>116320</v>
      </c>
      <c r="D1941" t="s">
        <v>4677</v>
      </c>
      <c r="E1941" t="s">
        <v>183</v>
      </c>
      <c r="F1941" t="s">
        <v>319</v>
      </c>
      <c r="G1941" t="s">
        <v>304</v>
      </c>
      <c r="H1941" t="s">
        <v>116</v>
      </c>
      <c r="I1941" t="s">
        <v>31</v>
      </c>
      <c r="J1941" t="s">
        <v>32</v>
      </c>
      <c r="K1941" t="s">
        <v>51</v>
      </c>
      <c r="L1941" t="s">
        <v>96</v>
      </c>
      <c r="M1941" t="s">
        <v>269</v>
      </c>
      <c r="N1941" t="s">
        <v>510</v>
      </c>
      <c r="P1941" t="s">
        <v>3698</v>
      </c>
      <c r="Q1941" t="s">
        <v>4678</v>
      </c>
      <c r="R1941">
        <v>43284.803587962961</v>
      </c>
      <c r="S1941">
        <v>43312.735810185186</v>
      </c>
      <c r="T1941" t="s">
        <v>1</v>
      </c>
      <c r="U1941" t="s">
        <v>4679</v>
      </c>
      <c r="V1941" t="s">
        <v>321</v>
      </c>
      <c r="W1941" t="s">
        <v>4171</v>
      </c>
    </row>
    <row r="1942" spans="1:23" x14ac:dyDescent="0.25">
      <c r="A1942" t="s">
        <v>618</v>
      </c>
      <c r="B1942" s="19">
        <v>20553</v>
      </c>
      <c r="C1942" s="2">
        <f>HYPERLINK(URLs!B36 &amp; 116675,116675)</f>
        <v>116675</v>
      </c>
      <c r="D1942" t="s">
        <v>4681</v>
      </c>
      <c r="E1942" t="s">
        <v>110</v>
      </c>
      <c r="F1942" t="s">
        <v>305</v>
      </c>
      <c r="G1942" t="s">
        <v>304</v>
      </c>
      <c r="H1942" t="s">
        <v>30</v>
      </c>
      <c r="I1942" t="s">
        <v>68</v>
      </c>
      <c r="J1942" t="s">
        <v>58</v>
      </c>
      <c r="K1942" t="s">
        <v>44</v>
      </c>
      <c r="L1942" t="s">
        <v>73</v>
      </c>
      <c r="M1942" t="s">
        <v>263</v>
      </c>
      <c r="N1942" t="s">
        <v>46</v>
      </c>
      <c r="P1942" t="s">
        <v>3698</v>
      </c>
      <c r="Q1942" t="s">
        <v>3698</v>
      </c>
      <c r="R1942">
        <v>43293.277581018519</v>
      </c>
      <c r="S1942">
        <v>43402.398379629631</v>
      </c>
      <c r="T1942" t="s">
        <v>4</v>
      </c>
      <c r="U1942" t="s">
        <v>4724</v>
      </c>
      <c r="V1942" t="s">
        <v>35</v>
      </c>
      <c r="W1942" t="s">
        <v>4171</v>
      </c>
    </row>
    <row r="1943" spans="1:23" x14ac:dyDescent="0.25">
      <c r="A1943" t="s">
        <v>618</v>
      </c>
      <c r="B1943" s="19">
        <v>20571</v>
      </c>
      <c r="C1943" s="2">
        <f>HYPERLINK(URLs!B36 &amp; 116989,116989)</f>
        <v>116989</v>
      </c>
      <c r="D1943" t="s">
        <v>4691</v>
      </c>
      <c r="E1943" t="s">
        <v>4204</v>
      </c>
      <c r="F1943" t="s">
        <v>305</v>
      </c>
      <c r="G1943" t="s">
        <v>304</v>
      </c>
      <c r="H1943" t="s">
        <v>116</v>
      </c>
      <c r="I1943" t="s">
        <v>31</v>
      </c>
      <c r="J1943" t="s">
        <v>32</v>
      </c>
      <c r="K1943" t="s">
        <v>44</v>
      </c>
      <c r="L1943" t="s">
        <v>96</v>
      </c>
      <c r="M1943" t="s">
        <v>4205</v>
      </c>
      <c r="N1943" t="s">
        <v>4841</v>
      </c>
      <c r="P1943" t="s">
        <v>3698</v>
      </c>
      <c r="Q1943" t="s">
        <v>2305</v>
      </c>
      <c r="R1943">
        <v>43299.855740740742</v>
      </c>
      <c r="S1943">
        <v>43404.452777777777</v>
      </c>
      <c r="T1943" t="s">
        <v>301</v>
      </c>
      <c r="U1943" t="s">
        <v>4692</v>
      </c>
      <c r="V1943" t="s">
        <v>321</v>
      </c>
      <c r="W1943" t="s">
        <v>4171</v>
      </c>
    </row>
    <row r="1944" spans="1:23" x14ac:dyDescent="0.25">
      <c r="A1944" t="s">
        <v>618</v>
      </c>
      <c r="B1944" s="19">
        <v>20571</v>
      </c>
      <c r="C1944" s="2">
        <f>HYPERLINK(URLs!B36 &amp; 116988,116988)</f>
        <v>116988</v>
      </c>
      <c r="D1944" t="s">
        <v>4690</v>
      </c>
      <c r="E1944" t="s">
        <v>4204</v>
      </c>
      <c r="F1944" t="s">
        <v>67</v>
      </c>
      <c r="H1944" t="s">
        <v>116</v>
      </c>
      <c r="I1944" t="s">
        <v>31</v>
      </c>
      <c r="J1944" t="s">
        <v>32</v>
      </c>
      <c r="K1944" t="s">
        <v>44</v>
      </c>
      <c r="L1944" t="s">
        <v>96</v>
      </c>
      <c r="M1944" t="s">
        <v>4205</v>
      </c>
      <c r="N1944" t="s">
        <v>60</v>
      </c>
      <c r="P1944" t="s">
        <v>3698</v>
      </c>
      <c r="R1944">
        <v>43299.855740740742</v>
      </c>
      <c r="S1944">
        <v>43382.66133101852</v>
      </c>
      <c r="T1944" t="s">
        <v>301</v>
      </c>
      <c r="U1944" t="s">
        <v>35</v>
      </c>
      <c r="V1944" t="s">
        <v>321</v>
      </c>
      <c r="W1944" t="s">
        <v>4098</v>
      </c>
    </row>
    <row r="1945" spans="1:23" x14ac:dyDescent="0.25">
      <c r="A1945" t="s">
        <v>618</v>
      </c>
      <c r="B1945" s="19">
        <v>20571</v>
      </c>
      <c r="C1945" s="2">
        <f>HYPERLINK(URLs!B36 &amp; 116805,116805)</f>
        <v>116805</v>
      </c>
      <c r="D1945" t="s">
        <v>4738</v>
      </c>
      <c r="E1945" t="s">
        <v>4204</v>
      </c>
      <c r="F1945" t="s">
        <v>305</v>
      </c>
      <c r="G1945" t="s">
        <v>304</v>
      </c>
      <c r="H1945" t="s">
        <v>116</v>
      </c>
      <c r="I1945" t="s">
        <v>31</v>
      </c>
      <c r="J1945" t="s">
        <v>32</v>
      </c>
      <c r="K1945" t="s">
        <v>44</v>
      </c>
      <c r="L1945" t="s">
        <v>96</v>
      </c>
      <c r="M1945" t="s">
        <v>4205</v>
      </c>
      <c r="N1945" t="s">
        <v>4840</v>
      </c>
      <c r="P1945" t="s">
        <v>3698</v>
      </c>
      <c r="Q1945" t="s">
        <v>2305</v>
      </c>
      <c r="R1945">
        <v>43294.685787037037</v>
      </c>
      <c r="S1945">
        <v>43353.958831018521</v>
      </c>
      <c r="T1945" t="s">
        <v>1</v>
      </c>
      <c r="U1945" t="s">
        <v>35</v>
      </c>
      <c r="V1945" t="s">
        <v>321</v>
      </c>
      <c r="W1945" t="s">
        <v>4439</v>
      </c>
    </row>
    <row r="1946" spans="1:23" x14ac:dyDescent="0.25">
      <c r="A1946" t="s">
        <v>633</v>
      </c>
      <c r="B1946" s="19">
        <v>20580</v>
      </c>
      <c r="C1946" s="2">
        <f>HYPERLINK(URLs!B36 &amp; 116874,116874)</f>
        <v>116874</v>
      </c>
      <c r="D1946" t="s">
        <v>4687</v>
      </c>
      <c r="E1946" t="s">
        <v>2996</v>
      </c>
      <c r="F1946" t="s">
        <v>305</v>
      </c>
      <c r="G1946" t="s">
        <v>304</v>
      </c>
      <c r="H1946" t="s">
        <v>116</v>
      </c>
      <c r="I1946" t="s">
        <v>31</v>
      </c>
      <c r="J1946" t="s">
        <v>32</v>
      </c>
      <c r="K1946" t="s">
        <v>33</v>
      </c>
      <c r="L1946" t="s">
        <v>96</v>
      </c>
      <c r="M1946" t="s">
        <v>269</v>
      </c>
      <c r="N1946" t="s">
        <v>572</v>
      </c>
      <c r="P1946" t="s">
        <v>3698</v>
      </c>
      <c r="Q1946" t="s">
        <v>2973</v>
      </c>
      <c r="R1946">
        <v>43297.709039351852</v>
      </c>
      <c r="S1946">
        <v>43361.54991898148</v>
      </c>
      <c r="T1946" t="s">
        <v>1</v>
      </c>
      <c r="U1946" t="s">
        <v>35</v>
      </c>
      <c r="V1946" t="s">
        <v>321</v>
      </c>
      <c r="W1946" t="s">
        <v>307</v>
      </c>
    </row>
    <row r="1947" spans="1:23" x14ac:dyDescent="0.25">
      <c r="A1947" t="s">
        <v>641</v>
      </c>
      <c r="B1947" s="19">
        <v>20605</v>
      </c>
      <c r="C1947" s="2">
        <f>HYPERLINK(URLs!B36 &amp; 116987,116987)</f>
        <v>116987</v>
      </c>
      <c r="D1947" t="s">
        <v>4689</v>
      </c>
      <c r="E1947" t="s">
        <v>288</v>
      </c>
      <c r="F1947" t="s">
        <v>67</v>
      </c>
      <c r="H1947" t="s">
        <v>56</v>
      </c>
      <c r="I1947" t="s">
        <v>68</v>
      </c>
      <c r="J1947" t="s">
        <v>43</v>
      </c>
      <c r="K1947" t="s">
        <v>33</v>
      </c>
      <c r="L1947" t="s">
        <v>195</v>
      </c>
      <c r="M1947" t="s">
        <v>2976</v>
      </c>
      <c r="N1947" t="s">
        <v>46</v>
      </c>
      <c r="P1947" t="s">
        <v>190</v>
      </c>
      <c r="R1947">
        <v>43299.794525462959</v>
      </c>
      <c r="S1947">
        <v>43339.722500000003</v>
      </c>
      <c r="T1947" t="s">
        <v>1</v>
      </c>
      <c r="U1947" t="s">
        <v>35</v>
      </c>
      <c r="V1947" t="s">
        <v>35</v>
      </c>
      <c r="W1947" t="s">
        <v>4126</v>
      </c>
    </row>
    <row r="1948" spans="1:23" x14ac:dyDescent="0.25">
      <c r="A1948" t="s">
        <v>633</v>
      </c>
      <c r="B1948" s="19">
        <v>20632</v>
      </c>
      <c r="C1948" s="2">
        <f>HYPERLINK(URLs!B36 &amp; 116986,116986)</f>
        <v>116986</v>
      </c>
      <c r="D1948" t="s">
        <v>4705</v>
      </c>
      <c r="E1948" t="s">
        <v>2850</v>
      </c>
      <c r="F1948" t="s">
        <v>319</v>
      </c>
      <c r="G1948" t="s">
        <v>337</v>
      </c>
      <c r="H1948" t="s">
        <v>56</v>
      </c>
      <c r="I1948" t="s">
        <v>68</v>
      </c>
      <c r="J1948" t="s">
        <v>43</v>
      </c>
      <c r="K1948" t="s">
        <v>33</v>
      </c>
      <c r="L1948" t="s">
        <v>34</v>
      </c>
      <c r="M1948" t="s">
        <v>3780</v>
      </c>
      <c r="N1948" t="s">
        <v>46</v>
      </c>
      <c r="O1948" t="s">
        <v>4923</v>
      </c>
      <c r="P1948" t="s">
        <v>4459</v>
      </c>
      <c r="Q1948" t="s">
        <v>4924</v>
      </c>
      <c r="R1948">
        <v>43299.771423611113</v>
      </c>
      <c r="S1948">
        <v>43396.960451388892</v>
      </c>
      <c r="T1948" t="s">
        <v>2850</v>
      </c>
      <c r="U1948" t="s">
        <v>35</v>
      </c>
      <c r="V1948" t="s">
        <v>35</v>
      </c>
      <c r="W1948" t="s">
        <v>4143</v>
      </c>
    </row>
    <row r="1949" spans="1:23" x14ac:dyDescent="0.25">
      <c r="A1949" t="s">
        <v>665</v>
      </c>
      <c r="B1949" s="19">
        <v>20664</v>
      </c>
      <c r="C1949" s="2">
        <f>HYPERLINK(URLs!B36 &amp; 117511,117511)</f>
        <v>117511</v>
      </c>
      <c r="D1949" t="s">
        <v>4712</v>
      </c>
      <c r="E1949" t="s">
        <v>577</v>
      </c>
      <c r="F1949" t="s">
        <v>319</v>
      </c>
      <c r="G1949" t="s">
        <v>304</v>
      </c>
      <c r="H1949" t="s">
        <v>116</v>
      </c>
      <c r="I1949" t="s">
        <v>31</v>
      </c>
      <c r="J1949" t="s">
        <v>32</v>
      </c>
      <c r="K1949" t="s">
        <v>44</v>
      </c>
      <c r="L1949" t="s">
        <v>52</v>
      </c>
      <c r="M1949" t="s">
        <v>4092</v>
      </c>
      <c r="N1949" t="s">
        <v>510</v>
      </c>
      <c r="P1949" t="s">
        <v>3698</v>
      </c>
      <c r="Q1949" t="s">
        <v>4323</v>
      </c>
      <c r="R1949">
        <v>43312.679409722223</v>
      </c>
      <c r="S1949">
        <v>43406.510879629626</v>
      </c>
      <c r="T1949" t="s">
        <v>53</v>
      </c>
      <c r="U1949" t="s">
        <v>4744</v>
      </c>
      <c r="V1949" t="s">
        <v>321</v>
      </c>
      <c r="W1949" t="s">
        <v>4171</v>
      </c>
    </row>
    <row r="1950" spans="1:23" x14ac:dyDescent="0.25">
      <c r="A1950" t="s">
        <v>665</v>
      </c>
      <c r="B1950" s="19">
        <v>20664</v>
      </c>
      <c r="C1950" s="2">
        <f>HYPERLINK(URLs!B36 &amp; 117510,117510)</f>
        <v>117510</v>
      </c>
      <c r="D1950" t="s">
        <v>4711</v>
      </c>
      <c r="E1950" t="s">
        <v>577</v>
      </c>
      <c r="F1950" t="s">
        <v>305</v>
      </c>
      <c r="G1950" t="s">
        <v>304</v>
      </c>
      <c r="H1950" t="s">
        <v>116</v>
      </c>
      <c r="I1950" t="s">
        <v>31</v>
      </c>
      <c r="J1950" t="s">
        <v>32</v>
      </c>
      <c r="K1950" t="s">
        <v>44</v>
      </c>
      <c r="L1950" t="s">
        <v>52</v>
      </c>
      <c r="M1950" t="s">
        <v>4092</v>
      </c>
      <c r="N1950" t="s">
        <v>572</v>
      </c>
      <c r="P1950" t="s">
        <v>3698</v>
      </c>
      <c r="Q1950" t="s">
        <v>4743</v>
      </c>
      <c r="R1950">
        <v>43312.678773148145</v>
      </c>
      <c r="S1950">
        <v>43404.256053240744</v>
      </c>
      <c r="T1950" t="s">
        <v>53</v>
      </c>
      <c r="U1950" t="s">
        <v>35</v>
      </c>
      <c r="V1950" t="s">
        <v>321</v>
      </c>
      <c r="W1950" t="s">
        <v>4439</v>
      </c>
    </row>
    <row r="1951" spans="1:23" x14ac:dyDescent="0.25">
      <c r="A1951" t="s">
        <v>665</v>
      </c>
      <c r="B1951" s="19">
        <v>20664</v>
      </c>
      <c r="C1951" s="2">
        <f>HYPERLINK(URLs!B36 &amp; 117509,117509)</f>
        <v>117509</v>
      </c>
      <c r="D1951" t="s">
        <v>4710</v>
      </c>
      <c r="E1951" t="s">
        <v>577</v>
      </c>
      <c r="F1951" t="s">
        <v>67</v>
      </c>
      <c r="H1951" t="s">
        <v>116</v>
      </c>
      <c r="I1951" t="s">
        <v>31</v>
      </c>
      <c r="J1951" t="s">
        <v>32</v>
      </c>
      <c r="K1951" t="s">
        <v>44</v>
      </c>
      <c r="L1951" t="s">
        <v>52</v>
      </c>
      <c r="M1951" t="s">
        <v>4092</v>
      </c>
      <c r="N1951" t="s">
        <v>572</v>
      </c>
      <c r="P1951" t="s">
        <v>3698</v>
      </c>
      <c r="R1951">
        <v>43312.678773148145</v>
      </c>
      <c r="S1951">
        <v>43404.565937500003</v>
      </c>
      <c r="T1951" t="s">
        <v>53</v>
      </c>
      <c r="U1951" t="s">
        <v>35</v>
      </c>
      <c r="V1951" t="s">
        <v>321</v>
      </c>
      <c r="W1951" t="s">
        <v>4098</v>
      </c>
    </row>
    <row r="1952" spans="1:23" x14ac:dyDescent="0.25">
      <c r="A1952" t="s">
        <v>665</v>
      </c>
      <c r="B1952" s="19">
        <v>20664</v>
      </c>
      <c r="C1952" s="2">
        <f>HYPERLINK(URLs!B36 &amp; 117351,117351)</f>
        <v>117351</v>
      </c>
      <c r="D1952" t="s">
        <v>4706</v>
      </c>
      <c r="E1952" t="s">
        <v>577</v>
      </c>
      <c r="F1952" t="s">
        <v>305</v>
      </c>
      <c r="G1952" t="s">
        <v>304</v>
      </c>
      <c r="H1952" t="s">
        <v>116</v>
      </c>
      <c r="I1952" t="s">
        <v>31</v>
      </c>
      <c r="J1952" t="s">
        <v>32</v>
      </c>
      <c r="K1952" t="s">
        <v>44</v>
      </c>
      <c r="L1952" t="s">
        <v>52</v>
      </c>
      <c r="M1952" t="s">
        <v>4092</v>
      </c>
      <c r="N1952" t="s">
        <v>572</v>
      </c>
      <c r="P1952" t="s">
        <v>3698</v>
      </c>
      <c r="Q1952" t="s">
        <v>4323</v>
      </c>
      <c r="R1952">
        <v>43307.808854166666</v>
      </c>
      <c r="S1952">
        <v>43368.237256944441</v>
      </c>
      <c r="T1952" t="s">
        <v>1</v>
      </c>
      <c r="U1952" t="s">
        <v>35</v>
      </c>
      <c r="V1952" t="s">
        <v>321</v>
      </c>
      <c r="W1952" t="s">
        <v>4707</v>
      </c>
    </row>
    <row r="1953" spans="1:23" x14ac:dyDescent="0.25">
      <c r="A1953" t="s">
        <v>641</v>
      </c>
      <c r="B1953" s="19">
        <v>20676</v>
      </c>
      <c r="C1953" s="2">
        <f>HYPERLINK(URLs!B36 &amp; 118049,118049)</f>
        <v>118049</v>
      </c>
      <c r="D1953" t="s">
        <v>4761</v>
      </c>
      <c r="E1953" t="s">
        <v>136</v>
      </c>
      <c r="F1953" t="s">
        <v>319</v>
      </c>
      <c r="G1953" t="s">
        <v>304</v>
      </c>
      <c r="H1953" t="s">
        <v>116</v>
      </c>
      <c r="I1953" t="s">
        <v>31</v>
      </c>
      <c r="J1953" t="s">
        <v>32</v>
      </c>
      <c r="K1953" t="s">
        <v>44</v>
      </c>
      <c r="L1953" t="s">
        <v>34</v>
      </c>
      <c r="M1953" t="s">
        <v>274</v>
      </c>
      <c r="N1953" t="s">
        <v>518</v>
      </c>
      <c r="P1953" t="s">
        <v>69</v>
      </c>
      <c r="Q1953" t="s">
        <v>69</v>
      </c>
      <c r="R1953">
        <v>43322.990081018521</v>
      </c>
      <c r="S1953">
        <v>43402.566493055558</v>
      </c>
      <c r="T1953" t="s">
        <v>53</v>
      </c>
      <c r="U1953" t="s">
        <v>4850</v>
      </c>
      <c r="V1953" t="s">
        <v>321</v>
      </c>
      <c r="W1953" t="s">
        <v>4143</v>
      </c>
    </row>
    <row r="1954" spans="1:23" x14ac:dyDescent="0.25">
      <c r="A1954" t="s">
        <v>641</v>
      </c>
      <c r="B1954" s="19">
        <v>20676</v>
      </c>
      <c r="C1954" s="2">
        <f>HYPERLINK(URLs!B36 &amp; 118047,118047)</f>
        <v>118047</v>
      </c>
      <c r="D1954" t="s">
        <v>4758</v>
      </c>
      <c r="E1954" t="s">
        <v>4717</v>
      </c>
      <c r="F1954" t="s">
        <v>305</v>
      </c>
      <c r="G1954" t="s">
        <v>353</v>
      </c>
      <c r="H1954" t="s">
        <v>54</v>
      </c>
      <c r="I1954" t="s">
        <v>31</v>
      </c>
      <c r="J1954" t="s">
        <v>32</v>
      </c>
      <c r="K1954" t="s">
        <v>33</v>
      </c>
      <c r="L1954" t="s">
        <v>34</v>
      </c>
      <c r="M1954" t="s">
        <v>274</v>
      </c>
      <c r="N1954" t="s">
        <v>46</v>
      </c>
      <c r="O1954" t="s">
        <v>4759</v>
      </c>
      <c r="P1954" t="s">
        <v>69</v>
      </c>
      <c r="Q1954" t="s">
        <v>69</v>
      </c>
      <c r="R1954">
        <v>43322.986192129632</v>
      </c>
      <c r="S1954">
        <v>43369.793611111112</v>
      </c>
      <c r="T1954" t="s">
        <v>53</v>
      </c>
      <c r="U1954" t="s">
        <v>35</v>
      </c>
      <c r="V1954" t="s">
        <v>321</v>
      </c>
      <c r="W1954" t="s">
        <v>4672</v>
      </c>
    </row>
    <row r="1955" spans="1:23" x14ac:dyDescent="0.25">
      <c r="A1955" t="s">
        <v>641</v>
      </c>
      <c r="B1955" s="19">
        <v>20676</v>
      </c>
      <c r="C1955" s="2">
        <f>HYPERLINK(URLs!B36 &amp; 118046,118046)</f>
        <v>118046</v>
      </c>
      <c r="D1955" t="s">
        <v>4757</v>
      </c>
      <c r="E1955" t="s">
        <v>4717</v>
      </c>
      <c r="F1955" t="s">
        <v>305</v>
      </c>
      <c r="G1955" t="s">
        <v>353</v>
      </c>
      <c r="H1955" t="s">
        <v>116</v>
      </c>
      <c r="I1955" t="s">
        <v>31</v>
      </c>
      <c r="J1955" t="s">
        <v>32</v>
      </c>
      <c r="K1955" t="s">
        <v>33</v>
      </c>
      <c r="L1955" t="s">
        <v>34</v>
      </c>
      <c r="M1955" t="s">
        <v>274</v>
      </c>
      <c r="N1955" t="s">
        <v>60</v>
      </c>
      <c r="O1955" t="s">
        <v>533</v>
      </c>
      <c r="P1955" t="s">
        <v>69</v>
      </c>
      <c r="Q1955" t="s">
        <v>69</v>
      </c>
      <c r="R1955">
        <v>43322.984548611108</v>
      </c>
      <c r="S1955">
        <v>43369.793576388889</v>
      </c>
      <c r="T1955" t="s">
        <v>53</v>
      </c>
      <c r="U1955" t="s">
        <v>35</v>
      </c>
      <c r="V1955" t="s">
        <v>321</v>
      </c>
      <c r="W1955" t="s">
        <v>4143</v>
      </c>
    </row>
    <row r="1956" spans="1:23" x14ac:dyDescent="0.25">
      <c r="A1956" t="s">
        <v>641</v>
      </c>
      <c r="B1956" s="19">
        <v>20676</v>
      </c>
      <c r="C1956" s="2">
        <f>HYPERLINK(URLs!B36 &amp; 117416,117416)</f>
        <v>117416</v>
      </c>
      <c r="D1956" t="s">
        <v>4739</v>
      </c>
      <c r="E1956" t="s">
        <v>4740</v>
      </c>
      <c r="F1956" t="s">
        <v>42</v>
      </c>
      <c r="H1956" t="s">
        <v>54</v>
      </c>
      <c r="I1956" t="s">
        <v>68</v>
      </c>
      <c r="J1956" t="s">
        <v>43</v>
      </c>
      <c r="K1956" t="s">
        <v>33</v>
      </c>
      <c r="L1956" t="s">
        <v>4741</v>
      </c>
      <c r="M1956" t="s">
        <v>4742</v>
      </c>
      <c r="N1956" t="s">
        <v>60</v>
      </c>
      <c r="O1956" t="s">
        <v>4709</v>
      </c>
      <c r="P1956" t="s">
        <v>69</v>
      </c>
      <c r="R1956">
        <v>43311.246932870374</v>
      </c>
      <c r="S1956">
        <v>43340.289363425924</v>
      </c>
      <c r="T1956" t="s">
        <v>4</v>
      </c>
      <c r="U1956" t="s">
        <v>35</v>
      </c>
      <c r="V1956" t="s">
        <v>35</v>
      </c>
      <c r="W1956" t="s">
        <v>4171</v>
      </c>
    </row>
    <row r="1957" spans="1:23" x14ac:dyDescent="0.25">
      <c r="A1957" t="s">
        <v>618</v>
      </c>
      <c r="B1957" s="19">
        <v>20695</v>
      </c>
      <c r="C1957" s="2">
        <f>HYPERLINK(URLs!B36 &amp; 117576,117576)</f>
        <v>117576</v>
      </c>
      <c r="D1957" t="s">
        <v>4714</v>
      </c>
      <c r="E1957" t="s">
        <v>4899</v>
      </c>
      <c r="F1957" t="s">
        <v>67</v>
      </c>
      <c r="H1957" t="s">
        <v>30</v>
      </c>
      <c r="I1957" t="s">
        <v>68</v>
      </c>
      <c r="J1957" t="s">
        <v>58</v>
      </c>
      <c r="K1957" t="s">
        <v>44</v>
      </c>
      <c r="L1957" t="s">
        <v>34</v>
      </c>
      <c r="M1957" t="s">
        <v>422</v>
      </c>
      <c r="N1957" t="s">
        <v>46</v>
      </c>
      <c r="O1957" t="s">
        <v>4745</v>
      </c>
      <c r="P1957" t="s">
        <v>69</v>
      </c>
      <c r="R1957">
        <v>43313.783321759256</v>
      </c>
      <c r="S1957">
        <v>43384.612013888887</v>
      </c>
      <c r="T1957" t="s">
        <v>1</v>
      </c>
      <c r="U1957" t="s">
        <v>35</v>
      </c>
      <c r="V1957" t="s">
        <v>35</v>
      </c>
      <c r="W1957" t="s">
        <v>4143</v>
      </c>
    </row>
    <row r="1958" spans="1:23" x14ac:dyDescent="0.25">
      <c r="A1958" t="s">
        <v>618</v>
      </c>
      <c r="B1958" s="19">
        <v>20701</v>
      </c>
      <c r="C1958" s="2">
        <f>HYPERLINK(URLs!B36 &amp; 119774,119774)</f>
        <v>119774</v>
      </c>
      <c r="D1958" t="s">
        <v>4883</v>
      </c>
      <c r="E1958" t="s">
        <v>134</v>
      </c>
      <c r="F1958" t="s">
        <v>305</v>
      </c>
      <c r="G1958" t="s">
        <v>304</v>
      </c>
      <c r="H1958" t="s">
        <v>116</v>
      </c>
      <c r="I1958" t="s">
        <v>31</v>
      </c>
      <c r="J1958" t="s">
        <v>32</v>
      </c>
      <c r="K1958" t="s">
        <v>51</v>
      </c>
      <c r="L1958" t="s">
        <v>96</v>
      </c>
      <c r="M1958" t="s">
        <v>269</v>
      </c>
      <c r="N1958" t="s">
        <v>4884</v>
      </c>
      <c r="P1958" t="s">
        <v>307</v>
      </c>
      <c r="Q1958" t="s">
        <v>3698</v>
      </c>
      <c r="R1958">
        <v>43360.675543981481</v>
      </c>
      <c r="S1958">
        <v>43376.585046296299</v>
      </c>
      <c r="T1958" t="s">
        <v>53</v>
      </c>
      <c r="U1958" t="s">
        <v>35</v>
      </c>
      <c r="V1958" t="s">
        <v>321</v>
      </c>
      <c r="W1958" t="s">
        <v>4436</v>
      </c>
    </row>
    <row r="1959" spans="1:23" x14ac:dyDescent="0.25">
      <c r="A1959" t="s">
        <v>618</v>
      </c>
      <c r="B1959" s="19">
        <v>20701</v>
      </c>
      <c r="C1959" s="2">
        <f>HYPERLINK(URLs!B36 &amp; 118256,118256)</f>
        <v>118256</v>
      </c>
      <c r="D1959" t="s">
        <v>4775</v>
      </c>
      <c r="E1959" t="s">
        <v>3671</v>
      </c>
      <c r="F1959" t="s">
        <v>305</v>
      </c>
      <c r="G1959" t="s">
        <v>304</v>
      </c>
      <c r="H1959" t="s">
        <v>116</v>
      </c>
      <c r="I1959" t="s">
        <v>31</v>
      </c>
      <c r="J1959" t="s">
        <v>32</v>
      </c>
      <c r="K1959" t="s">
        <v>51</v>
      </c>
      <c r="L1959" t="s">
        <v>96</v>
      </c>
      <c r="M1959" t="s">
        <v>269</v>
      </c>
      <c r="N1959" t="s">
        <v>60</v>
      </c>
      <c r="P1959" t="s">
        <v>307</v>
      </c>
      <c r="Q1959" t="s">
        <v>307</v>
      </c>
      <c r="R1959">
        <v>43328.628263888888</v>
      </c>
      <c r="S1959">
        <v>43349.566018518519</v>
      </c>
      <c r="T1959" t="s">
        <v>288</v>
      </c>
      <c r="U1959" t="s">
        <v>35</v>
      </c>
      <c r="V1959" t="s">
        <v>321</v>
      </c>
      <c r="W1959" t="s">
        <v>4707</v>
      </c>
    </row>
    <row r="1960" spans="1:23" x14ac:dyDescent="0.25">
      <c r="A1960" t="s">
        <v>618</v>
      </c>
      <c r="B1960" s="19">
        <v>20701</v>
      </c>
      <c r="C1960" s="2">
        <f>HYPERLINK(URLs!B36 &amp; 118255,118255)</f>
        <v>118255</v>
      </c>
      <c r="D1960" t="s">
        <v>4774</v>
      </c>
      <c r="E1960" t="s">
        <v>3671</v>
      </c>
      <c r="F1960" t="s">
        <v>67</v>
      </c>
      <c r="H1960" t="s">
        <v>116</v>
      </c>
      <c r="I1960" t="s">
        <v>31</v>
      </c>
      <c r="J1960" t="s">
        <v>32</v>
      </c>
      <c r="K1960" t="s">
        <v>51</v>
      </c>
      <c r="L1960" t="s">
        <v>96</v>
      </c>
      <c r="M1960" t="s">
        <v>269</v>
      </c>
      <c r="N1960" t="s">
        <v>60</v>
      </c>
      <c r="P1960" t="s">
        <v>307</v>
      </c>
      <c r="Q1960" t="s">
        <v>3698</v>
      </c>
      <c r="R1960">
        <v>43328.628263888888</v>
      </c>
      <c r="S1960">
        <v>43360.675543981481</v>
      </c>
      <c r="T1960" t="s">
        <v>288</v>
      </c>
      <c r="U1960" t="s">
        <v>35</v>
      </c>
      <c r="V1960" t="s">
        <v>321</v>
      </c>
      <c r="W1960" t="s">
        <v>4098</v>
      </c>
    </row>
    <row r="1961" spans="1:23" x14ac:dyDescent="0.25">
      <c r="A1961" t="s">
        <v>618</v>
      </c>
      <c r="B1961" s="19">
        <v>20701</v>
      </c>
      <c r="C1961" s="2">
        <f>HYPERLINK(URLs!B36 &amp; 117625,117625)</f>
        <v>117625</v>
      </c>
      <c r="D1961" t="s">
        <v>4748</v>
      </c>
      <c r="E1961" t="s">
        <v>3671</v>
      </c>
      <c r="F1961" t="s">
        <v>319</v>
      </c>
      <c r="G1961" t="s">
        <v>304</v>
      </c>
      <c r="H1961" t="s">
        <v>116</v>
      </c>
      <c r="I1961" t="s">
        <v>31</v>
      </c>
      <c r="J1961" t="s">
        <v>32</v>
      </c>
      <c r="K1961" t="s">
        <v>51</v>
      </c>
      <c r="L1961" t="s">
        <v>96</v>
      </c>
      <c r="M1961" t="s">
        <v>269</v>
      </c>
      <c r="N1961" t="s">
        <v>510</v>
      </c>
      <c r="P1961" t="s">
        <v>307</v>
      </c>
      <c r="Q1961" t="s">
        <v>4723</v>
      </c>
      <c r="R1961">
        <v>43314.633553240739</v>
      </c>
      <c r="S1961">
        <v>43397.978888888887</v>
      </c>
      <c r="T1961" t="s">
        <v>1</v>
      </c>
      <c r="U1961" t="s">
        <v>35</v>
      </c>
      <c r="V1961" t="s">
        <v>321</v>
      </c>
      <c r="W1961" t="s">
        <v>4171</v>
      </c>
    </row>
    <row r="1962" spans="1:23" x14ac:dyDescent="0.25">
      <c r="A1962" t="s">
        <v>618</v>
      </c>
      <c r="B1962" s="19">
        <v>20705</v>
      </c>
      <c r="C1962" s="2">
        <f>HYPERLINK(URLs!B36 &amp; 121399,121399)</f>
        <v>121399</v>
      </c>
      <c r="D1962" t="s">
        <v>4951</v>
      </c>
      <c r="E1962" t="s">
        <v>4887</v>
      </c>
      <c r="F1962" t="s">
        <v>67</v>
      </c>
      <c r="H1962" t="s">
        <v>116</v>
      </c>
      <c r="I1962" t="s">
        <v>31</v>
      </c>
      <c r="J1962" t="s">
        <v>43</v>
      </c>
      <c r="K1962" t="s">
        <v>51</v>
      </c>
      <c r="L1962" t="s">
        <v>52</v>
      </c>
      <c r="M1962" t="s">
        <v>408</v>
      </c>
      <c r="N1962" t="s">
        <v>518</v>
      </c>
      <c r="P1962" t="s">
        <v>3698</v>
      </c>
      <c r="R1962">
        <v>43397.818240740744</v>
      </c>
      <c r="S1962">
        <v>43397.946053240739</v>
      </c>
      <c r="T1962" t="s">
        <v>53</v>
      </c>
      <c r="U1962" t="s">
        <v>35</v>
      </c>
      <c r="V1962" t="s">
        <v>321</v>
      </c>
      <c r="W1962" t="s">
        <v>4410</v>
      </c>
    </row>
    <row r="1963" spans="1:23" x14ac:dyDescent="0.25">
      <c r="A1963" t="s">
        <v>618</v>
      </c>
      <c r="B1963" s="19">
        <v>20705</v>
      </c>
      <c r="C1963" s="2">
        <f>HYPERLINK(URLs!B36 &amp; 119872,119872)</f>
        <v>119872</v>
      </c>
      <c r="D1963" t="s">
        <v>4888</v>
      </c>
      <c r="E1963" t="s">
        <v>4887</v>
      </c>
      <c r="F1963" t="s">
        <v>319</v>
      </c>
      <c r="G1963" t="s">
        <v>337</v>
      </c>
      <c r="H1963" t="s">
        <v>116</v>
      </c>
      <c r="I1963" t="s">
        <v>31</v>
      </c>
      <c r="J1963" t="s">
        <v>43</v>
      </c>
      <c r="K1963" t="s">
        <v>51</v>
      </c>
      <c r="L1963" t="s">
        <v>52</v>
      </c>
      <c r="M1963" t="s">
        <v>408</v>
      </c>
      <c r="N1963" t="s">
        <v>60</v>
      </c>
      <c r="P1963" t="s">
        <v>3698</v>
      </c>
      <c r="Q1963" t="s">
        <v>4215</v>
      </c>
      <c r="R1963">
        <v>43362.431747685187</v>
      </c>
      <c r="S1963">
        <v>43403.795277777775</v>
      </c>
      <c r="T1963" t="s">
        <v>4887</v>
      </c>
      <c r="U1963" t="s">
        <v>35</v>
      </c>
      <c r="V1963" t="s">
        <v>321</v>
      </c>
      <c r="W1963" t="s">
        <v>4670</v>
      </c>
    </row>
    <row r="1964" spans="1:23" x14ac:dyDescent="0.25">
      <c r="A1964" t="s">
        <v>618</v>
      </c>
      <c r="B1964" s="19">
        <v>20705</v>
      </c>
      <c r="C1964" s="2">
        <f>HYPERLINK(URLs!B36 &amp; 119871,119871)</f>
        <v>119871</v>
      </c>
      <c r="D1964" t="s">
        <v>4886</v>
      </c>
      <c r="E1964" t="s">
        <v>2399</v>
      </c>
      <c r="F1964" t="s">
        <v>67</v>
      </c>
      <c r="H1964" t="s">
        <v>116</v>
      </c>
      <c r="I1964" t="s">
        <v>31</v>
      </c>
      <c r="J1964" t="s">
        <v>43</v>
      </c>
      <c r="K1964" t="s">
        <v>51</v>
      </c>
      <c r="L1964" t="s">
        <v>45</v>
      </c>
      <c r="M1964" t="s">
        <v>408</v>
      </c>
      <c r="N1964" t="s">
        <v>60</v>
      </c>
      <c r="P1964" t="s">
        <v>3698</v>
      </c>
      <c r="R1964">
        <v>43362.431747685187</v>
      </c>
      <c r="S1964">
        <v>43397.818240740744</v>
      </c>
      <c r="T1964" t="s">
        <v>4887</v>
      </c>
      <c r="U1964" t="s">
        <v>35</v>
      </c>
      <c r="V1964" t="s">
        <v>321</v>
      </c>
      <c r="W1964" t="s">
        <v>4098</v>
      </c>
    </row>
    <row r="1965" spans="1:23" x14ac:dyDescent="0.25">
      <c r="A1965" t="s">
        <v>618</v>
      </c>
      <c r="B1965" s="19">
        <v>20705</v>
      </c>
      <c r="C1965" s="2">
        <f>HYPERLINK(URLs!B36 &amp; 117690,117690)</f>
        <v>117690</v>
      </c>
      <c r="D1965" t="s">
        <v>4849</v>
      </c>
      <c r="E1965" t="s">
        <v>5021</v>
      </c>
      <c r="F1965" t="s">
        <v>42</v>
      </c>
      <c r="H1965" t="s">
        <v>116</v>
      </c>
      <c r="I1965" t="s">
        <v>31</v>
      </c>
      <c r="J1965" t="s">
        <v>43</v>
      </c>
      <c r="K1965" t="s">
        <v>51</v>
      </c>
      <c r="L1965" t="s">
        <v>45</v>
      </c>
      <c r="M1965" t="s">
        <v>408</v>
      </c>
      <c r="N1965" t="s">
        <v>518</v>
      </c>
      <c r="P1965" t="s">
        <v>307</v>
      </c>
      <c r="R1965">
        <v>43315.73474537037</v>
      </c>
      <c r="S1965">
        <v>43409.379386574074</v>
      </c>
      <c r="T1965" t="s">
        <v>1</v>
      </c>
      <c r="U1965" t="s">
        <v>35</v>
      </c>
      <c r="V1965" t="s">
        <v>321</v>
      </c>
      <c r="W1965" t="s">
        <v>4171</v>
      </c>
    </row>
    <row r="1966" spans="1:23" x14ac:dyDescent="0.25">
      <c r="A1966" t="s">
        <v>618</v>
      </c>
      <c r="B1966" s="19">
        <v>20766</v>
      </c>
      <c r="C1966" s="2">
        <f>HYPERLINK(URLs!B36 &amp; 119965,119965)</f>
        <v>119965</v>
      </c>
      <c r="D1966" t="s">
        <v>4897</v>
      </c>
      <c r="E1966" t="s">
        <v>387</v>
      </c>
      <c r="F1966" t="s">
        <v>67</v>
      </c>
      <c r="H1966" t="s">
        <v>54</v>
      </c>
      <c r="I1966" t="s">
        <v>31</v>
      </c>
      <c r="J1966" t="s">
        <v>43</v>
      </c>
      <c r="K1966" t="s">
        <v>44</v>
      </c>
      <c r="L1966" t="s">
        <v>73</v>
      </c>
      <c r="M1966" t="s">
        <v>263</v>
      </c>
      <c r="N1966" t="s">
        <v>4925</v>
      </c>
      <c r="P1966" t="s">
        <v>190</v>
      </c>
      <c r="R1966">
        <v>43363.89434027778</v>
      </c>
      <c r="S1966">
        <v>43397.954155092593</v>
      </c>
      <c r="T1966" t="s">
        <v>131</v>
      </c>
      <c r="U1966" t="s">
        <v>35</v>
      </c>
      <c r="V1966" t="s">
        <v>35</v>
      </c>
      <c r="W1966" t="s">
        <v>4410</v>
      </c>
    </row>
    <row r="1967" spans="1:23" x14ac:dyDescent="0.25">
      <c r="A1967" t="s">
        <v>618</v>
      </c>
      <c r="B1967" s="19">
        <v>20766</v>
      </c>
      <c r="C1967" s="2">
        <f>HYPERLINK(URLs!B36 &amp; 119964,119964)</f>
        <v>119964</v>
      </c>
      <c r="D1967" t="s">
        <v>4896</v>
      </c>
      <c r="E1967" t="s">
        <v>387</v>
      </c>
      <c r="F1967" t="s">
        <v>67</v>
      </c>
      <c r="H1967" t="s">
        <v>56</v>
      </c>
      <c r="I1967" t="s">
        <v>31</v>
      </c>
      <c r="J1967" t="s">
        <v>43</v>
      </c>
      <c r="K1967" t="s">
        <v>44</v>
      </c>
      <c r="L1967" t="s">
        <v>73</v>
      </c>
      <c r="M1967" t="s">
        <v>263</v>
      </c>
      <c r="N1967" t="s">
        <v>60</v>
      </c>
      <c r="P1967" t="s">
        <v>190</v>
      </c>
      <c r="R1967">
        <v>43363.89434027778</v>
      </c>
      <c r="S1967">
        <v>43398.851678240739</v>
      </c>
      <c r="T1967" t="s">
        <v>131</v>
      </c>
      <c r="U1967" t="s">
        <v>35</v>
      </c>
      <c r="V1967" t="s">
        <v>35</v>
      </c>
      <c r="W1967" t="s">
        <v>4098</v>
      </c>
    </row>
    <row r="1968" spans="1:23" x14ac:dyDescent="0.25">
      <c r="A1968" t="s">
        <v>618</v>
      </c>
      <c r="B1968" s="19">
        <v>20766</v>
      </c>
      <c r="C1968" s="2">
        <f>HYPERLINK(URLs!B36 &amp; 118102,118102)</f>
        <v>118102</v>
      </c>
      <c r="D1968" t="s">
        <v>4852</v>
      </c>
      <c r="E1968" t="s">
        <v>387</v>
      </c>
      <c r="F1968" t="s">
        <v>319</v>
      </c>
      <c r="G1968" t="s">
        <v>304</v>
      </c>
      <c r="H1968" t="s">
        <v>54</v>
      </c>
      <c r="I1968" t="s">
        <v>31</v>
      </c>
      <c r="J1968" t="s">
        <v>43</v>
      </c>
      <c r="K1968" t="s">
        <v>44</v>
      </c>
      <c r="L1968" t="s">
        <v>73</v>
      </c>
      <c r="M1968" t="s">
        <v>263</v>
      </c>
      <c r="N1968" t="s">
        <v>60</v>
      </c>
      <c r="P1968" t="s">
        <v>190</v>
      </c>
      <c r="Q1968" t="s">
        <v>190</v>
      </c>
      <c r="R1968">
        <v>43325.924328703702</v>
      </c>
      <c r="S1968">
        <v>43382.838414351849</v>
      </c>
      <c r="T1968" t="s">
        <v>1</v>
      </c>
      <c r="U1968" t="s">
        <v>4853</v>
      </c>
      <c r="V1968" t="s">
        <v>35</v>
      </c>
      <c r="W1968" t="s">
        <v>4171</v>
      </c>
    </row>
    <row r="1969" spans="1:23" x14ac:dyDescent="0.25">
      <c r="A1969" t="s">
        <v>618</v>
      </c>
      <c r="B1969" s="19">
        <v>20769</v>
      </c>
      <c r="C1969" s="2">
        <f>HYPERLINK(URLs!B36 &amp; 121338,121338)</f>
        <v>121338</v>
      </c>
      <c r="D1969" t="s">
        <v>4947</v>
      </c>
      <c r="E1969" t="s">
        <v>288</v>
      </c>
      <c r="F1969" t="s">
        <v>305</v>
      </c>
      <c r="G1969" t="s">
        <v>337</v>
      </c>
      <c r="H1969" t="s">
        <v>54</v>
      </c>
      <c r="I1969" t="s">
        <v>31</v>
      </c>
      <c r="J1969" t="s">
        <v>32</v>
      </c>
      <c r="K1969" t="s">
        <v>33</v>
      </c>
      <c r="L1969" t="s">
        <v>96</v>
      </c>
      <c r="M1969" t="s">
        <v>275</v>
      </c>
      <c r="N1969" t="s">
        <v>4884</v>
      </c>
      <c r="P1969" t="s">
        <v>307</v>
      </c>
      <c r="Q1969" t="s">
        <v>3748</v>
      </c>
      <c r="R1969">
        <v>43396.721759259257</v>
      </c>
      <c r="S1969">
        <v>43403.879745370374</v>
      </c>
      <c r="T1969" t="s">
        <v>53</v>
      </c>
      <c r="U1969" t="s">
        <v>35</v>
      </c>
      <c r="V1969" t="s">
        <v>321</v>
      </c>
      <c r="W1969" t="s">
        <v>4670</v>
      </c>
    </row>
    <row r="1970" spans="1:23" x14ac:dyDescent="0.25">
      <c r="A1970" t="s">
        <v>618</v>
      </c>
      <c r="B1970" s="19">
        <v>20769</v>
      </c>
      <c r="C1970" s="2">
        <f>HYPERLINK(URLs!B36 &amp; 118251,118251)</f>
        <v>118251</v>
      </c>
      <c r="D1970" t="s">
        <v>5045</v>
      </c>
      <c r="E1970" t="s">
        <v>2996</v>
      </c>
      <c r="F1970" t="s">
        <v>305</v>
      </c>
      <c r="G1970" t="s">
        <v>304</v>
      </c>
      <c r="H1970" t="s">
        <v>54</v>
      </c>
      <c r="I1970" t="s">
        <v>31</v>
      </c>
      <c r="J1970" t="s">
        <v>32</v>
      </c>
      <c r="K1970" t="s">
        <v>33</v>
      </c>
      <c r="L1970" t="s">
        <v>96</v>
      </c>
      <c r="M1970" t="s">
        <v>275</v>
      </c>
      <c r="N1970" t="s">
        <v>5004</v>
      </c>
      <c r="P1970" t="s">
        <v>307</v>
      </c>
      <c r="Q1970" t="s">
        <v>3748</v>
      </c>
      <c r="R1970">
        <v>43328.608877314815</v>
      </c>
      <c r="S1970">
        <v>43424.691689814812</v>
      </c>
      <c r="T1970" t="s">
        <v>288</v>
      </c>
      <c r="U1970" t="s">
        <v>5027</v>
      </c>
      <c r="V1970" t="s">
        <v>321</v>
      </c>
      <c r="W1970" t="s">
        <v>5001</v>
      </c>
    </row>
    <row r="1971" spans="1:23" x14ac:dyDescent="0.25">
      <c r="A1971" t="s">
        <v>618</v>
      </c>
      <c r="B1971" s="19">
        <v>20769</v>
      </c>
      <c r="C1971" s="2">
        <f>HYPERLINK(URLs!B36 &amp; 118250,118250)</f>
        <v>118250</v>
      </c>
      <c r="D1971" t="s">
        <v>4773</v>
      </c>
      <c r="E1971" t="s">
        <v>2996</v>
      </c>
      <c r="F1971" t="s">
        <v>67</v>
      </c>
      <c r="H1971" t="s">
        <v>54</v>
      </c>
      <c r="I1971" t="s">
        <v>31</v>
      </c>
      <c r="J1971" t="s">
        <v>32</v>
      </c>
      <c r="K1971" t="s">
        <v>33</v>
      </c>
      <c r="L1971" t="s">
        <v>96</v>
      </c>
      <c r="M1971" t="s">
        <v>275</v>
      </c>
      <c r="N1971" t="s">
        <v>331</v>
      </c>
      <c r="P1971" t="s">
        <v>307</v>
      </c>
      <c r="R1971">
        <v>43328.608877314815</v>
      </c>
      <c r="S1971">
        <v>43396.721759259257</v>
      </c>
      <c r="T1971" t="s">
        <v>288</v>
      </c>
      <c r="U1971" t="s">
        <v>35</v>
      </c>
      <c r="V1971" t="s">
        <v>321</v>
      </c>
      <c r="W1971" t="s">
        <v>4098</v>
      </c>
    </row>
    <row r="1972" spans="1:23" x14ac:dyDescent="0.25">
      <c r="A1972" t="s">
        <v>618</v>
      </c>
      <c r="B1972" s="19">
        <v>20769</v>
      </c>
      <c r="C1972" s="2">
        <f>HYPERLINK(URLs!B36 &amp; 118098,118098)</f>
        <v>118098</v>
      </c>
      <c r="D1972" t="s">
        <v>4769</v>
      </c>
      <c r="E1972" t="s">
        <v>2996</v>
      </c>
      <c r="F1972" t="s">
        <v>319</v>
      </c>
      <c r="G1972" t="s">
        <v>304</v>
      </c>
      <c r="H1972" t="s">
        <v>116</v>
      </c>
      <c r="I1972" t="s">
        <v>31</v>
      </c>
      <c r="J1972" t="s">
        <v>32</v>
      </c>
      <c r="K1972" t="s">
        <v>33</v>
      </c>
      <c r="L1972" t="s">
        <v>96</v>
      </c>
      <c r="M1972" t="s">
        <v>275</v>
      </c>
      <c r="N1972" t="s">
        <v>4821</v>
      </c>
      <c r="P1972" t="s">
        <v>307</v>
      </c>
      <c r="Q1972" t="s">
        <v>3748</v>
      </c>
      <c r="R1972">
        <v>43325.869166666664</v>
      </c>
      <c r="S1972">
        <v>43424.612245370372</v>
      </c>
      <c r="T1972" t="s">
        <v>1</v>
      </c>
      <c r="U1972" t="s">
        <v>4927</v>
      </c>
      <c r="V1972" t="s">
        <v>321</v>
      </c>
      <c r="W1972" t="s">
        <v>4171</v>
      </c>
    </row>
    <row r="1973" spans="1:23" x14ac:dyDescent="0.25">
      <c r="A1973" t="s">
        <v>618</v>
      </c>
      <c r="B1973" s="19">
        <v>20777</v>
      </c>
      <c r="C1973" s="2">
        <f>HYPERLINK(URLs!B36 &amp; 118833,118833)</f>
        <v>118833</v>
      </c>
      <c r="D1973" t="s">
        <v>4790</v>
      </c>
      <c r="E1973" t="s">
        <v>335</v>
      </c>
      <c r="F1973" t="s">
        <v>4919</v>
      </c>
      <c r="G1973" t="s">
        <v>304</v>
      </c>
      <c r="H1973" t="s">
        <v>56</v>
      </c>
      <c r="I1973" t="s">
        <v>68</v>
      </c>
      <c r="J1973" t="s">
        <v>58</v>
      </c>
      <c r="K1973" t="s">
        <v>51</v>
      </c>
      <c r="L1973" t="s">
        <v>96</v>
      </c>
      <c r="M1973" t="s">
        <v>267</v>
      </c>
      <c r="N1973" t="s">
        <v>46</v>
      </c>
      <c r="P1973" t="s">
        <v>307</v>
      </c>
      <c r="Q1973" t="s">
        <v>4723</v>
      </c>
      <c r="R1973">
        <v>43341.538032407407</v>
      </c>
      <c r="S1973">
        <v>43424.598749999997</v>
      </c>
      <c r="T1973" t="s">
        <v>288</v>
      </c>
      <c r="U1973" t="s">
        <v>35</v>
      </c>
      <c r="V1973" t="s">
        <v>35</v>
      </c>
      <c r="W1973" t="s">
        <v>4171</v>
      </c>
    </row>
    <row r="1974" spans="1:23" x14ac:dyDescent="0.25">
      <c r="A1974" t="s">
        <v>618</v>
      </c>
      <c r="B1974" s="19">
        <v>20777</v>
      </c>
      <c r="C1974" s="2">
        <f>HYPERLINK(URLs!B36 &amp; 118832,118832)</f>
        <v>118832</v>
      </c>
      <c r="D1974" t="s">
        <v>4789</v>
      </c>
      <c r="E1974" t="s">
        <v>335</v>
      </c>
      <c r="F1974" t="s">
        <v>67</v>
      </c>
      <c r="H1974" t="s">
        <v>56</v>
      </c>
      <c r="I1974" t="s">
        <v>68</v>
      </c>
      <c r="J1974" t="s">
        <v>58</v>
      </c>
      <c r="K1974" t="s">
        <v>51</v>
      </c>
      <c r="L1974" t="s">
        <v>96</v>
      </c>
      <c r="M1974" t="s">
        <v>267</v>
      </c>
      <c r="N1974" t="s">
        <v>46</v>
      </c>
      <c r="P1974" t="s">
        <v>307</v>
      </c>
      <c r="Q1974" t="s">
        <v>4723</v>
      </c>
      <c r="R1974">
        <v>43341.538032407407</v>
      </c>
      <c r="S1974">
        <v>43341.73710648148</v>
      </c>
      <c r="T1974" t="s">
        <v>288</v>
      </c>
      <c r="U1974" t="s">
        <v>35</v>
      </c>
      <c r="V1974" t="s">
        <v>35</v>
      </c>
      <c r="W1974" t="s">
        <v>4098</v>
      </c>
    </row>
    <row r="1975" spans="1:23" x14ac:dyDescent="0.25">
      <c r="A1975" t="s">
        <v>618</v>
      </c>
      <c r="B1975" s="19">
        <v>20777</v>
      </c>
      <c r="C1975" s="2">
        <f>HYPERLINK(URLs!B36 &amp; 118257,118257)</f>
        <v>118257</v>
      </c>
      <c r="D1975" t="s">
        <v>5046</v>
      </c>
      <c r="E1975" t="s">
        <v>335</v>
      </c>
      <c r="F1975" t="s">
        <v>319</v>
      </c>
      <c r="G1975" t="s">
        <v>304</v>
      </c>
      <c r="H1975" t="s">
        <v>54</v>
      </c>
      <c r="I1975" t="s">
        <v>68</v>
      </c>
      <c r="J1975" t="s">
        <v>58</v>
      </c>
      <c r="K1975" t="s">
        <v>51</v>
      </c>
      <c r="L1975" t="s">
        <v>96</v>
      </c>
      <c r="M1975" t="s">
        <v>267</v>
      </c>
      <c r="N1975" t="s">
        <v>5005</v>
      </c>
      <c r="P1975" t="s">
        <v>307</v>
      </c>
      <c r="Q1975" t="s">
        <v>4723</v>
      </c>
      <c r="R1975">
        <v>43328.638009259259</v>
      </c>
      <c r="S1975">
        <v>43417.614201388889</v>
      </c>
      <c r="T1975" t="s">
        <v>1</v>
      </c>
      <c r="U1975" t="s">
        <v>5020</v>
      </c>
      <c r="V1975" t="s">
        <v>35</v>
      </c>
      <c r="W1975" t="s">
        <v>5001</v>
      </c>
    </row>
    <row r="1976" spans="1:23" x14ac:dyDescent="0.25">
      <c r="A1976" t="s">
        <v>641</v>
      </c>
      <c r="B1976" s="19">
        <v>20829</v>
      </c>
      <c r="C1976" s="2">
        <f>HYPERLINK(URLs!B36 &amp; 120027,120027)</f>
        <v>120027</v>
      </c>
      <c r="D1976" t="s">
        <v>4752</v>
      </c>
      <c r="E1976" t="s">
        <v>53</v>
      </c>
      <c r="F1976" t="s">
        <v>67</v>
      </c>
      <c r="H1976" t="s">
        <v>116</v>
      </c>
      <c r="I1976" t="s">
        <v>31</v>
      </c>
      <c r="J1976" t="s">
        <v>32</v>
      </c>
      <c r="K1976" t="s">
        <v>44</v>
      </c>
      <c r="L1976" t="s">
        <v>34</v>
      </c>
      <c r="M1976" t="s">
        <v>274</v>
      </c>
      <c r="N1976" t="s">
        <v>518</v>
      </c>
      <c r="P1976" t="s">
        <v>69</v>
      </c>
      <c r="R1976">
        <v>43364.931388888886</v>
      </c>
      <c r="S1976">
        <v>43402.776689814818</v>
      </c>
      <c r="T1976" t="s">
        <v>53</v>
      </c>
      <c r="U1976" t="s">
        <v>35</v>
      </c>
      <c r="V1976" t="s">
        <v>321</v>
      </c>
      <c r="W1976" t="s">
        <v>4176</v>
      </c>
    </row>
    <row r="1977" spans="1:23" x14ac:dyDescent="0.25">
      <c r="A1977" t="s">
        <v>641</v>
      </c>
      <c r="B1977" s="19">
        <v>20829</v>
      </c>
      <c r="C1977" s="2">
        <f>HYPERLINK(URLs!B36 &amp; 118048,118048)</f>
        <v>118048</v>
      </c>
      <c r="D1977" t="s">
        <v>4760</v>
      </c>
      <c r="E1977" t="s">
        <v>136</v>
      </c>
      <c r="F1977" t="s">
        <v>42</v>
      </c>
      <c r="H1977" t="s">
        <v>116</v>
      </c>
      <c r="I1977" t="s">
        <v>31</v>
      </c>
      <c r="J1977" t="s">
        <v>32</v>
      </c>
      <c r="K1977" t="s">
        <v>44</v>
      </c>
      <c r="L1977" t="s">
        <v>34</v>
      </c>
      <c r="M1977" t="s">
        <v>274</v>
      </c>
      <c r="N1977" t="s">
        <v>46</v>
      </c>
      <c r="O1977" t="s">
        <v>4926</v>
      </c>
      <c r="P1977" t="s">
        <v>69</v>
      </c>
      <c r="R1977">
        <v>43322.990081018521</v>
      </c>
      <c r="S1977">
        <v>43402.979027777779</v>
      </c>
      <c r="T1977" t="s">
        <v>53</v>
      </c>
      <c r="U1977" t="s">
        <v>35</v>
      </c>
      <c r="V1977" t="s">
        <v>321</v>
      </c>
      <c r="W1977" t="s">
        <v>4098</v>
      </c>
    </row>
    <row r="1978" spans="1:23" x14ac:dyDescent="0.25">
      <c r="A1978" t="s">
        <v>641</v>
      </c>
      <c r="B1978" s="19">
        <v>20829</v>
      </c>
      <c r="C1978" s="2">
        <f>HYPERLINK(URLs!B36 &amp; 117638,117638)</f>
        <v>117638</v>
      </c>
      <c r="D1978" t="s">
        <v>4848</v>
      </c>
      <c r="E1978" t="s">
        <v>136</v>
      </c>
      <c r="F1978" t="s">
        <v>305</v>
      </c>
      <c r="G1978" t="s">
        <v>337</v>
      </c>
      <c r="H1978" t="s">
        <v>116</v>
      </c>
      <c r="I1978" t="s">
        <v>31</v>
      </c>
      <c r="J1978" t="s">
        <v>32</v>
      </c>
      <c r="K1978" t="s">
        <v>44</v>
      </c>
      <c r="L1978" t="s">
        <v>34</v>
      </c>
      <c r="M1978" t="s">
        <v>274</v>
      </c>
      <c r="N1978" t="s">
        <v>60</v>
      </c>
      <c r="O1978" t="s">
        <v>4832</v>
      </c>
      <c r="P1978" t="s">
        <v>69</v>
      </c>
      <c r="Q1978" t="s">
        <v>528</v>
      </c>
      <c r="R1978">
        <v>43314.977453703701</v>
      </c>
      <c r="S1978">
        <v>43420.148715277777</v>
      </c>
      <c r="T1978" t="s">
        <v>53</v>
      </c>
      <c r="U1978" t="s">
        <v>35</v>
      </c>
      <c r="V1978" t="s">
        <v>321</v>
      </c>
      <c r="W1978" t="s">
        <v>4670</v>
      </c>
    </row>
    <row r="1979" spans="1:23" x14ac:dyDescent="0.25">
      <c r="A1979" t="s">
        <v>618</v>
      </c>
      <c r="B1979" s="19">
        <v>20830</v>
      </c>
      <c r="C1979" s="2">
        <f>HYPERLINK(URLs!B36 &amp; 117632,117632)</f>
        <v>117632</v>
      </c>
      <c r="D1979" t="s">
        <v>4716</v>
      </c>
      <c r="E1979" t="s">
        <v>405</v>
      </c>
      <c r="F1979" t="s">
        <v>305</v>
      </c>
      <c r="G1979" t="s">
        <v>337</v>
      </c>
      <c r="H1979" t="s">
        <v>54</v>
      </c>
      <c r="I1979" t="s">
        <v>68</v>
      </c>
      <c r="J1979" t="s">
        <v>43</v>
      </c>
      <c r="K1979" t="s">
        <v>33</v>
      </c>
      <c r="L1979" t="s">
        <v>34</v>
      </c>
      <c r="M1979" t="s">
        <v>3704</v>
      </c>
      <c r="N1979" t="s">
        <v>60</v>
      </c>
      <c r="P1979" t="s">
        <v>69</v>
      </c>
      <c r="Q1979" t="s">
        <v>3509</v>
      </c>
      <c r="R1979">
        <v>43314.891898148147</v>
      </c>
      <c r="S1979">
        <v>43400.142245370371</v>
      </c>
      <c r="T1979" t="s">
        <v>53</v>
      </c>
      <c r="U1979" t="s">
        <v>35</v>
      </c>
      <c r="V1979" t="s">
        <v>35</v>
      </c>
      <c r="W1979" t="s">
        <v>4143</v>
      </c>
    </row>
    <row r="1980" spans="1:23" x14ac:dyDescent="0.25">
      <c r="A1980" t="s">
        <v>641</v>
      </c>
      <c r="B1980" s="19">
        <v>20831</v>
      </c>
      <c r="C1980" s="2">
        <f>HYPERLINK(URLs!B36 &amp; 118042,118042)</f>
        <v>118042</v>
      </c>
      <c r="D1980" t="s">
        <v>4753</v>
      </c>
      <c r="E1980" t="s">
        <v>2189</v>
      </c>
      <c r="F1980" t="s">
        <v>319</v>
      </c>
      <c r="G1980" t="s">
        <v>304</v>
      </c>
      <c r="H1980" t="s">
        <v>54</v>
      </c>
      <c r="I1980" t="s">
        <v>31</v>
      </c>
      <c r="J1980" t="s">
        <v>43</v>
      </c>
      <c r="K1980" t="s">
        <v>51</v>
      </c>
      <c r="L1980" t="s">
        <v>34</v>
      </c>
      <c r="M1980" t="s">
        <v>266</v>
      </c>
      <c r="N1980" t="s">
        <v>46</v>
      </c>
      <c r="O1980" t="s">
        <v>4754</v>
      </c>
      <c r="P1980" t="s">
        <v>69</v>
      </c>
      <c r="Q1980" t="s">
        <v>5022</v>
      </c>
      <c r="R1980">
        <v>43322.977824074071</v>
      </c>
      <c r="S1980">
        <v>43409.857418981483</v>
      </c>
      <c r="T1980" t="s">
        <v>53</v>
      </c>
      <c r="U1980" t="s">
        <v>35</v>
      </c>
      <c r="V1980" t="s">
        <v>35</v>
      </c>
      <c r="W1980" t="s">
        <v>4098</v>
      </c>
    </row>
    <row r="1981" spans="1:23" x14ac:dyDescent="0.25">
      <c r="A1981" t="s">
        <v>641</v>
      </c>
      <c r="B1981" s="19">
        <v>20831</v>
      </c>
      <c r="C1981" s="2">
        <f>HYPERLINK(URLs!B36 &amp; 117578,117578)</f>
        <v>117578</v>
      </c>
      <c r="D1981" t="s">
        <v>4747</v>
      </c>
      <c r="E1981" t="s">
        <v>134</v>
      </c>
      <c r="F1981" t="s">
        <v>319</v>
      </c>
      <c r="G1981" t="s">
        <v>304</v>
      </c>
      <c r="H1981" t="s">
        <v>54</v>
      </c>
      <c r="I1981" t="s">
        <v>31</v>
      </c>
      <c r="J1981" t="s">
        <v>43</v>
      </c>
      <c r="K1981" t="s">
        <v>51</v>
      </c>
      <c r="L1981" t="s">
        <v>34</v>
      </c>
      <c r="M1981" t="s">
        <v>266</v>
      </c>
      <c r="N1981" t="s">
        <v>4925</v>
      </c>
      <c r="O1981" t="s">
        <v>5018</v>
      </c>
      <c r="P1981" t="s">
        <v>69</v>
      </c>
      <c r="Q1981" t="s">
        <v>5019</v>
      </c>
      <c r="R1981">
        <v>43313.80982638889</v>
      </c>
      <c r="S1981">
        <v>43412.785034722219</v>
      </c>
      <c r="T1981" t="s">
        <v>1</v>
      </c>
      <c r="U1981" t="s">
        <v>5020</v>
      </c>
      <c r="V1981" t="s">
        <v>35</v>
      </c>
      <c r="W1981" t="s">
        <v>4176</v>
      </c>
    </row>
    <row r="1982" spans="1:23" x14ac:dyDescent="0.25">
      <c r="A1982" t="s">
        <v>618</v>
      </c>
      <c r="B1982" s="19">
        <v>20838</v>
      </c>
      <c r="C1982" s="2">
        <f>HYPERLINK(URLs!B36 &amp; 118674,118674)</f>
        <v>118674</v>
      </c>
      <c r="D1982" t="s">
        <v>4788</v>
      </c>
      <c r="E1982" t="s">
        <v>435</v>
      </c>
      <c r="F1982" t="s">
        <v>42</v>
      </c>
      <c r="H1982" t="s">
        <v>54</v>
      </c>
      <c r="I1982" t="s">
        <v>31</v>
      </c>
      <c r="J1982" t="s">
        <v>43</v>
      </c>
      <c r="K1982" t="s">
        <v>44</v>
      </c>
      <c r="L1982" t="s">
        <v>73</v>
      </c>
      <c r="M1982" t="s">
        <v>263</v>
      </c>
      <c r="N1982" t="s">
        <v>60</v>
      </c>
      <c r="P1982" t="s">
        <v>4459</v>
      </c>
      <c r="R1982">
        <v>43339.924050925925</v>
      </c>
      <c r="S1982">
        <v>43360.885949074072</v>
      </c>
      <c r="T1982" t="s">
        <v>2850</v>
      </c>
      <c r="U1982" t="s">
        <v>35</v>
      </c>
      <c r="V1982" t="s">
        <v>35</v>
      </c>
      <c r="W1982" t="s">
        <v>4331</v>
      </c>
    </row>
    <row r="1983" spans="1:23" x14ac:dyDescent="0.25">
      <c r="A1983" t="s">
        <v>633</v>
      </c>
      <c r="B1983" s="19">
        <v>20857</v>
      </c>
      <c r="C1983" s="2">
        <f>HYPERLINK(URLs!B36 &amp; 118971,118971)</f>
        <v>118971</v>
      </c>
      <c r="D1983" t="s">
        <v>4862</v>
      </c>
      <c r="E1983" t="s">
        <v>3671</v>
      </c>
      <c r="F1983" t="s">
        <v>305</v>
      </c>
      <c r="G1983" t="s">
        <v>304</v>
      </c>
      <c r="H1983" t="s">
        <v>116</v>
      </c>
      <c r="I1983" t="s">
        <v>31</v>
      </c>
      <c r="J1983" t="s">
        <v>32</v>
      </c>
      <c r="K1983" t="s">
        <v>44</v>
      </c>
      <c r="L1983" t="s">
        <v>96</v>
      </c>
      <c r="M1983" t="s">
        <v>267</v>
      </c>
      <c r="N1983" t="s">
        <v>4863</v>
      </c>
      <c r="P1983" t="s">
        <v>307</v>
      </c>
      <c r="Q1983" t="s">
        <v>3748</v>
      </c>
      <c r="R1983">
        <v>43343.85255787037</v>
      </c>
      <c r="S1983">
        <v>43363.550370370373</v>
      </c>
      <c r="T1983" t="s">
        <v>53</v>
      </c>
      <c r="U1983" t="s">
        <v>4864</v>
      </c>
      <c r="V1983" t="s">
        <v>35</v>
      </c>
      <c r="W1983" t="s">
        <v>4670</v>
      </c>
    </row>
    <row r="1984" spans="1:23" x14ac:dyDescent="0.25">
      <c r="A1984" t="s">
        <v>633</v>
      </c>
      <c r="B1984" s="19">
        <v>20857</v>
      </c>
      <c r="C1984" s="2">
        <f>HYPERLINK(URLs!B36 &amp; 118970,118970)</f>
        <v>118970</v>
      </c>
      <c r="D1984" t="s">
        <v>4861</v>
      </c>
      <c r="E1984" t="s">
        <v>3671</v>
      </c>
      <c r="F1984" t="s">
        <v>67</v>
      </c>
      <c r="H1984" t="s">
        <v>116</v>
      </c>
      <c r="I1984" t="s">
        <v>31</v>
      </c>
      <c r="J1984" t="s">
        <v>32</v>
      </c>
      <c r="K1984" t="s">
        <v>44</v>
      </c>
      <c r="L1984" t="s">
        <v>96</v>
      </c>
      <c r="M1984" t="s">
        <v>267</v>
      </c>
      <c r="N1984" t="s">
        <v>46</v>
      </c>
      <c r="O1984" t="s">
        <v>4822</v>
      </c>
      <c r="P1984" t="s">
        <v>307</v>
      </c>
      <c r="Q1984" t="s">
        <v>3748</v>
      </c>
      <c r="R1984">
        <v>43343.852569444447</v>
      </c>
      <c r="S1984">
        <v>43355.555312500001</v>
      </c>
      <c r="T1984" t="s">
        <v>53</v>
      </c>
      <c r="U1984" t="s">
        <v>35</v>
      </c>
      <c r="V1984" t="s">
        <v>35</v>
      </c>
      <c r="W1984" t="s">
        <v>4098</v>
      </c>
    </row>
    <row r="1985" spans="1:23" x14ac:dyDescent="0.25">
      <c r="A1985" t="s">
        <v>633</v>
      </c>
      <c r="B1985" s="19">
        <v>20857</v>
      </c>
      <c r="C1985" s="2">
        <f>HYPERLINK(URLs!B36 &amp; 118969,118969)</f>
        <v>118969</v>
      </c>
      <c r="D1985" t="s">
        <v>4860</v>
      </c>
      <c r="E1985" t="s">
        <v>288</v>
      </c>
      <c r="F1985" t="s">
        <v>305</v>
      </c>
      <c r="G1985" t="s">
        <v>353</v>
      </c>
      <c r="H1985" t="s">
        <v>116</v>
      </c>
      <c r="I1985" t="s">
        <v>31</v>
      </c>
      <c r="J1985" t="s">
        <v>32</v>
      </c>
      <c r="K1985" t="s">
        <v>51</v>
      </c>
      <c r="L1985" t="s">
        <v>96</v>
      </c>
      <c r="M1985" t="s">
        <v>269</v>
      </c>
      <c r="N1985" t="s">
        <v>46</v>
      </c>
      <c r="P1985" t="s">
        <v>307</v>
      </c>
      <c r="Q1985" t="s">
        <v>3748</v>
      </c>
      <c r="R1985">
        <v>43343.8205787037</v>
      </c>
      <c r="S1985">
        <v>43382.161574074074</v>
      </c>
      <c r="T1985" t="s">
        <v>1</v>
      </c>
      <c r="U1985" t="s">
        <v>35</v>
      </c>
      <c r="V1985" t="s">
        <v>321</v>
      </c>
      <c r="W1985" t="s">
        <v>4171</v>
      </c>
    </row>
    <row r="1986" spans="1:23" x14ac:dyDescent="0.25">
      <c r="A1986" t="s">
        <v>633</v>
      </c>
      <c r="B1986" s="19">
        <v>20857</v>
      </c>
      <c r="C1986" s="2">
        <f>HYPERLINK(URLs!B36 &amp; 103778,103778)</f>
        <v>103778</v>
      </c>
      <c r="D1986" t="s">
        <v>4820</v>
      </c>
      <c r="E1986" t="s">
        <v>3608</v>
      </c>
      <c r="F1986" t="s">
        <v>305</v>
      </c>
      <c r="G1986" t="s">
        <v>304</v>
      </c>
      <c r="H1986" t="s">
        <v>116</v>
      </c>
      <c r="I1986" t="s">
        <v>31</v>
      </c>
      <c r="J1986" t="s">
        <v>32</v>
      </c>
      <c r="K1986" t="s">
        <v>44</v>
      </c>
      <c r="L1986" t="s">
        <v>96</v>
      </c>
      <c r="M1986" t="s">
        <v>267</v>
      </c>
      <c r="N1986" t="s">
        <v>4821</v>
      </c>
      <c r="O1986" t="s">
        <v>4822</v>
      </c>
      <c r="P1986" t="s">
        <v>307</v>
      </c>
      <c r="Q1986" t="s">
        <v>3748</v>
      </c>
      <c r="R1986">
        <v>42965.653796296298</v>
      </c>
      <c r="S1986">
        <v>43405.502337962964</v>
      </c>
      <c r="T1986" t="s">
        <v>3608</v>
      </c>
      <c r="U1986" t="s">
        <v>4823</v>
      </c>
      <c r="V1986" t="s">
        <v>35</v>
      </c>
      <c r="W1986" t="s">
        <v>4171</v>
      </c>
    </row>
    <row r="1987" spans="1:23" x14ac:dyDescent="0.25">
      <c r="A1987" t="s">
        <v>633</v>
      </c>
      <c r="B1987" s="19">
        <v>20871</v>
      </c>
      <c r="C1987" s="2">
        <f>HYPERLINK(URLs!B36 &amp; 119530,119530)</f>
        <v>119530</v>
      </c>
      <c r="D1987" t="s">
        <v>4928</v>
      </c>
      <c r="E1987" t="s">
        <v>560</v>
      </c>
      <c r="F1987" t="s">
        <v>305</v>
      </c>
      <c r="G1987" t="s">
        <v>304</v>
      </c>
      <c r="H1987" t="s">
        <v>54</v>
      </c>
      <c r="I1987" t="s">
        <v>31</v>
      </c>
      <c r="J1987" t="s">
        <v>32</v>
      </c>
      <c r="K1987" t="s">
        <v>33</v>
      </c>
      <c r="L1987" t="s">
        <v>73</v>
      </c>
      <c r="M1987" t="s">
        <v>4205</v>
      </c>
      <c r="N1987" t="s">
        <v>60</v>
      </c>
      <c r="P1987" t="s">
        <v>4436</v>
      </c>
      <c r="Q1987" t="s">
        <v>4735</v>
      </c>
      <c r="R1987">
        <v>43354.947789351849</v>
      </c>
      <c r="S1987">
        <v>43412.770381944443</v>
      </c>
      <c r="T1987" t="s">
        <v>301</v>
      </c>
      <c r="U1987" t="s">
        <v>35</v>
      </c>
      <c r="V1987" t="s">
        <v>35</v>
      </c>
      <c r="W1987" t="s">
        <v>4929</v>
      </c>
    </row>
    <row r="1988" spans="1:23" x14ac:dyDescent="0.25">
      <c r="A1988" t="s">
        <v>633</v>
      </c>
      <c r="B1988" s="19">
        <v>20871</v>
      </c>
      <c r="C1988" s="2">
        <f>HYPERLINK(URLs!B36 &amp; 119356,119356)</f>
        <v>119356</v>
      </c>
      <c r="D1988" t="s">
        <v>4870</v>
      </c>
      <c r="E1988" t="s">
        <v>560</v>
      </c>
      <c r="F1988" t="s">
        <v>305</v>
      </c>
      <c r="G1988" t="s">
        <v>304</v>
      </c>
      <c r="H1988" t="s">
        <v>116</v>
      </c>
      <c r="I1988" t="s">
        <v>31</v>
      </c>
      <c r="J1988" t="s">
        <v>32</v>
      </c>
      <c r="K1988" t="s">
        <v>33</v>
      </c>
      <c r="L1988" t="s">
        <v>73</v>
      </c>
      <c r="M1988" t="s">
        <v>4205</v>
      </c>
      <c r="N1988" t="s">
        <v>3724</v>
      </c>
      <c r="P1988" t="s">
        <v>4436</v>
      </c>
      <c r="Q1988" t="s">
        <v>4735</v>
      </c>
      <c r="R1988">
        <v>43349.743159722224</v>
      </c>
      <c r="S1988">
        <v>43424.486273148148</v>
      </c>
      <c r="T1988" t="s">
        <v>301</v>
      </c>
      <c r="U1988" t="s">
        <v>4871</v>
      </c>
      <c r="V1988" t="s">
        <v>35</v>
      </c>
      <c r="W1988" t="s">
        <v>4171</v>
      </c>
    </row>
    <row r="1989" spans="1:23" x14ac:dyDescent="0.25">
      <c r="A1989" t="s">
        <v>633</v>
      </c>
      <c r="B1989" s="19">
        <v>20871</v>
      </c>
      <c r="C1989" s="2">
        <f>HYPERLINK(URLs!B36 &amp; 119355,119355)</f>
        <v>119355</v>
      </c>
      <c r="D1989" t="s">
        <v>4869</v>
      </c>
      <c r="E1989" t="s">
        <v>560</v>
      </c>
      <c r="F1989" t="s">
        <v>305</v>
      </c>
      <c r="G1989" t="s">
        <v>304</v>
      </c>
      <c r="H1989" t="s">
        <v>54</v>
      </c>
      <c r="I1989" t="s">
        <v>31</v>
      </c>
      <c r="J1989" t="s">
        <v>32</v>
      </c>
      <c r="K1989" t="s">
        <v>33</v>
      </c>
      <c r="L1989" t="s">
        <v>73</v>
      </c>
      <c r="M1989" t="s">
        <v>4205</v>
      </c>
      <c r="N1989" t="s">
        <v>60</v>
      </c>
      <c r="P1989" t="s">
        <v>4436</v>
      </c>
      <c r="Q1989" t="s">
        <v>4735</v>
      </c>
      <c r="R1989">
        <v>43349.743159722224</v>
      </c>
      <c r="S1989">
        <v>43389.653912037036</v>
      </c>
      <c r="T1989" t="s">
        <v>301</v>
      </c>
      <c r="U1989" t="s">
        <v>35</v>
      </c>
      <c r="V1989" t="s">
        <v>35</v>
      </c>
      <c r="W1989" t="s">
        <v>4098</v>
      </c>
    </row>
    <row r="1990" spans="1:23" x14ac:dyDescent="0.25">
      <c r="A1990" t="s">
        <v>633</v>
      </c>
      <c r="B1990" s="19">
        <v>20871</v>
      </c>
      <c r="C1990" s="2">
        <f>HYPERLINK(URLs!B36 &amp; 119236,119236)</f>
        <v>119236</v>
      </c>
      <c r="D1990" t="s">
        <v>4866</v>
      </c>
      <c r="E1990" t="s">
        <v>560</v>
      </c>
      <c r="F1990" t="s">
        <v>305</v>
      </c>
      <c r="G1990" t="s">
        <v>304</v>
      </c>
      <c r="H1990" t="s">
        <v>54</v>
      </c>
      <c r="I1990" t="s">
        <v>31</v>
      </c>
      <c r="J1990" t="s">
        <v>32</v>
      </c>
      <c r="K1990" t="s">
        <v>33</v>
      </c>
      <c r="L1990" t="s">
        <v>73</v>
      </c>
      <c r="M1990" t="s">
        <v>4205</v>
      </c>
      <c r="N1990" t="s">
        <v>60</v>
      </c>
      <c r="P1990" t="s">
        <v>4436</v>
      </c>
      <c r="Q1990" t="s">
        <v>4868</v>
      </c>
      <c r="R1990">
        <v>43348.586041666669</v>
      </c>
      <c r="S1990">
        <v>43369.793368055558</v>
      </c>
      <c r="T1990" t="s">
        <v>1</v>
      </c>
      <c r="U1990" t="s">
        <v>35</v>
      </c>
      <c r="V1990" t="s">
        <v>35</v>
      </c>
      <c r="W1990" t="s">
        <v>4867</v>
      </c>
    </row>
    <row r="1991" spans="1:23" x14ac:dyDescent="0.25">
      <c r="A1991" t="s">
        <v>641</v>
      </c>
      <c r="B1991" s="19">
        <v>20874</v>
      </c>
      <c r="C1991" s="2">
        <f>HYPERLINK(URLs!B36 &amp; 119461,119461)</f>
        <v>119461</v>
      </c>
      <c r="D1991" t="s">
        <v>5026</v>
      </c>
      <c r="E1991" t="s">
        <v>131</v>
      </c>
      <c r="F1991" t="s">
        <v>67</v>
      </c>
      <c r="H1991" t="s">
        <v>54</v>
      </c>
      <c r="I1991" t="s">
        <v>31</v>
      </c>
      <c r="J1991" t="s">
        <v>32</v>
      </c>
      <c r="K1991" t="s">
        <v>44</v>
      </c>
      <c r="L1991" t="s">
        <v>73</v>
      </c>
      <c r="M1991" t="s">
        <v>264</v>
      </c>
      <c r="N1991" t="s">
        <v>60</v>
      </c>
      <c r="P1991" t="s">
        <v>307</v>
      </c>
      <c r="R1991">
        <v>43353.641064814816</v>
      </c>
      <c r="S1991">
        <v>43406.297974537039</v>
      </c>
      <c r="T1991" t="s">
        <v>301</v>
      </c>
      <c r="U1991" t="s">
        <v>35</v>
      </c>
      <c r="V1991" t="s">
        <v>35</v>
      </c>
      <c r="W1991" t="s">
        <v>4098</v>
      </c>
    </row>
    <row r="1992" spans="1:23" x14ac:dyDescent="0.25">
      <c r="A1992" t="s">
        <v>641</v>
      </c>
      <c r="B1992" s="19">
        <v>20897</v>
      </c>
      <c r="C1992" s="2">
        <f>HYPERLINK(URLs!B36 &amp; 111866,111866)</f>
        <v>111866</v>
      </c>
      <c r="D1992" t="s">
        <v>4829</v>
      </c>
      <c r="E1992" t="s">
        <v>387</v>
      </c>
      <c r="F1992" t="s">
        <v>67</v>
      </c>
      <c r="H1992" t="s">
        <v>54</v>
      </c>
      <c r="I1992" t="s">
        <v>68</v>
      </c>
      <c r="J1992" t="s">
        <v>43</v>
      </c>
      <c r="K1992" t="s">
        <v>33</v>
      </c>
      <c r="L1992" t="s">
        <v>73</v>
      </c>
      <c r="M1992" t="s">
        <v>263</v>
      </c>
      <c r="N1992" t="s">
        <v>60</v>
      </c>
      <c r="P1992" t="s">
        <v>3698</v>
      </c>
      <c r="R1992">
        <v>43189.658958333333</v>
      </c>
      <c r="S1992">
        <v>43382.661168981482</v>
      </c>
      <c r="T1992" t="s">
        <v>1</v>
      </c>
      <c r="U1992" t="s">
        <v>35</v>
      </c>
      <c r="V1992" t="s">
        <v>35</v>
      </c>
      <c r="W1992" t="s">
        <v>4171</v>
      </c>
    </row>
    <row r="1993" spans="1:23" x14ac:dyDescent="0.25">
      <c r="A1993" t="s">
        <v>633</v>
      </c>
      <c r="B1993" s="19">
        <v>20912</v>
      </c>
      <c r="C1993" s="2">
        <f>HYPERLINK(URLs!B36 &amp; 119599,119599)</f>
        <v>119599</v>
      </c>
      <c r="D1993" t="s">
        <v>4877</v>
      </c>
      <c r="E1993" t="s">
        <v>94</v>
      </c>
      <c r="F1993" t="s">
        <v>319</v>
      </c>
      <c r="G1993" t="s">
        <v>304</v>
      </c>
      <c r="H1993" t="s">
        <v>54</v>
      </c>
      <c r="I1993" t="s">
        <v>31</v>
      </c>
      <c r="J1993" t="s">
        <v>43</v>
      </c>
      <c r="K1993" t="s">
        <v>44</v>
      </c>
      <c r="L1993" t="s">
        <v>73</v>
      </c>
      <c r="M1993" t="s">
        <v>263</v>
      </c>
      <c r="N1993" t="s">
        <v>4956</v>
      </c>
      <c r="P1993" t="s">
        <v>4436</v>
      </c>
      <c r="Q1993" t="s">
        <v>2481</v>
      </c>
      <c r="R1993">
        <v>43355.756481481483</v>
      </c>
      <c r="S1993">
        <v>43424.544328703705</v>
      </c>
      <c r="T1993" t="s">
        <v>301</v>
      </c>
      <c r="U1993" t="s">
        <v>4931</v>
      </c>
      <c r="V1993" t="s">
        <v>35</v>
      </c>
      <c r="W1993" t="s">
        <v>4171</v>
      </c>
    </row>
    <row r="1994" spans="1:23" x14ac:dyDescent="0.25">
      <c r="A1994" t="s">
        <v>633</v>
      </c>
      <c r="B1994" s="19">
        <v>20912</v>
      </c>
      <c r="C1994" s="2">
        <f>HYPERLINK(URLs!B36 &amp; 119598,119598)</f>
        <v>119598</v>
      </c>
      <c r="D1994" t="s">
        <v>4876</v>
      </c>
      <c r="E1994" t="s">
        <v>94</v>
      </c>
      <c r="F1994" t="s">
        <v>305</v>
      </c>
      <c r="G1994" t="s">
        <v>304</v>
      </c>
      <c r="H1994" t="s">
        <v>54</v>
      </c>
      <c r="I1994" t="s">
        <v>31</v>
      </c>
      <c r="J1994" t="s">
        <v>43</v>
      </c>
      <c r="K1994" t="s">
        <v>44</v>
      </c>
      <c r="L1994" t="s">
        <v>73</v>
      </c>
      <c r="M1994" t="s">
        <v>263</v>
      </c>
      <c r="N1994" t="s">
        <v>46</v>
      </c>
      <c r="P1994" t="s">
        <v>4436</v>
      </c>
      <c r="Q1994" t="s">
        <v>2481</v>
      </c>
      <c r="R1994">
        <v>43355.756481481483</v>
      </c>
      <c r="S1994">
        <v>43396.477627314816</v>
      </c>
      <c r="T1994" t="s">
        <v>301</v>
      </c>
      <c r="U1994" t="s">
        <v>35</v>
      </c>
      <c r="V1994" t="s">
        <v>35</v>
      </c>
      <c r="W1994" t="s">
        <v>4098</v>
      </c>
    </row>
    <row r="1995" spans="1:23" x14ac:dyDescent="0.25">
      <c r="A1995" t="s">
        <v>633</v>
      </c>
      <c r="B1995" s="19">
        <v>20912</v>
      </c>
      <c r="C1995" s="2">
        <f>HYPERLINK(URLs!B36 &amp; 119597,119597)</f>
        <v>119597</v>
      </c>
      <c r="D1995" t="s">
        <v>4930</v>
      </c>
      <c r="E1995" t="s">
        <v>94</v>
      </c>
      <c r="F1995" t="s">
        <v>305</v>
      </c>
      <c r="G1995" t="s">
        <v>304</v>
      </c>
      <c r="H1995" t="s">
        <v>54</v>
      </c>
      <c r="I1995" t="s">
        <v>31</v>
      </c>
      <c r="J1995" t="s">
        <v>43</v>
      </c>
      <c r="K1995" t="s">
        <v>44</v>
      </c>
      <c r="L1995" t="s">
        <v>73</v>
      </c>
      <c r="M1995" t="s">
        <v>263</v>
      </c>
      <c r="N1995" t="s">
        <v>60</v>
      </c>
      <c r="P1995" t="s">
        <v>4436</v>
      </c>
      <c r="Q1995" t="s">
        <v>2481</v>
      </c>
      <c r="R1995">
        <v>43355.738946759258</v>
      </c>
      <c r="S1995">
        <v>43412.770138888889</v>
      </c>
      <c r="T1995" t="s">
        <v>1</v>
      </c>
      <c r="U1995" t="s">
        <v>35</v>
      </c>
      <c r="V1995" t="s">
        <v>35</v>
      </c>
      <c r="W1995" t="s">
        <v>4929</v>
      </c>
    </row>
    <row r="1996" spans="1:23" x14ac:dyDescent="0.25">
      <c r="A1996" t="s">
        <v>618</v>
      </c>
      <c r="B1996" s="19">
        <v>20914</v>
      </c>
      <c r="C1996" s="2">
        <f>HYPERLINK(URLs!B36 &amp; 121337,121337)</f>
        <v>121337</v>
      </c>
      <c r="D1996" t="s">
        <v>4946</v>
      </c>
      <c r="E1996" t="s">
        <v>435</v>
      </c>
      <c r="F1996" t="s">
        <v>67</v>
      </c>
      <c r="H1996" t="s">
        <v>54</v>
      </c>
      <c r="I1996" t="s">
        <v>68</v>
      </c>
      <c r="J1996" t="s">
        <v>58</v>
      </c>
      <c r="K1996" t="s">
        <v>44</v>
      </c>
      <c r="L1996" t="s">
        <v>73</v>
      </c>
      <c r="M1996" t="s">
        <v>263</v>
      </c>
      <c r="N1996" t="s">
        <v>60</v>
      </c>
      <c r="P1996" t="s">
        <v>4171</v>
      </c>
      <c r="R1996">
        <v>43396.715208333335</v>
      </c>
      <c r="S1996">
        <v>43396.715208333335</v>
      </c>
      <c r="T1996" t="s">
        <v>435</v>
      </c>
      <c r="U1996" t="s">
        <v>35</v>
      </c>
      <c r="V1996" t="s">
        <v>35</v>
      </c>
      <c r="W1996" t="s">
        <v>4410</v>
      </c>
    </row>
    <row r="1997" spans="1:23" x14ac:dyDescent="0.25">
      <c r="A1997" t="s">
        <v>618</v>
      </c>
      <c r="B1997" s="19">
        <v>20914</v>
      </c>
      <c r="C1997" s="2">
        <f>HYPERLINK(URLs!B36 &amp; 121336,121336)</f>
        <v>121336</v>
      </c>
      <c r="D1997" t="s">
        <v>4945</v>
      </c>
      <c r="E1997" t="s">
        <v>435</v>
      </c>
      <c r="F1997" t="s">
        <v>67</v>
      </c>
      <c r="H1997" t="s">
        <v>54</v>
      </c>
      <c r="I1997" t="s">
        <v>68</v>
      </c>
      <c r="J1997" t="s">
        <v>58</v>
      </c>
      <c r="K1997" t="s">
        <v>44</v>
      </c>
      <c r="L1997" t="s">
        <v>73</v>
      </c>
      <c r="M1997" t="s">
        <v>263</v>
      </c>
      <c r="N1997" t="s">
        <v>60</v>
      </c>
      <c r="P1997" t="s">
        <v>4171</v>
      </c>
      <c r="R1997">
        <v>43396.715208333335</v>
      </c>
      <c r="S1997">
        <v>43396.716215277775</v>
      </c>
      <c r="T1997" t="s">
        <v>435</v>
      </c>
      <c r="U1997" t="s">
        <v>35</v>
      </c>
      <c r="V1997" t="s">
        <v>35</v>
      </c>
      <c r="W1997" t="s">
        <v>4098</v>
      </c>
    </row>
    <row r="1998" spans="1:23" x14ac:dyDescent="0.25">
      <c r="A1998" t="s">
        <v>618</v>
      </c>
      <c r="B1998" s="19">
        <v>20914</v>
      </c>
      <c r="C1998" s="2">
        <f>HYPERLINK(URLs!B36 &amp; 121335,121335)</f>
        <v>121335</v>
      </c>
      <c r="D1998" t="s">
        <v>4944</v>
      </c>
      <c r="E1998" t="s">
        <v>435</v>
      </c>
      <c r="F1998" t="s">
        <v>319</v>
      </c>
      <c r="G1998" t="s">
        <v>304</v>
      </c>
      <c r="H1998" t="s">
        <v>54</v>
      </c>
      <c r="I1998" t="s">
        <v>68</v>
      </c>
      <c r="J1998" t="s">
        <v>58</v>
      </c>
      <c r="K1998" t="s">
        <v>44</v>
      </c>
      <c r="L1998" t="s">
        <v>73</v>
      </c>
      <c r="M1998" t="s">
        <v>263</v>
      </c>
      <c r="N1998" t="s">
        <v>60</v>
      </c>
      <c r="P1998" t="s">
        <v>4171</v>
      </c>
      <c r="Q1998" t="s">
        <v>3762</v>
      </c>
      <c r="R1998">
        <v>43396.710312499999</v>
      </c>
      <c r="S1998">
        <v>43405.762071759258</v>
      </c>
      <c r="T1998" t="s">
        <v>435</v>
      </c>
      <c r="U1998" t="s">
        <v>4978</v>
      </c>
      <c r="V1998" t="s">
        <v>35</v>
      </c>
      <c r="W1998" t="s">
        <v>4171</v>
      </c>
    </row>
    <row r="1999" spans="1:23" x14ac:dyDescent="0.25">
      <c r="A1999" t="s">
        <v>618</v>
      </c>
      <c r="B1999" s="19">
        <v>20914</v>
      </c>
      <c r="C1999" s="2">
        <f>HYPERLINK(URLs!B36 &amp; 120879,120879)</f>
        <v>120879</v>
      </c>
      <c r="D1999" t="s">
        <v>4936</v>
      </c>
      <c r="E1999" t="s">
        <v>435</v>
      </c>
      <c r="F1999" t="s">
        <v>305</v>
      </c>
      <c r="G1999" t="s">
        <v>304</v>
      </c>
      <c r="H1999" t="s">
        <v>54</v>
      </c>
      <c r="I1999" t="s">
        <v>68</v>
      </c>
      <c r="J1999" t="s">
        <v>43</v>
      </c>
      <c r="K1999" t="s">
        <v>33</v>
      </c>
      <c r="L1999" t="s">
        <v>73</v>
      </c>
      <c r="M1999" t="s">
        <v>263</v>
      </c>
      <c r="N1999" t="s">
        <v>60</v>
      </c>
      <c r="P1999" t="s">
        <v>4436</v>
      </c>
      <c r="Q1999" t="s">
        <v>3762</v>
      </c>
      <c r="R1999">
        <v>43384.613877314812</v>
      </c>
      <c r="S1999">
        <v>43419.736979166664</v>
      </c>
      <c r="T1999" t="s">
        <v>301</v>
      </c>
      <c r="U1999" t="s">
        <v>35</v>
      </c>
      <c r="V1999" t="s">
        <v>35</v>
      </c>
      <c r="W1999" t="s">
        <v>4929</v>
      </c>
    </row>
    <row r="2000" spans="1:23" x14ac:dyDescent="0.25">
      <c r="A2000" t="s">
        <v>618</v>
      </c>
      <c r="B2000" s="19">
        <v>20914</v>
      </c>
      <c r="C2000" s="2">
        <f>HYPERLINK(URLs!B36 &amp; 120222,120222)</f>
        <v>120222</v>
      </c>
      <c r="D2000" t="s">
        <v>4909</v>
      </c>
      <c r="E2000" t="s">
        <v>435</v>
      </c>
      <c r="F2000" t="s">
        <v>305</v>
      </c>
      <c r="G2000" t="s">
        <v>304</v>
      </c>
      <c r="H2000" t="s">
        <v>116</v>
      </c>
      <c r="I2000" t="s">
        <v>68</v>
      </c>
      <c r="J2000" t="s">
        <v>43</v>
      </c>
      <c r="K2000" t="s">
        <v>33</v>
      </c>
      <c r="L2000" t="s">
        <v>73</v>
      </c>
      <c r="M2000" t="s">
        <v>263</v>
      </c>
      <c r="N2000" t="s">
        <v>4956</v>
      </c>
      <c r="P2000" t="s">
        <v>4436</v>
      </c>
      <c r="Q2000" t="s">
        <v>3762</v>
      </c>
      <c r="R2000">
        <v>43369.9140625</v>
      </c>
      <c r="S2000">
        <v>43405.857870370368</v>
      </c>
      <c r="T2000" t="s">
        <v>435</v>
      </c>
      <c r="U2000" t="s">
        <v>4931</v>
      </c>
      <c r="V2000" t="s">
        <v>35</v>
      </c>
      <c r="W2000" t="s">
        <v>4171</v>
      </c>
    </row>
    <row r="2001" spans="1:23" x14ac:dyDescent="0.25">
      <c r="A2001" t="s">
        <v>618</v>
      </c>
      <c r="B2001" s="19">
        <v>20914</v>
      </c>
      <c r="C2001" s="2">
        <f>HYPERLINK(URLs!B36 &amp; 120221,120221)</f>
        <v>120221</v>
      </c>
      <c r="D2001" t="s">
        <v>4908</v>
      </c>
      <c r="E2001" t="s">
        <v>435</v>
      </c>
      <c r="F2001" t="s">
        <v>67</v>
      </c>
      <c r="H2001" t="s">
        <v>54</v>
      </c>
      <c r="I2001" t="s">
        <v>68</v>
      </c>
      <c r="J2001" t="s">
        <v>43</v>
      </c>
      <c r="K2001" t="s">
        <v>33</v>
      </c>
      <c r="L2001" t="s">
        <v>73</v>
      </c>
      <c r="M2001" t="s">
        <v>263</v>
      </c>
      <c r="N2001" t="s">
        <v>60</v>
      </c>
      <c r="P2001" t="s">
        <v>4436</v>
      </c>
      <c r="R2001">
        <v>43369.9140625</v>
      </c>
      <c r="S2001">
        <v>43396.716215277775</v>
      </c>
      <c r="T2001" t="s">
        <v>435</v>
      </c>
      <c r="U2001" t="s">
        <v>35</v>
      </c>
      <c r="V2001" t="s">
        <v>35</v>
      </c>
      <c r="W2001" t="s">
        <v>4098</v>
      </c>
    </row>
    <row r="2002" spans="1:23" x14ac:dyDescent="0.25">
      <c r="A2002" t="s">
        <v>618</v>
      </c>
      <c r="B2002" s="19">
        <v>20914</v>
      </c>
      <c r="C2002" s="2">
        <f>HYPERLINK(URLs!B36 &amp; 119600,119600)</f>
        <v>119600</v>
      </c>
      <c r="D2002" t="s">
        <v>4879</v>
      </c>
      <c r="E2002" t="s">
        <v>435</v>
      </c>
      <c r="F2002" t="s">
        <v>305</v>
      </c>
      <c r="G2002" t="s">
        <v>337</v>
      </c>
      <c r="H2002" t="s">
        <v>54</v>
      </c>
      <c r="I2002" t="s">
        <v>68</v>
      </c>
      <c r="J2002" t="s">
        <v>43</v>
      </c>
      <c r="K2002" t="s">
        <v>33</v>
      </c>
      <c r="L2002" t="s">
        <v>73</v>
      </c>
      <c r="M2002" t="s">
        <v>263</v>
      </c>
      <c r="N2002" t="s">
        <v>60</v>
      </c>
      <c r="P2002" t="s">
        <v>4436</v>
      </c>
      <c r="Q2002" t="s">
        <v>3260</v>
      </c>
      <c r="R2002">
        <v>43355.761064814818</v>
      </c>
      <c r="S2002">
        <v>43384.621400462966</v>
      </c>
      <c r="T2002" t="s">
        <v>1</v>
      </c>
      <c r="U2002" t="s">
        <v>35</v>
      </c>
      <c r="V2002" t="s">
        <v>35</v>
      </c>
      <c r="W2002" t="s">
        <v>4670</v>
      </c>
    </row>
    <row r="2003" spans="1:23" x14ac:dyDescent="0.25">
      <c r="A2003" t="s">
        <v>618</v>
      </c>
      <c r="B2003" s="19">
        <v>20935</v>
      </c>
      <c r="C2003" s="2">
        <f>HYPERLINK(URLs!B36 &amp; 118939,118939)</f>
        <v>118939</v>
      </c>
      <c r="D2003" t="s">
        <v>4858</v>
      </c>
      <c r="E2003" t="s">
        <v>173</v>
      </c>
      <c r="F2003" t="s">
        <v>42</v>
      </c>
      <c r="H2003" t="s">
        <v>56</v>
      </c>
      <c r="I2003" t="s">
        <v>68</v>
      </c>
      <c r="J2003" t="s">
        <v>43</v>
      </c>
      <c r="K2003" t="s">
        <v>33</v>
      </c>
      <c r="L2003" t="s">
        <v>52</v>
      </c>
      <c r="M2003" t="s">
        <v>4859</v>
      </c>
      <c r="N2003" t="s">
        <v>46</v>
      </c>
      <c r="O2003" t="s">
        <v>5024</v>
      </c>
      <c r="P2003" t="s">
        <v>3698</v>
      </c>
      <c r="R2003">
        <v>43343.394131944442</v>
      </c>
      <c r="S2003">
        <v>43417.194155092591</v>
      </c>
      <c r="T2003" t="s">
        <v>173</v>
      </c>
      <c r="U2003" t="s">
        <v>35</v>
      </c>
      <c r="V2003" t="s">
        <v>35</v>
      </c>
      <c r="W2003" t="s">
        <v>4171</v>
      </c>
    </row>
    <row r="2004" spans="1:23" x14ac:dyDescent="0.25">
      <c r="A2004" t="s">
        <v>618</v>
      </c>
      <c r="B2004" s="19">
        <v>20937</v>
      </c>
      <c r="C2004" s="2">
        <f>HYPERLINK(URLs!B36 &amp; 120919,120919)</f>
        <v>120919</v>
      </c>
      <c r="D2004" t="s">
        <v>4937</v>
      </c>
      <c r="E2004" t="s">
        <v>4882</v>
      </c>
      <c r="F2004" t="s">
        <v>67</v>
      </c>
      <c r="H2004" t="s">
        <v>116</v>
      </c>
      <c r="I2004" t="s">
        <v>31</v>
      </c>
      <c r="J2004" t="s">
        <v>32</v>
      </c>
      <c r="K2004" t="s">
        <v>51</v>
      </c>
      <c r="L2004" t="s">
        <v>52</v>
      </c>
      <c r="M2004" t="s">
        <v>3445</v>
      </c>
      <c r="N2004" t="s">
        <v>518</v>
      </c>
      <c r="P2004" t="s">
        <v>3698</v>
      </c>
      <c r="R2004">
        <v>43385.281944444447</v>
      </c>
      <c r="S2004">
        <v>43397.946053240739</v>
      </c>
      <c r="T2004" t="s">
        <v>4882</v>
      </c>
      <c r="U2004" t="s">
        <v>35</v>
      </c>
      <c r="V2004" t="s">
        <v>321</v>
      </c>
      <c r="W2004" t="s">
        <v>4410</v>
      </c>
    </row>
    <row r="2005" spans="1:23" x14ac:dyDescent="0.25">
      <c r="A2005" t="s">
        <v>618</v>
      </c>
      <c r="B2005" s="19">
        <v>20937</v>
      </c>
      <c r="C2005" s="2">
        <f>HYPERLINK(URLs!B36 &amp; 120030,120030)</f>
        <v>120030</v>
      </c>
      <c r="D2005" t="s">
        <v>4901</v>
      </c>
      <c r="E2005" t="s">
        <v>4882</v>
      </c>
      <c r="F2005" t="s">
        <v>67</v>
      </c>
      <c r="H2005" t="s">
        <v>116</v>
      </c>
      <c r="I2005" t="s">
        <v>31</v>
      </c>
      <c r="J2005" t="s">
        <v>32</v>
      </c>
      <c r="K2005" t="s">
        <v>51</v>
      </c>
      <c r="L2005" t="s">
        <v>52</v>
      </c>
      <c r="M2005" t="s">
        <v>3445</v>
      </c>
      <c r="N2005" t="s">
        <v>518</v>
      </c>
      <c r="P2005" t="s">
        <v>3698</v>
      </c>
      <c r="R2005">
        <v>43364.987708333334</v>
      </c>
      <c r="S2005">
        <v>43409.394467592596</v>
      </c>
      <c r="T2005" t="s">
        <v>53</v>
      </c>
      <c r="U2005" t="s">
        <v>35</v>
      </c>
      <c r="V2005" t="s">
        <v>321</v>
      </c>
      <c r="W2005" t="s">
        <v>4171</v>
      </c>
    </row>
    <row r="2006" spans="1:23" x14ac:dyDescent="0.25">
      <c r="A2006" t="s">
        <v>618</v>
      </c>
      <c r="B2006" s="19">
        <v>20937</v>
      </c>
      <c r="C2006" s="2">
        <f>HYPERLINK(URLs!B36 &amp; 120029,120029)</f>
        <v>120029</v>
      </c>
      <c r="D2006" t="s">
        <v>4900</v>
      </c>
      <c r="E2006" t="s">
        <v>4882</v>
      </c>
      <c r="F2006" t="s">
        <v>67</v>
      </c>
      <c r="H2006" t="s">
        <v>116</v>
      </c>
      <c r="I2006" t="s">
        <v>31</v>
      </c>
      <c r="J2006" t="s">
        <v>32</v>
      </c>
      <c r="K2006" t="s">
        <v>51</v>
      </c>
      <c r="L2006" t="s">
        <v>52</v>
      </c>
      <c r="M2006" t="s">
        <v>3445</v>
      </c>
      <c r="N2006" t="s">
        <v>60</v>
      </c>
      <c r="P2006" t="s">
        <v>3698</v>
      </c>
      <c r="R2006">
        <v>43364.987719907411</v>
      </c>
      <c r="S2006">
        <v>43385.281944444447</v>
      </c>
      <c r="T2006" t="s">
        <v>53</v>
      </c>
      <c r="U2006" t="s">
        <v>35</v>
      </c>
      <c r="V2006" t="s">
        <v>321</v>
      </c>
      <c r="W2006" t="s">
        <v>4098</v>
      </c>
    </row>
    <row r="2007" spans="1:23" x14ac:dyDescent="0.25">
      <c r="A2007" t="s">
        <v>618</v>
      </c>
      <c r="B2007" s="19">
        <v>20937</v>
      </c>
      <c r="C2007" s="2">
        <f>HYPERLINK(URLs!B36 &amp; 119665,119665)</f>
        <v>119665</v>
      </c>
      <c r="D2007" t="s">
        <v>4881</v>
      </c>
      <c r="E2007" t="s">
        <v>4882</v>
      </c>
      <c r="F2007" t="s">
        <v>319</v>
      </c>
      <c r="G2007" t="s">
        <v>337</v>
      </c>
      <c r="H2007" t="s">
        <v>116</v>
      </c>
      <c r="I2007" t="s">
        <v>31</v>
      </c>
      <c r="J2007" t="s">
        <v>32</v>
      </c>
      <c r="K2007" t="s">
        <v>51</v>
      </c>
      <c r="L2007" t="s">
        <v>52</v>
      </c>
      <c r="M2007" t="s">
        <v>3445</v>
      </c>
      <c r="N2007" t="s">
        <v>60</v>
      </c>
      <c r="P2007" t="s">
        <v>3698</v>
      </c>
      <c r="Q2007" t="s">
        <v>528</v>
      </c>
      <c r="R2007">
        <v>43357.314641203702</v>
      </c>
      <c r="S2007">
        <v>43403.819965277777</v>
      </c>
      <c r="T2007" t="s">
        <v>4</v>
      </c>
      <c r="U2007" t="s">
        <v>35</v>
      </c>
      <c r="V2007" t="s">
        <v>321</v>
      </c>
      <c r="W2007" t="s">
        <v>4670</v>
      </c>
    </row>
    <row r="2008" spans="1:23" x14ac:dyDescent="0.25">
      <c r="A2008" t="s">
        <v>618</v>
      </c>
      <c r="B2008" s="19">
        <v>20970</v>
      </c>
      <c r="C2008" s="2">
        <f>HYPERLINK(URLs!B36 &amp; 119954,119954)</f>
        <v>119954</v>
      </c>
      <c r="D2008" t="s">
        <v>4895</v>
      </c>
      <c r="E2008" t="s">
        <v>387</v>
      </c>
      <c r="F2008" t="s">
        <v>67</v>
      </c>
      <c r="H2008" t="s">
        <v>54</v>
      </c>
      <c r="I2008" t="s">
        <v>31</v>
      </c>
      <c r="J2008" t="s">
        <v>32</v>
      </c>
      <c r="K2008" t="s">
        <v>33</v>
      </c>
      <c r="L2008" t="s">
        <v>73</v>
      </c>
      <c r="M2008" t="s">
        <v>263</v>
      </c>
      <c r="N2008" t="s">
        <v>60</v>
      </c>
      <c r="P2008" t="s">
        <v>4436</v>
      </c>
      <c r="R2008">
        <v>43363.635150462964</v>
      </c>
      <c r="S2008">
        <v>43363.684421296297</v>
      </c>
      <c r="T2008" t="s">
        <v>301</v>
      </c>
      <c r="U2008" t="s">
        <v>35</v>
      </c>
      <c r="V2008" t="s">
        <v>35</v>
      </c>
      <c r="W2008" t="s">
        <v>4171</v>
      </c>
    </row>
    <row r="2009" spans="1:23" x14ac:dyDescent="0.25">
      <c r="A2009" t="s">
        <v>618</v>
      </c>
      <c r="B2009" s="19">
        <v>20970</v>
      </c>
      <c r="C2009" s="2">
        <f>HYPERLINK(URLs!B36 &amp; 119953,119953)</f>
        <v>119953</v>
      </c>
      <c r="D2009" t="s">
        <v>4894</v>
      </c>
      <c r="E2009" t="s">
        <v>94</v>
      </c>
      <c r="F2009" t="s">
        <v>67</v>
      </c>
      <c r="H2009" t="s">
        <v>54</v>
      </c>
      <c r="I2009" t="s">
        <v>31</v>
      </c>
      <c r="J2009" t="s">
        <v>32</v>
      </c>
      <c r="K2009" t="s">
        <v>33</v>
      </c>
      <c r="L2009" t="s">
        <v>73</v>
      </c>
      <c r="M2009" t="s">
        <v>263</v>
      </c>
      <c r="N2009" t="s">
        <v>60</v>
      </c>
      <c r="P2009" t="s">
        <v>4436</v>
      </c>
      <c r="R2009">
        <v>43363.635150462964</v>
      </c>
      <c r="S2009">
        <v>43382.660995370374</v>
      </c>
      <c r="T2009" t="s">
        <v>301</v>
      </c>
      <c r="U2009" t="s">
        <v>35</v>
      </c>
      <c r="V2009" t="s">
        <v>35</v>
      </c>
      <c r="W2009" t="s">
        <v>4098</v>
      </c>
    </row>
    <row r="2010" spans="1:23" x14ac:dyDescent="0.25">
      <c r="A2010" t="s">
        <v>618</v>
      </c>
      <c r="B2010" s="19">
        <v>20970</v>
      </c>
      <c r="C2010" s="2">
        <f>HYPERLINK(URLs!B36 &amp; 119896,119896)</f>
        <v>119896</v>
      </c>
      <c r="D2010" t="s">
        <v>4890</v>
      </c>
      <c r="E2010" t="s">
        <v>94</v>
      </c>
      <c r="F2010" t="s">
        <v>67</v>
      </c>
      <c r="H2010" t="s">
        <v>54</v>
      </c>
      <c r="I2010" t="s">
        <v>31</v>
      </c>
      <c r="J2010" t="s">
        <v>32</v>
      </c>
      <c r="K2010" t="s">
        <v>33</v>
      </c>
      <c r="L2010" t="s">
        <v>73</v>
      </c>
      <c r="M2010" t="s">
        <v>263</v>
      </c>
      <c r="N2010" t="s">
        <v>60</v>
      </c>
      <c r="P2010" t="s">
        <v>4436</v>
      </c>
      <c r="R2010">
        <v>43362.779120370367</v>
      </c>
      <c r="S2010">
        <v>43363.68476851852</v>
      </c>
      <c r="T2010" t="s">
        <v>1</v>
      </c>
      <c r="U2010" t="s">
        <v>35</v>
      </c>
      <c r="V2010" t="s">
        <v>35</v>
      </c>
      <c r="W2010" t="s">
        <v>4410</v>
      </c>
    </row>
    <row r="2011" spans="1:23" x14ac:dyDescent="0.25">
      <c r="A2011" t="s">
        <v>618</v>
      </c>
      <c r="B2011" s="19">
        <v>20971</v>
      </c>
      <c r="C2011" s="2">
        <f>HYPERLINK(URLs!B36 &amp; 121415,121415)</f>
        <v>121415</v>
      </c>
      <c r="D2011" t="s">
        <v>4955</v>
      </c>
      <c r="E2011" t="s">
        <v>387</v>
      </c>
      <c r="F2011" t="s">
        <v>67</v>
      </c>
      <c r="H2011" t="s">
        <v>54</v>
      </c>
      <c r="I2011" t="s">
        <v>68</v>
      </c>
      <c r="J2011" t="s">
        <v>43</v>
      </c>
      <c r="K2011" t="s">
        <v>33</v>
      </c>
      <c r="L2011" t="s">
        <v>73</v>
      </c>
      <c r="M2011" t="s">
        <v>263</v>
      </c>
      <c r="N2011" t="s">
        <v>60</v>
      </c>
      <c r="P2011" t="s">
        <v>4436</v>
      </c>
      <c r="R2011">
        <v>43398.093148148146</v>
      </c>
      <c r="S2011">
        <v>43398.093148148146</v>
      </c>
      <c r="T2011" t="s">
        <v>53</v>
      </c>
      <c r="U2011" t="s">
        <v>35</v>
      </c>
      <c r="V2011" t="s">
        <v>35</v>
      </c>
      <c r="W2011" t="s">
        <v>4171</v>
      </c>
    </row>
    <row r="2012" spans="1:23" x14ac:dyDescent="0.25">
      <c r="A2012" t="s">
        <v>618</v>
      </c>
      <c r="B2012" s="19">
        <v>20971</v>
      </c>
      <c r="C2012" s="2">
        <f>HYPERLINK(URLs!B36 &amp; 121414,121414)</f>
        <v>121414</v>
      </c>
      <c r="D2012" t="s">
        <v>4954</v>
      </c>
      <c r="E2012" t="s">
        <v>94</v>
      </c>
      <c r="F2012" t="s">
        <v>67</v>
      </c>
      <c r="H2012" t="s">
        <v>54</v>
      </c>
      <c r="I2012" t="s">
        <v>68</v>
      </c>
      <c r="J2012" t="s">
        <v>43</v>
      </c>
      <c r="K2012" t="s">
        <v>33</v>
      </c>
      <c r="L2012" t="s">
        <v>73</v>
      </c>
      <c r="M2012" t="s">
        <v>263</v>
      </c>
      <c r="N2012" t="s">
        <v>60</v>
      </c>
      <c r="P2012" t="s">
        <v>4436</v>
      </c>
      <c r="R2012">
        <v>43398.093159722222</v>
      </c>
      <c r="S2012">
        <v>43398.093148148146</v>
      </c>
      <c r="T2012" t="s">
        <v>53</v>
      </c>
      <c r="U2012" t="s">
        <v>35</v>
      </c>
      <c r="V2012" t="s">
        <v>35</v>
      </c>
      <c r="W2012" t="s">
        <v>4098</v>
      </c>
    </row>
    <row r="2013" spans="1:23" x14ac:dyDescent="0.25">
      <c r="A2013" t="s">
        <v>618</v>
      </c>
      <c r="B2013" s="19">
        <v>20971</v>
      </c>
      <c r="C2013" s="2">
        <f>HYPERLINK(URLs!B36 &amp; 119897,119897)</f>
        <v>119897</v>
      </c>
      <c r="D2013" t="s">
        <v>4932</v>
      </c>
      <c r="E2013" t="s">
        <v>94</v>
      </c>
      <c r="F2013" t="s">
        <v>67</v>
      </c>
      <c r="H2013" t="s">
        <v>54</v>
      </c>
      <c r="I2013" t="s">
        <v>68</v>
      </c>
      <c r="J2013" t="s">
        <v>43</v>
      </c>
      <c r="K2013" t="s">
        <v>33</v>
      </c>
      <c r="L2013" t="s">
        <v>73</v>
      </c>
      <c r="M2013" t="s">
        <v>263</v>
      </c>
      <c r="N2013" t="s">
        <v>60</v>
      </c>
      <c r="P2013" t="s">
        <v>4436</v>
      </c>
      <c r="R2013">
        <v>43362.794918981483</v>
      </c>
      <c r="S2013">
        <v>43398.093159722222</v>
      </c>
      <c r="T2013" t="s">
        <v>1</v>
      </c>
      <c r="U2013" t="s">
        <v>35</v>
      </c>
      <c r="V2013" t="s">
        <v>35</v>
      </c>
      <c r="W2013" t="s">
        <v>4410</v>
      </c>
    </row>
    <row r="2014" spans="1:23" x14ac:dyDescent="0.25">
      <c r="A2014" t="s">
        <v>618</v>
      </c>
      <c r="B2014" s="19">
        <v>20991</v>
      </c>
      <c r="C2014" s="2">
        <f>HYPERLINK(URLs!B36 &amp; 120093,120093)</f>
        <v>120093</v>
      </c>
      <c r="D2014" t="s">
        <v>4903</v>
      </c>
      <c r="E2014" t="s">
        <v>4904</v>
      </c>
      <c r="F2014" t="s">
        <v>42</v>
      </c>
      <c r="H2014" t="s">
        <v>54</v>
      </c>
      <c r="I2014" t="s">
        <v>31</v>
      </c>
      <c r="J2014" t="s">
        <v>43</v>
      </c>
      <c r="K2014" t="s">
        <v>44</v>
      </c>
      <c r="L2014" t="s">
        <v>52</v>
      </c>
      <c r="M2014" t="s">
        <v>4092</v>
      </c>
      <c r="N2014" t="s">
        <v>60</v>
      </c>
      <c r="P2014" t="s">
        <v>3698</v>
      </c>
      <c r="R2014">
        <v>43368.268645833334</v>
      </c>
      <c r="S2014">
        <v>43417.20758101852</v>
      </c>
      <c r="T2014" t="s">
        <v>4</v>
      </c>
      <c r="U2014" t="s">
        <v>35</v>
      </c>
      <c r="V2014" t="s">
        <v>35</v>
      </c>
      <c r="W2014" t="s">
        <v>4126</v>
      </c>
    </row>
    <row r="2015" spans="1:23" x14ac:dyDescent="0.25">
      <c r="A2015" t="s">
        <v>641</v>
      </c>
      <c r="B2015" s="19">
        <v>21007</v>
      </c>
      <c r="C2015" s="2">
        <f>HYPERLINK(URLs!B36 &amp; 121504,121504)</f>
        <v>121504</v>
      </c>
      <c r="D2015" t="s">
        <v>4966</v>
      </c>
      <c r="E2015" t="s">
        <v>4717</v>
      </c>
      <c r="F2015" t="s">
        <v>42</v>
      </c>
      <c r="H2015" t="s">
        <v>54</v>
      </c>
      <c r="I2015" t="s">
        <v>31</v>
      </c>
      <c r="J2015" t="s">
        <v>43</v>
      </c>
      <c r="K2015" t="s">
        <v>44</v>
      </c>
      <c r="L2015" t="s">
        <v>34</v>
      </c>
      <c r="M2015" t="s">
        <v>274</v>
      </c>
      <c r="N2015" t="s">
        <v>60</v>
      </c>
      <c r="P2015" t="s">
        <v>4436</v>
      </c>
      <c r="R2015">
        <v>43399.685196759259</v>
      </c>
      <c r="S2015">
        <v>43402.879687499997</v>
      </c>
      <c r="T2015" t="s">
        <v>53</v>
      </c>
      <c r="U2015" t="s">
        <v>35</v>
      </c>
      <c r="V2015" t="s">
        <v>35</v>
      </c>
      <c r="W2015" t="s">
        <v>4176</v>
      </c>
    </row>
    <row r="2016" spans="1:23" x14ac:dyDescent="0.25">
      <c r="A2016" t="s">
        <v>641</v>
      </c>
      <c r="B2016" s="19">
        <v>21007</v>
      </c>
      <c r="C2016" s="2">
        <f>HYPERLINK(URLs!B36 &amp; 121503,121503)</f>
        <v>121503</v>
      </c>
      <c r="D2016" t="s">
        <v>4964</v>
      </c>
      <c r="E2016" t="s">
        <v>4717</v>
      </c>
      <c r="F2016" t="s">
        <v>67</v>
      </c>
      <c r="H2016" t="s">
        <v>54</v>
      </c>
      <c r="I2016" t="s">
        <v>31</v>
      </c>
      <c r="J2016" t="s">
        <v>43</v>
      </c>
      <c r="K2016" t="s">
        <v>44</v>
      </c>
      <c r="L2016" t="s">
        <v>34</v>
      </c>
      <c r="M2016" t="s">
        <v>274</v>
      </c>
      <c r="N2016" t="s">
        <v>60</v>
      </c>
      <c r="O2016" t="s">
        <v>4965</v>
      </c>
      <c r="P2016" t="s">
        <v>4436</v>
      </c>
      <c r="R2016">
        <v>43399.685196759259</v>
      </c>
      <c r="S2016">
        <v>43411.628888888888</v>
      </c>
      <c r="T2016" t="s">
        <v>53</v>
      </c>
      <c r="U2016" t="s">
        <v>35</v>
      </c>
      <c r="V2016" t="s">
        <v>35</v>
      </c>
      <c r="W2016" t="s">
        <v>4098</v>
      </c>
    </row>
    <row r="2017" spans="1:23" x14ac:dyDescent="0.25">
      <c r="A2017" t="s">
        <v>641</v>
      </c>
      <c r="B2017" s="19">
        <v>21007</v>
      </c>
      <c r="C2017" s="2">
        <f>HYPERLINK(URLs!B36 &amp; 121502,121502)</f>
        <v>121502</v>
      </c>
      <c r="D2017" t="s">
        <v>4963</v>
      </c>
      <c r="E2017" t="s">
        <v>4717</v>
      </c>
      <c r="F2017" t="s">
        <v>42</v>
      </c>
      <c r="H2017" t="s">
        <v>54</v>
      </c>
      <c r="I2017" t="s">
        <v>31</v>
      </c>
      <c r="J2017" t="s">
        <v>43</v>
      </c>
      <c r="K2017" t="s">
        <v>44</v>
      </c>
      <c r="L2017" t="s">
        <v>34</v>
      </c>
      <c r="M2017" t="s">
        <v>274</v>
      </c>
      <c r="N2017" t="s">
        <v>60</v>
      </c>
      <c r="P2017" t="s">
        <v>4436</v>
      </c>
      <c r="R2017">
        <v>43399.680069444446</v>
      </c>
      <c r="S2017">
        <v>43411.62940972222</v>
      </c>
      <c r="T2017" t="s">
        <v>53</v>
      </c>
      <c r="U2017" t="s">
        <v>35</v>
      </c>
      <c r="V2017" t="s">
        <v>35</v>
      </c>
      <c r="W2017" t="s">
        <v>4143</v>
      </c>
    </row>
    <row r="2018" spans="1:23" x14ac:dyDescent="0.25">
      <c r="A2018" t="s">
        <v>641</v>
      </c>
      <c r="B2018" s="19">
        <v>21007</v>
      </c>
      <c r="C2018" s="2">
        <f>HYPERLINK(URLs!B36 &amp; 120392,120392)</f>
        <v>120392</v>
      </c>
      <c r="D2018" t="s">
        <v>4911</v>
      </c>
      <c r="E2018" t="s">
        <v>4717</v>
      </c>
      <c r="F2018" t="s">
        <v>42</v>
      </c>
      <c r="H2018" t="s">
        <v>54</v>
      </c>
      <c r="I2018" t="s">
        <v>68</v>
      </c>
      <c r="J2018" t="s">
        <v>58</v>
      </c>
      <c r="K2018" t="s">
        <v>44</v>
      </c>
      <c r="L2018" t="s">
        <v>34</v>
      </c>
      <c r="M2018" t="s">
        <v>266</v>
      </c>
      <c r="N2018" t="s">
        <v>46</v>
      </c>
      <c r="P2018" t="s">
        <v>307</v>
      </c>
      <c r="R2018">
        <v>43375.87090277778</v>
      </c>
      <c r="S2018">
        <v>43416.266863425924</v>
      </c>
      <c r="T2018" t="s">
        <v>53</v>
      </c>
      <c r="U2018" t="s">
        <v>35</v>
      </c>
      <c r="V2018" t="s">
        <v>35</v>
      </c>
      <c r="W2018" t="s">
        <v>4143</v>
      </c>
    </row>
    <row r="2019" spans="1:23" x14ac:dyDescent="0.25">
      <c r="A2019" t="s">
        <v>641</v>
      </c>
      <c r="B2019" s="19">
        <v>21007</v>
      </c>
      <c r="C2019" s="2">
        <f>HYPERLINK(URLs!B36 &amp; 120218,120218)</f>
        <v>120218</v>
      </c>
      <c r="D2019" t="s">
        <v>4907</v>
      </c>
      <c r="E2019" t="s">
        <v>53</v>
      </c>
      <c r="F2019" t="s">
        <v>67</v>
      </c>
      <c r="H2019" t="s">
        <v>54</v>
      </c>
      <c r="I2019" t="s">
        <v>31</v>
      </c>
      <c r="J2019" t="s">
        <v>43</v>
      </c>
      <c r="K2019" t="s">
        <v>44</v>
      </c>
      <c r="L2019" t="s">
        <v>34</v>
      </c>
      <c r="M2019" t="s">
        <v>258</v>
      </c>
      <c r="N2019" t="s">
        <v>60</v>
      </c>
      <c r="O2019" t="s">
        <v>5041</v>
      </c>
      <c r="P2019" t="s">
        <v>4436</v>
      </c>
      <c r="R2019">
        <v>43369.864525462966</v>
      </c>
      <c r="S2019">
        <v>43409.957638888889</v>
      </c>
      <c r="T2019" t="s">
        <v>1</v>
      </c>
      <c r="U2019" t="s">
        <v>35</v>
      </c>
      <c r="V2019" t="s">
        <v>35</v>
      </c>
      <c r="W2019" t="s">
        <v>4126</v>
      </c>
    </row>
    <row r="2020" spans="1:23" x14ac:dyDescent="0.25">
      <c r="A2020" t="s">
        <v>618</v>
      </c>
      <c r="B2020" s="19">
        <v>21096</v>
      </c>
      <c r="C2020" s="2">
        <f>HYPERLINK(URLs!B36 &amp; 121024,121024)</f>
        <v>121024</v>
      </c>
      <c r="D2020" t="s">
        <v>4939</v>
      </c>
      <c r="E2020" t="s">
        <v>134</v>
      </c>
      <c r="F2020" t="s">
        <v>319</v>
      </c>
      <c r="G2020" t="s">
        <v>304</v>
      </c>
      <c r="H2020" t="s">
        <v>30</v>
      </c>
      <c r="I2020" t="s">
        <v>68</v>
      </c>
      <c r="J2020" t="s">
        <v>43</v>
      </c>
      <c r="K2020" t="s">
        <v>33</v>
      </c>
      <c r="L2020" t="s">
        <v>34</v>
      </c>
      <c r="M2020" t="s">
        <v>278</v>
      </c>
      <c r="N2020" t="s">
        <v>46</v>
      </c>
      <c r="O2020" t="s">
        <v>5042</v>
      </c>
      <c r="P2020" t="s">
        <v>190</v>
      </c>
      <c r="Q2020" t="s">
        <v>3509</v>
      </c>
      <c r="R2020">
        <v>43388.673171296294</v>
      </c>
      <c r="S2020">
        <v>43409.99423611111</v>
      </c>
      <c r="T2020" t="s">
        <v>1</v>
      </c>
      <c r="U2020" t="s">
        <v>35</v>
      </c>
      <c r="V2020" t="s">
        <v>35</v>
      </c>
      <c r="W2020" t="s">
        <v>4176</v>
      </c>
    </row>
    <row r="2021" spans="1:23" x14ac:dyDescent="0.25">
      <c r="A2021" t="s">
        <v>618</v>
      </c>
      <c r="B2021" s="19">
        <v>21104</v>
      </c>
      <c r="C2021" s="2">
        <f>HYPERLINK(URLs!B36 &amp; 120743,120743)</f>
        <v>120743</v>
      </c>
      <c r="D2021" t="s">
        <v>5049</v>
      </c>
      <c r="E2021" t="s">
        <v>405</v>
      </c>
      <c r="F2021" t="s">
        <v>42</v>
      </c>
      <c r="H2021" t="s">
        <v>56</v>
      </c>
      <c r="I2021" t="s">
        <v>31</v>
      </c>
      <c r="J2021" t="s">
        <v>32</v>
      </c>
      <c r="K2021" t="s">
        <v>2156</v>
      </c>
      <c r="L2021" t="s">
        <v>34</v>
      </c>
      <c r="M2021" t="s">
        <v>3704</v>
      </c>
      <c r="N2021" t="s">
        <v>46</v>
      </c>
      <c r="O2021" t="s">
        <v>5050</v>
      </c>
      <c r="P2021" t="s">
        <v>3555</v>
      </c>
      <c r="R2021">
        <v>43382.623124999998</v>
      </c>
      <c r="S2021">
        <v>43417.434687499997</v>
      </c>
      <c r="T2021" t="s">
        <v>2387</v>
      </c>
      <c r="U2021" t="s">
        <v>35</v>
      </c>
      <c r="V2021" t="s">
        <v>35</v>
      </c>
      <c r="W2021" t="s">
        <v>4126</v>
      </c>
    </row>
    <row r="2022" spans="1:23" x14ac:dyDescent="0.25">
      <c r="A2022" t="s">
        <v>618</v>
      </c>
      <c r="B2022" s="19">
        <v>21111</v>
      </c>
      <c r="C2022" s="2">
        <f>HYPERLINK(URLs!B36 &amp; 121560,121560)</f>
        <v>121560</v>
      </c>
      <c r="D2022" t="s">
        <v>4974</v>
      </c>
      <c r="E2022" t="s">
        <v>4303</v>
      </c>
      <c r="F2022" t="s">
        <v>67</v>
      </c>
      <c r="H2022" t="s">
        <v>116</v>
      </c>
      <c r="I2022" t="s">
        <v>31</v>
      </c>
      <c r="J2022" t="s">
        <v>32</v>
      </c>
      <c r="K2022" t="s">
        <v>44</v>
      </c>
      <c r="L2022" t="s">
        <v>380</v>
      </c>
      <c r="M2022" t="s">
        <v>4972</v>
      </c>
      <c r="N2022" t="s">
        <v>4840</v>
      </c>
      <c r="P2022" t="s">
        <v>4949</v>
      </c>
      <c r="R2022">
        <v>43402.788807870369</v>
      </c>
      <c r="S2022">
        <v>43423.831030092595</v>
      </c>
      <c r="T2022" t="s">
        <v>288</v>
      </c>
      <c r="U2022" t="s">
        <v>5101</v>
      </c>
      <c r="V2022" t="s">
        <v>321</v>
      </c>
      <c r="W2022" t="s">
        <v>4171</v>
      </c>
    </row>
    <row r="2023" spans="1:23" x14ac:dyDescent="0.25">
      <c r="A2023" t="s">
        <v>618</v>
      </c>
      <c r="B2023" s="19">
        <v>21111</v>
      </c>
      <c r="C2023" s="2">
        <f>HYPERLINK(URLs!B36 &amp; 121559,121559)</f>
        <v>121559</v>
      </c>
      <c r="D2023" t="s">
        <v>4973</v>
      </c>
      <c r="E2023" t="s">
        <v>4303</v>
      </c>
      <c r="F2023" t="s">
        <v>67</v>
      </c>
      <c r="H2023" t="s">
        <v>116</v>
      </c>
      <c r="I2023" t="s">
        <v>31</v>
      </c>
      <c r="J2023" t="s">
        <v>32</v>
      </c>
      <c r="K2023" t="s">
        <v>44</v>
      </c>
      <c r="L2023" t="s">
        <v>380</v>
      </c>
      <c r="M2023" t="s">
        <v>4972</v>
      </c>
      <c r="N2023" t="s">
        <v>46</v>
      </c>
      <c r="P2023" t="s">
        <v>4949</v>
      </c>
      <c r="R2023">
        <v>43402.788819444446</v>
      </c>
      <c r="S2023">
        <v>43403.295277777775</v>
      </c>
      <c r="T2023" t="s">
        <v>288</v>
      </c>
      <c r="U2023" t="s">
        <v>35</v>
      </c>
      <c r="V2023" t="s">
        <v>321</v>
      </c>
      <c r="W2023" t="s">
        <v>4098</v>
      </c>
    </row>
    <row r="2024" spans="1:23" x14ac:dyDescent="0.25">
      <c r="A2024" t="s">
        <v>618</v>
      </c>
      <c r="B2024" s="19">
        <v>21111</v>
      </c>
      <c r="C2024" s="2">
        <f>HYPERLINK(URLs!B36 &amp; 121558,121558)</f>
        <v>121558</v>
      </c>
      <c r="D2024" t="s">
        <v>5047</v>
      </c>
      <c r="E2024" t="s">
        <v>4303</v>
      </c>
      <c r="F2024" t="s">
        <v>67</v>
      </c>
      <c r="H2024" t="s">
        <v>116</v>
      </c>
      <c r="I2024" t="s">
        <v>31</v>
      </c>
      <c r="J2024" t="s">
        <v>32</v>
      </c>
      <c r="K2024" t="s">
        <v>44</v>
      </c>
      <c r="L2024" t="s">
        <v>380</v>
      </c>
      <c r="M2024" t="s">
        <v>4972</v>
      </c>
      <c r="N2024" t="s">
        <v>4884</v>
      </c>
      <c r="P2024" t="s">
        <v>4949</v>
      </c>
      <c r="R2024">
        <v>43402.772106481483</v>
      </c>
      <c r="S2024">
        <v>43419.835659722223</v>
      </c>
      <c r="T2024" t="s">
        <v>2960</v>
      </c>
      <c r="U2024" t="s">
        <v>5023</v>
      </c>
      <c r="V2024" t="s">
        <v>321</v>
      </c>
      <c r="W2024" t="s">
        <v>5001</v>
      </c>
    </row>
    <row r="2025" spans="1:23" x14ac:dyDescent="0.25">
      <c r="A2025" t="s">
        <v>618</v>
      </c>
      <c r="B2025" s="19">
        <v>21141</v>
      </c>
      <c r="C2025" s="2">
        <f>HYPERLINK(URLs!B36 &amp; 121204,121204)</f>
        <v>121204</v>
      </c>
      <c r="D2025" t="s">
        <v>4960</v>
      </c>
      <c r="E2025" t="s">
        <v>4941</v>
      </c>
      <c r="F2025" t="s">
        <v>67</v>
      </c>
      <c r="H2025" t="s">
        <v>54</v>
      </c>
      <c r="I2025" t="s">
        <v>31</v>
      </c>
      <c r="J2025" t="s">
        <v>32</v>
      </c>
      <c r="K2025" t="s">
        <v>33</v>
      </c>
      <c r="L2025" t="s">
        <v>4942</v>
      </c>
      <c r="M2025" t="s">
        <v>4943</v>
      </c>
      <c r="N2025" t="s">
        <v>60</v>
      </c>
      <c r="P2025" t="s">
        <v>307</v>
      </c>
      <c r="R2025">
        <v>43392.765833333331</v>
      </c>
      <c r="S2025">
        <v>43424.70685185185</v>
      </c>
      <c r="T2025" t="s">
        <v>1</v>
      </c>
      <c r="U2025" t="s">
        <v>35</v>
      </c>
      <c r="V2025" t="s">
        <v>35</v>
      </c>
      <c r="W2025" t="s">
        <v>4126</v>
      </c>
    </row>
    <row r="2026" spans="1:23" x14ac:dyDescent="0.25">
      <c r="A2026" t="s">
        <v>641</v>
      </c>
      <c r="B2026" s="19">
        <v>21147</v>
      </c>
      <c r="C2026" s="2">
        <f>HYPERLINK(URLs!B36 &amp; 121543,121543)</f>
        <v>121543</v>
      </c>
      <c r="D2026" t="s">
        <v>4970</v>
      </c>
      <c r="E2026" t="s">
        <v>288</v>
      </c>
      <c r="F2026" t="s">
        <v>319</v>
      </c>
      <c r="G2026" t="s">
        <v>353</v>
      </c>
      <c r="H2026" t="s">
        <v>56</v>
      </c>
      <c r="I2026" t="s">
        <v>31</v>
      </c>
      <c r="J2026" t="s">
        <v>32</v>
      </c>
      <c r="K2026" t="s">
        <v>51</v>
      </c>
      <c r="L2026" t="s">
        <v>96</v>
      </c>
      <c r="M2026" t="s">
        <v>269</v>
      </c>
      <c r="N2026" t="s">
        <v>46</v>
      </c>
      <c r="P2026" t="s">
        <v>4949</v>
      </c>
      <c r="Q2026" t="s">
        <v>2854</v>
      </c>
      <c r="R2026">
        <v>43402.554351851853</v>
      </c>
      <c r="S2026">
        <v>43402.556770833333</v>
      </c>
      <c r="T2026" t="s">
        <v>288</v>
      </c>
      <c r="U2026" t="s">
        <v>35</v>
      </c>
      <c r="V2026" t="s">
        <v>321</v>
      </c>
      <c r="W2026" t="s">
        <v>4171</v>
      </c>
    </row>
    <row r="2027" spans="1:23" x14ac:dyDescent="0.25">
      <c r="A2027" t="s">
        <v>641</v>
      </c>
      <c r="B2027" s="19">
        <v>21147</v>
      </c>
      <c r="C2027" s="2">
        <f>HYPERLINK(URLs!B36 &amp; 121542,121542)</f>
        <v>121542</v>
      </c>
      <c r="D2027" t="s">
        <v>4969</v>
      </c>
      <c r="E2027" t="s">
        <v>3671</v>
      </c>
      <c r="F2027" t="s">
        <v>319</v>
      </c>
      <c r="G2027" t="s">
        <v>353</v>
      </c>
      <c r="H2027" t="s">
        <v>56</v>
      </c>
      <c r="I2027" t="s">
        <v>31</v>
      </c>
      <c r="J2027" t="s">
        <v>32</v>
      </c>
      <c r="K2027" t="s">
        <v>51</v>
      </c>
      <c r="L2027" t="s">
        <v>96</v>
      </c>
      <c r="M2027" t="s">
        <v>269</v>
      </c>
      <c r="N2027" t="s">
        <v>46</v>
      </c>
      <c r="P2027" t="s">
        <v>4949</v>
      </c>
      <c r="Q2027" t="s">
        <v>3748</v>
      </c>
      <c r="R2027">
        <v>43402.554351851853</v>
      </c>
      <c r="S2027">
        <v>43405.57671296296</v>
      </c>
      <c r="T2027" t="s">
        <v>288</v>
      </c>
      <c r="U2027" t="s">
        <v>35</v>
      </c>
      <c r="V2027" t="s">
        <v>321</v>
      </c>
      <c r="W2027" t="s">
        <v>4098</v>
      </c>
    </row>
    <row r="2028" spans="1:23" x14ac:dyDescent="0.25">
      <c r="A2028" t="s">
        <v>641</v>
      </c>
      <c r="B2028" s="19">
        <v>21147</v>
      </c>
      <c r="C2028" s="2">
        <f>HYPERLINK(URLs!B36 &amp; 121342,121342)</f>
        <v>121342</v>
      </c>
      <c r="D2028" t="s">
        <v>4961</v>
      </c>
      <c r="E2028" t="s">
        <v>131</v>
      </c>
      <c r="F2028" t="s">
        <v>319</v>
      </c>
      <c r="G2028" t="s">
        <v>353</v>
      </c>
      <c r="H2028" t="s">
        <v>56</v>
      </c>
      <c r="I2028" t="s">
        <v>31</v>
      </c>
      <c r="J2028" t="s">
        <v>32</v>
      </c>
      <c r="K2028" t="s">
        <v>51</v>
      </c>
      <c r="L2028" t="s">
        <v>73</v>
      </c>
      <c r="M2028" t="s">
        <v>263</v>
      </c>
      <c r="N2028" t="s">
        <v>4962</v>
      </c>
      <c r="P2028" t="s">
        <v>4949</v>
      </c>
      <c r="Q2028" t="s">
        <v>3748</v>
      </c>
      <c r="R2028">
        <v>43396.922662037039</v>
      </c>
      <c r="S2028">
        <v>43405.694490740738</v>
      </c>
      <c r="T2028" t="s">
        <v>1</v>
      </c>
      <c r="U2028" t="s">
        <v>35</v>
      </c>
      <c r="V2028" t="s">
        <v>321</v>
      </c>
      <c r="W2028" t="s">
        <v>4410</v>
      </c>
    </row>
    <row r="2029" spans="1:23" x14ac:dyDescent="0.25">
      <c r="A2029" t="s">
        <v>641</v>
      </c>
      <c r="B2029" s="19">
        <v>21147</v>
      </c>
      <c r="C2029" s="2">
        <f>HYPERLINK(URLs!B36 &amp; 117103,117103)</f>
        <v>117103</v>
      </c>
      <c r="D2029" t="s">
        <v>5044</v>
      </c>
      <c r="E2029" t="s">
        <v>387</v>
      </c>
      <c r="F2029" t="s">
        <v>319</v>
      </c>
      <c r="G2029" t="s">
        <v>304</v>
      </c>
      <c r="H2029" t="s">
        <v>116</v>
      </c>
      <c r="I2029" t="s">
        <v>31</v>
      </c>
      <c r="J2029" t="s">
        <v>43</v>
      </c>
      <c r="K2029" t="s">
        <v>44</v>
      </c>
      <c r="L2029" t="s">
        <v>73</v>
      </c>
      <c r="M2029" t="s">
        <v>263</v>
      </c>
      <c r="N2029" t="s">
        <v>5003</v>
      </c>
      <c r="P2029" t="s">
        <v>4171</v>
      </c>
      <c r="Q2029" t="s">
        <v>3287</v>
      </c>
      <c r="R2029">
        <v>43301.573773148149</v>
      </c>
      <c r="S2029">
        <v>43423.571087962962</v>
      </c>
      <c r="T2029" t="s">
        <v>301</v>
      </c>
      <c r="U2029" t="s">
        <v>5020</v>
      </c>
      <c r="V2029" t="s">
        <v>321</v>
      </c>
      <c r="W2029" t="s">
        <v>5001</v>
      </c>
    </row>
    <row r="2030" spans="1:23" x14ac:dyDescent="0.25">
      <c r="A2030" t="s">
        <v>641</v>
      </c>
      <c r="B2030" s="19">
        <v>21147</v>
      </c>
      <c r="C2030" s="2">
        <f>HYPERLINK(URLs!B36 &amp; 117102,117102)</f>
        <v>117102</v>
      </c>
      <c r="D2030" t="s">
        <v>5002</v>
      </c>
      <c r="E2030" t="s">
        <v>387</v>
      </c>
      <c r="F2030" t="s">
        <v>42</v>
      </c>
      <c r="H2030" t="s">
        <v>116</v>
      </c>
      <c r="I2030" t="s">
        <v>31</v>
      </c>
      <c r="J2030" t="s">
        <v>43</v>
      </c>
      <c r="K2030" t="s">
        <v>44</v>
      </c>
      <c r="L2030" t="s">
        <v>73</v>
      </c>
      <c r="M2030" t="s">
        <v>263</v>
      </c>
      <c r="N2030" t="s">
        <v>60</v>
      </c>
      <c r="O2030" t="s">
        <v>5000</v>
      </c>
      <c r="P2030" t="s">
        <v>4171</v>
      </c>
      <c r="R2030">
        <v>43301.573784722219</v>
      </c>
      <c r="S2030">
        <v>43410.694305555553</v>
      </c>
      <c r="T2030" t="s">
        <v>301</v>
      </c>
      <c r="U2030" t="s">
        <v>35</v>
      </c>
      <c r="V2030" t="s">
        <v>321</v>
      </c>
      <c r="W2030" t="s">
        <v>4098</v>
      </c>
    </row>
    <row r="2031" spans="1:23" x14ac:dyDescent="0.25">
      <c r="A2031" t="s">
        <v>641</v>
      </c>
      <c r="B2031" s="19">
        <v>21147</v>
      </c>
      <c r="C2031" s="2">
        <f>HYPERLINK(URLs!B36 &amp; 112706,112706)</f>
        <v>112706</v>
      </c>
      <c r="D2031" t="s">
        <v>4999</v>
      </c>
      <c r="E2031" t="s">
        <v>131</v>
      </c>
      <c r="F2031" t="s">
        <v>305</v>
      </c>
      <c r="G2031" t="s">
        <v>304</v>
      </c>
      <c r="H2031" t="s">
        <v>116</v>
      </c>
      <c r="I2031" t="s">
        <v>31</v>
      </c>
      <c r="J2031" t="s">
        <v>43</v>
      </c>
      <c r="K2031" t="s">
        <v>44</v>
      </c>
      <c r="L2031" t="s">
        <v>73</v>
      </c>
      <c r="M2031" t="s">
        <v>263</v>
      </c>
      <c r="N2031" t="s">
        <v>4821</v>
      </c>
      <c r="O2031" t="s">
        <v>5000</v>
      </c>
      <c r="P2031" t="s">
        <v>4171</v>
      </c>
      <c r="R2031">
        <v>43214.635196759256</v>
      </c>
      <c r="S2031">
        <v>43424.493622685186</v>
      </c>
      <c r="T2031" t="s">
        <v>3671</v>
      </c>
      <c r="U2031" t="s">
        <v>4830</v>
      </c>
      <c r="V2031" t="s">
        <v>321</v>
      </c>
      <c r="W2031" t="s">
        <v>4171</v>
      </c>
    </row>
    <row r="2032" spans="1:23" x14ac:dyDescent="0.25">
      <c r="A2032" t="s">
        <v>641</v>
      </c>
      <c r="B2032" s="19">
        <v>21170</v>
      </c>
      <c r="C2032" s="2">
        <f>HYPERLINK(URLs!B36 &amp; 120668,120668)</f>
        <v>120668</v>
      </c>
      <c r="D2032" t="s">
        <v>4958</v>
      </c>
      <c r="E2032" t="s">
        <v>4214</v>
      </c>
      <c r="F2032" t="s">
        <v>67</v>
      </c>
      <c r="H2032" t="s">
        <v>116</v>
      </c>
      <c r="I2032" t="s">
        <v>68</v>
      </c>
      <c r="J2032" t="s">
        <v>43</v>
      </c>
      <c r="K2032" t="s">
        <v>33</v>
      </c>
      <c r="L2032" t="s">
        <v>52</v>
      </c>
      <c r="M2032" t="s">
        <v>4959</v>
      </c>
      <c r="N2032" t="s">
        <v>46</v>
      </c>
      <c r="P2032" t="s">
        <v>307</v>
      </c>
      <c r="R2032">
        <v>43381.582488425927</v>
      </c>
      <c r="S2032">
        <v>43402.847002314818</v>
      </c>
      <c r="T2032" t="s">
        <v>192</v>
      </c>
      <c r="U2032" t="s">
        <v>35</v>
      </c>
      <c r="V2032" t="s">
        <v>35</v>
      </c>
      <c r="W2032" t="s">
        <v>4098</v>
      </c>
    </row>
    <row r="2033" spans="1:23" x14ac:dyDescent="0.25">
      <c r="A2033" t="s">
        <v>641</v>
      </c>
      <c r="B2033" s="19">
        <v>21171</v>
      </c>
      <c r="C2033" s="2">
        <f>HYPERLINK(URLs!B36 &amp; 121566,121566)</f>
        <v>121566</v>
      </c>
      <c r="D2033" t="s">
        <v>4977</v>
      </c>
      <c r="E2033" t="s">
        <v>134</v>
      </c>
      <c r="F2033" t="s">
        <v>319</v>
      </c>
      <c r="G2033" t="s">
        <v>304</v>
      </c>
      <c r="H2033" t="s">
        <v>116</v>
      </c>
      <c r="I2033" t="s">
        <v>31</v>
      </c>
      <c r="J2033" t="s">
        <v>32</v>
      </c>
      <c r="K2033" t="s">
        <v>44</v>
      </c>
      <c r="L2033" t="s">
        <v>96</v>
      </c>
      <c r="M2033" t="s">
        <v>269</v>
      </c>
      <c r="N2033" t="s">
        <v>4821</v>
      </c>
      <c r="P2033" t="s">
        <v>4949</v>
      </c>
      <c r="Q2033" t="s">
        <v>4987</v>
      </c>
      <c r="R2033">
        <v>43402.873807870368</v>
      </c>
      <c r="S2033">
        <v>43423.194722222222</v>
      </c>
      <c r="T2033" t="s">
        <v>53</v>
      </c>
      <c r="U2033" t="s">
        <v>4978</v>
      </c>
      <c r="V2033" t="s">
        <v>321</v>
      </c>
      <c r="W2033" t="s">
        <v>4171</v>
      </c>
    </row>
    <row r="2034" spans="1:23" x14ac:dyDescent="0.25">
      <c r="A2034" t="s">
        <v>641</v>
      </c>
      <c r="B2034" s="19">
        <v>21171</v>
      </c>
      <c r="C2034" s="2">
        <f>HYPERLINK(URLs!B36 &amp; 121565,121565)</f>
        <v>121565</v>
      </c>
      <c r="D2034" t="s">
        <v>4976</v>
      </c>
      <c r="E2034" t="s">
        <v>288</v>
      </c>
      <c r="F2034" t="s">
        <v>67</v>
      </c>
      <c r="H2034" t="s">
        <v>116</v>
      </c>
      <c r="I2034" t="s">
        <v>31</v>
      </c>
      <c r="J2034" t="s">
        <v>32</v>
      </c>
      <c r="K2034" t="s">
        <v>44</v>
      </c>
      <c r="L2034" t="s">
        <v>96</v>
      </c>
      <c r="M2034" t="s">
        <v>269</v>
      </c>
      <c r="N2034" t="s">
        <v>46</v>
      </c>
      <c r="P2034" t="s">
        <v>4949</v>
      </c>
      <c r="R2034">
        <v>43402.873819444445</v>
      </c>
      <c r="S2034">
        <v>43402.883240740739</v>
      </c>
      <c r="T2034" t="s">
        <v>53</v>
      </c>
      <c r="U2034" t="s">
        <v>35</v>
      </c>
      <c r="V2034" t="s">
        <v>321</v>
      </c>
      <c r="W2034" t="s">
        <v>4098</v>
      </c>
    </row>
    <row r="2035" spans="1:23" x14ac:dyDescent="0.25">
      <c r="A2035" t="s">
        <v>641</v>
      </c>
      <c r="B2035" s="19">
        <v>21171</v>
      </c>
      <c r="C2035" s="2">
        <f>HYPERLINK(URLs!B36 &amp; 121564,121564)</f>
        <v>121564</v>
      </c>
      <c r="D2035" t="s">
        <v>5048</v>
      </c>
      <c r="E2035" t="s">
        <v>3671</v>
      </c>
      <c r="F2035" t="s">
        <v>305</v>
      </c>
      <c r="G2035" t="s">
        <v>304</v>
      </c>
      <c r="H2035" t="s">
        <v>116</v>
      </c>
      <c r="I2035" t="s">
        <v>31</v>
      </c>
      <c r="J2035" t="s">
        <v>32</v>
      </c>
      <c r="K2035" t="s">
        <v>44</v>
      </c>
      <c r="L2035" t="s">
        <v>96</v>
      </c>
      <c r="M2035" t="s">
        <v>269</v>
      </c>
      <c r="N2035" t="s">
        <v>5004</v>
      </c>
      <c r="P2035" t="s">
        <v>4949</v>
      </c>
      <c r="Q2035" t="s">
        <v>69</v>
      </c>
      <c r="R2035">
        <v>43402.867013888892</v>
      </c>
      <c r="S2035">
        <v>43419.822847222225</v>
      </c>
      <c r="T2035" t="s">
        <v>1</v>
      </c>
      <c r="U2035" t="s">
        <v>5020</v>
      </c>
      <c r="V2035" t="s">
        <v>321</v>
      </c>
      <c r="W2035" t="s">
        <v>5001</v>
      </c>
    </row>
    <row r="2036" spans="1:23" x14ac:dyDescent="0.25">
      <c r="A2036" t="s">
        <v>618</v>
      </c>
      <c r="B2036" s="19">
        <v>21195</v>
      </c>
      <c r="C2036" s="2">
        <f>HYPERLINK(URLs!B36 &amp; 119952,119952)</f>
        <v>119952</v>
      </c>
      <c r="D2036" t="s">
        <v>4982</v>
      </c>
      <c r="E2036" t="s">
        <v>387</v>
      </c>
      <c r="F2036" t="s">
        <v>67</v>
      </c>
      <c r="H2036" t="s">
        <v>54</v>
      </c>
      <c r="I2036" t="s">
        <v>31</v>
      </c>
      <c r="J2036" t="s">
        <v>32</v>
      </c>
      <c r="K2036" t="s">
        <v>44</v>
      </c>
      <c r="L2036" t="s">
        <v>73</v>
      </c>
      <c r="M2036" t="s">
        <v>263</v>
      </c>
      <c r="N2036" t="s">
        <v>60</v>
      </c>
      <c r="P2036" t="s">
        <v>4436</v>
      </c>
      <c r="R2036">
        <v>43363.634710648148</v>
      </c>
      <c r="S2036">
        <v>43404.831990740742</v>
      </c>
      <c r="T2036" t="s">
        <v>301</v>
      </c>
      <c r="U2036" t="s">
        <v>35</v>
      </c>
      <c r="V2036" t="s">
        <v>35</v>
      </c>
      <c r="W2036" t="s">
        <v>4171</v>
      </c>
    </row>
    <row r="2037" spans="1:23" x14ac:dyDescent="0.25">
      <c r="A2037" t="s">
        <v>618</v>
      </c>
      <c r="B2037" s="19">
        <v>21195</v>
      </c>
      <c r="C2037" s="2">
        <f>HYPERLINK(URLs!B36 &amp; 119951,119951)</f>
        <v>119951</v>
      </c>
      <c r="D2037" t="s">
        <v>4981</v>
      </c>
      <c r="E2037" t="s">
        <v>3313</v>
      </c>
      <c r="F2037" t="s">
        <v>67</v>
      </c>
      <c r="H2037" t="s">
        <v>54</v>
      </c>
      <c r="I2037" t="s">
        <v>31</v>
      </c>
      <c r="J2037" t="s">
        <v>32</v>
      </c>
      <c r="K2037" t="s">
        <v>44</v>
      </c>
      <c r="L2037" t="s">
        <v>73</v>
      </c>
      <c r="M2037" t="s">
        <v>263</v>
      </c>
      <c r="N2037" t="s">
        <v>60</v>
      </c>
      <c r="P2037" t="s">
        <v>4436</v>
      </c>
      <c r="R2037">
        <v>43363.634710648148</v>
      </c>
      <c r="S2037">
        <v>43404.831747685188</v>
      </c>
      <c r="T2037" t="s">
        <v>301</v>
      </c>
      <c r="U2037" t="s">
        <v>35</v>
      </c>
      <c r="V2037" t="s">
        <v>35</v>
      </c>
      <c r="W2037" t="s">
        <v>4098</v>
      </c>
    </row>
    <row r="2038" spans="1:23" x14ac:dyDescent="0.25">
      <c r="A2038" t="s">
        <v>618</v>
      </c>
      <c r="B2038" s="19">
        <v>21195</v>
      </c>
      <c r="C2038" s="2">
        <f>HYPERLINK(URLs!B36 &amp; 119609,119609)</f>
        <v>119609</v>
      </c>
      <c r="D2038" t="s">
        <v>4980</v>
      </c>
      <c r="E2038" t="s">
        <v>3313</v>
      </c>
      <c r="F2038" t="s">
        <v>67</v>
      </c>
      <c r="H2038" t="s">
        <v>54</v>
      </c>
      <c r="I2038" t="s">
        <v>31</v>
      </c>
      <c r="J2038" t="s">
        <v>32</v>
      </c>
      <c r="K2038" t="s">
        <v>44</v>
      </c>
      <c r="L2038" t="s">
        <v>73</v>
      </c>
      <c r="M2038" t="s">
        <v>263</v>
      </c>
      <c r="N2038" t="s">
        <v>60</v>
      </c>
      <c r="P2038" t="s">
        <v>4436</v>
      </c>
      <c r="R2038">
        <v>43355.871898148151</v>
      </c>
      <c r="S2038">
        <v>43404.831458333334</v>
      </c>
      <c r="T2038" t="s">
        <v>1</v>
      </c>
      <c r="U2038" t="s">
        <v>35</v>
      </c>
      <c r="V2038" t="s">
        <v>35</v>
      </c>
      <c r="W2038" t="s">
        <v>4410</v>
      </c>
    </row>
    <row r="2039" spans="1:23" x14ac:dyDescent="0.25">
      <c r="A2039" t="s">
        <v>618</v>
      </c>
      <c r="B2039" s="19">
        <v>21196</v>
      </c>
      <c r="C2039" s="2">
        <f>HYPERLINK(URLs!B36 &amp; 121206,121206)</f>
        <v>121206</v>
      </c>
      <c r="D2039" t="s">
        <v>4985</v>
      </c>
      <c r="E2039" t="s">
        <v>167</v>
      </c>
      <c r="F2039" t="s">
        <v>319</v>
      </c>
      <c r="G2039" t="s">
        <v>353</v>
      </c>
      <c r="H2039" t="s">
        <v>56</v>
      </c>
      <c r="I2039" t="s">
        <v>68</v>
      </c>
      <c r="J2039" t="s">
        <v>43</v>
      </c>
      <c r="K2039" t="s">
        <v>33</v>
      </c>
      <c r="L2039" t="s">
        <v>34</v>
      </c>
      <c r="M2039" t="s">
        <v>3704</v>
      </c>
      <c r="N2039" t="s">
        <v>46</v>
      </c>
      <c r="O2039" t="s">
        <v>4986</v>
      </c>
      <c r="P2039" t="s">
        <v>307</v>
      </c>
      <c r="R2039">
        <v>43392.798541666663</v>
      </c>
      <c r="S2039">
        <v>43404.850787037038</v>
      </c>
      <c r="T2039" t="s">
        <v>1</v>
      </c>
      <c r="U2039" t="s">
        <v>35</v>
      </c>
      <c r="V2039" t="s">
        <v>35</v>
      </c>
      <c r="W2039" t="s">
        <v>4349</v>
      </c>
    </row>
    <row r="2040" spans="1:23" x14ac:dyDescent="0.25">
      <c r="A2040" t="s">
        <v>618</v>
      </c>
      <c r="B2040" s="19">
        <v>21196</v>
      </c>
      <c r="C2040" s="2">
        <f>HYPERLINK(URLs!B36 &amp; 114771,114771)</f>
        <v>114771</v>
      </c>
      <c r="D2040" t="s">
        <v>4984</v>
      </c>
      <c r="E2040" t="s">
        <v>405</v>
      </c>
      <c r="F2040" t="s">
        <v>67</v>
      </c>
      <c r="H2040" t="s">
        <v>54</v>
      </c>
      <c r="I2040" t="s">
        <v>31</v>
      </c>
      <c r="J2040" t="s">
        <v>32</v>
      </c>
      <c r="K2040" t="s">
        <v>33</v>
      </c>
      <c r="L2040" t="s">
        <v>34</v>
      </c>
      <c r="M2040" t="s">
        <v>3704</v>
      </c>
      <c r="N2040" t="s">
        <v>60</v>
      </c>
      <c r="P2040" t="s">
        <v>307</v>
      </c>
      <c r="R2040">
        <v>43255.583449074074</v>
      </c>
      <c r="S2040">
        <v>43404.851134259261</v>
      </c>
      <c r="T2040" t="s">
        <v>53</v>
      </c>
      <c r="U2040" t="s">
        <v>35</v>
      </c>
      <c r="V2040" t="s">
        <v>35</v>
      </c>
      <c r="W2040" t="s">
        <v>4175</v>
      </c>
    </row>
    <row r="2041" spans="1:23" x14ac:dyDescent="0.25">
      <c r="A2041" t="s">
        <v>618</v>
      </c>
      <c r="B2041" s="19">
        <v>21244</v>
      </c>
      <c r="C2041" s="2">
        <f>HYPERLINK(URLs!B36 &amp; 121205,121205)</f>
        <v>121205</v>
      </c>
      <c r="D2041" t="s">
        <v>5053</v>
      </c>
      <c r="E2041" t="s">
        <v>5054</v>
      </c>
      <c r="F2041" t="s">
        <v>42</v>
      </c>
      <c r="H2041" t="s">
        <v>56</v>
      </c>
      <c r="I2041" t="s">
        <v>31</v>
      </c>
      <c r="J2041" t="s">
        <v>32</v>
      </c>
      <c r="K2041" t="s">
        <v>33</v>
      </c>
      <c r="L2041" t="s">
        <v>34</v>
      </c>
      <c r="M2041" t="s">
        <v>279</v>
      </c>
      <c r="N2041" t="s">
        <v>46</v>
      </c>
      <c r="O2041" t="s">
        <v>5055</v>
      </c>
      <c r="P2041" t="s">
        <v>307</v>
      </c>
      <c r="R2041">
        <v>43392.786863425928</v>
      </c>
      <c r="S2041">
        <v>43412.919421296298</v>
      </c>
      <c r="T2041" t="s">
        <v>1</v>
      </c>
      <c r="U2041" t="s">
        <v>35</v>
      </c>
      <c r="V2041" t="s">
        <v>321</v>
      </c>
      <c r="W2041" t="s">
        <v>4126</v>
      </c>
    </row>
    <row r="2042" spans="1:23" x14ac:dyDescent="0.25">
      <c r="A2042" t="s">
        <v>618</v>
      </c>
      <c r="B2042" s="19">
        <v>21266</v>
      </c>
      <c r="C2042" s="2">
        <f>HYPERLINK(URLs!B36 &amp; 122054,122054)</f>
        <v>122054</v>
      </c>
      <c r="D2042" t="s">
        <v>5083</v>
      </c>
      <c r="E2042" t="s">
        <v>4899</v>
      </c>
      <c r="F2042" t="s">
        <v>67</v>
      </c>
      <c r="H2042" t="s">
        <v>30</v>
      </c>
      <c r="I2042" t="s">
        <v>57</v>
      </c>
      <c r="J2042" t="s">
        <v>58</v>
      </c>
      <c r="K2042" t="s">
        <v>33</v>
      </c>
      <c r="L2042" t="s">
        <v>34</v>
      </c>
      <c r="M2042" t="s">
        <v>5112</v>
      </c>
      <c r="N2042" t="s">
        <v>46</v>
      </c>
      <c r="O2042" t="s">
        <v>5102</v>
      </c>
      <c r="P2042" t="s">
        <v>69</v>
      </c>
      <c r="R2042">
        <v>43418.400300925925</v>
      </c>
      <c r="S2042">
        <v>43424.777881944443</v>
      </c>
      <c r="T2042" t="s">
        <v>4</v>
      </c>
      <c r="U2042" t="s">
        <v>35</v>
      </c>
      <c r="V2042" t="s">
        <v>35</v>
      </c>
      <c r="W2042" t="s">
        <v>4126</v>
      </c>
    </row>
    <row r="2043" spans="1:23" x14ac:dyDescent="0.25">
      <c r="A2043" t="s">
        <v>618</v>
      </c>
      <c r="B2043" s="19">
        <v>21290</v>
      </c>
      <c r="C2043" s="2">
        <f>HYPERLINK(URLs!B36 &amp; 122125,122125)</f>
        <v>122125</v>
      </c>
      <c r="D2043" t="s">
        <v>5104</v>
      </c>
      <c r="E2043" t="s">
        <v>4882</v>
      </c>
      <c r="F2043" t="s">
        <v>67</v>
      </c>
      <c r="H2043" t="s">
        <v>54</v>
      </c>
      <c r="I2043" t="s">
        <v>68</v>
      </c>
      <c r="J2043" t="s">
        <v>43</v>
      </c>
      <c r="K2043" t="s">
        <v>33</v>
      </c>
      <c r="L2043" t="s">
        <v>45</v>
      </c>
      <c r="M2043" t="s">
        <v>260</v>
      </c>
      <c r="N2043" t="s">
        <v>46</v>
      </c>
      <c r="P2043" t="s">
        <v>4436</v>
      </c>
      <c r="R2043">
        <v>43420.340949074074</v>
      </c>
      <c r="S2043">
        <v>43422.717222222222</v>
      </c>
      <c r="T2043" t="s">
        <v>4</v>
      </c>
      <c r="U2043" t="s">
        <v>35</v>
      </c>
      <c r="V2043" t="s">
        <v>35</v>
      </c>
      <c r="W2043" t="s">
        <v>4126</v>
      </c>
    </row>
    <row r="2044" spans="1:23" x14ac:dyDescent="0.25">
      <c r="A2044" t="s">
        <v>641</v>
      </c>
      <c r="B2044" s="19">
        <v>21299</v>
      </c>
      <c r="C2044" s="2">
        <f>HYPERLINK(URLs!B36 &amp; 109426,109426)</f>
        <v>109426</v>
      </c>
      <c r="D2044" t="s">
        <v>5098</v>
      </c>
      <c r="E2044" t="s">
        <v>288</v>
      </c>
      <c r="F2044" t="s">
        <v>67</v>
      </c>
      <c r="H2044" t="s">
        <v>56</v>
      </c>
      <c r="I2044" t="s">
        <v>68</v>
      </c>
      <c r="J2044" t="s">
        <v>43</v>
      </c>
      <c r="K2044" t="s">
        <v>33</v>
      </c>
      <c r="L2044" t="s">
        <v>96</v>
      </c>
      <c r="M2044" t="s">
        <v>269</v>
      </c>
      <c r="N2044" t="s">
        <v>46</v>
      </c>
      <c r="P2044" t="s">
        <v>307</v>
      </c>
      <c r="R2044">
        <v>43115.936967592592</v>
      </c>
      <c r="S2044">
        <v>43423.826064814813</v>
      </c>
      <c r="T2044" t="s">
        <v>288</v>
      </c>
      <c r="U2044" t="s">
        <v>35</v>
      </c>
      <c r="V2044" t="s">
        <v>35</v>
      </c>
      <c r="W2044" t="s">
        <v>4098</v>
      </c>
    </row>
    <row r="2045" spans="1:23" x14ac:dyDescent="0.25">
      <c r="B2045" s="19">
        <v>75113</v>
      </c>
      <c r="C2045" s="2">
        <f>HYPERLINK(URLs!B36 &amp; 84463,84463)</f>
        <v>84463</v>
      </c>
      <c r="D2045" t="s">
        <v>3152</v>
      </c>
      <c r="E2045" t="s">
        <v>72</v>
      </c>
      <c r="F2045" t="s">
        <v>305</v>
      </c>
      <c r="G2045" t="s">
        <v>337</v>
      </c>
      <c r="H2045" t="s">
        <v>30</v>
      </c>
      <c r="I2045" t="s">
        <v>68</v>
      </c>
      <c r="J2045" t="s">
        <v>43</v>
      </c>
      <c r="K2045" t="s">
        <v>33</v>
      </c>
      <c r="L2045" t="s">
        <v>73</v>
      </c>
      <c r="M2045" t="s">
        <v>263</v>
      </c>
      <c r="N2045" t="s">
        <v>46</v>
      </c>
      <c r="P2045" t="s">
        <v>491</v>
      </c>
      <c r="Q2045" t="s">
        <v>491</v>
      </c>
      <c r="R2045">
        <v>42534.33971064815</v>
      </c>
      <c r="S2045">
        <v>42759.723321759258</v>
      </c>
      <c r="T2045" t="s">
        <v>72</v>
      </c>
      <c r="U2045" t="s">
        <v>35</v>
      </c>
      <c r="V2045" t="s">
        <v>35</v>
      </c>
      <c r="W2045" t="s">
        <v>69</v>
      </c>
    </row>
    <row r="2046" spans="1:23" x14ac:dyDescent="0.25">
      <c r="B2046" s="19">
        <v>75113</v>
      </c>
      <c r="C2046" s="2">
        <f>HYPERLINK(URLs!B36 &amp; 81753,81753)</f>
        <v>81753</v>
      </c>
      <c r="D2046" t="s">
        <v>3093</v>
      </c>
      <c r="E2046" t="s">
        <v>139</v>
      </c>
      <c r="F2046" t="s">
        <v>305</v>
      </c>
      <c r="G2046" t="s">
        <v>304</v>
      </c>
      <c r="H2046" t="s">
        <v>30</v>
      </c>
      <c r="I2046" t="s">
        <v>31</v>
      </c>
      <c r="J2046" t="s">
        <v>43</v>
      </c>
      <c r="K2046" t="s">
        <v>44</v>
      </c>
      <c r="L2046" t="s">
        <v>73</v>
      </c>
      <c r="M2046" t="s">
        <v>263</v>
      </c>
      <c r="N2046" t="s">
        <v>46</v>
      </c>
      <c r="P2046" t="s">
        <v>491</v>
      </c>
      <c r="Q2046" t="s">
        <v>491</v>
      </c>
      <c r="R2046">
        <v>42487.548657407409</v>
      </c>
      <c r="S2046">
        <v>42634.393391203703</v>
      </c>
      <c r="T2046" t="s">
        <v>139</v>
      </c>
      <c r="U2046" t="s">
        <v>35</v>
      </c>
      <c r="V2046" t="s">
        <v>35</v>
      </c>
      <c r="W2046" t="s">
        <v>3428</v>
      </c>
    </row>
    <row r="2047" spans="1:23" x14ac:dyDescent="0.25">
      <c r="B2047" s="19">
        <v>99999</v>
      </c>
      <c r="C2047" s="2">
        <f>HYPERLINK(URLs!B36 &amp; 121921,121921)</f>
        <v>121921</v>
      </c>
      <c r="D2047" t="s">
        <v>5057</v>
      </c>
      <c r="E2047" t="s">
        <v>4763</v>
      </c>
      <c r="F2047" t="s">
        <v>4087</v>
      </c>
      <c r="H2047" t="s">
        <v>56</v>
      </c>
      <c r="I2047" t="s">
        <v>68</v>
      </c>
      <c r="J2047" t="s">
        <v>43</v>
      </c>
      <c r="K2047" t="s">
        <v>33</v>
      </c>
      <c r="L2047" t="s">
        <v>4851</v>
      </c>
      <c r="M2047" t="s">
        <v>4851</v>
      </c>
      <c r="N2047" t="s">
        <v>46</v>
      </c>
      <c r="P2047" t="s">
        <v>56</v>
      </c>
      <c r="R2047">
        <v>43413.560856481483</v>
      </c>
      <c r="S2047">
        <v>43413.561805555553</v>
      </c>
      <c r="T2047" t="s">
        <v>4320</v>
      </c>
      <c r="U2047" t="s">
        <v>35</v>
      </c>
      <c r="V2047" t="s">
        <v>35</v>
      </c>
      <c r="W2047" t="s">
        <v>35</v>
      </c>
    </row>
    <row r="2048" spans="1:23" x14ac:dyDescent="0.25">
      <c r="B2048" s="19">
        <v>99999</v>
      </c>
      <c r="C2048" s="2">
        <f>HYPERLINK(URLs!B36 &amp; 121539,121539)</f>
        <v>121539</v>
      </c>
      <c r="D2048" t="s">
        <v>4968</v>
      </c>
      <c r="E2048" t="s">
        <v>4763</v>
      </c>
      <c r="F2048" t="s">
        <v>4087</v>
      </c>
      <c r="H2048" t="s">
        <v>56</v>
      </c>
      <c r="I2048" t="s">
        <v>68</v>
      </c>
      <c r="J2048" t="s">
        <v>43</v>
      </c>
      <c r="K2048" t="s">
        <v>33</v>
      </c>
      <c r="L2048" t="s">
        <v>4851</v>
      </c>
      <c r="M2048" t="s">
        <v>4851</v>
      </c>
      <c r="N2048" t="s">
        <v>46</v>
      </c>
      <c r="P2048" t="s">
        <v>2708</v>
      </c>
      <c r="R2048">
        <v>43402.497835648152</v>
      </c>
      <c r="S2048">
        <v>43402.498715277776</v>
      </c>
      <c r="T2048" t="s">
        <v>4460</v>
      </c>
      <c r="U2048" t="s">
        <v>35</v>
      </c>
      <c r="V2048" t="s">
        <v>35</v>
      </c>
      <c r="W2048" t="s">
        <v>35</v>
      </c>
    </row>
    <row r="2049" spans="2:23" x14ac:dyDescent="0.25">
      <c r="B2049" s="19">
        <v>99999</v>
      </c>
      <c r="C2049" s="2">
        <f>HYPERLINK(URLs!B36 &amp; 121537,121537)</f>
        <v>121537</v>
      </c>
      <c r="D2049" t="s">
        <v>4967</v>
      </c>
      <c r="E2049" t="s">
        <v>4763</v>
      </c>
      <c r="F2049" t="s">
        <v>4087</v>
      </c>
      <c r="H2049" t="s">
        <v>56</v>
      </c>
      <c r="I2049" t="s">
        <v>68</v>
      </c>
      <c r="J2049" t="s">
        <v>43</v>
      </c>
      <c r="K2049" t="s">
        <v>33</v>
      </c>
      <c r="L2049" t="s">
        <v>4851</v>
      </c>
      <c r="M2049" t="s">
        <v>4851</v>
      </c>
      <c r="N2049" t="s">
        <v>46</v>
      </c>
      <c r="P2049" t="s">
        <v>56</v>
      </c>
      <c r="R2049">
        <v>43402.482106481482</v>
      </c>
      <c r="S2049">
        <v>43402.499548611115</v>
      </c>
      <c r="T2049" t="s">
        <v>4460</v>
      </c>
      <c r="U2049" t="s">
        <v>35</v>
      </c>
      <c r="V2049" t="s">
        <v>35</v>
      </c>
      <c r="W2049" t="s">
        <v>35</v>
      </c>
    </row>
    <row r="2050" spans="2:23" x14ac:dyDescent="0.25">
      <c r="B2050" s="19">
        <v>99999</v>
      </c>
      <c r="C2050" s="2">
        <f>HYPERLINK(URLs!B36 &amp; 120846,120846)</f>
        <v>120846</v>
      </c>
      <c r="D2050" t="s">
        <v>4934</v>
      </c>
      <c r="E2050" t="s">
        <v>4763</v>
      </c>
      <c r="F2050" t="s">
        <v>4087</v>
      </c>
      <c r="H2050" t="s">
        <v>56</v>
      </c>
      <c r="I2050" t="s">
        <v>68</v>
      </c>
      <c r="J2050" t="s">
        <v>43</v>
      </c>
      <c r="K2050" t="s">
        <v>33</v>
      </c>
      <c r="L2050" t="s">
        <v>4851</v>
      </c>
      <c r="M2050" t="s">
        <v>4851</v>
      </c>
      <c r="N2050" t="s">
        <v>46</v>
      </c>
      <c r="P2050" t="s">
        <v>56</v>
      </c>
      <c r="R2050">
        <v>43384.279606481483</v>
      </c>
      <c r="S2050">
        <v>43384.280381944445</v>
      </c>
      <c r="T2050" t="s">
        <v>3693</v>
      </c>
      <c r="U2050" t="s">
        <v>35</v>
      </c>
      <c r="V2050" t="s">
        <v>35</v>
      </c>
      <c r="W2050" t="s">
        <v>35</v>
      </c>
    </row>
    <row r="2051" spans="2:23" x14ac:dyDescent="0.25">
      <c r="B2051" s="19">
        <v>99999</v>
      </c>
      <c r="C2051" s="2">
        <f>HYPERLINK(URLs!B36 &amp; 120402,120402)</f>
        <v>120402</v>
      </c>
      <c r="D2051" t="s">
        <v>4912</v>
      </c>
      <c r="E2051" t="s">
        <v>4763</v>
      </c>
      <c r="F2051" t="s">
        <v>4087</v>
      </c>
      <c r="H2051" t="s">
        <v>56</v>
      </c>
      <c r="I2051" t="s">
        <v>68</v>
      </c>
      <c r="J2051" t="s">
        <v>43</v>
      </c>
      <c r="K2051" t="s">
        <v>33</v>
      </c>
      <c r="L2051" t="s">
        <v>4851</v>
      </c>
      <c r="M2051" t="s">
        <v>4851</v>
      </c>
      <c r="N2051" t="s">
        <v>46</v>
      </c>
      <c r="P2051" t="s">
        <v>56</v>
      </c>
      <c r="R2051">
        <v>43376.298657407409</v>
      </c>
      <c r="S2051">
        <v>43376.300138888888</v>
      </c>
      <c r="T2051" t="s">
        <v>4767</v>
      </c>
      <c r="U2051" t="s">
        <v>35</v>
      </c>
      <c r="V2051" t="s">
        <v>35</v>
      </c>
      <c r="W2051" t="s">
        <v>35</v>
      </c>
    </row>
    <row r="2052" spans="2:23" x14ac:dyDescent="0.25">
      <c r="B2052" s="19">
        <v>99999</v>
      </c>
      <c r="C2052" s="2">
        <f>HYPERLINK(URLs!B36 &amp; 120226,120226)</f>
        <v>120226</v>
      </c>
      <c r="D2052" t="s">
        <v>4910</v>
      </c>
      <c r="E2052" t="s">
        <v>4763</v>
      </c>
      <c r="F2052" t="s">
        <v>4087</v>
      </c>
      <c r="H2052" t="s">
        <v>56</v>
      </c>
      <c r="I2052" t="s">
        <v>68</v>
      </c>
      <c r="J2052" t="s">
        <v>43</v>
      </c>
      <c r="K2052" t="s">
        <v>33</v>
      </c>
      <c r="L2052" t="s">
        <v>4851</v>
      </c>
      <c r="M2052" t="s">
        <v>4851</v>
      </c>
      <c r="N2052" t="s">
        <v>46</v>
      </c>
      <c r="P2052" t="s">
        <v>56</v>
      </c>
      <c r="R2052">
        <v>43370.297337962962</v>
      </c>
      <c r="S2052">
        <v>43370.465219907404</v>
      </c>
      <c r="T2052" t="s">
        <v>4320</v>
      </c>
      <c r="U2052" t="s">
        <v>35</v>
      </c>
      <c r="V2052" t="s">
        <v>35</v>
      </c>
      <c r="W2052" t="s">
        <v>35</v>
      </c>
    </row>
    <row r="2053" spans="2:23" x14ac:dyDescent="0.25">
      <c r="B2053" s="19">
        <v>99999</v>
      </c>
      <c r="C2053" s="2">
        <f>HYPERLINK(URLs!B36 &amp; 120095,120095)</f>
        <v>120095</v>
      </c>
      <c r="D2053" t="s">
        <v>4905</v>
      </c>
      <c r="E2053" t="s">
        <v>4763</v>
      </c>
      <c r="F2053" t="s">
        <v>4087</v>
      </c>
      <c r="H2053" t="s">
        <v>56</v>
      </c>
      <c r="I2053" t="s">
        <v>68</v>
      </c>
      <c r="J2053" t="s">
        <v>58</v>
      </c>
      <c r="K2053" t="s">
        <v>44</v>
      </c>
      <c r="L2053" t="s">
        <v>4851</v>
      </c>
      <c r="M2053" t="s">
        <v>4851</v>
      </c>
      <c r="N2053" t="s">
        <v>46</v>
      </c>
      <c r="P2053" t="s">
        <v>4893</v>
      </c>
      <c r="R2053">
        <v>43368.282349537039</v>
      </c>
      <c r="S2053">
        <v>43368.491469907407</v>
      </c>
      <c r="T2053" t="s">
        <v>3367</v>
      </c>
      <c r="U2053" t="s">
        <v>35</v>
      </c>
      <c r="V2053" t="s">
        <v>35</v>
      </c>
      <c r="W2053" t="s">
        <v>35</v>
      </c>
    </row>
    <row r="2054" spans="2:23" x14ac:dyDescent="0.25">
      <c r="B2054" s="19">
        <v>99999</v>
      </c>
      <c r="C2054" s="2">
        <f>HYPERLINK(URLs!B36 &amp; 119972,119972)</f>
        <v>119972</v>
      </c>
      <c r="D2054" t="s">
        <v>4898</v>
      </c>
      <c r="E2054" t="s">
        <v>4763</v>
      </c>
      <c r="F2054" t="s">
        <v>4087</v>
      </c>
      <c r="H2054" t="s">
        <v>56</v>
      </c>
      <c r="I2054" t="s">
        <v>68</v>
      </c>
      <c r="J2054" t="s">
        <v>43</v>
      </c>
      <c r="K2054" t="s">
        <v>33</v>
      </c>
      <c r="L2054" t="s">
        <v>4851</v>
      </c>
      <c r="M2054" t="s">
        <v>4851</v>
      </c>
      <c r="N2054" t="s">
        <v>46</v>
      </c>
      <c r="P2054" t="s">
        <v>4459</v>
      </c>
      <c r="R2054">
        <v>43364.225891203707</v>
      </c>
      <c r="S2054">
        <v>43364.227314814816</v>
      </c>
      <c r="T2054" t="s">
        <v>4320</v>
      </c>
      <c r="U2054" t="s">
        <v>35</v>
      </c>
      <c r="V2054" t="s">
        <v>35</v>
      </c>
      <c r="W2054" t="s">
        <v>35</v>
      </c>
    </row>
    <row r="2055" spans="2:23" x14ac:dyDescent="0.25">
      <c r="B2055" s="19">
        <v>99999</v>
      </c>
      <c r="C2055" s="2">
        <f>HYPERLINK(URLs!B36 &amp; 119927,119927)</f>
        <v>119927</v>
      </c>
      <c r="D2055" t="s">
        <v>4892</v>
      </c>
      <c r="E2055" t="s">
        <v>4763</v>
      </c>
      <c r="F2055" t="s">
        <v>4087</v>
      </c>
      <c r="H2055" t="s">
        <v>56</v>
      </c>
      <c r="I2055" t="s">
        <v>68</v>
      </c>
      <c r="J2055" t="s">
        <v>58</v>
      </c>
      <c r="K2055" t="s">
        <v>44</v>
      </c>
      <c r="L2055" t="s">
        <v>4851</v>
      </c>
      <c r="M2055" t="s">
        <v>4851</v>
      </c>
      <c r="N2055" t="s">
        <v>46</v>
      </c>
      <c r="P2055" t="s">
        <v>4893</v>
      </c>
      <c r="R2055">
        <v>43363.41207175926</v>
      </c>
      <c r="S2055">
        <v>43363.413553240738</v>
      </c>
      <c r="T2055" t="s">
        <v>4460</v>
      </c>
      <c r="U2055" t="s">
        <v>35</v>
      </c>
      <c r="V2055" t="s">
        <v>35</v>
      </c>
      <c r="W2055" t="s">
        <v>35</v>
      </c>
    </row>
    <row r="2056" spans="2:23" x14ac:dyDescent="0.25">
      <c r="B2056" s="19">
        <v>99999</v>
      </c>
      <c r="C2056" s="2">
        <f>HYPERLINK(URLs!B36 &amp; 119781,119781)</f>
        <v>119781</v>
      </c>
      <c r="D2056" t="s">
        <v>4885</v>
      </c>
      <c r="E2056" t="s">
        <v>4763</v>
      </c>
      <c r="F2056" t="s">
        <v>4087</v>
      </c>
      <c r="H2056" t="s">
        <v>56</v>
      </c>
      <c r="I2056" t="s">
        <v>68</v>
      </c>
      <c r="J2056" t="s">
        <v>43</v>
      </c>
      <c r="K2056" t="s">
        <v>33</v>
      </c>
      <c r="L2056" t="s">
        <v>4851</v>
      </c>
      <c r="M2056" t="s">
        <v>4851</v>
      </c>
      <c r="N2056" t="s">
        <v>46</v>
      </c>
      <c r="P2056" t="s">
        <v>4459</v>
      </c>
      <c r="R2056">
        <v>43361.201770833337</v>
      </c>
      <c r="S2056">
        <v>43361.202673611115</v>
      </c>
      <c r="T2056" t="s">
        <v>4784</v>
      </c>
      <c r="U2056" t="s">
        <v>35</v>
      </c>
      <c r="V2056" t="s">
        <v>35</v>
      </c>
      <c r="W2056" t="s">
        <v>35</v>
      </c>
    </row>
    <row r="2057" spans="2:23" x14ac:dyDescent="0.25">
      <c r="B2057" s="19">
        <v>99999</v>
      </c>
      <c r="C2057" s="2">
        <f>HYPERLINK(URLs!B36 &amp; 119478,119478)</f>
        <v>119478</v>
      </c>
      <c r="D2057" t="s">
        <v>4874</v>
      </c>
      <c r="E2057" t="s">
        <v>4763</v>
      </c>
      <c r="F2057" t="s">
        <v>4087</v>
      </c>
      <c r="H2057" t="s">
        <v>56</v>
      </c>
      <c r="I2057" t="s">
        <v>68</v>
      </c>
      <c r="J2057" t="s">
        <v>43</v>
      </c>
      <c r="K2057" t="s">
        <v>33</v>
      </c>
      <c r="L2057" t="s">
        <v>4851</v>
      </c>
      <c r="M2057" t="s">
        <v>4851</v>
      </c>
      <c r="N2057" t="s">
        <v>46</v>
      </c>
      <c r="P2057" t="s">
        <v>56</v>
      </c>
      <c r="R2057">
        <v>43354.228298611109</v>
      </c>
      <c r="S2057">
        <v>43354.22892361111</v>
      </c>
      <c r="T2057" t="s">
        <v>4460</v>
      </c>
      <c r="U2057" t="s">
        <v>35</v>
      </c>
      <c r="V2057" t="s">
        <v>35</v>
      </c>
      <c r="W2057" t="s">
        <v>35</v>
      </c>
    </row>
    <row r="2058" spans="2:23" x14ac:dyDescent="0.25">
      <c r="B2058" s="19">
        <v>99999</v>
      </c>
      <c r="C2058" s="2">
        <f>HYPERLINK(URLs!B36 &amp; 119432,119432)</f>
        <v>119432</v>
      </c>
      <c r="D2058" t="s">
        <v>4873</v>
      </c>
      <c r="E2058" t="s">
        <v>4763</v>
      </c>
      <c r="F2058" t="s">
        <v>4087</v>
      </c>
      <c r="H2058" t="s">
        <v>56</v>
      </c>
      <c r="I2058" t="s">
        <v>68</v>
      </c>
      <c r="J2058" t="s">
        <v>43</v>
      </c>
      <c r="K2058" t="s">
        <v>33</v>
      </c>
      <c r="L2058" t="s">
        <v>4851</v>
      </c>
      <c r="M2058" t="s">
        <v>4851</v>
      </c>
      <c r="N2058" t="s">
        <v>46</v>
      </c>
      <c r="P2058" t="s">
        <v>56</v>
      </c>
      <c r="R2058">
        <v>43353.282951388886</v>
      </c>
      <c r="S2058">
        <v>43353.287314814814</v>
      </c>
      <c r="T2058" t="s">
        <v>4767</v>
      </c>
      <c r="U2058" t="s">
        <v>35</v>
      </c>
      <c r="V2058" t="s">
        <v>35</v>
      </c>
      <c r="W2058" t="s">
        <v>35</v>
      </c>
    </row>
    <row r="2059" spans="2:23" x14ac:dyDescent="0.25">
      <c r="B2059" s="19">
        <v>99999</v>
      </c>
      <c r="C2059" s="2">
        <f>HYPERLINK(URLs!B36 &amp; 119429,119429)</f>
        <v>119429</v>
      </c>
      <c r="D2059" t="s">
        <v>4872</v>
      </c>
      <c r="E2059" t="s">
        <v>4763</v>
      </c>
      <c r="F2059" t="s">
        <v>4087</v>
      </c>
      <c r="H2059" t="s">
        <v>56</v>
      </c>
      <c r="I2059" t="s">
        <v>68</v>
      </c>
      <c r="J2059" t="s">
        <v>43</v>
      </c>
      <c r="K2059" t="s">
        <v>33</v>
      </c>
      <c r="L2059" t="s">
        <v>4851</v>
      </c>
      <c r="M2059" t="s">
        <v>4851</v>
      </c>
      <c r="N2059" t="s">
        <v>46</v>
      </c>
      <c r="P2059" t="s">
        <v>4459</v>
      </c>
      <c r="R2059">
        <v>43353.26462962963</v>
      </c>
      <c r="S2059">
        <v>43353.573703703703</v>
      </c>
      <c r="T2059" t="s">
        <v>4784</v>
      </c>
      <c r="U2059" t="s">
        <v>35</v>
      </c>
      <c r="V2059" t="s">
        <v>35</v>
      </c>
      <c r="W2059" t="s">
        <v>35</v>
      </c>
    </row>
    <row r="2060" spans="2:23" x14ac:dyDescent="0.25">
      <c r="B2060" s="19">
        <v>99999</v>
      </c>
      <c r="C2060" s="2">
        <f>HYPERLINK(URLs!B36 &amp; 118924,118924)</f>
        <v>118924</v>
      </c>
      <c r="D2060" t="s">
        <v>4856</v>
      </c>
      <c r="E2060" t="s">
        <v>4763</v>
      </c>
      <c r="F2060" t="s">
        <v>4087</v>
      </c>
      <c r="H2060" t="s">
        <v>56</v>
      </c>
      <c r="I2060" t="s">
        <v>68</v>
      </c>
      <c r="J2060" t="s">
        <v>58</v>
      </c>
      <c r="K2060" t="s">
        <v>44</v>
      </c>
      <c r="L2060" t="s">
        <v>4851</v>
      </c>
      <c r="M2060" t="s">
        <v>4851</v>
      </c>
      <c r="N2060" t="s">
        <v>46</v>
      </c>
      <c r="P2060" t="s">
        <v>2708</v>
      </c>
      <c r="R2060">
        <v>43343.286400462966</v>
      </c>
      <c r="S2060">
        <v>43348.65587962963</v>
      </c>
      <c r="T2060" t="s">
        <v>4460</v>
      </c>
      <c r="U2060" t="s">
        <v>35</v>
      </c>
      <c r="V2060" t="s">
        <v>35</v>
      </c>
      <c r="W2060" t="s">
        <v>35</v>
      </c>
    </row>
    <row r="2061" spans="2:23" x14ac:dyDescent="0.25">
      <c r="B2061" s="19">
        <v>99999</v>
      </c>
      <c r="C2061" s="2">
        <f>HYPERLINK(URLs!B36 &amp; 118861,118861)</f>
        <v>118861</v>
      </c>
      <c r="D2061" t="s">
        <v>4855</v>
      </c>
      <c r="E2061" t="s">
        <v>4763</v>
      </c>
      <c r="F2061" t="s">
        <v>4087</v>
      </c>
      <c r="H2061" t="s">
        <v>56</v>
      </c>
      <c r="I2061" t="s">
        <v>31</v>
      </c>
      <c r="J2061" t="s">
        <v>32</v>
      </c>
      <c r="K2061" t="s">
        <v>33</v>
      </c>
      <c r="L2061" t="s">
        <v>4851</v>
      </c>
      <c r="M2061" t="s">
        <v>4851</v>
      </c>
      <c r="N2061" t="s">
        <v>46</v>
      </c>
      <c r="P2061" t="s">
        <v>4179</v>
      </c>
      <c r="R2061">
        <v>43342.305752314816</v>
      </c>
      <c r="S2061">
        <v>43348.656909722224</v>
      </c>
      <c r="T2061" t="s">
        <v>4460</v>
      </c>
      <c r="U2061" t="s">
        <v>35</v>
      </c>
      <c r="V2061" t="s">
        <v>35</v>
      </c>
      <c r="W2061" t="s">
        <v>35</v>
      </c>
    </row>
    <row r="2062" spans="2:23" x14ac:dyDescent="0.25">
      <c r="B2062" s="19">
        <v>99999</v>
      </c>
      <c r="C2062" s="2">
        <f>HYPERLINK(URLs!B36 &amp; 118601,118601)</f>
        <v>118601</v>
      </c>
      <c r="D2062" t="s">
        <v>4785</v>
      </c>
      <c r="E2062" t="s">
        <v>4763</v>
      </c>
      <c r="F2062" t="s">
        <v>305</v>
      </c>
      <c r="G2062" t="s">
        <v>337</v>
      </c>
      <c r="H2062" t="s">
        <v>56</v>
      </c>
      <c r="I2062" t="s">
        <v>68</v>
      </c>
      <c r="J2062" t="s">
        <v>32</v>
      </c>
      <c r="K2062" t="s">
        <v>33</v>
      </c>
      <c r="L2062" t="s">
        <v>34</v>
      </c>
      <c r="M2062" t="s">
        <v>258</v>
      </c>
      <c r="N2062" t="s">
        <v>46</v>
      </c>
      <c r="P2062" t="s">
        <v>4786</v>
      </c>
      <c r="Q2062" t="s">
        <v>2416</v>
      </c>
      <c r="R2062">
        <v>43336.514317129629</v>
      </c>
      <c r="S2062">
        <v>43379.153506944444</v>
      </c>
      <c r="T2062" t="s">
        <v>4460</v>
      </c>
      <c r="U2062" t="s">
        <v>35</v>
      </c>
      <c r="V2062" t="s">
        <v>35</v>
      </c>
      <c r="W2062" t="s">
        <v>4143</v>
      </c>
    </row>
    <row r="2063" spans="2:23" x14ac:dyDescent="0.25">
      <c r="B2063" s="19">
        <v>99999</v>
      </c>
      <c r="C2063" s="2">
        <f>HYPERLINK(URLs!B36 &amp; 118562,118562)</f>
        <v>118562</v>
      </c>
      <c r="D2063" t="s">
        <v>4782</v>
      </c>
      <c r="E2063" t="s">
        <v>4763</v>
      </c>
      <c r="F2063" t="s">
        <v>4087</v>
      </c>
      <c r="H2063" t="s">
        <v>56</v>
      </c>
      <c r="I2063" t="s">
        <v>31</v>
      </c>
      <c r="J2063" t="s">
        <v>32</v>
      </c>
      <c r="K2063" t="s">
        <v>33</v>
      </c>
      <c r="L2063" t="s">
        <v>4851</v>
      </c>
      <c r="M2063" t="s">
        <v>4851</v>
      </c>
      <c r="N2063" t="s">
        <v>46</v>
      </c>
      <c r="O2063" t="s">
        <v>4783</v>
      </c>
      <c r="P2063" t="s">
        <v>56</v>
      </c>
      <c r="R2063">
        <v>43336.268101851849</v>
      </c>
      <c r="S2063">
        <v>43348.651631944442</v>
      </c>
      <c r="T2063" t="s">
        <v>4784</v>
      </c>
      <c r="U2063" t="s">
        <v>35</v>
      </c>
      <c r="V2063" t="s">
        <v>35</v>
      </c>
      <c r="W2063" t="s">
        <v>35</v>
      </c>
    </row>
    <row r="2064" spans="2:23" x14ac:dyDescent="0.25">
      <c r="B2064" s="19">
        <v>99999</v>
      </c>
      <c r="C2064" s="2">
        <f>HYPERLINK(URLs!B36 &amp; 118501,118501)</f>
        <v>118501</v>
      </c>
      <c r="D2064" t="s">
        <v>4781</v>
      </c>
      <c r="E2064" t="s">
        <v>4763</v>
      </c>
      <c r="F2064" t="s">
        <v>4087</v>
      </c>
      <c r="H2064" t="s">
        <v>56</v>
      </c>
      <c r="I2064" t="s">
        <v>31</v>
      </c>
      <c r="J2064" t="s">
        <v>32</v>
      </c>
      <c r="K2064" t="s">
        <v>33</v>
      </c>
      <c r="L2064" t="s">
        <v>4851</v>
      </c>
      <c r="M2064" t="s">
        <v>4851</v>
      </c>
      <c r="N2064" t="s">
        <v>46</v>
      </c>
      <c r="P2064" t="s">
        <v>3691</v>
      </c>
      <c r="R2064">
        <v>43335.286249999997</v>
      </c>
      <c r="S2064">
        <v>43348.655312499999</v>
      </c>
      <c r="T2064" t="s">
        <v>3693</v>
      </c>
      <c r="U2064" t="s">
        <v>35</v>
      </c>
      <c r="V2064" t="s">
        <v>35</v>
      </c>
      <c r="W2064" t="s">
        <v>35</v>
      </c>
    </row>
    <row r="2065" spans="2:23" x14ac:dyDescent="0.25">
      <c r="B2065" s="19">
        <v>99999</v>
      </c>
      <c r="C2065" s="2">
        <f>HYPERLINK(URLs!B36 &amp; 118337,118337)</f>
        <v>118337</v>
      </c>
      <c r="D2065" t="s">
        <v>4779</v>
      </c>
      <c r="E2065" t="s">
        <v>4763</v>
      </c>
      <c r="F2065" t="s">
        <v>4087</v>
      </c>
      <c r="H2065" t="s">
        <v>56</v>
      </c>
      <c r="I2065" t="s">
        <v>31</v>
      </c>
      <c r="J2065" t="s">
        <v>32</v>
      </c>
      <c r="K2065" t="s">
        <v>33</v>
      </c>
      <c r="L2065" t="s">
        <v>4851</v>
      </c>
      <c r="M2065" t="s">
        <v>4851</v>
      </c>
      <c r="N2065" t="s">
        <v>46</v>
      </c>
      <c r="O2065" t="s">
        <v>4780</v>
      </c>
      <c r="P2065" t="s">
        <v>56</v>
      </c>
      <c r="R2065">
        <v>43332.399525462963</v>
      </c>
      <c r="S2065">
        <v>43348.651689814818</v>
      </c>
      <c r="T2065" t="s">
        <v>4460</v>
      </c>
      <c r="U2065" t="s">
        <v>35</v>
      </c>
      <c r="V2065" t="s">
        <v>35</v>
      </c>
      <c r="W2065" t="s">
        <v>35</v>
      </c>
    </row>
    <row r="2066" spans="2:23" x14ac:dyDescent="0.25">
      <c r="B2066" s="19">
        <v>99999</v>
      </c>
      <c r="C2066" s="2">
        <f>HYPERLINK(URLs!B36 &amp; 118266,118266)</f>
        <v>118266</v>
      </c>
      <c r="D2066" t="s">
        <v>4778</v>
      </c>
      <c r="E2066" t="s">
        <v>3917</v>
      </c>
      <c r="F2066" t="s">
        <v>305</v>
      </c>
      <c r="G2066" t="s">
        <v>328</v>
      </c>
      <c r="H2066" t="s">
        <v>56</v>
      </c>
      <c r="I2066" t="s">
        <v>31</v>
      </c>
      <c r="J2066" t="s">
        <v>32</v>
      </c>
      <c r="K2066" t="s">
        <v>33</v>
      </c>
      <c r="L2066" t="s">
        <v>34</v>
      </c>
      <c r="M2066" t="s">
        <v>258</v>
      </c>
      <c r="N2066" t="s">
        <v>46</v>
      </c>
      <c r="P2066" t="s">
        <v>56</v>
      </c>
      <c r="Q2066" t="s">
        <v>2028</v>
      </c>
      <c r="R2066">
        <v>43329.176064814812</v>
      </c>
      <c r="S2066">
        <v>43333.406851851854</v>
      </c>
      <c r="T2066" t="s">
        <v>4320</v>
      </c>
      <c r="U2066" t="s">
        <v>35</v>
      </c>
      <c r="V2066" t="s">
        <v>35</v>
      </c>
      <c r="W2066" t="s">
        <v>4143</v>
      </c>
    </row>
    <row r="2067" spans="2:23" x14ac:dyDescent="0.25">
      <c r="B2067" s="19">
        <v>99999</v>
      </c>
      <c r="C2067" s="2">
        <f>HYPERLINK(URLs!B36 &amp; 118131,118131)</f>
        <v>118131</v>
      </c>
      <c r="D2067" t="s">
        <v>4771</v>
      </c>
      <c r="E2067" t="s">
        <v>4763</v>
      </c>
      <c r="F2067" t="s">
        <v>42</v>
      </c>
      <c r="H2067" t="s">
        <v>56</v>
      </c>
      <c r="I2067" t="s">
        <v>31</v>
      </c>
      <c r="J2067" t="s">
        <v>32</v>
      </c>
      <c r="K2067" t="s">
        <v>33</v>
      </c>
      <c r="L2067" t="s">
        <v>4851</v>
      </c>
      <c r="M2067" t="s">
        <v>4851</v>
      </c>
      <c r="N2067" t="s">
        <v>60</v>
      </c>
      <c r="O2067" t="s">
        <v>4772</v>
      </c>
      <c r="P2067" t="s">
        <v>4459</v>
      </c>
      <c r="R2067">
        <v>43326.429837962962</v>
      </c>
      <c r="S2067">
        <v>43348.655555555553</v>
      </c>
      <c r="T2067" t="s">
        <v>4320</v>
      </c>
      <c r="U2067" t="s">
        <v>35</v>
      </c>
      <c r="V2067" t="s">
        <v>35</v>
      </c>
      <c r="W2067" t="s">
        <v>35</v>
      </c>
    </row>
    <row r="2068" spans="2:23" x14ac:dyDescent="0.25">
      <c r="B2068" s="19">
        <v>99999</v>
      </c>
      <c r="C2068" s="2">
        <f>HYPERLINK(URLs!B36 &amp; 118061,118061)</f>
        <v>118061</v>
      </c>
      <c r="D2068" t="s">
        <v>4765</v>
      </c>
      <c r="E2068" t="s">
        <v>4763</v>
      </c>
      <c r="F2068" t="s">
        <v>4087</v>
      </c>
      <c r="H2068" t="s">
        <v>56</v>
      </c>
      <c r="I2068" t="s">
        <v>31</v>
      </c>
      <c r="J2068" t="s">
        <v>32</v>
      </c>
      <c r="K2068" t="s">
        <v>33</v>
      </c>
      <c r="L2068" t="s">
        <v>4851</v>
      </c>
      <c r="M2068" t="s">
        <v>4851</v>
      </c>
      <c r="N2068" t="s">
        <v>46</v>
      </c>
      <c r="O2068" t="s">
        <v>4766</v>
      </c>
      <c r="P2068" t="s">
        <v>4459</v>
      </c>
      <c r="R2068">
        <v>43325.332627314812</v>
      </c>
      <c r="S2068">
        <v>43348.657175925924</v>
      </c>
      <c r="T2068" t="s">
        <v>4767</v>
      </c>
      <c r="U2068" t="s">
        <v>35</v>
      </c>
      <c r="V2068" t="s">
        <v>35</v>
      </c>
      <c r="W2068" t="s">
        <v>35</v>
      </c>
    </row>
    <row r="2069" spans="2:23" x14ac:dyDescent="0.25">
      <c r="B2069" s="19">
        <v>99999</v>
      </c>
      <c r="C2069" s="2">
        <f>HYPERLINK(URLs!B36 &amp; 118053,118053)</f>
        <v>118053</v>
      </c>
      <c r="D2069" t="s">
        <v>4762</v>
      </c>
      <c r="E2069" t="s">
        <v>4763</v>
      </c>
      <c r="F2069" t="s">
        <v>42</v>
      </c>
      <c r="H2069" t="s">
        <v>56</v>
      </c>
      <c r="I2069" t="s">
        <v>31</v>
      </c>
      <c r="J2069" t="s">
        <v>32</v>
      </c>
      <c r="K2069" t="s">
        <v>33</v>
      </c>
      <c r="L2069" t="s">
        <v>4851</v>
      </c>
      <c r="M2069" t="s">
        <v>4851</v>
      </c>
      <c r="N2069" t="s">
        <v>46</v>
      </c>
      <c r="O2069" t="s">
        <v>4764</v>
      </c>
      <c r="P2069" t="s">
        <v>56</v>
      </c>
      <c r="R2069">
        <v>43325.236018518517</v>
      </c>
      <c r="S2069">
        <v>43348.651701388888</v>
      </c>
      <c r="T2069" t="s">
        <v>4320</v>
      </c>
      <c r="U2069" t="s">
        <v>35</v>
      </c>
      <c r="V2069" t="s">
        <v>35</v>
      </c>
      <c r="W2069" t="s">
        <v>35</v>
      </c>
    </row>
    <row r="2070" spans="2:23" x14ac:dyDescent="0.25">
      <c r="B2070" s="19">
        <v>99999</v>
      </c>
      <c r="C2070" s="2">
        <f>HYPERLINK(URLs!B36 &amp; 117071,117071)</f>
        <v>117071</v>
      </c>
      <c r="D2070" t="s">
        <v>4695</v>
      </c>
      <c r="E2070" t="s">
        <v>387</v>
      </c>
      <c r="F2070" t="s">
        <v>4087</v>
      </c>
      <c r="H2070" t="s">
        <v>54</v>
      </c>
      <c r="I2070" t="s">
        <v>31</v>
      </c>
      <c r="J2070" t="s">
        <v>32</v>
      </c>
      <c r="K2070" t="s">
        <v>33</v>
      </c>
      <c r="L2070" t="s">
        <v>73</v>
      </c>
      <c r="M2070" t="s">
        <v>273</v>
      </c>
      <c r="N2070" t="s">
        <v>60</v>
      </c>
      <c r="P2070" t="s">
        <v>4459</v>
      </c>
      <c r="R2070">
        <v>43301.267071759263</v>
      </c>
      <c r="S2070">
        <v>43382.687835648147</v>
      </c>
      <c r="T2070" t="s">
        <v>4460</v>
      </c>
      <c r="U2070" t="s">
        <v>35</v>
      </c>
      <c r="V2070" t="s">
        <v>35</v>
      </c>
      <c r="W2070" t="s">
        <v>4168</v>
      </c>
    </row>
    <row r="2071" spans="2:23" x14ac:dyDescent="0.25">
      <c r="B2071" s="19">
        <v>99999</v>
      </c>
      <c r="C2071" s="2">
        <f>HYPERLINK(URLs!B36 &amp; 116215,116215)</f>
        <v>116215</v>
      </c>
      <c r="D2071" t="s">
        <v>4469</v>
      </c>
      <c r="E2071" t="s">
        <v>387</v>
      </c>
      <c r="F2071" t="s">
        <v>4087</v>
      </c>
      <c r="H2071" t="s">
        <v>54</v>
      </c>
      <c r="I2071" t="s">
        <v>31</v>
      </c>
      <c r="J2071" t="s">
        <v>32</v>
      </c>
      <c r="K2071" t="s">
        <v>33</v>
      </c>
      <c r="L2071" t="s">
        <v>73</v>
      </c>
      <c r="M2071" t="s">
        <v>273</v>
      </c>
      <c r="N2071" t="s">
        <v>60</v>
      </c>
      <c r="P2071" t="s">
        <v>4459</v>
      </c>
      <c r="R2071">
        <v>43283.155335648145</v>
      </c>
      <c r="S2071">
        <v>43388.636655092596</v>
      </c>
      <c r="T2071" t="s">
        <v>3367</v>
      </c>
      <c r="U2071" t="s">
        <v>35</v>
      </c>
      <c r="V2071" t="s">
        <v>35</v>
      </c>
      <c r="W2071" t="s">
        <v>4168</v>
      </c>
    </row>
    <row r="2072" spans="2:23" x14ac:dyDescent="0.25">
      <c r="B2072" s="19">
        <v>99999</v>
      </c>
      <c r="C2072" s="2">
        <f>HYPERLINK(URLs!B36 &amp; 115560,115560)</f>
        <v>115560</v>
      </c>
      <c r="D2072" t="s">
        <v>4465</v>
      </c>
      <c r="E2072" t="s">
        <v>387</v>
      </c>
      <c r="F2072" t="s">
        <v>4087</v>
      </c>
      <c r="H2072" t="s">
        <v>54</v>
      </c>
      <c r="I2072" t="s">
        <v>31</v>
      </c>
      <c r="J2072" t="s">
        <v>32</v>
      </c>
      <c r="K2072" t="s">
        <v>33</v>
      </c>
      <c r="L2072" t="s">
        <v>73</v>
      </c>
      <c r="M2072" t="s">
        <v>273</v>
      </c>
      <c r="N2072" t="s">
        <v>60</v>
      </c>
      <c r="P2072" t="s">
        <v>449</v>
      </c>
      <c r="R2072">
        <v>43271.216944444444</v>
      </c>
      <c r="S2072">
        <v>43382.759988425925</v>
      </c>
      <c r="T2072" t="s">
        <v>4241</v>
      </c>
      <c r="U2072" t="s">
        <v>35</v>
      </c>
      <c r="V2072" t="s">
        <v>35</v>
      </c>
      <c r="W2072" t="s">
        <v>4168</v>
      </c>
    </row>
    <row r="2073" spans="2:23" x14ac:dyDescent="0.25">
      <c r="B2073" s="19">
        <v>99999</v>
      </c>
      <c r="C2073" s="2">
        <f>HYPERLINK(URLs!B36 &amp; 114796,114796)</f>
        <v>114796</v>
      </c>
      <c r="D2073" t="s">
        <v>4458</v>
      </c>
      <c r="E2073" t="s">
        <v>387</v>
      </c>
      <c r="F2073" t="s">
        <v>4087</v>
      </c>
      <c r="H2073" t="s">
        <v>54</v>
      </c>
      <c r="I2073" t="s">
        <v>31</v>
      </c>
      <c r="J2073" t="s">
        <v>32</v>
      </c>
      <c r="K2073" t="s">
        <v>33</v>
      </c>
      <c r="L2073" t="s">
        <v>73</v>
      </c>
      <c r="M2073" t="s">
        <v>273</v>
      </c>
      <c r="N2073" t="s">
        <v>60</v>
      </c>
      <c r="P2073" t="s">
        <v>4459</v>
      </c>
      <c r="R2073">
        <v>43256.266469907408</v>
      </c>
      <c r="S2073">
        <v>43388.636469907404</v>
      </c>
      <c r="T2073" t="s">
        <v>4460</v>
      </c>
      <c r="U2073" t="s">
        <v>35</v>
      </c>
      <c r="V2073" t="s">
        <v>35</v>
      </c>
      <c r="W2073" t="s">
        <v>4168</v>
      </c>
    </row>
    <row r="2074" spans="2:23" x14ac:dyDescent="0.25">
      <c r="B2074" s="19">
        <v>99999</v>
      </c>
      <c r="C2074" s="2">
        <f>HYPERLINK(URLs!B36 &amp; 111791,111791)</f>
        <v>111791</v>
      </c>
      <c r="D2074" t="s">
        <v>4385</v>
      </c>
      <c r="E2074" t="s">
        <v>387</v>
      </c>
      <c r="F2074" t="s">
        <v>305</v>
      </c>
      <c r="G2074" t="s">
        <v>337</v>
      </c>
      <c r="H2074" t="s">
        <v>54</v>
      </c>
      <c r="I2074" t="s">
        <v>31</v>
      </c>
      <c r="J2074" t="s">
        <v>32</v>
      </c>
      <c r="K2074" t="s">
        <v>33</v>
      </c>
      <c r="L2074" t="s">
        <v>73</v>
      </c>
      <c r="M2074" t="s">
        <v>273</v>
      </c>
      <c r="N2074" t="s">
        <v>60</v>
      </c>
      <c r="P2074" t="s">
        <v>3911</v>
      </c>
      <c r="Q2074" t="s">
        <v>2028</v>
      </c>
      <c r="R2074">
        <v>43187.408576388887</v>
      </c>
      <c r="S2074">
        <v>43388.379421296297</v>
      </c>
      <c r="T2074" t="s">
        <v>4386</v>
      </c>
      <c r="U2074" t="s">
        <v>35</v>
      </c>
      <c r="V2074" t="s">
        <v>35</v>
      </c>
      <c r="W2074" t="s">
        <v>4168</v>
      </c>
    </row>
    <row r="2075" spans="2:23" x14ac:dyDescent="0.25">
      <c r="B2075" s="19">
        <v>99999</v>
      </c>
      <c r="C2075" s="2">
        <f>HYPERLINK(URLs!B36 &amp; 111366,111366)</f>
        <v>111366</v>
      </c>
      <c r="D2075" t="s">
        <v>4368</v>
      </c>
      <c r="E2075" t="s">
        <v>387</v>
      </c>
      <c r="F2075" t="s">
        <v>305</v>
      </c>
      <c r="G2075" t="s">
        <v>337</v>
      </c>
      <c r="H2075" t="s">
        <v>54</v>
      </c>
      <c r="I2075" t="s">
        <v>31</v>
      </c>
      <c r="J2075" t="s">
        <v>32</v>
      </c>
      <c r="K2075" t="s">
        <v>33</v>
      </c>
      <c r="L2075" t="s">
        <v>73</v>
      </c>
      <c r="M2075" t="s">
        <v>273</v>
      </c>
      <c r="N2075" t="s">
        <v>60</v>
      </c>
      <c r="P2075" t="s">
        <v>2166</v>
      </c>
      <c r="Q2075" t="s">
        <v>2028</v>
      </c>
      <c r="R2075">
        <v>43178.437974537039</v>
      </c>
      <c r="S2075">
        <v>43388.37940972222</v>
      </c>
      <c r="T2075" t="s">
        <v>3367</v>
      </c>
      <c r="U2075" t="s">
        <v>35</v>
      </c>
      <c r="V2075" t="s">
        <v>35</v>
      </c>
      <c r="W2075" t="s">
        <v>4168</v>
      </c>
    </row>
    <row r="2076" spans="2:23" x14ac:dyDescent="0.25">
      <c r="B2076" s="19">
        <v>99999</v>
      </c>
      <c r="C2076" s="2">
        <f>HYPERLINK(URLs!B36 &amp; 110523,110523)</f>
        <v>110523</v>
      </c>
      <c r="D2076" t="s">
        <v>4343</v>
      </c>
      <c r="E2076" t="s">
        <v>387</v>
      </c>
      <c r="F2076" t="s">
        <v>305</v>
      </c>
      <c r="G2076" t="s">
        <v>337</v>
      </c>
      <c r="H2076" t="s">
        <v>54</v>
      </c>
      <c r="I2076" t="s">
        <v>31</v>
      </c>
      <c r="J2076" t="s">
        <v>32</v>
      </c>
      <c r="K2076" t="s">
        <v>33</v>
      </c>
      <c r="L2076" t="s">
        <v>73</v>
      </c>
      <c r="M2076" t="s">
        <v>273</v>
      </c>
      <c r="N2076" t="s">
        <v>60</v>
      </c>
      <c r="P2076" t="s">
        <v>3911</v>
      </c>
      <c r="Q2076" t="s">
        <v>2028</v>
      </c>
      <c r="R2076">
        <v>43150.289270833331</v>
      </c>
      <c r="S2076">
        <v>43388.379421296297</v>
      </c>
      <c r="T2076" t="s">
        <v>4344</v>
      </c>
      <c r="U2076" t="s">
        <v>35</v>
      </c>
      <c r="V2076" t="s">
        <v>35</v>
      </c>
      <c r="W2076" t="s">
        <v>4168</v>
      </c>
    </row>
    <row r="2077" spans="2:23" x14ac:dyDescent="0.25">
      <c r="B2077" s="19">
        <v>99999</v>
      </c>
      <c r="C2077" s="2">
        <f>HYPERLINK(URLs!B36 &amp; 110498,110498)</f>
        <v>110498</v>
      </c>
      <c r="D2077" t="s">
        <v>4663</v>
      </c>
      <c r="E2077" t="s">
        <v>387</v>
      </c>
      <c r="F2077" t="s">
        <v>4087</v>
      </c>
      <c r="H2077" t="s">
        <v>54</v>
      </c>
      <c r="I2077" t="s">
        <v>31</v>
      </c>
      <c r="J2077" t="s">
        <v>32</v>
      </c>
      <c r="K2077" t="s">
        <v>33</v>
      </c>
      <c r="L2077" t="s">
        <v>73</v>
      </c>
      <c r="M2077" t="s">
        <v>273</v>
      </c>
      <c r="N2077" t="s">
        <v>60</v>
      </c>
      <c r="P2077" t="s">
        <v>4459</v>
      </c>
      <c r="R2077">
        <v>43147.512499999997</v>
      </c>
      <c r="S2077">
        <v>43388.636724537035</v>
      </c>
      <c r="T2077" t="s">
        <v>4460</v>
      </c>
      <c r="U2077" t="s">
        <v>35</v>
      </c>
      <c r="V2077" t="s">
        <v>35</v>
      </c>
      <c r="W2077" t="s">
        <v>4168</v>
      </c>
    </row>
    <row r="2078" spans="2:23" x14ac:dyDescent="0.25">
      <c r="B2078" s="19">
        <v>99999</v>
      </c>
      <c r="C2078" s="2">
        <f>HYPERLINK(URLs!B36 &amp; 110100,110100)</f>
        <v>110100</v>
      </c>
      <c r="D2078" t="s">
        <v>4327</v>
      </c>
      <c r="E2078" t="s">
        <v>301</v>
      </c>
      <c r="F2078" t="s">
        <v>305</v>
      </c>
      <c r="G2078" t="s">
        <v>337</v>
      </c>
      <c r="H2078" t="s">
        <v>56</v>
      </c>
      <c r="I2078" t="s">
        <v>31</v>
      </c>
      <c r="J2078" t="s">
        <v>32</v>
      </c>
      <c r="K2078" t="s">
        <v>33</v>
      </c>
      <c r="L2078" t="s">
        <v>73</v>
      </c>
      <c r="M2078" t="s">
        <v>273</v>
      </c>
      <c r="N2078" t="s">
        <v>46</v>
      </c>
      <c r="P2078" t="s">
        <v>3498</v>
      </c>
      <c r="Q2078" t="s">
        <v>2028</v>
      </c>
      <c r="R2078">
        <v>43137.228680555556</v>
      </c>
      <c r="S2078">
        <v>43388.379421296297</v>
      </c>
      <c r="T2078" t="s">
        <v>4241</v>
      </c>
      <c r="U2078" t="s">
        <v>35</v>
      </c>
      <c r="V2078" t="s">
        <v>35</v>
      </c>
      <c r="W2078" t="s">
        <v>35</v>
      </c>
    </row>
    <row r="2079" spans="2:23" x14ac:dyDescent="0.25">
      <c r="B2079" s="19">
        <v>99999</v>
      </c>
      <c r="C2079" s="2">
        <f>HYPERLINK(URLs!B36 &amp; 110012,110012)</f>
        <v>110012</v>
      </c>
      <c r="D2079" t="s">
        <v>4319</v>
      </c>
      <c r="E2079" t="s">
        <v>387</v>
      </c>
      <c r="F2079" t="s">
        <v>305</v>
      </c>
      <c r="G2079" t="s">
        <v>337</v>
      </c>
      <c r="H2079" t="s">
        <v>54</v>
      </c>
      <c r="I2079" t="s">
        <v>31</v>
      </c>
      <c r="J2079" t="s">
        <v>32</v>
      </c>
      <c r="K2079" t="s">
        <v>33</v>
      </c>
      <c r="L2079" t="s">
        <v>73</v>
      </c>
      <c r="M2079" t="s">
        <v>273</v>
      </c>
      <c r="N2079" t="s">
        <v>60</v>
      </c>
      <c r="P2079" t="s">
        <v>3498</v>
      </c>
      <c r="Q2079" t="s">
        <v>2028</v>
      </c>
      <c r="R2079">
        <v>43132.384027777778</v>
      </c>
      <c r="S2079">
        <v>43388.379421296297</v>
      </c>
      <c r="T2079" t="s">
        <v>4320</v>
      </c>
      <c r="U2079" t="s">
        <v>35</v>
      </c>
      <c r="V2079" t="s">
        <v>35</v>
      </c>
      <c r="W2079" t="s">
        <v>4168</v>
      </c>
    </row>
    <row r="2080" spans="2:23" x14ac:dyDescent="0.25">
      <c r="B2080" s="19">
        <v>99999</v>
      </c>
      <c r="C2080" s="2">
        <f>HYPERLINK(URLs!B36 &amp; 109837,109837)</f>
        <v>109837</v>
      </c>
      <c r="D2080" t="s">
        <v>4306</v>
      </c>
      <c r="E2080" t="s">
        <v>301</v>
      </c>
      <c r="F2080" t="s">
        <v>305</v>
      </c>
      <c r="G2080" t="s">
        <v>337</v>
      </c>
      <c r="H2080" t="s">
        <v>56</v>
      </c>
      <c r="I2080" t="s">
        <v>31</v>
      </c>
      <c r="J2080" t="s">
        <v>32</v>
      </c>
      <c r="K2080" t="s">
        <v>33</v>
      </c>
      <c r="L2080" t="s">
        <v>73</v>
      </c>
      <c r="M2080" t="s">
        <v>273</v>
      </c>
      <c r="N2080" t="s">
        <v>46</v>
      </c>
      <c r="P2080" t="s">
        <v>3498</v>
      </c>
      <c r="Q2080" t="s">
        <v>2028</v>
      </c>
      <c r="R2080">
        <v>43129.243310185186</v>
      </c>
      <c r="S2080">
        <v>43388.379421296297</v>
      </c>
      <c r="T2080" t="s">
        <v>4241</v>
      </c>
      <c r="U2080" t="s">
        <v>35</v>
      </c>
      <c r="V2080" t="s">
        <v>35</v>
      </c>
      <c r="W2080" t="s">
        <v>35</v>
      </c>
    </row>
    <row r="2081" spans="2:23" x14ac:dyDescent="0.25">
      <c r="B2081" s="19">
        <v>99999</v>
      </c>
      <c r="C2081" s="2">
        <f>HYPERLINK(URLs!B36 &amp; 109709,109709)</f>
        <v>109709</v>
      </c>
      <c r="D2081" t="s">
        <v>4282</v>
      </c>
      <c r="E2081" t="s">
        <v>490</v>
      </c>
      <c r="F2081" t="s">
        <v>42</v>
      </c>
      <c r="H2081" t="s">
        <v>54</v>
      </c>
      <c r="I2081" t="s">
        <v>31</v>
      </c>
      <c r="J2081" t="s">
        <v>32</v>
      </c>
      <c r="K2081" t="s">
        <v>33</v>
      </c>
      <c r="L2081" t="s">
        <v>73</v>
      </c>
      <c r="M2081" t="s">
        <v>273</v>
      </c>
      <c r="N2081" t="s">
        <v>60</v>
      </c>
      <c r="P2081" t="s">
        <v>3498</v>
      </c>
      <c r="R2081">
        <v>43124.432824074072</v>
      </c>
      <c r="S2081">
        <v>43382.661215277774</v>
      </c>
      <c r="T2081" t="s">
        <v>4241</v>
      </c>
      <c r="U2081" t="s">
        <v>35</v>
      </c>
      <c r="V2081" t="s">
        <v>35</v>
      </c>
      <c r="W2081" t="s">
        <v>4098</v>
      </c>
    </row>
    <row r="2082" spans="2:23" x14ac:dyDescent="0.25">
      <c r="B2082" s="19">
        <v>99999</v>
      </c>
      <c r="C2082" s="2">
        <f>HYPERLINK(URLs!B36 &amp; 108948,108948)</f>
        <v>108948</v>
      </c>
      <c r="D2082" t="s">
        <v>4240</v>
      </c>
      <c r="E2082" t="s">
        <v>387</v>
      </c>
      <c r="F2082" t="s">
        <v>305</v>
      </c>
      <c r="G2082" t="s">
        <v>337</v>
      </c>
      <c r="H2082" t="s">
        <v>54</v>
      </c>
      <c r="I2082" t="s">
        <v>31</v>
      </c>
      <c r="J2082" t="s">
        <v>32</v>
      </c>
      <c r="K2082" t="s">
        <v>33</v>
      </c>
      <c r="L2082" t="s">
        <v>73</v>
      </c>
      <c r="M2082" t="s">
        <v>273</v>
      </c>
      <c r="N2082" t="s">
        <v>60</v>
      </c>
      <c r="P2082" t="s">
        <v>3498</v>
      </c>
      <c r="Q2082" t="s">
        <v>2028</v>
      </c>
      <c r="R2082">
        <v>43089.187708333331</v>
      </c>
      <c r="S2082">
        <v>43388.379421296297</v>
      </c>
      <c r="T2082" t="s">
        <v>4241</v>
      </c>
      <c r="U2082" t="s">
        <v>35</v>
      </c>
      <c r="V2082" t="s">
        <v>35</v>
      </c>
      <c r="W2082" t="s">
        <v>4168</v>
      </c>
    </row>
    <row r="2083" spans="2:23" x14ac:dyDescent="0.25">
      <c r="B2083" s="19">
        <v>99999</v>
      </c>
      <c r="C2083" s="2">
        <f>HYPERLINK(URLs!B36 &amp; 108886,108886)</f>
        <v>108886</v>
      </c>
      <c r="D2083" t="s">
        <v>4086</v>
      </c>
      <c r="E2083" t="s">
        <v>490</v>
      </c>
      <c r="F2083" t="s">
        <v>305</v>
      </c>
      <c r="G2083" t="s">
        <v>337</v>
      </c>
      <c r="H2083" t="s">
        <v>56</v>
      </c>
      <c r="I2083" t="s">
        <v>31</v>
      </c>
      <c r="J2083" t="s">
        <v>32</v>
      </c>
      <c r="K2083" t="s">
        <v>33</v>
      </c>
      <c r="L2083" t="s">
        <v>73</v>
      </c>
      <c r="M2083" t="s">
        <v>273</v>
      </c>
      <c r="N2083" t="s">
        <v>46</v>
      </c>
      <c r="P2083" t="s">
        <v>3120</v>
      </c>
      <c r="Q2083" t="s">
        <v>2028</v>
      </c>
      <c r="R2083">
        <v>43087.491793981484</v>
      </c>
      <c r="S2083">
        <v>43335.148854166669</v>
      </c>
      <c r="T2083" t="s">
        <v>3693</v>
      </c>
      <c r="U2083" t="s">
        <v>35</v>
      </c>
      <c r="V2083" t="s">
        <v>35</v>
      </c>
      <c r="W2083" t="s">
        <v>3661</v>
      </c>
    </row>
    <row r="2084" spans="2:23" x14ac:dyDescent="0.25">
      <c r="B2084" s="19">
        <v>99999</v>
      </c>
      <c r="C2084" s="2">
        <f>HYPERLINK(URLs!B36 &amp; 104461,104461)</f>
        <v>104461</v>
      </c>
      <c r="D2084" t="s">
        <v>3689</v>
      </c>
      <c r="E2084" t="s">
        <v>1917</v>
      </c>
      <c r="F2084" t="s">
        <v>305</v>
      </c>
      <c r="G2084" t="s">
        <v>328</v>
      </c>
      <c r="H2084" t="s">
        <v>54</v>
      </c>
      <c r="I2084" t="s">
        <v>31</v>
      </c>
      <c r="J2084" t="s">
        <v>32</v>
      </c>
      <c r="K2084" t="s">
        <v>33</v>
      </c>
      <c r="L2084" t="s">
        <v>34</v>
      </c>
      <c r="M2084" t="s">
        <v>258</v>
      </c>
      <c r="N2084" t="s">
        <v>46</v>
      </c>
      <c r="O2084" t="s">
        <v>3690</v>
      </c>
      <c r="P2084" t="s">
        <v>3691</v>
      </c>
      <c r="Q2084" t="s">
        <v>3692</v>
      </c>
      <c r="R2084">
        <v>42986.449340277781</v>
      </c>
      <c r="S2084">
        <v>43122.135000000002</v>
      </c>
      <c r="T2084" t="s">
        <v>3693</v>
      </c>
      <c r="U2084" t="s">
        <v>35</v>
      </c>
      <c r="V2084" t="s">
        <v>35</v>
      </c>
      <c r="W2084" t="s">
        <v>4174</v>
      </c>
    </row>
    <row r="2085" spans="2:23" x14ac:dyDescent="0.25">
      <c r="B2085" s="19">
        <v>99999</v>
      </c>
      <c r="C2085" s="2">
        <f>HYPERLINK(URLs!B36 &amp; 98529,98529)</f>
        <v>98529</v>
      </c>
      <c r="D2085" t="s">
        <v>3510</v>
      </c>
      <c r="E2085" t="s">
        <v>3467</v>
      </c>
      <c r="F2085" t="s">
        <v>305</v>
      </c>
      <c r="G2085" t="s">
        <v>353</v>
      </c>
      <c r="H2085" t="s">
        <v>30</v>
      </c>
      <c r="I2085" t="s">
        <v>31</v>
      </c>
      <c r="J2085" t="s">
        <v>32</v>
      </c>
      <c r="K2085" t="s">
        <v>33</v>
      </c>
      <c r="L2085" t="s">
        <v>73</v>
      </c>
      <c r="M2085" t="s">
        <v>263</v>
      </c>
      <c r="N2085" t="s">
        <v>46</v>
      </c>
      <c r="P2085" t="s">
        <v>3233</v>
      </c>
      <c r="Q2085" t="s">
        <v>3468</v>
      </c>
      <c r="R2085">
        <v>42845.382280092592</v>
      </c>
      <c r="S2085">
        <v>43333.466527777775</v>
      </c>
      <c r="T2085" t="s">
        <v>84</v>
      </c>
      <c r="U2085" t="s">
        <v>35</v>
      </c>
      <c r="V2085" t="s">
        <v>35</v>
      </c>
      <c r="W2085" t="s">
        <v>4168</v>
      </c>
    </row>
    <row r="2086" spans="2:23" x14ac:dyDescent="0.25">
      <c r="B2086" s="19">
        <v>99999</v>
      </c>
      <c r="C2086" s="2">
        <f>HYPERLINK(URLs!B36 &amp; 97947,97947)</f>
        <v>97947</v>
      </c>
      <c r="D2086" t="s">
        <v>3492</v>
      </c>
      <c r="E2086" t="s">
        <v>3367</v>
      </c>
      <c r="F2086" t="s">
        <v>305</v>
      </c>
      <c r="G2086" t="s">
        <v>328</v>
      </c>
      <c r="H2086" t="s">
        <v>30</v>
      </c>
      <c r="I2086" t="s">
        <v>31</v>
      </c>
      <c r="J2086" t="s">
        <v>32</v>
      </c>
      <c r="K2086" t="s">
        <v>33</v>
      </c>
      <c r="L2086" t="s">
        <v>73</v>
      </c>
      <c r="M2086" t="s">
        <v>263</v>
      </c>
      <c r="N2086" t="s">
        <v>46</v>
      </c>
      <c r="P2086" t="s">
        <v>3120</v>
      </c>
      <c r="Q2086" t="s">
        <v>3368</v>
      </c>
      <c r="R2086">
        <v>42830.472384259258</v>
      </c>
      <c r="S2086">
        <v>42956.125104166669</v>
      </c>
      <c r="T2086" t="s">
        <v>84</v>
      </c>
      <c r="U2086" t="s">
        <v>35</v>
      </c>
      <c r="V2086" t="s">
        <v>35</v>
      </c>
      <c r="W2086" t="s">
        <v>4168</v>
      </c>
    </row>
    <row r="2087" spans="2:23" x14ac:dyDescent="0.25">
      <c r="B2087" s="19">
        <v>99999</v>
      </c>
      <c r="C2087" s="2">
        <f>HYPERLINK(URLs!B36 &amp; 97519,97519)</f>
        <v>97519</v>
      </c>
      <c r="D2087" t="s">
        <v>3466</v>
      </c>
      <c r="E2087" t="s">
        <v>3467</v>
      </c>
      <c r="F2087" t="s">
        <v>305</v>
      </c>
      <c r="G2087" t="s">
        <v>353</v>
      </c>
      <c r="H2087" t="s">
        <v>30</v>
      </c>
      <c r="I2087" t="s">
        <v>31</v>
      </c>
      <c r="J2087" t="s">
        <v>32</v>
      </c>
      <c r="K2087" t="s">
        <v>33</v>
      </c>
      <c r="L2087" t="s">
        <v>73</v>
      </c>
      <c r="M2087" t="s">
        <v>263</v>
      </c>
      <c r="N2087" t="s">
        <v>46</v>
      </c>
      <c r="P2087" t="s">
        <v>3233</v>
      </c>
      <c r="Q2087" t="s">
        <v>3468</v>
      </c>
      <c r="R2087">
        <v>42821.408194444448</v>
      </c>
      <c r="S2087">
        <v>43272.398692129631</v>
      </c>
      <c r="T2087" t="s">
        <v>3467</v>
      </c>
      <c r="U2087" t="s">
        <v>35</v>
      </c>
      <c r="V2087" t="s">
        <v>35</v>
      </c>
      <c r="W2087" t="s">
        <v>3233</v>
      </c>
    </row>
    <row r="2088" spans="2:23" x14ac:dyDescent="0.25">
      <c r="B2088" s="19">
        <v>99999</v>
      </c>
      <c r="C2088" s="2">
        <f>HYPERLINK(URLs!B36 &amp; 95755,95755)</f>
        <v>95755</v>
      </c>
      <c r="D2088" t="s">
        <v>3430</v>
      </c>
      <c r="E2088" t="s">
        <v>3367</v>
      </c>
      <c r="F2088" t="s">
        <v>305</v>
      </c>
      <c r="G2088" t="s">
        <v>328</v>
      </c>
      <c r="H2088" t="s">
        <v>30</v>
      </c>
      <c r="I2088" t="s">
        <v>31</v>
      </c>
      <c r="J2088" t="s">
        <v>32</v>
      </c>
      <c r="K2088" t="s">
        <v>33</v>
      </c>
      <c r="L2088" t="s">
        <v>73</v>
      </c>
      <c r="M2088" t="s">
        <v>263</v>
      </c>
      <c r="N2088" t="s">
        <v>46</v>
      </c>
      <c r="P2088" t="s">
        <v>3120</v>
      </c>
      <c r="Q2088" t="s">
        <v>3368</v>
      </c>
      <c r="R2088">
        <v>42776.959594907406</v>
      </c>
      <c r="S2088">
        <v>42885.636782407404</v>
      </c>
      <c r="T2088" t="s">
        <v>317</v>
      </c>
      <c r="U2088" t="s">
        <v>35</v>
      </c>
      <c r="V2088" t="s">
        <v>35</v>
      </c>
      <c r="W2088" t="s">
        <v>92</v>
      </c>
    </row>
    <row r="2089" spans="2:23" x14ac:dyDescent="0.25">
      <c r="B2089" s="19">
        <v>99999</v>
      </c>
      <c r="C2089" s="2">
        <f>HYPERLINK(URLs!B36 &amp; 93553,93553)</f>
        <v>93553</v>
      </c>
      <c r="D2089" t="s">
        <v>3366</v>
      </c>
      <c r="E2089" t="s">
        <v>3367</v>
      </c>
      <c r="F2089" t="s">
        <v>305</v>
      </c>
      <c r="G2089" t="s">
        <v>328</v>
      </c>
      <c r="H2089" t="s">
        <v>30</v>
      </c>
      <c r="I2089" t="s">
        <v>31</v>
      </c>
      <c r="J2089" t="s">
        <v>32</v>
      </c>
      <c r="K2089" t="s">
        <v>33</v>
      </c>
      <c r="L2089" t="s">
        <v>73</v>
      </c>
      <c r="M2089" t="s">
        <v>263</v>
      </c>
      <c r="N2089" t="s">
        <v>46</v>
      </c>
      <c r="P2089" t="s">
        <v>3120</v>
      </c>
      <c r="Q2089" t="s">
        <v>3368</v>
      </c>
      <c r="R2089">
        <v>42713.485601851855</v>
      </c>
      <c r="S2089">
        <v>42871.700659722221</v>
      </c>
      <c r="T2089" t="s">
        <v>3367</v>
      </c>
      <c r="U2089" t="s">
        <v>35</v>
      </c>
      <c r="V2089" t="s">
        <v>35</v>
      </c>
      <c r="W2089" t="s">
        <v>4098</v>
      </c>
    </row>
    <row r="2090" spans="2:23" x14ac:dyDescent="0.25">
      <c r="B2090" s="19">
        <v>99999</v>
      </c>
      <c r="C2090" s="2">
        <f>HYPERLINK(URLs!B36 &amp; 75274,75274)</f>
        <v>75274</v>
      </c>
      <c r="D2090" t="s">
        <v>2878</v>
      </c>
      <c r="E2090" t="s">
        <v>39</v>
      </c>
      <c r="F2090" t="s">
        <v>305</v>
      </c>
      <c r="G2090" t="s">
        <v>353</v>
      </c>
      <c r="H2090" t="s">
        <v>30</v>
      </c>
      <c r="I2090" t="s">
        <v>31</v>
      </c>
      <c r="J2090" t="s">
        <v>32</v>
      </c>
      <c r="K2090" t="s">
        <v>33</v>
      </c>
      <c r="L2090" t="s">
        <v>34</v>
      </c>
      <c r="M2090" t="s">
        <v>258</v>
      </c>
      <c r="N2090" t="s">
        <v>46</v>
      </c>
      <c r="P2090" t="s">
        <v>56</v>
      </c>
      <c r="Q2090" t="s">
        <v>2879</v>
      </c>
      <c r="R2090">
        <v>42387.306354166663</v>
      </c>
      <c r="S2090">
        <v>42678.646770833337</v>
      </c>
      <c r="T2090" t="s">
        <v>2509</v>
      </c>
      <c r="U2090" t="s">
        <v>35</v>
      </c>
      <c r="V2090" t="s">
        <v>321</v>
      </c>
      <c r="W2090" t="s">
        <v>4126</v>
      </c>
    </row>
    <row r="2091" spans="2:23" x14ac:dyDescent="0.25">
      <c r="B2091" s="19">
        <v>99999</v>
      </c>
      <c r="C2091" s="2">
        <f>HYPERLINK(URLs!B36 &amp; 74032,74032)</f>
        <v>74032</v>
      </c>
      <c r="D2091" t="s">
        <v>2842</v>
      </c>
      <c r="E2091" t="s">
        <v>387</v>
      </c>
      <c r="F2091" t="s">
        <v>305</v>
      </c>
      <c r="G2091" t="s">
        <v>328</v>
      </c>
      <c r="H2091" t="s">
        <v>30</v>
      </c>
      <c r="I2091" t="s">
        <v>31</v>
      </c>
      <c r="J2091" t="s">
        <v>32</v>
      </c>
      <c r="K2091" t="s">
        <v>33</v>
      </c>
      <c r="L2091" t="s">
        <v>73</v>
      </c>
      <c r="M2091" t="s">
        <v>263</v>
      </c>
      <c r="N2091" t="s">
        <v>46</v>
      </c>
      <c r="P2091" t="s">
        <v>491</v>
      </c>
      <c r="Q2091" t="s">
        <v>2735</v>
      </c>
      <c r="R2091">
        <v>42349.493009259262</v>
      </c>
      <c r="S2091">
        <v>42453.384756944448</v>
      </c>
      <c r="T2091" t="s">
        <v>2509</v>
      </c>
      <c r="U2091" t="s">
        <v>35</v>
      </c>
      <c r="V2091" t="s">
        <v>321</v>
      </c>
      <c r="W2091" t="s">
        <v>35</v>
      </c>
    </row>
    <row r="2092" spans="2:23" x14ac:dyDescent="0.25">
      <c r="B2092" s="19">
        <v>99999</v>
      </c>
      <c r="C2092" s="2">
        <f>HYPERLINK(URLs!B36 &amp; 69820,69820)</f>
        <v>69820</v>
      </c>
      <c r="D2092" t="s">
        <v>3879</v>
      </c>
      <c r="E2092" t="s">
        <v>371</v>
      </c>
      <c r="F2092" t="s">
        <v>305</v>
      </c>
      <c r="G2092" t="s">
        <v>353</v>
      </c>
      <c r="H2092" t="s">
        <v>30</v>
      </c>
      <c r="I2092" t="s">
        <v>2156</v>
      </c>
      <c r="J2092" t="s">
        <v>32</v>
      </c>
      <c r="K2092" t="s">
        <v>2156</v>
      </c>
      <c r="L2092" t="s">
        <v>34</v>
      </c>
      <c r="M2092" t="s">
        <v>368</v>
      </c>
      <c r="N2092" t="s">
        <v>2508</v>
      </c>
      <c r="O2092" t="s">
        <v>3878</v>
      </c>
      <c r="P2092" t="s">
        <v>3880</v>
      </c>
      <c r="R2092">
        <v>42275.240023148152</v>
      </c>
      <c r="S2092">
        <v>42678.642511574071</v>
      </c>
      <c r="T2092" t="s">
        <v>2509</v>
      </c>
      <c r="U2092" t="s">
        <v>35</v>
      </c>
      <c r="V2092" t="s">
        <v>35</v>
      </c>
      <c r="W2092" t="s">
        <v>4126</v>
      </c>
    </row>
    <row r="2093" spans="2:23" x14ac:dyDescent="0.25">
      <c r="B2093" s="19">
        <v>962674</v>
      </c>
      <c r="C2093" s="2">
        <f>HYPERLINK(URLs!B36 &amp; 68997,68997)</f>
        <v>68997</v>
      </c>
      <c r="D2093" t="s">
        <v>2698</v>
      </c>
      <c r="E2093" t="s">
        <v>2603</v>
      </c>
      <c r="F2093" t="s">
        <v>305</v>
      </c>
      <c r="G2093" t="s">
        <v>304</v>
      </c>
      <c r="H2093" t="s">
        <v>30</v>
      </c>
      <c r="I2093" t="s">
        <v>68</v>
      </c>
      <c r="J2093" t="s">
        <v>43</v>
      </c>
      <c r="K2093" t="s">
        <v>33</v>
      </c>
      <c r="L2093" t="s">
        <v>45</v>
      </c>
      <c r="M2093" t="s">
        <v>265</v>
      </c>
      <c r="N2093" t="s">
        <v>2508</v>
      </c>
      <c r="O2093" t="s">
        <v>2538</v>
      </c>
      <c r="P2093" t="s">
        <v>428</v>
      </c>
      <c r="R2093">
        <v>42261.665092592593</v>
      </c>
      <c r="S2093">
        <v>43332.462916666664</v>
      </c>
      <c r="T2093" t="s">
        <v>383</v>
      </c>
      <c r="U2093" t="s">
        <v>35</v>
      </c>
      <c r="V2093" t="s">
        <v>35</v>
      </c>
      <c r="W2093" t="s">
        <v>428</v>
      </c>
    </row>
    <row r="2094" spans="2:23" x14ac:dyDescent="0.25">
      <c r="B2094" s="19">
        <v>964697</v>
      </c>
      <c r="C2094" s="2">
        <f>HYPERLINK(URLs!B36 &amp; 71247,71247)</f>
        <v>71247</v>
      </c>
      <c r="D2094" t="s">
        <v>2739</v>
      </c>
      <c r="E2094" t="s">
        <v>2740</v>
      </c>
      <c r="F2094" t="s">
        <v>305</v>
      </c>
      <c r="G2094" t="s">
        <v>304</v>
      </c>
      <c r="H2094" t="s">
        <v>54</v>
      </c>
      <c r="I2094" t="s">
        <v>31</v>
      </c>
      <c r="J2094" t="s">
        <v>32</v>
      </c>
      <c r="K2094" t="s">
        <v>51</v>
      </c>
      <c r="L2094" t="s">
        <v>34</v>
      </c>
      <c r="M2094" t="s">
        <v>1853</v>
      </c>
      <c r="N2094" t="s">
        <v>2508</v>
      </c>
      <c r="O2094" t="s">
        <v>2741</v>
      </c>
      <c r="P2094" t="s">
        <v>2216</v>
      </c>
      <c r="R2094">
        <v>42297.556990740741</v>
      </c>
      <c r="S2094">
        <v>42404.472870370373</v>
      </c>
      <c r="T2094" t="s">
        <v>2742</v>
      </c>
      <c r="U2094" t="s">
        <v>35</v>
      </c>
      <c r="V2094" t="s">
        <v>35</v>
      </c>
      <c r="W2094" t="s">
        <v>3120</v>
      </c>
    </row>
    <row r="2095" spans="2:23" x14ac:dyDescent="0.25">
      <c r="B2095" s="19">
        <v>964697</v>
      </c>
      <c r="C2095" s="2">
        <f>HYPERLINK(URLs!B36 &amp; 64697,64697)</f>
        <v>64697</v>
      </c>
      <c r="D2095" t="s">
        <v>2533</v>
      </c>
      <c r="E2095" t="s">
        <v>2354</v>
      </c>
      <c r="F2095" t="s">
        <v>305</v>
      </c>
      <c r="G2095" t="s">
        <v>304</v>
      </c>
      <c r="H2095" t="s">
        <v>54</v>
      </c>
      <c r="I2095" t="s">
        <v>31</v>
      </c>
      <c r="J2095" t="s">
        <v>32</v>
      </c>
      <c r="K2095" t="s">
        <v>51</v>
      </c>
      <c r="L2095" t="s">
        <v>34</v>
      </c>
      <c r="M2095" t="s">
        <v>1853</v>
      </c>
      <c r="N2095" t="s">
        <v>2508</v>
      </c>
      <c r="O2095" t="s">
        <v>2534</v>
      </c>
      <c r="P2095" t="s">
        <v>2475</v>
      </c>
      <c r="R2095">
        <v>42184.296678240738</v>
      </c>
      <c r="S2095">
        <v>42487.361770833333</v>
      </c>
      <c r="T2095" t="s">
        <v>359</v>
      </c>
      <c r="U2095" t="s">
        <v>35</v>
      </c>
      <c r="V2095" t="s">
        <v>35</v>
      </c>
      <c r="W2095" t="s">
        <v>4098</v>
      </c>
    </row>
    <row r="2096" spans="2:23" x14ac:dyDescent="0.25">
      <c r="B2096" s="19">
        <v>964697</v>
      </c>
      <c r="C2096" s="2">
        <f>HYPERLINK(URLs!B36 &amp; 63656,63656)</f>
        <v>63656</v>
      </c>
      <c r="D2096" t="s">
        <v>2507</v>
      </c>
      <c r="E2096" t="s">
        <v>2354</v>
      </c>
      <c r="F2096" t="s">
        <v>305</v>
      </c>
      <c r="G2096" t="s">
        <v>353</v>
      </c>
      <c r="H2096" t="s">
        <v>30</v>
      </c>
      <c r="I2096" t="s">
        <v>2156</v>
      </c>
      <c r="J2096" t="s">
        <v>32</v>
      </c>
      <c r="K2096" t="s">
        <v>2156</v>
      </c>
      <c r="L2096" t="s">
        <v>34</v>
      </c>
      <c r="M2096" t="s">
        <v>1853</v>
      </c>
      <c r="N2096" t="s">
        <v>2508</v>
      </c>
      <c r="P2096" t="s">
        <v>2216</v>
      </c>
      <c r="R2096">
        <v>42163.472916666666</v>
      </c>
      <c r="S2096">
        <v>42678.641736111109</v>
      </c>
      <c r="T2096" t="s">
        <v>2509</v>
      </c>
      <c r="U2096" t="s">
        <v>35</v>
      </c>
      <c r="V2096" t="s">
        <v>321</v>
      </c>
      <c r="W2096" t="s">
        <v>4126</v>
      </c>
    </row>
    <row r="2097" spans="2:23" x14ac:dyDescent="0.25">
      <c r="B2097" s="19">
        <v>964950</v>
      </c>
      <c r="C2097" s="2">
        <f>HYPERLINK(URLs!B36 &amp; 66819,66819)</f>
        <v>66819</v>
      </c>
      <c r="D2097" t="s">
        <v>2619</v>
      </c>
      <c r="E2097" t="s">
        <v>39</v>
      </c>
      <c r="F2097" t="s">
        <v>305</v>
      </c>
      <c r="G2097" t="s">
        <v>353</v>
      </c>
      <c r="H2097" t="s">
        <v>30</v>
      </c>
      <c r="I2097" t="s">
        <v>2156</v>
      </c>
      <c r="J2097" t="s">
        <v>32</v>
      </c>
      <c r="K2097" t="s">
        <v>2156</v>
      </c>
      <c r="L2097" t="s">
        <v>34</v>
      </c>
      <c r="M2097" t="s">
        <v>258</v>
      </c>
      <c r="N2097" t="s">
        <v>2508</v>
      </c>
      <c r="O2097" t="s">
        <v>2620</v>
      </c>
      <c r="P2097" t="s">
        <v>2216</v>
      </c>
      <c r="R2097">
        <v>42226.486342592594</v>
      </c>
      <c r="S2097">
        <v>42678.642002314817</v>
      </c>
      <c r="T2097" t="s">
        <v>2509</v>
      </c>
      <c r="U2097" t="s">
        <v>35</v>
      </c>
      <c r="V2097" t="s">
        <v>321</v>
      </c>
      <c r="W2097" t="s">
        <v>4126</v>
      </c>
    </row>
    <row r="2098" spans="2:23" x14ac:dyDescent="0.25">
      <c r="B2098" s="19">
        <v>965110</v>
      </c>
      <c r="C2098" s="2">
        <f>HYPERLINK(URLs!B36 &amp; 65110,65110)</f>
        <v>65110</v>
      </c>
      <c r="D2098" t="s">
        <v>2542</v>
      </c>
      <c r="E2098" t="s">
        <v>2543</v>
      </c>
      <c r="F2098" t="s">
        <v>305</v>
      </c>
      <c r="G2098" t="s">
        <v>328</v>
      </c>
      <c r="H2098" t="s">
        <v>30</v>
      </c>
      <c r="I2098" t="s">
        <v>31</v>
      </c>
      <c r="J2098" t="s">
        <v>32</v>
      </c>
      <c r="K2098" t="s">
        <v>33</v>
      </c>
      <c r="L2098" t="s">
        <v>34</v>
      </c>
      <c r="M2098" t="s">
        <v>258</v>
      </c>
      <c r="N2098" t="s">
        <v>46</v>
      </c>
      <c r="O2098" t="s">
        <v>2544</v>
      </c>
      <c r="P2098" t="s">
        <v>56</v>
      </c>
      <c r="R2098">
        <v>42192.484444444446</v>
      </c>
      <c r="S2098">
        <v>42678.643750000003</v>
      </c>
      <c r="T2098" t="s">
        <v>2509</v>
      </c>
      <c r="U2098" t="s">
        <v>35</v>
      </c>
      <c r="V2098" t="s">
        <v>321</v>
      </c>
      <c r="W2098" t="s">
        <v>4126</v>
      </c>
    </row>
    <row r="2099" spans="2:23" x14ac:dyDescent="0.25">
      <c r="B2099" s="19">
        <v>965849</v>
      </c>
      <c r="C2099" s="2">
        <f>HYPERLINK(URLs!B36 &amp; 65849,65849)</f>
        <v>65849</v>
      </c>
      <c r="D2099" t="s">
        <v>2580</v>
      </c>
      <c r="E2099" t="s">
        <v>39</v>
      </c>
      <c r="F2099" t="s">
        <v>305</v>
      </c>
      <c r="G2099" t="s">
        <v>304</v>
      </c>
      <c r="H2099" t="s">
        <v>30</v>
      </c>
      <c r="I2099" t="s">
        <v>57</v>
      </c>
      <c r="J2099" t="s">
        <v>58</v>
      </c>
      <c r="K2099" t="s">
        <v>33</v>
      </c>
      <c r="L2099" t="s">
        <v>34</v>
      </c>
      <c r="M2099" t="s">
        <v>1734</v>
      </c>
      <c r="N2099" t="s">
        <v>46</v>
      </c>
      <c r="O2099" t="s">
        <v>2581</v>
      </c>
      <c r="P2099" t="s">
        <v>2216</v>
      </c>
      <c r="R2099">
        <v>42206.812337962961</v>
      </c>
      <c r="S2099">
        <v>42930.290335648147</v>
      </c>
      <c r="T2099" t="s">
        <v>39</v>
      </c>
      <c r="U2099" t="s">
        <v>35</v>
      </c>
      <c r="V2099" t="s">
        <v>35</v>
      </c>
      <c r="W2099" t="s">
        <v>4152</v>
      </c>
    </row>
    <row r="2100" spans="2:23" x14ac:dyDescent="0.25">
      <c r="B2100" s="19">
        <v>968663</v>
      </c>
      <c r="C2100" s="2">
        <f>HYPERLINK(URLs!B36 &amp; 68663,68663)</f>
        <v>68663</v>
      </c>
      <c r="D2100" t="s">
        <v>3874</v>
      </c>
      <c r="E2100" t="s">
        <v>2509</v>
      </c>
      <c r="F2100" t="s">
        <v>305</v>
      </c>
      <c r="G2100" t="s">
        <v>304</v>
      </c>
      <c r="H2100" t="s">
        <v>30</v>
      </c>
      <c r="I2100" t="s">
        <v>57</v>
      </c>
      <c r="J2100" t="s">
        <v>58</v>
      </c>
      <c r="K2100" t="s">
        <v>33</v>
      </c>
      <c r="L2100" t="s">
        <v>34</v>
      </c>
      <c r="M2100" t="s">
        <v>3780</v>
      </c>
      <c r="N2100" t="s">
        <v>2508</v>
      </c>
      <c r="O2100" t="s">
        <v>3875</v>
      </c>
      <c r="P2100" t="s">
        <v>3187</v>
      </c>
      <c r="Q2100" t="s">
        <v>3187</v>
      </c>
      <c r="R2100">
        <v>42254.47960648148</v>
      </c>
      <c r="S2100">
        <v>43298.536759259259</v>
      </c>
      <c r="T2100" t="s">
        <v>2509</v>
      </c>
      <c r="U2100" t="s">
        <v>35</v>
      </c>
      <c r="V2100" t="s">
        <v>321</v>
      </c>
      <c r="W2100" t="s">
        <v>4143</v>
      </c>
    </row>
    <row r="2101" spans="2:23" x14ac:dyDescent="0.25">
      <c r="B2101" s="19">
        <v>969696</v>
      </c>
      <c r="C2101" s="2">
        <f>HYPERLINK(URLs!B36 &amp; 69696,69696)</f>
        <v>69696</v>
      </c>
      <c r="D2101" t="s">
        <v>3877</v>
      </c>
      <c r="E2101" t="s">
        <v>371</v>
      </c>
      <c r="F2101" t="s">
        <v>305</v>
      </c>
      <c r="G2101" t="s">
        <v>353</v>
      </c>
      <c r="H2101" t="s">
        <v>30</v>
      </c>
      <c r="I2101" t="s">
        <v>31</v>
      </c>
      <c r="J2101" t="s">
        <v>32</v>
      </c>
      <c r="K2101" t="s">
        <v>44</v>
      </c>
      <c r="L2101" t="s">
        <v>34</v>
      </c>
      <c r="M2101" t="s">
        <v>368</v>
      </c>
      <c r="N2101" t="s">
        <v>2508</v>
      </c>
      <c r="O2101" t="s">
        <v>3878</v>
      </c>
      <c r="P2101" t="s">
        <v>2708</v>
      </c>
      <c r="R2101">
        <v>42271.393136574072</v>
      </c>
      <c r="S2101">
        <v>42345.977824074071</v>
      </c>
      <c r="T2101" t="s">
        <v>2509</v>
      </c>
      <c r="U2101" t="s">
        <v>35</v>
      </c>
      <c r="V2101" t="s">
        <v>321</v>
      </c>
      <c r="W2101" t="s">
        <v>4126</v>
      </c>
    </row>
    <row r="2102" spans="2:23" x14ac:dyDescent="0.25">
      <c r="B2102" s="19">
        <v>970716</v>
      </c>
      <c r="C2102" s="2">
        <f>HYPERLINK(URLs!B36 &amp; 76324,76324)</f>
        <v>76324</v>
      </c>
      <c r="D2102" t="s">
        <v>2926</v>
      </c>
      <c r="E2102" t="s">
        <v>387</v>
      </c>
      <c r="F2102" t="s">
        <v>305</v>
      </c>
      <c r="G2102" t="s">
        <v>328</v>
      </c>
      <c r="H2102" t="s">
        <v>54</v>
      </c>
      <c r="I2102" t="s">
        <v>31</v>
      </c>
      <c r="J2102" t="s">
        <v>32</v>
      </c>
      <c r="K2102" t="s">
        <v>33</v>
      </c>
      <c r="L2102" t="s">
        <v>73</v>
      </c>
      <c r="M2102" t="s">
        <v>263</v>
      </c>
      <c r="N2102" t="s">
        <v>2508</v>
      </c>
      <c r="P2102" t="s">
        <v>491</v>
      </c>
      <c r="Q2102" t="s">
        <v>2927</v>
      </c>
      <c r="R2102">
        <v>42400.695034722223</v>
      </c>
      <c r="S2102">
        <v>42678.648240740738</v>
      </c>
      <c r="T2102" t="s">
        <v>72</v>
      </c>
      <c r="U2102" t="s">
        <v>35</v>
      </c>
      <c r="V2102" t="s">
        <v>321</v>
      </c>
      <c r="W2102" t="s">
        <v>92</v>
      </c>
    </row>
    <row r="2103" spans="2:23" x14ac:dyDescent="0.25">
      <c r="B2103" s="19">
        <v>970716</v>
      </c>
      <c r="C2103" s="2">
        <f>HYPERLINK(URLs!B36 &amp; 70716,70716)</f>
        <v>70716</v>
      </c>
      <c r="D2103" t="s">
        <v>2734</v>
      </c>
      <c r="E2103" t="s">
        <v>84</v>
      </c>
      <c r="F2103" t="s">
        <v>305</v>
      </c>
      <c r="G2103" t="s">
        <v>328</v>
      </c>
      <c r="H2103" t="s">
        <v>54</v>
      </c>
      <c r="I2103" t="s">
        <v>68</v>
      </c>
      <c r="J2103" t="s">
        <v>32</v>
      </c>
      <c r="K2103" t="s">
        <v>33</v>
      </c>
      <c r="L2103" t="s">
        <v>73</v>
      </c>
      <c r="M2103" t="s">
        <v>263</v>
      </c>
      <c r="N2103" t="s">
        <v>2508</v>
      </c>
      <c r="P2103" t="s">
        <v>491</v>
      </c>
      <c r="Q2103" t="s">
        <v>2735</v>
      </c>
      <c r="R2103">
        <v>42290.272291666668</v>
      </c>
      <c r="S2103">
        <v>42683.240358796298</v>
      </c>
      <c r="T2103" t="s">
        <v>2509</v>
      </c>
      <c r="U2103" t="s">
        <v>35</v>
      </c>
      <c r="V2103" t="s">
        <v>321</v>
      </c>
      <c r="W2103" t="s">
        <v>4098</v>
      </c>
    </row>
    <row r="2104" spans="2:23" x14ac:dyDescent="0.25">
      <c r="B2104" s="19">
        <v>974108</v>
      </c>
      <c r="C2104" s="2">
        <f>HYPERLINK(URLs!B36 &amp; 74108,74108)</f>
        <v>74108</v>
      </c>
      <c r="D2104" t="s">
        <v>2844</v>
      </c>
      <c r="E2104" t="s">
        <v>2509</v>
      </c>
      <c r="F2104" t="s">
        <v>305</v>
      </c>
      <c r="G2104" t="s">
        <v>328</v>
      </c>
      <c r="H2104" t="s">
        <v>30</v>
      </c>
      <c r="I2104" t="s">
        <v>31</v>
      </c>
      <c r="J2104" t="s">
        <v>32</v>
      </c>
      <c r="K2104" t="s">
        <v>33</v>
      </c>
      <c r="L2104" t="s">
        <v>73</v>
      </c>
      <c r="M2104" t="s">
        <v>263</v>
      </c>
      <c r="N2104" t="s">
        <v>46</v>
      </c>
      <c r="P2104" t="s">
        <v>491</v>
      </c>
      <c r="Q2104" t="s">
        <v>2735</v>
      </c>
      <c r="R2104">
        <v>42353.195034722223</v>
      </c>
      <c r="S2104">
        <v>42456.414236111108</v>
      </c>
      <c r="T2104" t="s">
        <v>2509</v>
      </c>
      <c r="U2104" t="s">
        <v>35</v>
      </c>
      <c r="V2104" t="s">
        <v>321</v>
      </c>
      <c r="W2104" t="s">
        <v>3233</v>
      </c>
    </row>
    <row r="2105" spans="2:23" x14ac:dyDescent="0.25">
      <c r="B2105" s="19">
        <v>974685</v>
      </c>
      <c r="C2105" s="2">
        <f>HYPERLINK(URLs!B36 &amp; 75994,75994)</f>
        <v>75994</v>
      </c>
      <c r="D2105" t="s">
        <v>2914</v>
      </c>
      <c r="E2105" t="s">
        <v>2509</v>
      </c>
      <c r="F2105" t="s">
        <v>305</v>
      </c>
      <c r="G2105" t="s">
        <v>328</v>
      </c>
      <c r="H2105" t="s">
        <v>30</v>
      </c>
      <c r="I2105" t="s">
        <v>31</v>
      </c>
      <c r="J2105" t="s">
        <v>32</v>
      </c>
      <c r="K2105" t="s">
        <v>33</v>
      </c>
      <c r="L2105" t="s">
        <v>96</v>
      </c>
      <c r="M2105" t="s">
        <v>275</v>
      </c>
      <c r="N2105" t="s">
        <v>46</v>
      </c>
      <c r="P2105" t="s">
        <v>2166</v>
      </c>
      <c r="Q2105" t="s">
        <v>2913</v>
      </c>
      <c r="R2105">
        <v>42396.549259259256</v>
      </c>
      <c r="S2105">
        <v>42678.648125</v>
      </c>
      <c r="T2105" t="s">
        <v>72</v>
      </c>
      <c r="U2105" t="s">
        <v>35</v>
      </c>
      <c r="V2105" t="s">
        <v>321</v>
      </c>
      <c r="W2105" t="s">
        <v>92</v>
      </c>
    </row>
    <row r="2106" spans="2:23" x14ac:dyDescent="0.25">
      <c r="B2106" s="19">
        <v>974685</v>
      </c>
      <c r="C2106" s="2">
        <f>HYPERLINK(URLs!B36 &amp; 75993,75993)</f>
        <v>75993</v>
      </c>
      <c r="D2106" t="s">
        <v>2912</v>
      </c>
      <c r="E2106" t="s">
        <v>2509</v>
      </c>
      <c r="F2106" t="s">
        <v>305</v>
      </c>
      <c r="G2106" t="s">
        <v>328</v>
      </c>
      <c r="H2106" t="s">
        <v>30</v>
      </c>
      <c r="I2106" t="s">
        <v>31</v>
      </c>
      <c r="J2106" t="s">
        <v>32</v>
      </c>
      <c r="K2106" t="s">
        <v>33</v>
      </c>
      <c r="L2106" t="s">
        <v>96</v>
      </c>
      <c r="M2106" t="s">
        <v>275</v>
      </c>
      <c r="N2106" t="s">
        <v>46</v>
      </c>
      <c r="P2106" t="s">
        <v>2166</v>
      </c>
      <c r="Q2106" t="s">
        <v>2913</v>
      </c>
      <c r="R2106">
        <v>42396.548692129632</v>
      </c>
      <c r="S2106">
        <v>42545.823020833333</v>
      </c>
      <c r="T2106" t="s">
        <v>72</v>
      </c>
      <c r="U2106" t="s">
        <v>35</v>
      </c>
      <c r="V2106" t="s">
        <v>321</v>
      </c>
      <c r="W2106" t="s">
        <v>3233</v>
      </c>
    </row>
    <row r="2107" spans="2:23" x14ac:dyDescent="0.25">
      <c r="B2107" s="19">
        <v>974685</v>
      </c>
      <c r="C2107" s="2">
        <f>HYPERLINK(URLs!B36 &amp; 75941,75941)</f>
        <v>75941</v>
      </c>
      <c r="D2107" t="s">
        <v>2909</v>
      </c>
      <c r="E2107" t="s">
        <v>387</v>
      </c>
      <c r="F2107" t="s">
        <v>305</v>
      </c>
      <c r="G2107" t="s">
        <v>310</v>
      </c>
      <c r="H2107" t="s">
        <v>30</v>
      </c>
      <c r="I2107" t="s">
        <v>31</v>
      </c>
      <c r="J2107" t="s">
        <v>32</v>
      </c>
      <c r="K2107" t="s">
        <v>33</v>
      </c>
      <c r="L2107" t="s">
        <v>96</v>
      </c>
      <c r="M2107" t="s">
        <v>275</v>
      </c>
      <c r="N2107" t="s">
        <v>46</v>
      </c>
      <c r="P2107" t="s">
        <v>2166</v>
      </c>
      <c r="R2107">
        <v>42395.815497685187</v>
      </c>
      <c r="S2107">
        <v>43332.701898148145</v>
      </c>
      <c r="T2107" t="s">
        <v>317</v>
      </c>
      <c r="U2107" t="s">
        <v>35</v>
      </c>
      <c r="V2107" t="s">
        <v>321</v>
      </c>
      <c r="W2107" t="s">
        <v>133</v>
      </c>
    </row>
    <row r="2108" spans="2:23" x14ac:dyDescent="0.25">
      <c r="B2108" s="19">
        <v>974685</v>
      </c>
      <c r="C2108" s="2">
        <f>HYPERLINK(URLs!B36 &amp; 75940,75940)</f>
        <v>75940</v>
      </c>
      <c r="D2108" t="s">
        <v>2908</v>
      </c>
      <c r="E2108" t="s">
        <v>387</v>
      </c>
      <c r="F2108" t="s">
        <v>305</v>
      </c>
      <c r="G2108" t="s">
        <v>310</v>
      </c>
      <c r="H2108" t="s">
        <v>30</v>
      </c>
      <c r="I2108" t="s">
        <v>31</v>
      </c>
      <c r="J2108" t="s">
        <v>32</v>
      </c>
      <c r="K2108" t="s">
        <v>33</v>
      </c>
      <c r="L2108" t="s">
        <v>96</v>
      </c>
      <c r="M2108" t="s">
        <v>275</v>
      </c>
      <c r="N2108" t="s">
        <v>60</v>
      </c>
      <c r="P2108" t="s">
        <v>2166</v>
      </c>
      <c r="R2108">
        <v>42395.815451388888</v>
      </c>
      <c r="S2108">
        <v>43332.701886574076</v>
      </c>
      <c r="T2108" t="s">
        <v>317</v>
      </c>
      <c r="U2108" t="s">
        <v>35</v>
      </c>
      <c r="V2108" t="s">
        <v>321</v>
      </c>
      <c r="W2108" t="s">
        <v>65</v>
      </c>
    </row>
    <row r="2109" spans="2:23" x14ac:dyDescent="0.25">
      <c r="B2109" s="19">
        <v>974685</v>
      </c>
      <c r="C2109" s="2">
        <f>HYPERLINK(URLs!B36 &amp; 75889,75889)</f>
        <v>75889</v>
      </c>
      <c r="D2109" t="s">
        <v>2902</v>
      </c>
      <c r="E2109" t="s">
        <v>2509</v>
      </c>
      <c r="F2109" t="s">
        <v>305</v>
      </c>
      <c r="G2109" t="s">
        <v>328</v>
      </c>
      <c r="H2109" t="s">
        <v>30</v>
      </c>
      <c r="I2109" t="s">
        <v>31</v>
      </c>
      <c r="J2109" t="s">
        <v>32</v>
      </c>
      <c r="K2109" t="s">
        <v>33</v>
      </c>
      <c r="L2109" t="s">
        <v>96</v>
      </c>
      <c r="M2109" t="s">
        <v>275</v>
      </c>
      <c r="N2109" t="s">
        <v>46</v>
      </c>
      <c r="P2109" t="s">
        <v>2166</v>
      </c>
      <c r="Q2109" t="s">
        <v>2903</v>
      </c>
      <c r="R2109">
        <v>42395.586828703701</v>
      </c>
      <c r="S2109">
        <v>42456.420775462961</v>
      </c>
      <c r="T2109" t="s">
        <v>317</v>
      </c>
      <c r="U2109" t="s">
        <v>35</v>
      </c>
      <c r="V2109" t="s">
        <v>321</v>
      </c>
      <c r="W2109" t="s">
        <v>4098</v>
      </c>
    </row>
    <row r="2110" spans="2:23" x14ac:dyDescent="0.25">
      <c r="B2110" s="19">
        <v>974685</v>
      </c>
      <c r="C2110" s="2">
        <f>HYPERLINK(URLs!B36 &amp; 75888,75888)</f>
        <v>75888</v>
      </c>
      <c r="D2110" t="s">
        <v>2901</v>
      </c>
      <c r="E2110" t="s">
        <v>387</v>
      </c>
      <c r="F2110" t="s">
        <v>305</v>
      </c>
      <c r="G2110" t="s">
        <v>310</v>
      </c>
      <c r="H2110" t="s">
        <v>30</v>
      </c>
      <c r="I2110" t="s">
        <v>31</v>
      </c>
      <c r="J2110" t="s">
        <v>32</v>
      </c>
      <c r="K2110" t="s">
        <v>33</v>
      </c>
      <c r="L2110" t="s">
        <v>96</v>
      </c>
      <c r="M2110" t="s">
        <v>275</v>
      </c>
      <c r="N2110" t="s">
        <v>46</v>
      </c>
      <c r="P2110" t="s">
        <v>2166</v>
      </c>
      <c r="R2110">
        <v>42395.586828703701</v>
      </c>
      <c r="S2110">
        <v>42678.645312499997</v>
      </c>
      <c r="T2110" t="s">
        <v>317</v>
      </c>
      <c r="U2110" t="s">
        <v>35</v>
      </c>
      <c r="V2110" t="s">
        <v>321</v>
      </c>
      <c r="W2110" t="s">
        <v>4156</v>
      </c>
    </row>
    <row r="2111" spans="2:23" x14ac:dyDescent="0.25">
      <c r="B2111" s="19">
        <v>974685</v>
      </c>
      <c r="C2111" s="2">
        <f>HYPERLINK(URLs!B36 &amp; 74685,74685)</f>
        <v>74685</v>
      </c>
      <c r="D2111" t="s">
        <v>2857</v>
      </c>
      <c r="E2111" t="s">
        <v>387</v>
      </c>
      <c r="F2111" t="s">
        <v>305</v>
      </c>
      <c r="G2111" t="s">
        <v>310</v>
      </c>
      <c r="H2111" t="s">
        <v>30</v>
      </c>
      <c r="I2111" t="s">
        <v>31</v>
      </c>
      <c r="J2111" t="s">
        <v>32</v>
      </c>
      <c r="K2111" t="s">
        <v>33</v>
      </c>
      <c r="L2111" t="s">
        <v>96</v>
      </c>
      <c r="M2111" t="s">
        <v>275</v>
      </c>
      <c r="N2111" t="s">
        <v>46</v>
      </c>
      <c r="P2111" t="s">
        <v>2166</v>
      </c>
      <c r="R2111">
        <v>42369.157650462963</v>
      </c>
      <c r="S2111">
        <v>42563.858912037038</v>
      </c>
      <c r="T2111" t="s">
        <v>2509</v>
      </c>
      <c r="U2111" t="s">
        <v>35</v>
      </c>
      <c r="V2111" t="s">
        <v>321</v>
      </c>
      <c r="W2111" t="s">
        <v>133</v>
      </c>
    </row>
    <row r="2112" spans="2:23" x14ac:dyDescent="0.25">
      <c r="B2112" s="19">
        <v>985431</v>
      </c>
      <c r="C2112" s="2">
        <f>HYPERLINK(URLs!B36 &amp; 94155,94155)</f>
        <v>94155</v>
      </c>
      <c r="D2112" t="s">
        <v>3391</v>
      </c>
      <c r="E2112" t="s">
        <v>3392</v>
      </c>
      <c r="F2112" t="s">
        <v>305</v>
      </c>
      <c r="G2112" t="s">
        <v>328</v>
      </c>
      <c r="H2112" t="s">
        <v>30</v>
      </c>
      <c r="I2112" t="s">
        <v>31</v>
      </c>
      <c r="J2112" t="s">
        <v>32</v>
      </c>
      <c r="K2112" t="s">
        <v>33</v>
      </c>
      <c r="L2112" t="s">
        <v>34</v>
      </c>
      <c r="M2112" t="s">
        <v>3185</v>
      </c>
      <c r="N2112" t="s">
        <v>46</v>
      </c>
      <c r="O2112" t="s">
        <v>3393</v>
      </c>
      <c r="P2112" t="s">
        <v>3187</v>
      </c>
      <c r="Q2112" t="s">
        <v>3188</v>
      </c>
      <c r="R2112">
        <v>42739.637650462966</v>
      </c>
      <c r="S2112">
        <v>42929.392372685186</v>
      </c>
      <c r="T2112" t="s">
        <v>171</v>
      </c>
      <c r="U2112" t="s">
        <v>35</v>
      </c>
      <c r="V2112" t="s">
        <v>35</v>
      </c>
      <c r="W2112" t="s">
        <v>3555</v>
      </c>
    </row>
    <row r="2113" spans="2:23" x14ac:dyDescent="0.25">
      <c r="B2113" s="19">
        <v>985431</v>
      </c>
      <c r="C2113" s="2">
        <f>HYPERLINK(URLs!B36 &amp; 94154,94154)</f>
        <v>94154</v>
      </c>
      <c r="D2113" t="s">
        <v>3390</v>
      </c>
      <c r="E2113" t="s">
        <v>3184</v>
      </c>
      <c r="F2113" t="s">
        <v>305</v>
      </c>
      <c r="G2113" t="s">
        <v>337</v>
      </c>
      <c r="H2113" t="s">
        <v>30</v>
      </c>
      <c r="I2113" t="s">
        <v>31</v>
      </c>
      <c r="J2113" t="s">
        <v>32</v>
      </c>
      <c r="K2113" t="s">
        <v>33</v>
      </c>
      <c r="L2113" t="s">
        <v>34</v>
      </c>
      <c r="M2113" t="s">
        <v>3185</v>
      </c>
      <c r="N2113" t="s">
        <v>46</v>
      </c>
      <c r="O2113" t="s">
        <v>3186</v>
      </c>
      <c r="P2113" t="s">
        <v>3187</v>
      </c>
      <c r="Q2113" t="s">
        <v>3188</v>
      </c>
      <c r="R2113">
        <v>42739.637673611112</v>
      </c>
      <c r="S2113">
        <v>43025.125289351854</v>
      </c>
      <c r="T2113" t="s">
        <v>171</v>
      </c>
      <c r="U2113" t="s">
        <v>35</v>
      </c>
      <c r="V2113" t="s">
        <v>35</v>
      </c>
      <c r="W2113" t="s">
        <v>4098</v>
      </c>
    </row>
    <row r="2114" spans="2:23" x14ac:dyDescent="0.25">
      <c r="B2114" s="19">
        <v>985431</v>
      </c>
      <c r="C2114" s="2">
        <f>HYPERLINK(URLs!B36 &amp; 85431,85431)</f>
        <v>85431</v>
      </c>
      <c r="D2114" t="s">
        <v>3183</v>
      </c>
      <c r="E2114" t="s">
        <v>3184</v>
      </c>
      <c r="F2114" t="s">
        <v>305</v>
      </c>
      <c r="G2114" t="s">
        <v>337</v>
      </c>
      <c r="H2114" t="s">
        <v>30</v>
      </c>
      <c r="I2114" t="s">
        <v>31</v>
      </c>
      <c r="J2114" t="s">
        <v>32</v>
      </c>
      <c r="K2114" t="s">
        <v>33</v>
      </c>
      <c r="L2114" t="s">
        <v>34</v>
      </c>
      <c r="M2114" t="s">
        <v>3185</v>
      </c>
      <c r="N2114" t="s">
        <v>46</v>
      </c>
      <c r="O2114" t="s">
        <v>3186</v>
      </c>
      <c r="P2114" t="s">
        <v>3187</v>
      </c>
      <c r="Q2114" t="s">
        <v>3188</v>
      </c>
      <c r="R2114">
        <v>42551.456724537034</v>
      </c>
      <c r="S2114">
        <v>42816.252638888887</v>
      </c>
      <c r="T2114" t="s">
        <v>3189</v>
      </c>
      <c r="U2114" t="s">
        <v>35</v>
      </c>
      <c r="V2114" t="s">
        <v>35</v>
      </c>
      <c r="W2114" t="s">
        <v>3428</v>
      </c>
    </row>
    <row r="2115" spans="2:23" x14ac:dyDescent="0.25">
      <c r="B2115" s="6">
        <v>9102356</v>
      </c>
      <c r="C2115" s="2">
        <f>HYPERLINK(URLs!B36 &amp; 103745,103745)</f>
        <v>103745</v>
      </c>
      <c r="D2115" t="s">
        <v>3923</v>
      </c>
      <c r="E2115" t="s">
        <v>3365</v>
      </c>
      <c r="F2115" t="s">
        <v>305</v>
      </c>
      <c r="G2115" t="s">
        <v>304</v>
      </c>
      <c r="H2115" t="s">
        <v>54</v>
      </c>
      <c r="I2115" t="s">
        <v>31</v>
      </c>
      <c r="J2115" t="s">
        <v>32</v>
      </c>
      <c r="K2115" t="s">
        <v>33</v>
      </c>
      <c r="L2115" t="s">
        <v>34</v>
      </c>
      <c r="M2115" t="s">
        <v>3780</v>
      </c>
      <c r="N2115" t="s">
        <v>46</v>
      </c>
      <c r="O2115" t="s">
        <v>3924</v>
      </c>
      <c r="P2115" t="s">
        <v>3915</v>
      </c>
      <c r="Q2115" t="s">
        <v>3915</v>
      </c>
      <c r="R2115">
        <v>42964.725462962961</v>
      </c>
      <c r="S2115">
        <v>43020.652002314811</v>
      </c>
      <c r="T2115" t="s">
        <v>1917</v>
      </c>
      <c r="U2115" t="s">
        <v>35</v>
      </c>
      <c r="V2115" t="s">
        <v>35</v>
      </c>
      <c r="W2115" t="s">
        <v>4155</v>
      </c>
    </row>
    <row r="2116" spans="2:23" x14ac:dyDescent="0.25">
      <c r="B2116" s="6">
        <v>9102356</v>
      </c>
      <c r="C2116" s="2">
        <f>HYPERLINK(URLs!B36 &amp; 103744,103744)</f>
        <v>103744</v>
      </c>
      <c r="D2116" t="s">
        <v>3922</v>
      </c>
      <c r="E2116" t="s">
        <v>4660</v>
      </c>
      <c r="F2116" t="s">
        <v>305</v>
      </c>
      <c r="G2116" t="s">
        <v>337</v>
      </c>
      <c r="H2116" t="s">
        <v>54</v>
      </c>
      <c r="I2116" t="s">
        <v>68</v>
      </c>
      <c r="J2116" t="s">
        <v>43</v>
      </c>
      <c r="K2116" t="s">
        <v>33</v>
      </c>
      <c r="L2116" t="s">
        <v>34</v>
      </c>
      <c r="M2116" t="s">
        <v>3780</v>
      </c>
      <c r="N2116" t="s">
        <v>46</v>
      </c>
      <c r="P2116" t="s">
        <v>3915</v>
      </c>
      <c r="Q2116" t="s">
        <v>2416</v>
      </c>
      <c r="R2116">
        <v>42964.71230324074</v>
      </c>
      <c r="S2116">
        <v>43299.561550925922</v>
      </c>
      <c r="T2116" t="s">
        <v>1917</v>
      </c>
      <c r="U2116" t="s">
        <v>35</v>
      </c>
      <c r="V2116" t="s">
        <v>35</v>
      </c>
      <c r="W2116" t="s">
        <v>4173</v>
      </c>
    </row>
    <row r="2117" spans="2:23" x14ac:dyDescent="0.25">
      <c r="B2117" s="6">
        <v>9102356</v>
      </c>
      <c r="C2117" s="2">
        <f>HYPERLINK(URLs!B36 &amp; 103743,103743)</f>
        <v>103743</v>
      </c>
      <c r="D2117" t="s">
        <v>3921</v>
      </c>
      <c r="E2117" t="s">
        <v>3787</v>
      </c>
      <c r="F2117" t="s">
        <v>319</v>
      </c>
      <c r="G2117" t="s">
        <v>304</v>
      </c>
      <c r="H2117" t="s">
        <v>54</v>
      </c>
      <c r="I2117" t="s">
        <v>31</v>
      </c>
      <c r="J2117" t="s">
        <v>32</v>
      </c>
      <c r="K2117" t="s">
        <v>33</v>
      </c>
      <c r="L2117" t="s">
        <v>34</v>
      </c>
      <c r="M2117" t="s">
        <v>3780</v>
      </c>
      <c r="N2117" t="s">
        <v>46</v>
      </c>
      <c r="O2117" t="s">
        <v>4662</v>
      </c>
      <c r="P2117" t="s">
        <v>3915</v>
      </c>
      <c r="Q2117" t="s">
        <v>3911</v>
      </c>
      <c r="R2117">
        <v>42964.712314814817</v>
      </c>
      <c r="S2117">
        <v>43307.610879629632</v>
      </c>
      <c r="T2117" t="s">
        <v>1917</v>
      </c>
      <c r="U2117" t="s">
        <v>35</v>
      </c>
      <c r="V2117" t="s">
        <v>35</v>
      </c>
      <c r="W2117" t="s">
        <v>4098</v>
      </c>
    </row>
    <row r="2118" spans="2:23" x14ac:dyDescent="0.25">
      <c r="B2118" s="6">
        <v>9102356</v>
      </c>
      <c r="C2118" s="2">
        <f>HYPERLINK(URLs!B36 &amp; 102356,102356)</f>
        <v>102356</v>
      </c>
      <c r="D2118" t="s">
        <v>3913</v>
      </c>
      <c r="E2118" t="s">
        <v>4660</v>
      </c>
      <c r="F2118" t="s">
        <v>319</v>
      </c>
      <c r="G2118" t="s">
        <v>304</v>
      </c>
      <c r="H2118" t="s">
        <v>116</v>
      </c>
      <c r="I2118" t="s">
        <v>31</v>
      </c>
      <c r="J2118" t="s">
        <v>32</v>
      </c>
      <c r="K2118" t="s">
        <v>33</v>
      </c>
      <c r="L2118" t="s">
        <v>34</v>
      </c>
      <c r="M2118" t="s">
        <v>3780</v>
      </c>
      <c r="N2118" t="s">
        <v>510</v>
      </c>
      <c r="O2118" t="s">
        <v>4661</v>
      </c>
      <c r="P2118" t="s">
        <v>3915</v>
      </c>
      <c r="Q2118" t="s">
        <v>3916</v>
      </c>
      <c r="R2118">
        <v>42930.711944444447</v>
      </c>
      <c r="S2118">
        <v>43307.572569444441</v>
      </c>
      <c r="T2118" t="s">
        <v>3917</v>
      </c>
      <c r="U2118" t="s">
        <v>35</v>
      </c>
      <c r="V2118" t="s">
        <v>35</v>
      </c>
      <c r="W2118" t="s">
        <v>3915</v>
      </c>
    </row>
    <row r="2119" spans="2:23" x14ac:dyDescent="0.25">
      <c r="B2119" s="6">
        <v>9102480</v>
      </c>
      <c r="C2119" s="2">
        <f>HYPERLINK(URLs!B36 &amp; 102480,102480)</f>
        <v>102480</v>
      </c>
      <c r="D2119" t="s">
        <v>3919</v>
      </c>
      <c r="E2119" t="s">
        <v>3787</v>
      </c>
      <c r="F2119" t="s">
        <v>319</v>
      </c>
      <c r="G2119" t="s">
        <v>304</v>
      </c>
      <c r="H2119" t="s">
        <v>56</v>
      </c>
      <c r="I2119" t="s">
        <v>31</v>
      </c>
      <c r="J2119" t="s">
        <v>32</v>
      </c>
      <c r="K2119" t="s">
        <v>2156</v>
      </c>
      <c r="L2119" t="s">
        <v>34</v>
      </c>
      <c r="M2119" t="s">
        <v>3780</v>
      </c>
      <c r="N2119" t="s">
        <v>46</v>
      </c>
      <c r="O2119" t="s">
        <v>3920</v>
      </c>
      <c r="P2119" t="s">
        <v>3915</v>
      </c>
      <c r="Q2119" t="s">
        <v>4145</v>
      </c>
      <c r="R2119">
        <v>42934.905474537038</v>
      </c>
      <c r="S2119">
        <v>43279.593958333331</v>
      </c>
      <c r="T2119" t="s">
        <v>1917</v>
      </c>
      <c r="U2119" t="s">
        <v>35</v>
      </c>
      <c r="V2119" t="s">
        <v>35</v>
      </c>
      <c r="W2119" t="s">
        <v>4098</v>
      </c>
    </row>
    <row r="2120" spans="2:23" x14ac:dyDescent="0.25">
      <c r="B2120" s="6">
        <v>5324488861</v>
      </c>
      <c r="C2120" s="2">
        <f>HYPERLINK(URLs!B36 &amp; 109539,109539)</f>
        <v>109539</v>
      </c>
      <c r="D2120" t="s">
        <v>4264</v>
      </c>
      <c r="E2120" t="s">
        <v>131</v>
      </c>
      <c r="F2120" t="s">
        <v>305</v>
      </c>
      <c r="G2120" t="s">
        <v>304</v>
      </c>
      <c r="H2120" t="s">
        <v>116</v>
      </c>
      <c r="I2120" t="s">
        <v>31</v>
      </c>
      <c r="J2120" t="s">
        <v>43</v>
      </c>
      <c r="K2120" t="s">
        <v>51</v>
      </c>
      <c r="L2120" t="s">
        <v>73</v>
      </c>
      <c r="M2120" t="s">
        <v>263</v>
      </c>
      <c r="N2120" t="s">
        <v>510</v>
      </c>
      <c r="P2120" t="s">
        <v>69</v>
      </c>
      <c r="Q2120" t="s">
        <v>3762</v>
      </c>
      <c r="R2120">
        <v>43118.698263888888</v>
      </c>
      <c r="S2120">
        <v>43392.472928240742</v>
      </c>
      <c r="T2120" t="s">
        <v>301</v>
      </c>
      <c r="U2120" t="s">
        <v>4221</v>
      </c>
      <c r="V2120" t="s">
        <v>35</v>
      </c>
      <c r="W2120" t="s">
        <v>4171</v>
      </c>
    </row>
    <row r="2121" spans="2:23" x14ac:dyDescent="0.25">
      <c r="B2121" s="6">
        <v>5324488861</v>
      </c>
      <c r="C2121" s="2">
        <f>HYPERLINK(URLs!B36 &amp; 109538,109538)</f>
        <v>109538</v>
      </c>
      <c r="D2121" t="s">
        <v>4263</v>
      </c>
      <c r="E2121" t="s">
        <v>131</v>
      </c>
      <c r="F2121" t="s">
        <v>305</v>
      </c>
      <c r="G2121" t="s">
        <v>304</v>
      </c>
      <c r="H2121" t="s">
        <v>54</v>
      </c>
      <c r="I2121" t="s">
        <v>31</v>
      </c>
      <c r="J2121" t="s">
        <v>43</v>
      </c>
      <c r="K2121" t="s">
        <v>51</v>
      </c>
      <c r="L2121" t="s">
        <v>73</v>
      </c>
      <c r="M2121" t="s">
        <v>263</v>
      </c>
      <c r="N2121" t="s">
        <v>60</v>
      </c>
      <c r="P2121" t="s">
        <v>69</v>
      </c>
      <c r="Q2121" t="s">
        <v>3762</v>
      </c>
      <c r="R2121">
        <v>43118.697523148148</v>
      </c>
      <c r="S2121">
        <v>43215.865486111114</v>
      </c>
      <c r="T2121" t="s">
        <v>301</v>
      </c>
      <c r="U2121" t="s">
        <v>4209</v>
      </c>
      <c r="V2121" t="s">
        <v>35</v>
      </c>
      <c r="W2121" t="s">
        <v>307</v>
      </c>
    </row>
    <row r="2122" spans="2:23" x14ac:dyDescent="0.25">
      <c r="B2122" s="6">
        <v>5324488861</v>
      </c>
      <c r="C2122" s="2">
        <f>HYPERLINK(URLs!B36 &amp; 109341,109341)</f>
        <v>109341</v>
      </c>
      <c r="D2122" t="s">
        <v>4247</v>
      </c>
      <c r="E2122" t="s">
        <v>131</v>
      </c>
      <c r="F2122" t="s">
        <v>42</v>
      </c>
      <c r="H2122" t="s">
        <v>54</v>
      </c>
      <c r="I2122" t="s">
        <v>31</v>
      </c>
      <c r="J2122" t="s">
        <v>43</v>
      </c>
      <c r="K2122" t="s">
        <v>51</v>
      </c>
      <c r="L2122" t="s">
        <v>73</v>
      </c>
      <c r="M2122" t="s">
        <v>263</v>
      </c>
      <c r="N2122" t="s">
        <v>60</v>
      </c>
      <c r="P2122" t="s">
        <v>69</v>
      </c>
      <c r="R2122">
        <v>43111.9215625</v>
      </c>
      <c r="S2122">
        <v>43215.865486111114</v>
      </c>
      <c r="T2122" t="s">
        <v>131</v>
      </c>
      <c r="U2122" t="s">
        <v>35</v>
      </c>
      <c r="V2122" t="s">
        <v>35</v>
      </c>
      <c r="W2122" t="s">
        <v>4098</v>
      </c>
    </row>
    <row r="2123" spans="2:23" x14ac:dyDescent="0.25">
      <c r="B2123" s="6" t="s">
        <v>46</v>
      </c>
      <c r="R2123"/>
      <c r="S2123"/>
    </row>
    <row r="2124" spans="2:23" x14ac:dyDescent="0.25">
      <c r="B2124" s="6" t="s">
        <v>46</v>
      </c>
      <c r="R2124"/>
      <c r="S2124"/>
    </row>
    <row r="2125" spans="2:23" x14ac:dyDescent="0.25">
      <c r="B2125" s="6" t="s">
        <v>46</v>
      </c>
      <c r="R2125"/>
      <c r="S2125"/>
    </row>
    <row r="2126" spans="2:23" x14ac:dyDescent="0.25">
      <c r="B2126" s="6" t="s">
        <v>46</v>
      </c>
      <c r="R2126"/>
      <c r="S2126"/>
    </row>
    <row r="2127" spans="2:23" x14ac:dyDescent="0.25">
      <c r="B2127" s="6" t="s">
        <v>46</v>
      </c>
      <c r="R2127"/>
      <c r="S2127"/>
    </row>
    <row r="2128" spans="2:23" x14ac:dyDescent="0.25">
      <c r="B2128" s="6" t="s">
        <v>46</v>
      </c>
      <c r="R2128"/>
      <c r="S2128"/>
    </row>
    <row r="2129" spans="2:19" x14ac:dyDescent="0.25">
      <c r="B2129" s="6" t="s">
        <v>46</v>
      </c>
      <c r="R2129"/>
      <c r="S2129"/>
    </row>
    <row r="2130" spans="2:19" x14ac:dyDescent="0.25">
      <c r="B2130" s="6" t="s">
        <v>46</v>
      </c>
      <c r="R2130"/>
      <c r="S2130"/>
    </row>
    <row r="2131" spans="2:19" x14ac:dyDescent="0.25">
      <c r="B2131" s="6" t="s">
        <v>46</v>
      </c>
      <c r="R2131"/>
      <c r="S2131"/>
    </row>
    <row r="2132" spans="2:19" x14ac:dyDescent="0.25">
      <c r="B2132" s="6" t="s">
        <v>46</v>
      </c>
      <c r="R2132"/>
      <c r="S2132"/>
    </row>
    <row r="2133" spans="2:19" x14ac:dyDescent="0.25">
      <c r="B2133" s="6" t="s">
        <v>46</v>
      </c>
      <c r="R2133"/>
      <c r="S2133"/>
    </row>
    <row r="2134" spans="2:19" x14ac:dyDescent="0.25">
      <c r="B2134" s="6" t="s">
        <v>46</v>
      </c>
      <c r="R2134"/>
      <c r="S2134"/>
    </row>
    <row r="2135" spans="2:19" x14ac:dyDescent="0.25">
      <c r="B2135" s="6" t="s">
        <v>46</v>
      </c>
      <c r="R2135"/>
      <c r="S2135"/>
    </row>
    <row r="2136" spans="2:19" x14ac:dyDescent="0.25">
      <c r="B2136" s="6" t="s">
        <v>46</v>
      </c>
      <c r="R2136"/>
      <c r="S2136"/>
    </row>
    <row r="2137" spans="2:19" x14ac:dyDescent="0.25">
      <c r="B2137" s="6" t="s">
        <v>46</v>
      </c>
      <c r="R2137"/>
      <c r="S2137"/>
    </row>
    <row r="2138" spans="2:19" x14ac:dyDescent="0.25">
      <c r="B2138" s="6" t="s">
        <v>46</v>
      </c>
      <c r="R2138"/>
      <c r="S2138"/>
    </row>
    <row r="2139" spans="2:19" x14ac:dyDescent="0.25">
      <c r="B2139" s="6" t="s">
        <v>46</v>
      </c>
      <c r="R2139"/>
      <c r="S2139"/>
    </row>
    <row r="2140" spans="2:19" x14ac:dyDescent="0.25">
      <c r="B2140" s="6" t="s">
        <v>46</v>
      </c>
      <c r="R2140"/>
      <c r="S2140"/>
    </row>
    <row r="2141" spans="2:19" x14ac:dyDescent="0.25">
      <c r="B2141" s="6" t="s">
        <v>46</v>
      </c>
      <c r="R2141"/>
      <c r="S2141"/>
    </row>
    <row r="2142" spans="2:19" x14ac:dyDescent="0.25">
      <c r="B2142" s="6" t="s">
        <v>46</v>
      </c>
      <c r="R2142"/>
      <c r="S2142"/>
    </row>
    <row r="2143" spans="2:19" x14ac:dyDescent="0.25">
      <c r="B2143" s="6" t="s">
        <v>46</v>
      </c>
      <c r="R2143"/>
      <c r="S2143"/>
    </row>
    <row r="2144" spans="2:19" x14ac:dyDescent="0.25">
      <c r="B2144" s="6" t="s">
        <v>46</v>
      </c>
      <c r="R2144"/>
      <c r="S2144"/>
    </row>
    <row r="2145" spans="2:19" x14ac:dyDescent="0.25">
      <c r="B2145" s="6" t="s">
        <v>46</v>
      </c>
      <c r="R2145"/>
      <c r="S2145"/>
    </row>
    <row r="2146" spans="2:19" x14ac:dyDescent="0.25">
      <c r="B2146" s="6" t="s">
        <v>46</v>
      </c>
      <c r="R2146"/>
      <c r="S2146"/>
    </row>
    <row r="2147" spans="2:19" x14ac:dyDescent="0.25">
      <c r="B2147" s="6" t="s">
        <v>46</v>
      </c>
      <c r="R2147"/>
      <c r="S2147"/>
    </row>
    <row r="2148" spans="2:19" x14ac:dyDescent="0.25">
      <c r="B2148" s="6" t="s">
        <v>46</v>
      </c>
      <c r="R2148"/>
      <c r="S2148"/>
    </row>
    <row r="2149" spans="2:19" x14ac:dyDescent="0.25">
      <c r="B2149" s="6" t="s">
        <v>46</v>
      </c>
      <c r="R2149"/>
      <c r="S2149"/>
    </row>
    <row r="2150" spans="2:19" x14ac:dyDescent="0.25">
      <c r="B2150" s="6" t="s">
        <v>46</v>
      </c>
      <c r="R2150"/>
      <c r="S2150"/>
    </row>
    <row r="2151" spans="2:19" x14ac:dyDescent="0.25">
      <c r="B2151" s="6" t="s">
        <v>46</v>
      </c>
      <c r="R2151"/>
      <c r="S2151"/>
    </row>
    <row r="2152" spans="2:19" x14ac:dyDescent="0.25">
      <c r="B2152" s="6" t="s">
        <v>46</v>
      </c>
      <c r="R2152"/>
      <c r="S2152"/>
    </row>
    <row r="2153" spans="2:19" x14ac:dyDescent="0.25">
      <c r="B2153" s="6" t="s">
        <v>46</v>
      </c>
      <c r="R2153"/>
      <c r="S2153"/>
    </row>
    <row r="2154" spans="2:19" x14ac:dyDescent="0.25">
      <c r="B2154" s="6" t="s">
        <v>46</v>
      </c>
      <c r="R2154"/>
      <c r="S2154"/>
    </row>
    <row r="2155" spans="2:19" x14ac:dyDescent="0.25">
      <c r="B2155" s="6" t="s">
        <v>46</v>
      </c>
      <c r="R2155"/>
      <c r="S2155"/>
    </row>
    <row r="2156" spans="2:19" x14ac:dyDescent="0.25">
      <c r="B2156" s="6" t="s">
        <v>46</v>
      </c>
      <c r="R2156"/>
      <c r="S2156"/>
    </row>
    <row r="2157" spans="2:19" x14ac:dyDescent="0.25">
      <c r="B2157" s="6" t="s">
        <v>46</v>
      </c>
      <c r="R2157"/>
      <c r="S2157"/>
    </row>
    <row r="2158" spans="2:19" x14ac:dyDescent="0.25">
      <c r="B2158" s="6" t="s">
        <v>46</v>
      </c>
      <c r="R2158"/>
      <c r="S2158"/>
    </row>
    <row r="2159" spans="2:19" x14ac:dyDescent="0.25">
      <c r="B2159" s="6" t="s">
        <v>46</v>
      </c>
      <c r="R2159"/>
      <c r="S2159"/>
    </row>
    <row r="2160" spans="2:19" x14ac:dyDescent="0.25">
      <c r="B2160" s="6" t="s">
        <v>46</v>
      </c>
      <c r="R2160"/>
      <c r="S2160"/>
    </row>
    <row r="2161" spans="2:19" x14ac:dyDescent="0.25">
      <c r="B2161" s="6" t="s">
        <v>46</v>
      </c>
      <c r="R2161"/>
      <c r="S2161"/>
    </row>
    <row r="2162" spans="2:19" x14ac:dyDescent="0.25">
      <c r="B2162" s="6" t="s">
        <v>46</v>
      </c>
      <c r="R2162"/>
      <c r="S2162"/>
    </row>
    <row r="2163" spans="2:19" x14ac:dyDescent="0.25">
      <c r="B2163" s="6" t="s">
        <v>46</v>
      </c>
      <c r="R2163"/>
      <c r="S2163"/>
    </row>
    <row r="2164" spans="2:19" x14ac:dyDescent="0.25">
      <c r="B2164" s="6" t="s">
        <v>46</v>
      </c>
      <c r="R2164"/>
      <c r="S2164"/>
    </row>
    <row r="2165" spans="2:19" x14ac:dyDescent="0.25">
      <c r="B2165" s="6" t="s">
        <v>46</v>
      </c>
      <c r="R2165"/>
      <c r="S2165"/>
    </row>
    <row r="2166" spans="2:19" x14ac:dyDescent="0.25">
      <c r="B2166" s="6" t="s">
        <v>46</v>
      </c>
      <c r="R2166"/>
      <c r="S2166"/>
    </row>
    <row r="2167" spans="2:19" x14ac:dyDescent="0.25">
      <c r="B2167" s="6" t="s">
        <v>46</v>
      </c>
      <c r="R2167"/>
      <c r="S2167"/>
    </row>
    <row r="2168" spans="2:19" x14ac:dyDescent="0.25">
      <c r="B2168" s="6" t="s">
        <v>46</v>
      </c>
      <c r="R2168"/>
      <c r="S2168"/>
    </row>
    <row r="2169" spans="2:19" x14ac:dyDescent="0.25">
      <c r="B2169" s="6" t="s">
        <v>46</v>
      </c>
      <c r="R2169"/>
      <c r="S2169"/>
    </row>
    <row r="2170" spans="2:19" x14ac:dyDescent="0.25">
      <c r="B2170" s="6" t="s">
        <v>46</v>
      </c>
      <c r="R2170"/>
      <c r="S2170"/>
    </row>
    <row r="2171" spans="2:19" x14ac:dyDescent="0.25">
      <c r="B2171" s="6" t="s">
        <v>46</v>
      </c>
      <c r="R2171"/>
      <c r="S2171"/>
    </row>
    <row r="2172" spans="2:19" x14ac:dyDescent="0.25">
      <c r="B2172" s="6" t="s">
        <v>46</v>
      </c>
      <c r="R2172"/>
      <c r="S2172"/>
    </row>
    <row r="2173" spans="2:19" x14ac:dyDescent="0.25">
      <c r="B2173" s="6" t="s">
        <v>46</v>
      </c>
      <c r="R2173"/>
      <c r="S2173"/>
    </row>
    <row r="2174" spans="2:19" x14ac:dyDescent="0.25">
      <c r="B2174" s="6" t="s">
        <v>46</v>
      </c>
      <c r="R2174"/>
      <c r="S2174"/>
    </row>
    <row r="2175" spans="2:19" x14ac:dyDescent="0.25">
      <c r="B2175" s="6" t="s">
        <v>46</v>
      </c>
      <c r="R2175"/>
      <c r="S2175"/>
    </row>
    <row r="2176" spans="2:19" x14ac:dyDescent="0.25">
      <c r="B2176" s="6" t="s">
        <v>46</v>
      </c>
      <c r="R2176"/>
      <c r="S2176"/>
    </row>
    <row r="2177" spans="2:19" x14ac:dyDescent="0.25">
      <c r="B2177" s="6" t="s">
        <v>46</v>
      </c>
      <c r="R2177"/>
      <c r="S2177"/>
    </row>
    <row r="2178" spans="2:19" x14ac:dyDescent="0.25">
      <c r="B2178" s="6" t="s">
        <v>46</v>
      </c>
      <c r="R2178"/>
      <c r="S2178"/>
    </row>
    <row r="2179" spans="2:19" x14ac:dyDescent="0.25">
      <c r="B2179" s="6" t="s">
        <v>46</v>
      </c>
      <c r="R2179"/>
      <c r="S2179"/>
    </row>
    <row r="2180" spans="2:19" x14ac:dyDescent="0.25">
      <c r="B2180" s="6" t="s">
        <v>46</v>
      </c>
      <c r="R2180"/>
      <c r="S2180"/>
    </row>
    <row r="2181" spans="2:19" x14ac:dyDescent="0.25">
      <c r="B2181" s="6" t="s">
        <v>46</v>
      </c>
      <c r="R2181"/>
      <c r="S2181"/>
    </row>
    <row r="2182" spans="2:19" x14ac:dyDescent="0.25">
      <c r="B2182" s="6" t="s">
        <v>46</v>
      </c>
      <c r="R2182"/>
      <c r="S2182"/>
    </row>
    <row r="2183" spans="2:19" x14ac:dyDescent="0.25">
      <c r="B2183" s="6" t="s">
        <v>46</v>
      </c>
      <c r="R2183"/>
      <c r="S2183"/>
    </row>
    <row r="2184" spans="2:19" x14ac:dyDescent="0.25">
      <c r="B2184" s="6" t="s">
        <v>46</v>
      </c>
      <c r="R2184"/>
      <c r="S2184"/>
    </row>
    <row r="2185" spans="2:19" x14ac:dyDescent="0.25">
      <c r="B2185" s="6" t="s">
        <v>46</v>
      </c>
      <c r="R2185"/>
      <c r="S2185"/>
    </row>
    <row r="2186" spans="2:19" x14ac:dyDescent="0.25">
      <c r="B2186" s="6" t="s">
        <v>46</v>
      </c>
      <c r="R2186"/>
      <c r="S2186"/>
    </row>
    <row r="2187" spans="2:19" x14ac:dyDescent="0.25">
      <c r="B2187" s="6" t="s">
        <v>46</v>
      </c>
      <c r="R2187"/>
      <c r="S2187"/>
    </row>
    <row r="2188" spans="2:19" x14ac:dyDescent="0.25">
      <c r="B2188" s="6" t="s">
        <v>46</v>
      </c>
      <c r="R2188"/>
      <c r="S2188"/>
    </row>
    <row r="2189" spans="2:19" x14ac:dyDescent="0.25">
      <c r="B2189" s="6" t="s">
        <v>46</v>
      </c>
      <c r="R2189"/>
      <c r="S2189"/>
    </row>
    <row r="2190" spans="2:19" x14ac:dyDescent="0.25">
      <c r="B2190" s="6" t="s">
        <v>46</v>
      </c>
      <c r="R2190"/>
      <c r="S2190"/>
    </row>
    <row r="2191" spans="2:19" x14ac:dyDescent="0.25">
      <c r="B2191" s="6" t="s">
        <v>46</v>
      </c>
      <c r="R2191"/>
      <c r="S2191"/>
    </row>
    <row r="2192" spans="2:19" x14ac:dyDescent="0.25">
      <c r="B2192" s="6" t="s">
        <v>46</v>
      </c>
      <c r="R2192"/>
      <c r="S2192"/>
    </row>
    <row r="2193" spans="2:19" x14ac:dyDescent="0.25">
      <c r="B2193" s="6" t="s">
        <v>46</v>
      </c>
      <c r="R2193"/>
      <c r="S2193"/>
    </row>
    <row r="2194" spans="2:19" x14ac:dyDescent="0.25">
      <c r="B2194" s="6" t="s">
        <v>46</v>
      </c>
      <c r="R2194"/>
      <c r="S2194"/>
    </row>
    <row r="2195" spans="2:19" x14ac:dyDescent="0.25">
      <c r="B2195" s="6" t="s">
        <v>46</v>
      </c>
      <c r="R2195"/>
      <c r="S2195"/>
    </row>
    <row r="2196" spans="2:19" x14ac:dyDescent="0.25">
      <c r="B2196" s="6" t="s">
        <v>46</v>
      </c>
      <c r="R2196"/>
      <c r="S2196"/>
    </row>
    <row r="2197" spans="2:19" x14ac:dyDescent="0.25">
      <c r="B2197" s="6" t="s">
        <v>46</v>
      </c>
      <c r="R2197"/>
      <c r="S2197"/>
    </row>
    <row r="2198" spans="2:19" x14ac:dyDescent="0.25">
      <c r="B2198" s="6" t="s">
        <v>46</v>
      </c>
      <c r="R2198"/>
      <c r="S2198"/>
    </row>
    <row r="2199" spans="2:19" x14ac:dyDescent="0.25">
      <c r="B2199" s="6" t="s">
        <v>46</v>
      </c>
      <c r="R2199"/>
      <c r="S2199"/>
    </row>
    <row r="2200" spans="2:19" x14ac:dyDescent="0.25">
      <c r="B2200" s="6" t="s">
        <v>46</v>
      </c>
      <c r="R2200"/>
      <c r="S2200"/>
    </row>
    <row r="2201" spans="2:19" x14ac:dyDescent="0.25">
      <c r="B2201" s="6" t="s">
        <v>46</v>
      </c>
      <c r="R2201"/>
      <c r="S2201"/>
    </row>
    <row r="2202" spans="2:19" x14ac:dyDescent="0.25">
      <c r="B2202" s="6" t="s">
        <v>46</v>
      </c>
      <c r="R2202"/>
      <c r="S2202"/>
    </row>
    <row r="2203" spans="2:19" x14ac:dyDescent="0.25">
      <c r="B2203" s="6" t="s">
        <v>46</v>
      </c>
      <c r="R2203"/>
      <c r="S2203"/>
    </row>
    <row r="2204" spans="2:19" x14ac:dyDescent="0.25">
      <c r="B2204" s="6" t="s">
        <v>46</v>
      </c>
      <c r="R2204"/>
      <c r="S2204"/>
    </row>
    <row r="2205" spans="2:19" x14ac:dyDescent="0.25">
      <c r="B2205" s="6" t="s">
        <v>46</v>
      </c>
      <c r="R2205"/>
      <c r="S2205"/>
    </row>
    <row r="2206" spans="2:19" x14ac:dyDescent="0.25">
      <c r="B2206" s="6" t="s">
        <v>46</v>
      </c>
      <c r="R2206"/>
      <c r="S2206"/>
    </row>
    <row r="2207" spans="2:19" x14ac:dyDescent="0.25">
      <c r="B2207" s="6" t="s">
        <v>46</v>
      </c>
      <c r="R2207"/>
      <c r="S2207"/>
    </row>
    <row r="2208" spans="2:19" x14ac:dyDescent="0.25">
      <c r="B2208" s="6" t="s">
        <v>46</v>
      </c>
      <c r="R2208"/>
      <c r="S2208"/>
    </row>
    <row r="2209" spans="2:19" x14ac:dyDescent="0.25">
      <c r="B2209" s="6" t="s">
        <v>46</v>
      </c>
      <c r="R2209"/>
      <c r="S2209"/>
    </row>
    <row r="2210" spans="2:19" x14ac:dyDescent="0.25">
      <c r="B2210" s="6" t="s">
        <v>46</v>
      </c>
      <c r="R2210"/>
      <c r="S2210"/>
    </row>
    <row r="2211" spans="2:19" x14ac:dyDescent="0.25">
      <c r="B2211" s="6" t="s">
        <v>46</v>
      </c>
      <c r="R2211"/>
      <c r="S2211"/>
    </row>
    <row r="2212" spans="2:19" x14ac:dyDescent="0.25">
      <c r="B2212" s="6" t="s">
        <v>46</v>
      </c>
      <c r="R2212"/>
      <c r="S2212"/>
    </row>
    <row r="2213" spans="2:19" x14ac:dyDescent="0.25">
      <c r="B2213" s="6" t="s">
        <v>46</v>
      </c>
      <c r="R2213"/>
      <c r="S2213"/>
    </row>
    <row r="2214" spans="2:19" x14ac:dyDescent="0.25">
      <c r="B2214" s="6" t="s">
        <v>46</v>
      </c>
      <c r="R2214"/>
      <c r="S2214"/>
    </row>
    <row r="2215" spans="2:19" x14ac:dyDescent="0.25">
      <c r="B2215" s="6" t="s">
        <v>46</v>
      </c>
      <c r="R2215"/>
      <c r="S2215"/>
    </row>
    <row r="2216" spans="2:19" x14ac:dyDescent="0.25">
      <c r="B2216" s="6" t="s">
        <v>46</v>
      </c>
      <c r="R2216"/>
      <c r="S2216"/>
    </row>
    <row r="2217" spans="2:19" x14ac:dyDescent="0.25">
      <c r="B2217" s="6" t="s">
        <v>46</v>
      </c>
      <c r="R2217"/>
      <c r="S2217"/>
    </row>
    <row r="2218" spans="2:19" x14ac:dyDescent="0.25">
      <c r="B2218" s="6" t="s">
        <v>46</v>
      </c>
      <c r="R2218"/>
      <c r="S2218"/>
    </row>
    <row r="2219" spans="2:19" x14ac:dyDescent="0.25">
      <c r="B2219" s="6" t="s">
        <v>46</v>
      </c>
      <c r="R2219"/>
      <c r="S2219"/>
    </row>
    <row r="2220" spans="2:19" x14ac:dyDescent="0.25">
      <c r="B2220" s="6" t="s">
        <v>46</v>
      </c>
      <c r="R2220"/>
      <c r="S2220"/>
    </row>
    <row r="2221" spans="2:19" x14ac:dyDescent="0.25">
      <c r="B2221" s="6" t="s">
        <v>46</v>
      </c>
      <c r="R2221"/>
      <c r="S2221"/>
    </row>
    <row r="2222" spans="2:19" x14ac:dyDescent="0.25">
      <c r="B2222" s="6" t="s">
        <v>46</v>
      </c>
      <c r="R2222"/>
      <c r="S2222"/>
    </row>
    <row r="2223" spans="2:19" x14ac:dyDescent="0.25">
      <c r="B2223" s="6" t="s">
        <v>46</v>
      </c>
      <c r="R2223"/>
      <c r="S2223"/>
    </row>
    <row r="2224" spans="2:19" x14ac:dyDescent="0.25">
      <c r="B2224" s="6" t="s">
        <v>46</v>
      </c>
      <c r="R2224"/>
      <c r="S2224"/>
    </row>
    <row r="2225" spans="2:19" x14ac:dyDescent="0.25">
      <c r="B2225" s="6" t="s">
        <v>46</v>
      </c>
      <c r="R2225"/>
      <c r="S2225"/>
    </row>
    <row r="2226" spans="2:19" x14ac:dyDescent="0.25">
      <c r="B2226" s="6" t="s">
        <v>46</v>
      </c>
      <c r="R2226"/>
      <c r="S2226"/>
    </row>
    <row r="2227" spans="2:19" x14ac:dyDescent="0.25">
      <c r="B2227" s="6" t="s">
        <v>46</v>
      </c>
      <c r="R2227"/>
      <c r="S2227"/>
    </row>
    <row r="2228" spans="2:19" x14ac:dyDescent="0.25">
      <c r="B2228" s="6" t="s">
        <v>46</v>
      </c>
      <c r="R2228"/>
      <c r="S2228"/>
    </row>
    <row r="2229" spans="2:19" x14ac:dyDescent="0.25">
      <c r="B2229" s="6" t="s">
        <v>46</v>
      </c>
      <c r="R2229"/>
      <c r="S2229"/>
    </row>
    <row r="2230" spans="2:19" x14ac:dyDescent="0.25">
      <c r="B2230" s="6" t="s">
        <v>46</v>
      </c>
      <c r="R2230"/>
      <c r="S2230"/>
    </row>
    <row r="2231" spans="2:19" x14ac:dyDescent="0.25">
      <c r="B2231" s="6" t="s">
        <v>46</v>
      </c>
      <c r="R2231"/>
      <c r="S2231"/>
    </row>
    <row r="2232" spans="2:19" x14ac:dyDescent="0.25">
      <c r="B2232" s="6" t="s">
        <v>46</v>
      </c>
      <c r="R2232"/>
      <c r="S2232"/>
    </row>
    <row r="2233" spans="2:19" x14ac:dyDescent="0.25">
      <c r="B2233" s="6" t="s">
        <v>46</v>
      </c>
      <c r="R2233"/>
      <c r="S2233"/>
    </row>
    <row r="2234" spans="2:19" x14ac:dyDescent="0.25">
      <c r="B2234" s="6" t="s">
        <v>46</v>
      </c>
      <c r="R2234"/>
      <c r="S2234"/>
    </row>
    <row r="2235" spans="2:19" x14ac:dyDescent="0.25">
      <c r="B2235" s="6" t="s">
        <v>46</v>
      </c>
      <c r="R2235"/>
      <c r="S2235"/>
    </row>
    <row r="2236" spans="2:19" x14ac:dyDescent="0.25">
      <c r="B2236" s="6" t="s">
        <v>46</v>
      </c>
      <c r="R2236"/>
      <c r="S2236"/>
    </row>
    <row r="2237" spans="2:19" x14ac:dyDescent="0.25">
      <c r="B2237" s="6" t="s">
        <v>46</v>
      </c>
      <c r="R2237"/>
      <c r="S2237"/>
    </row>
    <row r="2238" spans="2:19" x14ac:dyDescent="0.25">
      <c r="B2238" s="6" t="s">
        <v>46</v>
      </c>
      <c r="R2238"/>
      <c r="S2238"/>
    </row>
    <row r="2239" spans="2:19" x14ac:dyDescent="0.25">
      <c r="B2239" s="6" t="s">
        <v>46</v>
      </c>
      <c r="R2239"/>
      <c r="S2239"/>
    </row>
    <row r="2240" spans="2:19" x14ac:dyDescent="0.25">
      <c r="B2240" s="6" t="s">
        <v>46</v>
      </c>
      <c r="R2240"/>
      <c r="S2240"/>
    </row>
    <row r="2241" spans="2:19" x14ac:dyDescent="0.25">
      <c r="B2241" s="6" t="s">
        <v>46</v>
      </c>
      <c r="R2241"/>
      <c r="S2241"/>
    </row>
    <row r="2242" spans="2:19" x14ac:dyDescent="0.25">
      <c r="B2242" s="6" t="s">
        <v>46</v>
      </c>
      <c r="R2242"/>
      <c r="S2242"/>
    </row>
    <row r="2243" spans="2:19" x14ac:dyDescent="0.25">
      <c r="B2243" s="6" t="s">
        <v>46</v>
      </c>
      <c r="R2243"/>
      <c r="S2243"/>
    </row>
    <row r="2244" spans="2:19" x14ac:dyDescent="0.25">
      <c r="B2244" s="6" t="s">
        <v>46</v>
      </c>
      <c r="R2244"/>
      <c r="S2244"/>
    </row>
    <row r="2245" spans="2:19" x14ac:dyDescent="0.25">
      <c r="B2245" s="6" t="s">
        <v>46</v>
      </c>
      <c r="R2245"/>
      <c r="S2245"/>
    </row>
    <row r="2246" spans="2:19" x14ac:dyDescent="0.25">
      <c r="B2246" s="6" t="s">
        <v>46</v>
      </c>
      <c r="R2246"/>
      <c r="S2246"/>
    </row>
    <row r="2247" spans="2:19" x14ac:dyDescent="0.25">
      <c r="B2247" s="6" t="s">
        <v>46</v>
      </c>
      <c r="R2247"/>
      <c r="S2247"/>
    </row>
    <row r="2248" spans="2:19" x14ac:dyDescent="0.25">
      <c r="B2248" s="6" t="s">
        <v>46</v>
      </c>
      <c r="R2248"/>
      <c r="S2248"/>
    </row>
    <row r="2249" spans="2:19" x14ac:dyDescent="0.25">
      <c r="B2249" s="6" t="s">
        <v>46</v>
      </c>
      <c r="R2249"/>
      <c r="S2249"/>
    </row>
    <row r="2250" spans="2:19" x14ac:dyDescent="0.25">
      <c r="B2250" s="6" t="s">
        <v>46</v>
      </c>
      <c r="R2250"/>
      <c r="S2250"/>
    </row>
    <row r="2251" spans="2:19" x14ac:dyDescent="0.25">
      <c r="B2251" s="6" t="s">
        <v>46</v>
      </c>
      <c r="R2251"/>
      <c r="S2251"/>
    </row>
    <row r="2252" spans="2:19" x14ac:dyDescent="0.25">
      <c r="B2252" s="6" t="s">
        <v>46</v>
      </c>
      <c r="R2252"/>
      <c r="S2252"/>
    </row>
    <row r="2253" spans="2:19" x14ac:dyDescent="0.25">
      <c r="B2253" s="6" t="s">
        <v>46</v>
      </c>
      <c r="R2253"/>
      <c r="S2253"/>
    </row>
    <row r="2254" spans="2:19" x14ac:dyDescent="0.25">
      <c r="B2254" s="6" t="s">
        <v>46</v>
      </c>
      <c r="R2254"/>
      <c r="S2254"/>
    </row>
    <row r="2255" spans="2:19" x14ac:dyDescent="0.25">
      <c r="B2255" s="6" t="s">
        <v>46</v>
      </c>
      <c r="R2255"/>
      <c r="S2255"/>
    </row>
    <row r="2256" spans="2:19" x14ac:dyDescent="0.25">
      <c r="B2256" s="6" t="s">
        <v>46</v>
      </c>
      <c r="R2256"/>
      <c r="S2256"/>
    </row>
    <row r="2257" spans="2:19" x14ac:dyDescent="0.25">
      <c r="B2257" s="6" t="s">
        <v>46</v>
      </c>
      <c r="R2257"/>
      <c r="S2257"/>
    </row>
    <row r="2258" spans="2:19" x14ac:dyDescent="0.25">
      <c r="B2258" s="6" t="s">
        <v>46</v>
      </c>
      <c r="R2258"/>
      <c r="S2258"/>
    </row>
    <row r="2259" spans="2:19" x14ac:dyDescent="0.25">
      <c r="B2259" s="6" t="s">
        <v>46</v>
      </c>
      <c r="R2259"/>
      <c r="S2259"/>
    </row>
    <row r="2260" spans="2:19" x14ac:dyDescent="0.25">
      <c r="B2260" s="6" t="s">
        <v>46</v>
      </c>
      <c r="R2260"/>
      <c r="S2260"/>
    </row>
    <row r="2261" spans="2:19" x14ac:dyDescent="0.25">
      <c r="B2261" s="6" t="s">
        <v>46</v>
      </c>
      <c r="R2261"/>
      <c r="S2261"/>
    </row>
    <row r="2262" spans="2:19" x14ac:dyDescent="0.25">
      <c r="B2262" s="6" t="s">
        <v>46</v>
      </c>
      <c r="R2262"/>
      <c r="S2262"/>
    </row>
    <row r="2263" spans="2:19" x14ac:dyDescent="0.25">
      <c r="B2263" s="6" t="s">
        <v>46</v>
      </c>
      <c r="R2263"/>
      <c r="S2263"/>
    </row>
    <row r="2264" spans="2:19" x14ac:dyDescent="0.25">
      <c r="B2264" s="6" t="s">
        <v>46</v>
      </c>
      <c r="R2264"/>
      <c r="S2264"/>
    </row>
    <row r="2265" spans="2:19" x14ac:dyDescent="0.25">
      <c r="B2265" s="6" t="s">
        <v>46</v>
      </c>
      <c r="R2265"/>
      <c r="S2265"/>
    </row>
    <row r="2266" spans="2:19" x14ac:dyDescent="0.25">
      <c r="B2266" s="6" t="s">
        <v>46</v>
      </c>
      <c r="R2266"/>
      <c r="S2266"/>
    </row>
    <row r="2267" spans="2:19" x14ac:dyDescent="0.25">
      <c r="B2267" s="6" t="s">
        <v>46</v>
      </c>
      <c r="R2267"/>
      <c r="S2267"/>
    </row>
    <row r="2268" spans="2:19" x14ac:dyDescent="0.25">
      <c r="B2268" s="6" t="s">
        <v>46</v>
      </c>
      <c r="R2268"/>
      <c r="S2268"/>
    </row>
    <row r="2269" spans="2:19" x14ac:dyDescent="0.25">
      <c r="B2269" s="6" t="s">
        <v>46</v>
      </c>
      <c r="R2269"/>
      <c r="S2269"/>
    </row>
    <row r="2270" spans="2:19" x14ac:dyDescent="0.25">
      <c r="B2270" s="6" t="s">
        <v>46</v>
      </c>
      <c r="R2270"/>
      <c r="S2270"/>
    </row>
    <row r="2271" spans="2:19" x14ac:dyDescent="0.25">
      <c r="B2271" s="6" t="s">
        <v>46</v>
      </c>
      <c r="R2271"/>
      <c r="S2271"/>
    </row>
    <row r="2272" spans="2:19" x14ac:dyDescent="0.25">
      <c r="B2272" s="6" t="s">
        <v>46</v>
      </c>
      <c r="R2272"/>
      <c r="S2272"/>
    </row>
    <row r="2273" spans="2:19" x14ac:dyDescent="0.25">
      <c r="B2273" s="6" t="s">
        <v>46</v>
      </c>
      <c r="R2273"/>
      <c r="S2273"/>
    </row>
    <row r="2274" spans="2:19" x14ac:dyDescent="0.25">
      <c r="B2274" s="6" t="s">
        <v>46</v>
      </c>
      <c r="R2274"/>
      <c r="S2274"/>
    </row>
    <row r="2275" spans="2:19" x14ac:dyDescent="0.25">
      <c r="B2275" s="6" t="s">
        <v>46</v>
      </c>
      <c r="R2275"/>
      <c r="S2275"/>
    </row>
    <row r="2276" spans="2:19" x14ac:dyDescent="0.25">
      <c r="B2276" s="6" t="s">
        <v>46</v>
      </c>
      <c r="R2276"/>
      <c r="S2276"/>
    </row>
    <row r="2277" spans="2:19" x14ac:dyDescent="0.25">
      <c r="B2277" s="6" t="s">
        <v>46</v>
      </c>
      <c r="R2277"/>
      <c r="S2277"/>
    </row>
    <row r="2278" spans="2:19" x14ac:dyDescent="0.25">
      <c r="B2278" s="6" t="s">
        <v>46</v>
      </c>
      <c r="R2278"/>
      <c r="S2278"/>
    </row>
    <row r="2279" spans="2:19" x14ac:dyDescent="0.25">
      <c r="B2279" s="6" t="s">
        <v>46</v>
      </c>
      <c r="R2279"/>
      <c r="S2279"/>
    </row>
    <row r="2280" spans="2:19" x14ac:dyDescent="0.25">
      <c r="B2280" s="6" t="s">
        <v>46</v>
      </c>
      <c r="R2280"/>
      <c r="S2280"/>
    </row>
    <row r="2281" spans="2:19" x14ac:dyDescent="0.25">
      <c r="B2281" s="6" t="s">
        <v>46</v>
      </c>
      <c r="R2281"/>
      <c r="S2281"/>
    </row>
    <row r="2282" spans="2:19" x14ac:dyDescent="0.25">
      <c r="B2282" s="6" t="s">
        <v>46</v>
      </c>
      <c r="R2282"/>
      <c r="S2282"/>
    </row>
    <row r="2283" spans="2:19" x14ac:dyDescent="0.25">
      <c r="B2283" s="6" t="s">
        <v>46</v>
      </c>
      <c r="R2283"/>
      <c r="S2283"/>
    </row>
    <row r="2284" spans="2:19" x14ac:dyDescent="0.25">
      <c r="B2284" s="6" t="s">
        <v>46</v>
      </c>
      <c r="R2284"/>
      <c r="S2284"/>
    </row>
    <row r="2285" spans="2:19" x14ac:dyDescent="0.25">
      <c r="B2285" s="6" t="s">
        <v>46</v>
      </c>
      <c r="R2285"/>
      <c r="S2285"/>
    </row>
    <row r="2286" spans="2:19" x14ac:dyDescent="0.25">
      <c r="B2286" s="6" t="s">
        <v>46</v>
      </c>
      <c r="R2286"/>
      <c r="S2286"/>
    </row>
    <row r="2287" spans="2:19" x14ac:dyDescent="0.25">
      <c r="B2287" s="6" t="s">
        <v>46</v>
      </c>
      <c r="R2287"/>
      <c r="S2287"/>
    </row>
    <row r="2288" spans="2:19" x14ac:dyDescent="0.25">
      <c r="B2288" s="6" t="s">
        <v>46</v>
      </c>
      <c r="R2288"/>
      <c r="S2288"/>
    </row>
    <row r="2289" spans="2:19" x14ac:dyDescent="0.25">
      <c r="B2289" s="6" t="s">
        <v>46</v>
      </c>
      <c r="R2289"/>
      <c r="S2289"/>
    </row>
    <row r="2290" spans="2:19" x14ac:dyDescent="0.25">
      <c r="B2290" s="6" t="s">
        <v>46</v>
      </c>
      <c r="R2290"/>
      <c r="S2290"/>
    </row>
    <row r="2291" spans="2:19" x14ac:dyDescent="0.25">
      <c r="B2291" s="6" t="s">
        <v>46</v>
      </c>
      <c r="R2291"/>
      <c r="S2291"/>
    </row>
    <row r="2292" spans="2:19" x14ac:dyDescent="0.25">
      <c r="B2292" s="6" t="s">
        <v>46</v>
      </c>
      <c r="R2292"/>
      <c r="S2292"/>
    </row>
    <row r="2293" spans="2:19" x14ac:dyDescent="0.25">
      <c r="B2293" s="6" t="s">
        <v>46</v>
      </c>
      <c r="R2293"/>
      <c r="S2293"/>
    </row>
    <row r="2294" spans="2:19" x14ac:dyDescent="0.25">
      <c r="B2294" s="6" t="s">
        <v>46</v>
      </c>
      <c r="R2294"/>
      <c r="S2294"/>
    </row>
    <row r="2295" spans="2:19" x14ac:dyDescent="0.25">
      <c r="B2295" s="6" t="s">
        <v>46</v>
      </c>
      <c r="R2295"/>
      <c r="S2295"/>
    </row>
    <row r="2296" spans="2:19" x14ac:dyDescent="0.25">
      <c r="B2296" s="6" t="s">
        <v>46</v>
      </c>
      <c r="R2296"/>
      <c r="S2296"/>
    </row>
    <row r="2297" spans="2:19" x14ac:dyDescent="0.25">
      <c r="B2297" s="6" t="s">
        <v>46</v>
      </c>
      <c r="R2297"/>
      <c r="S2297"/>
    </row>
    <row r="2298" spans="2:19" x14ac:dyDescent="0.25">
      <c r="B2298" s="6" t="s">
        <v>46</v>
      </c>
      <c r="R2298"/>
      <c r="S2298"/>
    </row>
    <row r="2299" spans="2:19" x14ac:dyDescent="0.25">
      <c r="B2299" s="6" t="s">
        <v>46</v>
      </c>
      <c r="R2299"/>
      <c r="S2299"/>
    </row>
    <row r="2300" spans="2:19" x14ac:dyDescent="0.25">
      <c r="B2300" s="6" t="s">
        <v>46</v>
      </c>
      <c r="R2300"/>
      <c r="S2300"/>
    </row>
    <row r="2301" spans="2:19" x14ac:dyDescent="0.25">
      <c r="B2301" s="6" t="s">
        <v>46</v>
      </c>
      <c r="R2301"/>
      <c r="S2301"/>
    </row>
    <row r="2302" spans="2:19" x14ac:dyDescent="0.25">
      <c r="B2302" s="6" t="s">
        <v>46</v>
      </c>
      <c r="R2302"/>
      <c r="S2302"/>
    </row>
    <row r="2303" spans="2:19" x14ac:dyDescent="0.25">
      <c r="B2303" s="6" t="s">
        <v>46</v>
      </c>
      <c r="R2303"/>
      <c r="S2303"/>
    </row>
    <row r="2304" spans="2:19" x14ac:dyDescent="0.25">
      <c r="B2304" s="6" t="s">
        <v>46</v>
      </c>
      <c r="R2304"/>
      <c r="S2304"/>
    </row>
    <row r="2305" spans="2:19" x14ac:dyDescent="0.25">
      <c r="B2305" s="6" t="s">
        <v>46</v>
      </c>
      <c r="R2305"/>
      <c r="S2305"/>
    </row>
    <row r="2306" spans="2:19" x14ac:dyDescent="0.25">
      <c r="B2306" s="6" t="s">
        <v>46</v>
      </c>
      <c r="R2306"/>
      <c r="S2306"/>
    </row>
    <row r="2307" spans="2:19" x14ac:dyDescent="0.25">
      <c r="B2307" s="6" t="s">
        <v>46</v>
      </c>
      <c r="R2307"/>
      <c r="S2307"/>
    </row>
    <row r="2308" spans="2:19" x14ac:dyDescent="0.25">
      <c r="B2308" s="6" t="s">
        <v>46</v>
      </c>
      <c r="R2308"/>
      <c r="S2308"/>
    </row>
    <row r="2309" spans="2:19" x14ac:dyDescent="0.25">
      <c r="B2309" s="6" t="s">
        <v>46</v>
      </c>
      <c r="R2309"/>
      <c r="S2309"/>
    </row>
    <row r="2310" spans="2:19" x14ac:dyDescent="0.25">
      <c r="B2310" s="6" t="s">
        <v>46</v>
      </c>
      <c r="R2310"/>
      <c r="S2310"/>
    </row>
    <row r="2311" spans="2:19" x14ac:dyDescent="0.25">
      <c r="B2311" s="6" t="s">
        <v>46</v>
      </c>
      <c r="R2311"/>
      <c r="S2311"/>
    </row>
    <row r="2312" spans="2:19" x14ac:dyDescent="0.25">
      <c r="B2312" s="6" t="s">
        <v>46</v>
      </c>
      <c r="R2312"/>
      <c r="S2312"/>
    </row>
    <row r="2313" spans="2:19" x14ac:dyDescent="0.25">
      <c r="B2313" s="6" t="s">
        <v>46</v>
      </c>
      <c r="R2313"/>
      <c r="S2313"/>
    </row>
    <row r="2314" spans="2:19" x14ac:dyDescent="0.25">
      <c r="B2314" s="6" t="s">
        <v>46</v>
      </c>
      <c r="R2314"/>
      <c r="S2314"/>
    </row>
    <row r="2315" spans="2:19" x14ac:dyDescent="0.25">
      <c r="B2315" s="6" t="s">
        <v>46</v>
      </c>
      <c r="R2315"/>
      <c r="S2315"/>
    </row>
    <row r="2316" spans="2:19" x14ac:dyDescent="0.25">
      <c r="B2316" s="6" t="s">
        <v>46</v>
      </c>
      <c r="R2316"/>
      <c r="S2316"/>
    </row>
    <row r="2317" spans="2:19" x14ac:dyDescent="0.25">
      <c r="B2317" s="6" t="s">
        <v>46</v>
      </c>
      <c r="R2317"/>
      <c r="S2317"/>
    </row>
    <row r="2318" spans="2:19" x14ac:dyDescent="0.25">
      <c r="B2318" s="6" t="s">
        <v>46</v>
      </c>
      <c r="R2318"/>
      <c r="S2318"/>
    </row>
    <row r="2319" spans="2:19" x14ac:dyDescent="0.25">
      <c r="B2319" s="6" t="s">
        <v>46</v>
      </c>
      <c r="R2319"/>
      <c r="S2319"/>
    </row>
    <row r="2320" spans="2:19" x14ac:dyDescent="0.25">
      <c r="B2320" s="6" t="s">
        <v>46</v>
      </c>
      <c r="R2320"/>
      <c r="S2320"/>
    </row>
    <row r="2321" spans="2:19" x14ac:dyDescent="0.25">
      <c r="B2321" s="6" t="s">
        <v>46</v>
      </c>
      <c r="R2321"/>
      <c r="S2321"/>
    </row>
    <row r="2322" spans="2:19" x14ac:dyDescent="0.25">
      <c r="B2322" s="6" t="s">
        <v>46</v>
      </c>
      <c r="R2322"/>
      <c r="S2322"/>
    </row>
    <row r="2323" spans="2:19" x14ac:dyDescent="0.25">
      <c r="B2323" s="6" t="s">
        <v>46</v>
      </c>
      <c r="R2323"/>
      <c r="S2323"/>
    </row>
    <row r="2324" spans="2:19" x14ac:dyDescent="0.25">
      <c r="B2324" s="6" t="s">
        <v>46</v>
      </c>
      <c r="R2324"/>
      <c r="S2324"/>
    </row>
    <row r="2325" spans="2:19" x14ac:dyDescent="0.25">
      <c r="B2325" s="6" t="s">
        <v>46</v>
      </c>
      <c r="R2325"/>
      <c r="S2325"/>
    </row>
    <row r="2326" spans="2:19" x14ac:dyDescent="0.25">
      <c r="B2326" s="6" t="s">
        <v>46</v>
      </c>
      <c r="R2326"/>
      <c r="S2326"/>
    </row>
    <row r="2327" spans="2:19" x14ac:dyDescent="0.25">
      <c r="B2327" s="6" t="s">
        <v>46</v>
      </c>
      <c r="R2327"/>
      <c r="S2327"/>
    </row>
    <row r="2328" spans="2:19" x14ac:dyDescent="0.25">
      <c r="B2328" s="6" t="s">
        <v>46</v>
      </c>
      <c r="R2328"/>
      <c r="S2328"/>
    </row>
    <row r="2329" spans="2:19" x14ac:dyDescent="0.25">
      <c r="B2329" s="6" t="s">
        <v>46</v>
      </c>
      <c r="R2329"/>
      <c r="S2329"/>
    </row>
    <row r="2330" spans="2:19" x14ac:dyDescent="0.25">
      <c r="B2330" s="6" t="s">
        <v>46</v>
      </c>
      <c r="R2330"/>
      <c r="S2330"/>
    </row>
    <row r="2331" spans="2:19" x14ac:dyDescent="0.25">
      <c r="B2331" s="6" t="s">
        <v>46</v>
      </c>
      <c r="R2331"/>
      <c r="S2331"/>
    </row>
    <row r="2332" spans="2:19" x14ac:dyDescent="0.25">
      <c r="B2332" s="6" t="s">
        <v>46</v>
      </c>
      <c r="R2332"/>
      <c r="S2332"/>
    </row>
    <row r="2333" spans="2:19" x14ac:dyDescent="0.25">
      <c r="B2333" s="6" t="s">
        <v>46</v>
      </c>
      <c r="R2333"/>
      <c r="S2333"/>
    </row>
    <row r="2334" spans="2:19" x14ac:dyDescent="0.25">
      <c r="B2334" s="6" t="s">
        <v>46</v>
      </c>
      <c r="R2334"/>
      <c r="S2334"/>
    </row>
    <row r="2335" spans="2:19" x14ac:dyDescent="0.25">
      <c r="B2335" s="6" t="s">
        <v>46</v>
      </c>
      <c r="R2335"/>
      <c r="S2335"/>
    </row>
    <row r="2336" spans="2:19" x14ac:dyDescent="0.25">
      <c r="B2336" s="6" t="s">
        <v>46</v>
      </c>
      <c r="R2336"/>
      <c r="S2336"/>
    </row>
    <row r="2337" spans="2:19" x14ac:dyDescent="0.25">
      <c r="B2337" s="6" t="s">
        <v>46</v>
      </c>
      <c r="R2337"/>
      <c r="S2337"/>
    </row>
    <row r="2338" spans="2:19" x14ac:dyDescent="0.25">
      <c r="B2338" s="6" t="s">
        <v>46</v>
      </c>
      <c r="R2338"/>
      <c r="S2338"/>
    </row>
    <row r="2339" spans="2:19" x14ac:dyDescent="0.25">
      <c r="B2339" s="6" t="s">
        <v>46</v>
      </c>
      <c r="R2339"/>
      <c r="S2339"/>
    </row>
    <row r="2340" spans="2:19" x14ac:dyDescent="0.25">
      <c r="B2340" s="6" t="s">
        <v>46</v>
      </c>
      <c r="R2340"/>
      <c r="S2340"/>
    </row>
    <row r="2341" spans="2:19" x14ac:dyDescent="0.25">
      <c r="B2341" s="6" t="s">
        <v>46</v>
      </c>
      <c r="R2341"/>
      <c r="S2341"/>
    </row>
    <row r="2342" spans="2:19" x14ac:dyDescent="0.25">
      <c r="B2342" s="6" t="s">
        <v>46</v>
      </c>
      <c r="R2342"/>
      <c r="S2342"/>
    </row>
    <row r="2343" spans="2:19" x14ac:dyDescent="0.25">
      <c r="B2343" s="6" t="s">
        <v>46</v>
      </c>
      <c r="R2343"/>
      <c r="S2343"/>
    </row>
    <row r="2344" spans="2:19" x14ac:dyDescent="0.25">
      <c r="B2344" s="6" t="s">
        <v>46</v>
      </c>
      <c r="R2344"/>
      <c r="S2344"/>
    </row>
    <row r="2345" spans="2:19" x14ac:dyDescent="0.25">
      <c r="B2345" s="6" t="s">
        <v>46</v>
      </c>
      <c r="R2345"/>
      <c r="S2345"/>
    </row>
    <row r="2346" spans="2:19" x14ac:dyDescent="0.25">
      <c r="B2346" s="6" t="s">
        <v>46</v>
      </c>
      <c r="R2346"/>
      <c r="S2346"/>
    </row>
    <row r="2347" spans="2:19" x14ac:dyDescent="0.25">
      <c r="B2347" s="6" t="s">
        <v>46</v>
      </c>
      <c r="R2347"/>
      <c r="S2347"/>
    </row>
    <row r="2348" spans="2:19" x14ac:dyDescent="0.25">
      <c r="B2348" s="6" t="s">
        <v>46</v>
      </c>
      <c r="R2348"/>
      <c r="S2348"/>
    </row>
    <row r="2349" spans="2:19" x14ac:dyDescent="0.25">
      <c r="B2349" s="6" t="s">
        <v>46</v>
      </c>
      <c r="R2349"/>
      <c r="S2349"/>
    </row>
    <row r="2350" spans="2:19" x14ac:dyDescent="0.25">
      <c r="B2350" s="6" t="s">
        <v>46</v>
      </c>
      <c r="R2350"/>
      <c r="S2350"/>
    </row>
    <row r="2351" spans="2:19" x14ac:dyDescent="0.25">
      <c r="B2351" s="6" t="s">
        <v>46</v>
      </c>
      <c r="R2351"/>
      <c r="S2351"/>
    </row>
    <row r="2352" spans="2:19" x14ac:dyDescent="0.25">
      <c r="B2352" s="6" t="s">
        <v>46</v>
      </c>
      <c r="R2352"/>
      <c r="S2352"/>
    </row>
    <row r="2353" spans="2:19" x14ac:dyDescent="0.25">
      <c r="B2353" s="6" t="s">
        <v>46</v>
      </c>
      <c r="R2353"/>
      <c r="S2353"/>
    </row>
    <row r="2354" spans="2:19" x14ac:dyDescent="0.25">
      <c r="B2354" s="6" t="s">
        <v>46</v>
      </c>
      <c r="R2354"/>
      <c r="S2354"/>
    </row>
    <row r="2355" spans="2:19" x14ac:dyDescent="0.25">
      <c r="B2355" s="6" t="s">
        <v>46</v>
      </c>
      <c r="R2355"/>
      <c r="S2355"/>
    </row>
    <row r="2356" spans="2:19" x14ac:dyDescent="0.25">
      <c r="B2356" s="6" t="s">
        <v>46</v>
      </c>
      <c r="R2356"/>
      <c r="S2356"/>
    </row>
    <row r="2357" spans="2:19" x14ac:dyDescent="0.25">
      <c r="B2357" s="6" t="s">
        <v>46</v>
      </c>
      <c r="R2357"/>
      <c r="S2357"/>
    </row>
    <row r="2358" spans="2:19" x14ac:dyDescent="0.25">
      <c r="B2358" s="6" t="s">
        <v>46</v>
      </c>
      <c r="R2358"/>
      <c r="S2358"/>
    </row>
    <row r="2359" spans="2:19" x14ac:dyDescent="0.25">
      <c r="B2359" s="6" t="s">
        <v>46</v>
      </c>
      <c r="R2359"/>
      <c r="S2359"/>
    </row>
    <row r="2360" spans="2:19" x14ac:dyDescent="0.25">
      <c r="B2360" s="6" t="s">
        <v>46</v>
      </c>
      <c r="R2360"/>
      <c r="S2360"/>
    </row>
    <row r="2361" spans="2:19" x14ac:dyDescent="0.25">
      <c r="B2361" s="6" t="s">
        <v>46</v>
      </c>
      <c r="R2361"/>
      <c r="S2361"/>
    </row>
    <row r="2362" spans="2:19" x14ac:dyDescent="0.25">
      <c r="B2362" s="6" t="s">
        <v>46</v>
      </c>
      <c r="R2362"/>
      <c r="S2362"/>
    </row>
    <row r="2363" spans="2:19" x14ac:dyDescent="0.25">
      <c r="B2363" s="6" t="s">
        <v>46</v>
      </c>
      <c r="R2363"/>
      <c r="S2363"/>
    </row>
    <row r="2364" spans="2:19" x14ac:dyDescent="0.25">
      <c r="B2364" s="6" t="s">
        <v>46</v>
      </c>
      <c r="R2364"/>
      <c r="S2364"/>
    </row>
    <row r="2365" spans="2:19" x14ac:dyDescent="0.25">
      <c r="B2365" s="6" t="s">
        <v>46</v>
      </c>
      <c r="R2365"/>
      <c r="S2365"/>
    </row>
    <row r="2366" spans="2:19" x14ac:dyDescent="0.25">
      <c r="B2366" s="6" t="s">
        <v>46</v>
      </c>
      <c r="R2366"/>
      <c r="S2366"/>
    </row>
    <row r="2367" spans="2:19" x14ac:dyDescent="0.25">
      <c r="B2367" s="6" t="s">
        <v>46</v>
      </c>
      <c r="R2367"/>
      <c r="S2367"/>
    </row>
    <row r="2368" spans="2:19" x14ac:dyDescent="0.25">
      <c r="B2368" s="6" t="s">
        <v>46</v>
      </c>
      <c r="R2368"/>
      <c r="S2368"/>
    </row>
    <row r="2369" spans="2:19" x14ac:dyDescent="0.25">
      <c r="B2369" s="6" t="s">
        <v>46</v>
      </c>
      <c r="R2369"/>
      <c r="S2369"/>
    </row>
    <row r="2370" spans="2:19" x14ac:dyDescent="0.25">
      <c r="B2370" s="6" t="s">
        <v>46</v>
      </c>
      <c r="R2370"/>
      <c r="S2370"/>
    </row>
    <row r="2371" spans="2:19" x14ac:dyDescent="0.25">
      <c r="B2371" s="6" t="s">
        <v>46</v>
      </c>
      <c r="R2371"/>
      <c r="S2371"/>
    </row>
    <row r="2372" spans="2:19" x14ac:dyDescent="0.25">
      <c r="B2372" s="6" t="s">
        <v>46</v>
      </c>
      <c r="R2372"/>
      <c r="S2372"/>
    </row>
    <row r="2373" spans="2:19" x14ac:dyDescent="0.25">
      <c r="B2373" s="6" t="s">
        <v>46</v>
      </c>
      <c r="R2373"/>
      <c r="S2373"/>
    </row>
    <row r="2374" spans="2:19" x14ac:dyDescent="0.25">
      <c r="B2374" s="6" t="s">
        <v>46</v>
      </c>
      <c r="R2374"/>
      <c r="S2374"/>
    </row>
    <row r="2375" spans="2:19" x14ac:dyDescent="0.25">
      <c r="B2375" s="6" t="s">
        <v>46</v>
      </c>
      <c r="R2375"/>
      <c r="S2375"/>
    </row>
    <row r="2376" spans="2:19" x14ac:dyDescent="0.25">
      <c r="B2376" s="6" t="s">
        <v>46</v>
      </c>
      <c r="R2376"/>
      <c r="S2376"/>
    </row>
    <row r="2377" spans="2:19" x14ac:dyDescent="0.25">
      <c r="B2377" s="6" t="s">
        <v>46</v>
      </c>
      <c r="R2377"/>
      <c r="S2377"/>
    </row>
    <row r="2378" spans="2:19" x14ac:dyDescent="0.25">
      <c r="B2378" s="6" t="s">
        <v>46</v>
      </c>
      <c r="R2378"/>
      <c r="S2378"/>
    </row>
    <row r="2379" spans="2:19" x14ac:dyDescent="0.25">
      <c r="B2379" s="6" t="s">
        <v>46</v>
      </c>
      <c r="R2379"/>
      <c r="S2379"/>
    </row>
    <row r="2380" spans="2:19" x14ac:dyDescent="0.25">
      <c r="B2380" s="6" t="s">
        <v>46</v>
      </c>
      <c r="R2380"/>
      <c r="S2380"/>
    </row>
    <row r="2381" spans="2:19" x14ac:dyDescent="0.25">
      <c r="B2381" s="6" t="s">
        <v>46</v>
      </c>
      <c r="R2381"/>
      <c r="S2381"/>
    </row>
    <row r="2382" spans="2:19" x14ac:dyDescent="0.25">
      <c r="B2382" s="6" t="s">
        <v>46</v>
      </c>
      <c r="R2382"/>
      <c r="S2382"/>
    </row>
    <row r="2383" spans="2:19" x14ac:dyDescent="0.25">
      <c r="B2383" s="6" t="s">
        <v>46</v>
      </c>
      <c r="R2383"/>
      <c r="S2383"/>
    </row>
    <row r="2384" spans="2:19" x14ac:dyDescent="0.25">
      <c r="B2384" s="6" t="s">
        <v>46</v>
      </c>
      <c r="R2384"/>
      <c r="S2384"/>
    </row>
    <row r="2385" spans="2:19" x14ac:dyDescent="0.25">
      <c r="B2385" s="6" t="s">
        <v>46</v>
      </c>
      <c r="R2385"/>
      <c r="S2385"/>
    </row>
    <row r="2386" spans="2:19" x14ac:dyDescent="0.25">
      <c r="B2386" s="6" t="s">
        <v>46</v>
      </c>
      <c r="R2386"/>
      <c r="S2386"/>
    </row>
    <row r="2387" spans="2:19" x14ac:dyDescent="0.25">
      <c r="B2387" s="6" t="s">
        <v>46</v>
      </c>
      <c r="R2387"/>
      <c r="S2387"/>
    </row>
    <row r="2388" spans="2:19" x14ac:dyDescent="0.25">
      <c r="B2388" s="6" t="s">
        <v>46</v>
      </c>
      <c r="R2388"/>
      <c r="S2388"/>
    </row>
    <row r="2389" spans="2:19" x14ac:dyDescent="0.25">
      <c r="B2389" s="6" t="s">
        <v>46</v>
      </c>
      <c r="R2389"/>
      <c r="S2389"/>
    </row>
    <row r="2390" spans="2:19" x14ac:dyDescent="0.25">
      <c r="B2390" s="6" t="s">
        <v>46</v>
      </c>
      <c r="R2390"/>
      <c r="S2390"/>
    </row>
    <row r="2391" spans="2:19" x14ac:dyDescent="0.25">
      <c r="B2391" s="6" t="s">
        <v>46</v>
      </c>
      <c r="R2391"/>
      <c r="S2391"/>
    </row>
    <row r="2392" spans="2:19" x14ac:dyDescent="0.25">
      <c r="B2392" s="6" t="s">
        <v>46</v>
      </c>
      <c r="R2392"/>
      <c r="S2392"/>
    </row>
    <row r="2393" spans="2:19" x14ac:dyDescent="0.25">
      <c r="B2393" s="6" t="s">
        <v>46</v>
      </c>
      <c r="R2393"/>
      <c r="S2393"/>
    </row>
    <row r="2394" spans="2:19" x14ac:dyDescent="0.25">
      <c r="B2394" s="6" t="s">
        <v>46</v>
      </c>
      <c r="R2394"/>
      <c r="S2394"/>
    </row>
    <row r="2395" spans="2:19" x14ac:dyDescent="0.25">
      <c r="B2395" s="6" t="s">
        <v>46</v>
      </c>
      <c r="R2395"/>
      <c r="S2395"/>
    </row>
    <row r="2396" spans="2:19" x14ac:dyDescent="0.25">
      <c r="B2396" s="6" t="s">
        <v>46</v>
      </c>
      <c r="R2396"/>
      <c r="S2396"/>
    </row>
    <row r="2397" spans="2:19" x14ac:dyDescent="0.25">
      <c r="B2397" s="6" t="s">
        <v>46</v>
      </c>
      <c r="R2397"/>
      <c r="S2397"/>
    </row>
    <row r="2398" spans="2:19" x14ac:dyDescent="0.25">
      <c r="B2398" s="6" t="s">
        <v>46</v>
      </c>
      <c r="R2398"/>
      <c r="S2398"/>
    </row>
    <row r="2399" spans="2:19" x14ac:dyDescent="0.25">
      <c r="B2399" s="6" t="s">
        <v>46</v>
      </c>
      <c r="R2399"/>
      <c r="S2399"/>
    </row>
    <row r="2400" spans="2:19" x14ac:dyDescent="0.25">
      <c r="B2400" s="6" t="s">
        <v>46</v>
      </c>
      <c r="R2400"/>
      <c r="S2400"/>
    </row>
    <row r="2401" spans="2:19" x14ac:dyDescent="0.25">
      <c r="B2401" s="6" t="s">
        <v>46</v>
      </c>
      <c r="R2401"/>
      <c r="S2401"/>
    </row>
    <row r="2402" spans="2:19" x14ac:dyDescent="0.25">
      <c r="B2402" s="6" t="s">
        <v>46</v>
      </c>
      <c r="R2402"/>
      <c r="S2402"/>
    </row>
    <row r="2403" spans="2:19" x14ac:dyDescent="0.25">
      <c r="B2403" s="6" t="s">
        <v>46</v>
      </c>
      <c r="R2403"/>
      <c r="S2403"/>
    </row>
    <row r="2404" spans="2:19" x14ac:dyDescent="0.25">
      <c r="B2404" s="6" t="s">
        <v>46</v>
      </c>
      <c r="R2404"/>
      <c r="S2404"/>
    </row>
    <row r="2405" spans="2:19" x14ac:dyDescent="0.25">
      <c r="B2405" s="6" t="s">
        <v>46</v>
      </c>
      <c r="R2405"/>
      <c r="S2405"/>
    </row>
    <row r="2406" spans="2:19" x14ac:dyDescent="0.25">
      <c r="B2406" s="6" t="s">
        <v>46</v>
      </c>
      <c r="R2406"/>
      <c r="S2406"/>
    </row>
    <row r="2407" spans="2:19" x14ac:dyDescent="0.25">
      <c r="B2407" s="6" t="s">
        <v>46</v>
      </c>
      <c r="R2407"/>
      <c r="S2407"/>
    </row>
    <row r="2408" spans="2:19" x14ac:dyDescent="0.25">
      <c r="B2408" s="6" t="s">
        <v>46</v>
      </c>
      <c r="R2408"/>
      <c r="S2408"/>
    </row>
    <row r="2409" spans="2:19" x14ac:dyDescent="0.25">
      <c r="B2409" s="6" t="s">
        <v>46</v>
      </c>
      <c r="R2409"/>
      <c r="S2409"/>
    </row>
    <row r="2410" spans="2:19" x14ac:dyDescent="0.25">
      <c r="B2410" s="6" t="s">
        <v>46</v>
      </c>
      <c r="R2410"/>
      <c r="S2410"/>
    </row>
    <row r="2411" spans="2:19" x14ac:dyDescent="0.25">
      <c r="B2411" s="6" t="s">
        <v>46</v>
      </c>
      <c r="R2411"/>
      <c r="S2411"/>
    </row>
    <row r="2412" spans="2:19" x14ac:dyDescent="0.25">
      <c r="B2412" s="6" t="s">
        <v>46</v>
      </c>
      <c r="R2412"/>
      <c r="S2412"/>
    </row>
    <row r="2413" spans="2:19" x14ac:dyDescent="0.25">
      <c r="B2413" s="6" t="s">
        <v>46</v>
      </c>
      <c r="R2413"/>
      <c r="S2413"/>
    </row>
    <row r="2414" spans="2:19" x14ac:dyDescent="0.25">
      <c r="B2414" s="6" t="s">
        <v>46</v>
      </c>
      <c r="R2414"/>
      <c r="S2414"/>
    </row>
    <row r="2415" spans="2:19" x14ac:dyDescent="0.25">
      <c r="B2415" s="6" t="s">
        <v>46</v>
      </c>
      <c r="R2415"/>
      <c r="S2415"/>
    </row>
    <row r="2416" spans="2:19" x14ac:dyDescent="0.25">
      <c r="B2416" s="6" t="s">
        <v>46</v>
      </c>
      <c r="R2416"/>
      <c r="S2416"/>
    </row>
    <row r="2417" spans="2:19" x14ac:dyDescent="0.25">
      <c r="B2417" s="6" t="s">
        <v>46</v>
      </c>
      <c r="R2417"/>
      <c r="S2417"/>
    </row>
    <row r="2418" spans="2:19" x14ac:dyDescent="0.25">
      <c r="B2418" s="6" t="s">
        <v>46</v>
      </c>
      <c r="R2418"/>
      <c r="S2418"/>
    </row>
    <row r="2419" spans="2:19" x14ac:dyDescent="0.25">
      <c r="B2419" s="6" t="s">
        <v>46</v>
      </c>
      <c r="R2419"/>
      <c r="S2419"/>
    </row>
    <row r="2420" spans="2:19" x14ac:dyDescent="0.25">
      <c r="B2420" s="6" t="s">
        <v>46</v>
      </c>
      <c r="R2420"/>
      <c r="S2420"/>
    </row>
    <row r="2421" spans="2:19" x14ac:dyDescent="0.25">
      <c r="B2421" s="6" t="s">
        <v>46</v>
      </c>
      <c r="R2421"/>
      <c r="S2421"/>
    </row>
    <row r="2422" spans="2:19" x14ac:dyDescent="0.25">
      <c r="B2422" s="6" t="s">
        <v>46</v>
      </c>
      <c r="R2422"/>
      <c r="S2422"/>
    </row>
    <row r="2423" spans="2:19" x14ac:dyDescent="0.25">
      <c r="B2423" s="6" t="s">
        <v>46</v>
      </c>
      <c r="R2423"/>
      <c r="S2423"/>
    </row>
    <row r="2424" spans="2:19" x14ac:dyDescent="0.25">
      <c r="B2424" s="6" t="s">
        <v>46</v>
      </c>
      <c r="R2424"/>
      <c r="S2424"/>
    </row>
    <row r="2425" spans="2:19" x14ac:dyDescent="0.25">
      <c r="B2425" s="6" t="s">
        <v>46</v>
      </c>
      <c r="R2425"/>
      <c r="S2425"/>
    </row>
    <row r="2426" spans="2:19" x14ac:dyDescent="0.25">
      <c r="B2426" s="6" t="s">
        <v>46</v>
      </c>
      <c r="R2426"/>
      <c r="S2426"/>
    </row>
    <row r="2427" spans="2:19" x14ac:dyDescent="0.25">
      <c r="B2427" s="6" t="s">
        <v>46</v>
      </c>
      <c r="R2427"/>
      <c r="S2427"/>
    </row>
    <row r="2428" spans="2:19" x14ac:dyDescent="0.25">
      <c r="B2428" s="6" t="s">
        <v>46</v>
      </c>
      <c r="R2428"/>
      <c r="S2428"/>
    </row>
    <row r="2429" spans="2:19" x14ac:dyDescent="0.25">
      <c r="B2429" s="6" t="s">
        <v>46</v>
      </c>
      <c r="R2429"/>
      <c r="S2429"/>
    </row>
    <row r="2430" spans="2:19" x14ac:dyDescent="0.25">
      <c r="B2430" s="6" t="s">
        <v>46</v>
      </c>
      <c r="R2430"/>
      <c r="S2430"/>
    </row>
    <row r="2431" spans="2:19" x14ac:dyDescent="0.25">
      <c r="B2431" s="6" t="s">
        <v>46</v>
      </c>
      <c r="R2431"/>
      <c r="S2431"/>
    </row>
    <row r="2432" spans="2:19" x14ac:dyDescent="0.25">
      <c r="B2432" s="6" t="s">
        <v>46</v>
      </c>
      <c r="R2432"/>
      <c r="S2432"/>
    </row>
    <row r="2433" spans="2:19" x14ac:dyDescent="0.25">
      <c r="B2433" s="6" t="s">
        <v>46</v>
      </c>
      <c r="R2433"/>
      <c r="S2433"/>
    </row>
    <row r="2434" spans="2:19" x14ac:dyDescent="0.25">
      <c r="B2434" s="6" t="s">
        <v>46</v>
      </c>
      <c r="R2434"/>
      <c r="S2434"/>
    </row>
    <row r="2435" spans="2:19" x14ac:dyDescent="0.25">
      <c r="B2435" s="6" t="s">
        <v>46</v>
      </c>
      <c r="R2435"/>
      <c r="S2435"/>
    </row>
    <row r="2436" spans="2:19" x14ac:dyDescent="0.25">
      <c r="B2436" s="6" t="s">
        <v>46</v>
      </c>
      <c r="R2436"/>
      <c r="S2436"/>
    </row>
    <row r="2437" spans="2:19" x14ac:dyDescent="0.25">
      <c r="B2437" s="6" t="s">
        <v>46</v>
      </c>
      <c r="R2437"/>
      <c r="S2437"/>
    </row>
    <row r="2438" spans="2:19" x14ac:dyDescent="0.25">
      <c r="B2438" s="6" t="s">
        <v>46</v>
      </c>
      <c r="R2438"/>
      <c r="S2438"/>
    </row>
    <row r="2439" spans="2:19" x14ac:dyDescent="0.25">
      <c r="B2439" s="6" t="s">
        <v>46</v>
      </c>
      <c r="R2439"/>
      <c r="S2439"/>
    </row>
    <row r="2440" spans="2:19" x14ac:dyDescent="0.25">
      <c r="B2440" s="6" t="s">
        <v>46</v>
      </c>
      <c r="R2440"/>
      <c r="S2440"/>
    </row>
    <row r="2441" spans="2:19" x14ac:dyDescent="0.25">
      <c r="B2441" s="6" t="s">
        <v>46</v>
      </c>
      <c r="R2441"/>
      <c r="S2441"/>
    </row>
    <row r="2442" spans="2:19" x14ac:dyDescent="0.25">
      <c r="B2442" s="6" t="s">
        <v>46</v>
      </c>
      <c r="R2442"/>
      <c r="S2442"/>
    </row>
    <row r="2443" spans="2:19" x14ac:dyDescent="0.25">
      <c r="B2443" s="6" t="s">
        <v>46</v>
      </c>
      <c r="R2443"/>
      <c r="S2443"/>
    </row>
    <row r="2444" spans="2:19" x14ac:dyDescent="0.25">
      <c r="B2444" s="6" t="s">
        <v>46</v>
      </c>
      <c r="R2444"/>
      <c r="S2444"/>
    </row>
    <row r="2445" spans="2:19" x14ac:dyDescent="0.25">
      <c r="B2445" s="6" t="s">
        <v>46</v>
      </c>
      <c r="R2445"/>
      <c r="S2445"/>
    </row>
    <row r="2446" spans="2:19" x14ac:dyDescent="0.25">
      <c r="B2446" s="6" t="s">
        <v>46</v>
      </c>
      <c r="R2446"/>
      <c r="S2446"/>
    </row>
    <row r="2447" spans="2:19" x14ac:dyDescent="0.25">
      <c r="B2447" s="6" t="s">
        <v>46</v>
      </c>
      <c r="R2447"/>
      <c r="S2447"/>
    </row>
    <row r="2448" spans="2:19" x14ac:dyDescent="0.25">
      <c r="B2448" s="6" t="s">
        <v>46</v>
      </c>
      <c r="R2448"/>
      <c r="S2448"/>
    </row>
    <row r="2449" spans="2:19" x14ac:dyDescent="0.25">
      <c r="B2449" s="6" t="s">
        <v>46</v>
      </c>
      <c r="R2449"/>
      <c r="S2449"/>
    </row>
    <row r="2450" spans="2:19" x14ac:dyDescent="0.25">
      <c r="B2450" s="6" t="s">
        <v>46</v>
      </c>
      <c r="R2450"/>
      <c r="S2450"/>
    </row>
    <row r="2451" spans="2:19" x14ac:dyDescent="0.25">
      <c r="B2451" s="6" t="s">
        <v>46</v>
      </c>
      <c r="R2451"/>
      <c r="S2451"/>
    </row>
    <row r="2452" spans="2:19" x14ac:dyDescent="0.25">
      <c r="B2452" s="6" t="s">
        <v>46</v>
      </c>
      <c r="R2452"/>
      <c r="S2452"/>
    </row>
    <row r="2453" spans="2:19" x14ac:dyDescent="0.25">
      <c r="B2453" s="6" t="s">
        <v>46</v>
      </c>
      <c r="R2453"/>
      <c r="S2453"/>
    </row>
    <row r="2454" spans="2:19" x14ac:dyDescent="0.25">
      <c r="B2454" s="6" t="s">
        <v>46</v>
      </c>
      <c r="R2454"/>
      <c r="S2454"/>
    </row>
    <row r="2455" spans="2:19" x14ac:dyDescent="0.25">
      <c r="B2455" s="6" t="s">
        <v>46</v>
      </c>
      <c r="R2455"/>
      <c r="S2455"/>
    </row>
    <row r="2456" spans="2:19" x14ac:dyDescent="0.25">
      <c r="B2456" s="6" t="s">
        <v>46</v>
      </c>
      <c r="R2456"/>
      <c r="S2456"/>
    </row>
    <row r="2457" spans="2:19" x14ac:dyDescent="0.25">
      <c r="B2457" s="6" t="s">
        <v>46</v>
      </c>
      <c r="R2457"/>
      <c r="S2457"/>
    </row>
    <row r="2458" spans="2:19" x14ac:dyDescent="0.25">
      <c r="B2458" s="6" t="s">
        <v>46</v>
      </c>
      <c r="R2458"/>
      <c r="S2458"/>
    </row>
    <row r="2459" spans="2:19" x14ac:dyDescent="0.25">
      <c r="B2459" s="6" t="s">
        <v>46</v>
      </c>
      <c r="R2459"/>
      <c r="S2459"/>
    </row>
    <row r="2460" spans="2:19" x14ac:dyDescent="0.25">
      <c r="B2460" s="6" t="s">
        <v>46</v>
      </c>
      <c r="R2460"/>
      <c r="S2460"/>
    </row>
    <row r="2461" spans="2:19" x14ac:dyDescent="0.25">
      <c r="B2461" s="6" t="s">
        <v>46</v>
      </c>
      <c r="R2461"/>
      <c r="S2461"/>
    </row>
    <row r="2462" spans="2:19" x14ac:dyDescent="0.25">
      <c r="B2462" s="6" t="s">
        <v>46</v>
      </c>
      <c r="R2462"/>
      <c r="S2462"/>
    </row>
    <row r="2463" spans="2:19" x14ac:dyDescent="0.25">
      <c r="B2463" s="6" t="s">
        <v>46</v>
      </c>
      <c r="R2463"/>
      <c r="S2463"/>
    </row>
    <row r="2464" spans="2:19" x14ac:dyDescent="0.25">
      <c r="B2464" s="6" t="s">
        <v>46</v>
      </c>
      <c r="R2464"/>
      <c r="S2464"/>
    </row>
    <row r="2465" spans="2:19" x14ac:dyDescent="0.25">
      <c r="B2465" s="6" t="s">
        <v>46</v>
      </c>
      <c r="R2465"/>
      <c r="S2465"/>
    </row>
    <row r="2466" spans="2:19" x14ac:dyDescent="0.25">
      <c r="B2466" s="6" t="s">
        <v>46</v>
      </c>
      <c r="R2466"/>
      <c r="S2466"/>
    </row>
    <row r="2467" spans="2:19" x14ac:dyDescent="0.25">
      <c r="B2467" s="6" t="s">
        <v>46</v>
      </c>
      <c r="R2467"/>
      <c r="S2467"/>
    </row>
    <row r="2468" spans="2:19" x14ac:dyDescent="0.25">
      <c r="B2468" s="6" t="s">
        <v>46</v>
      </c>
      <c r="R2468"/>
      <c r="S2468"/>
    </row>
    <row r="2469" spans="2:19" x14ac:dyDescent="0.25">
      <c r="B2469" s="6" t="s">
        <v>46</v>
      </c>
      <c r="R2469"/>
      <c r="S2469"/>
    </row>
    <row r="2470" spans="2:19" x14ac:dyDescent="0.25">
      <c r="B2470" s="6" t="s">
        <v>46</v>
      </c>
      <c r="R2470"/>
      <c r="S2470"/>
    </row>
    <row r="2471" spans="2:19" x14ac:dyDescent="0.25">
      <c r="B2471" s="6" t="s">
        <v>46</v>
      </c>
      <c r="R2471"/>
      <c r="S2471"/>
    </row>
    <row r="2472" spans="2:19" x14ac:dyDescent="0.25">
      <c r="B2472" s="6" t="s">
        <v>46</v>
      </c>
      <c r="R2472"/>
      <c r="S2472"/>
    </row>
    <row r="2473" spans="2:19" x14ac:dyDescent="0.25">
      <c r="B2473" s="6" t="s">
        <v>46</v>
      </c>
      <c r="R2473"/>
      <c r="S2473"/>
    </row>
    <row r="2474" spans="2:19" x14ac:dyDescent="0.25">
      <c r="B2474" s="6" t="s">
        <v>46</v>
      </c>
      <c r="R2474"/>
      <c r="S2474"/>
    </row>
    <row r="2475" spans="2:19" x14ac:dyDescent="0.25">
      <c r="B2475" s="6" t="s">
        <v>46</v>
      </c>
      <c r="R2475"/>
      <c r="S2475"/>
    </row>
    <row r="2476" spans="2:19" x14ac:dyDescent="0.25">
      <c r="B2476" s="6" t="s">
        <v>46</v>
      </c>
      <c r="R2476"/>
      <c r="S2476"/>
    </row>
    <row r="2477" spans="2:19" x14ac:dyDescent="0.25">
      <c r="B2477" s="6" t="s">
        <v>46</v>
      </c>
      <c r="R2477"/>
      <c r="S2477"/>
    </row>
    <row r="2478" spans="2:19" x14ac:dyDescent="0.25">
      <c r="B2478" s="6" t="s">
        <v>46</v>
      </c>
      <c r="R2478"/>
      <c r="S2478"/>
    </row>
    <row r="2479" spans="2:19" x14ac:dyDescent="0.25">
      <c r="B2479" s="6" t="s">
        <v>46</v>
      </c>
      <c r="R2479"/>
      <c r="S2479"/>
    </row>
    <row r="2480" spans="2:19" x14ac:dyDescent="0.25">
      <c r="B2480" s="6" t="s">
        <v>46</v>
      </c>
      <c r="R2480"/>
      <c r="S2480"/>
    </row>
    <row r="2481" spans="2:19" x14ac:dyDescent="0.25">
      <c r="B2481" s="6" t="s">
        <v>46</v>
      </c>
      <c r="R2481"/>
      <c r="S2481"/>
    </row>
    <row r="2482" spans="2:19" x14ac:dyDescent="0.25">
      <c r="B2482" s="6" t="s">
        <v>46</v>
      </c>
      <c r="R2482"/>
      <c r="S2482"/>
    </row>
    <row r="2483" spans="2:19" x14ac:dyDescent="0.25">
      <c r="B2483" s="6" t="s">
        <v>46</v>
      </c>
      <c r="R2483"/>
      <c r="S2483"/>
    </row>
    <row r="2484" spans="2:19" x14ac:dyDescent="0.25">
      <c r="B2484" s="6" t="s">
        <v>46</v>
      </c>
      <c r="R2484"/>
      <c r="S2484"/>
    </row>
    <row r="2485" spans="2:19" x14ac:dyDescent="0.25">
      <c r="B2485" s="6" t="s">
        <v>46</v>
      </c>
      <c r="R2485"/>
      <c r="S2485"/>
    </row>
    <row r="2486" spans="2:19" x14ac:dyDescent="0.25">
      <c r="B2486" s="6" t="s">
        <v>46</v>
      </c>
      <c r="R2486"/>
      <c r="S2486"/>
    </row>
    <row r="2487" spans="2:19" x14ac:dyDescent="0.25">
      <c r="B2487" s="6" t="s">
        <v>46</v>
      </c>
      <c r="R2487"/>
      <c r="S2487"/>
    </row>
    <row r="2488" spans="2:19" x14ac:dyDescent="0.25">
      <c r="B2488" s="6" t="s">
        <v>46</v>
      </c>
      <c r="R2488"/>
      <c r="S2488"/>
    </row>
    <row r="2489" spans="2:19" x14ac:dyDescent="0.25">
      <c r="B2489" s="6" t="s">
        <v>46</v>
      </c>
      <c r="R2489"/>
      <c r="S2489"/>
    </row>
    <row r="2490" spans="2:19" x14ac:dyDescent="0.25">
      <c r="B2490" s="6" t="s">
        <v>46</v>
      </c>
      <c r="R2490"/>
      <c r="S2490"/>
    </row>
    <row r="2491" spans="2:19" x14ac:dyDescent="0.25">
      <c r="B2491" s="6" t="s">
        <v>46</v>
      </c>
      <c r="R2491"/>
      <c r="S2491"/>
    </row>
    <row r="2492" spans="2:19" x14ac:dyDescent="0.25">
      <c r="B2492" s="6" t="s">
        <v>46</v>
      </c>
      <c r="R2492"/>
      <c r="S2492"/>
    </row>
    <row r="2493" spans="2:19" x14ac:dyDescent="0.25">
      <c r="B2493" s="6" t="s">
        <v>46</v>
      </c>
      <c r="R2493"/>
      <c r="S2493"/>
    </row>
    <row r="2494" spans="2:19" x14ac:dyDescent="0.25">
      <c r="B2494" s="6" t="s">
        <v>46</v>
      </c>
      <c r="R2494"/>
      <c r="S2494"/>
    </row>
    <row r="2495" spans="2:19" x14ac:dyDescent="0.25">
      <c r="B2495" s="6" t="s">
        <v>46</v>
      </c>
      <c r="R2495"/>
      <c r="S2495"/>
    </row>
    <row r="2496" spans="2:19" x14ac:dyDescent="0.25">
      <c r="B2496" s="6" t="s">
        <v>46</v>
      </c>
      <c r="R2496"/>
      <c r="S2496"/>
    </row>
    <row r="2497" spans="2:19" x14ac:dyDescent="0.25">
      <c r="B2497" s="6" t="s">
        <v>46</v>
      </c>
      <c r="R2497"/>
      <c r="S2497"/>
    </row>
    <row r="2498" spans="2:19" x14ac:dyDescent="0.25">
      <c r="B2498" s="6" t="s">
        <v>46</v>
      </c>
      <c r="R2498"/>
      <c r="S2498"/>
    </row>
    <row r="2499" spans="2:19" x14ac:dyDescent="0.25">
      <c r="B2499" s="6" t="s">
        <v>46</v>
      </c>
      <c r="R2499"/>
      <c r="S2499"/>
    </row>
    <row r="2500" spans="2:19" x14ac:dyDescent="0.25">
      <c r="B2500" s="6" t="s">
        <v>46</v>
      </c>
      <c r="R2500"/>
      <c r="S2500"/>
    </row>
    <row r="2501" spans="2:19" x14ac:dyDescent="0.25">
      <c r="B2501" s="6" t="s">
        <v>46</v>
      </c>
      <c r="R2501"/>
      <c r="S2501"/>
    </row>
    <row r="2502" spans="2:19" x14ac:dyDescent="0.25">
      <c r="B2502" s="6" t="s">
        <v>46</v>
      </c>
      <c r="R2502"/>
      <c r="S2502"/>
    </row>
    <row r="2503" spans="2:19" x14ac:dyDescent="0.25">
      <c r="B2503" s="6" t="s">
        <v>46</v>
      </c>
      <c r="R2503"/>
      <c r="S2503"/>
    </row>
    <row r="2504" spans="2:19" x14ac:dyDescent="0.25">
      <c r="B2504" s="6" t="s">
        <v>46</v>
      </c>
      <c r="R2504"/>
      <c r="S2504"/>
    </row>
    <row r="2505" spans="2:19" x14ac:dyDescent="0.25">
      <c r="B2505" s="6" t="s">
        <v>46</v>
      </c>
      <c r="R2505"/>
      <c r="S2505"/>
    </row>
    <row r="2506" spans="2:19" x14ac:dyDescent="0.25">
      <c r="B2506" s="6" t="s">
        <v>46</v>
      </c>
      <c r="R2506"/>
      <c r="S2506"/>
    </row>
    <row r="2507" spans="2:19" x14ac:dyDescent="0.25">
      <c r="B2507" s="6" t="s">
        <v>46</v>
      </c>
      <c r="R2507"/>
      <c r="S2507"/>
    </row>
    <row r="2508" spans="2:19" x14ac:dyDescent="0.25">
      <c r="B2508" s="6" t="s">
        <v>46</v>
      </c>
      <c r="R2508"/>
      <c r="S2508"/>
    </row>
    <row r="2509" spans="2:19" x14ac:dyDescent="0.25">
      <c r="B2509" s="6" t="s">
        <v>46</v>
      </c>
      <c r="R2509"/>
      <c r="S2509"/>
    </row>
    <row r="2510" spans="2:19" x14ac:dyDescent="0.25">
      <c r="B2510" s="6" t="s">
        <v>46</v>
      </c>
      <c r="R2510"/>
      <c r="S2510"/>
    </row>
    <row r="2511" spans="2:19" x14ac:dyDescent="0.25">
      <c r="B2511" s="6" t="s">
        <v>46</v>
      </c>
      <c r="R2511"/>
      <c r="S2511"/>
    </row>
    <row r="2512" spans="2:19" x14ac:dyDescent="0.25">
      <c r="B2512" s="6" t="s">
        <v>46</v>
      </c>
      <c r="R2512"/>
      <c r="S2512"/>
    </row>
    <row r="2513" spans="2:19" x14ac:dyDescent="0.25">
      <c r="B2513" s="6" t="s">
        <v>46</v>
      </c>
      <c r="R2513"/>
      <c r="S2513"/>
    </row>
    <row r="2514" spans="2:19" x14ac:dyDescent="0.25">
      <c r="B2514" s="6" t="s">
        <v>46</v>
      </c>
      <c r="R2514"/>
      <c r="S2514"/>
    </row>
    <row r="2515" spans="2:19" x14ac:dyDescent="0.25">
      <c r="B2515" s="6" t="s">
        <v>46</v>
      </c>
      <c r="R2515"/>
      <c r="S2515"/>
    </row>
    <row r="2516" spans="2:19" x14ac:dyDescent="0.25">
      <c r="B2516" s="6" t="s">
        <v>46</v>
      </c>
      <c r="R2516"/>
      <c r="S2516"/>
    </row>
    <row r="2517" spans="2:19" x14ac:dyDescent="0.25">
      <c r="B2517" s="6" t="s">
        <v>46</v>
      </c>
      <c r="R2517"/>
      <c r="S2517"/>
    </row>
    <row r="2518" spans="2:19" x14ac:dyDescent="0.25">
      <c r="B2518" s="6" t="s">
        <v>46</v>
      </c>
      <c r="R2518"/>
      <c r="S2518"/>
    </row>
    <row r="2519" spans="2:19" x14ac:dyDescent="0.25">
      <c r="B2519" s="6" t="s">
        <v>46</v>
      </c>
      <c r="R2519"/>
      <c r="S2519"/>
    </row>
    <row r="2520" spans="2:19" x14ac:dyDescent="0.25">
      <c r="B2520" s="6" t="s">
        <v>46</v>
      </c>
      <c r="R2520"/>
      <c r="S2520"/>
    </row>
    <row r="2521" spans="2:19" x14ac:dyDescent="0.25">
      <c r="B2521" s="6" t="s">
        <v>46</v>
      </c>
      <c r="R2521"/>
      <c r="S2521"/>
    </row>
    <row r="2522" spans="2:19" x14ac:dyDescent="0.25">
      <c r="B2522" s="6" t="s">
        <v>46</v>
      </c>
      <c r="R2522"/>
      <c r="S2522"/>
    </row>
    <row r="2523" spans="2:19" x14ac:dyDescent="0.25">
      <c r="B2523" s="6" t="s">
        <v>46</v>
      </c>
      <c r="R2523"/>
      <c r="S2523"/>
    </row>
    <row r="2524" spans="2:19" x14ac:dyDescent="0.25">
      <c r="B2524" s="6" t="s">
        <v>46</v>
      </c>
      <c r="R2524"/>
      <c r="S2524"/>
    </row>
    <row r="2525" spans="2:19" x14ac:dyDescent="0.25">
      <c r="B2525" s="6" t="s">
        <v>46</v>
      </c>
      <c r="R2525"/>
      <c r="S2525"/>
    </row>
    <row r="2526" spans="2:19" x14ac:dyDescent="0.25">
      <c r="B2526" s="6" t="s">
        <v>46</v>
      </c>
      <c r="R2526"/>
      <c r="S2526"/>
    </row>
    <row r="2527" spans="2:19" x14ac:dyDescent="0.25">
      <c r="B2527" s="6" t="s">
        <v>46</v>
      </c>
      <c r="R2527"/>
      <c r="S2527"/>
    </row>
    <row r="2528" spans="2:19" x14ac:dyDescent="0.25">
      <c r="B2528" s="6" t="s">
        <v>46</v>
      </c>
      <c r="R2528"/>
      <c r="S2528"/>
    </row>
    <row r="2529" spans="2:19" x14ac:dyDescent="0.25">
      <c r="B2529" s="6" t="s">
        <v>46</v>
      </c>
      <c r="R2529"/>
      <c r="S2529"/>
    </row>
    <row r="2530" spans="2:19" x14ac:dyDescent="0.25">
      <c r="B2530" s="6" t="s">
        <v>46</v>
      </c>
      <c r="R2530"/>
      <c r="S2530"/>
    </row>
    <row r="2531" spans="2:19" x14ac:dyDescent="0.25">
      <c r="B2531" s="6" t="s">
        <v>46</v>
      </c>
      <c r="R2531"/>
      <c r="S2531"/>
    </row>
    <row r="2532" spans="2:19" x14ac:dyDescent="0.25">
      <c r="B2532" s="6" t="s">
        <v>46</v>
      </c>
      <c r="R2532"/>
      <c r="S2532"/>
    </row>
    <row r="2533" spans="2:19" x14ac:dyDescent="0.25">
      <c r="B2533" s="6" t="s">
        <v>46</v>
      </c>
      <c r="R2533"/>
      <c r="S2533"/>
    </row>
    <row r="2534" spans="2:19" x14ac:dyDescent="0.25">
      <c r="B2534" s="6" t="s">
        <v>46</v>
      </c>
      <c r="R2534"/>
      <c r="S2534"/>
    </row>
    <row r="2535" spans="2:19" x14ac:dyDescent="0.25">
      <c r="B2535" s="6" t="s">
        <v>46</v>
      </c>
      <c r="R2535"/>
      <c r="S2535"/>
    </row>
    <row r="2536" spans="2:19" x14ac:dyDescent="0.25">
      <c r="B2536" s="6" t="s">
        <v>46</v>
      </c>
      <c r="R2536"/>
      <c r="S2536"/>
    </row>
    <row r="2537" spans="2:19" x14ac:dyDescent="0.25">
      <c r="B2537" s="6" t="s">
        <v>46</v>
      </c>
      <c r="R2537"/>
      <c r="S2537"/>
    </row>
    <row r="2538" spans="2:19" x14ac:dyDescent="0.25">
      <c r="B2538" s="6" t="s">
        <v>46</v>
      </c>
      <c r="R2538"/>
      <c r="S2538"/>
    </row>
    <row r="2539" spans="2:19" x14ac:dyDescent="0.25">
      <c r="B2539" s="6" t="s">
        <v>46</v>
      </c>
      <c r="R2539"/>
      <c r="S2539"/>
    </row>
    <row r="2540" spans="2:19" x14ac:dyDescent="0.25">
      <c r="B2540" s="6" t="s">
        <v>46</v>
      </c>
      <c r="R2540"/>
      <c r="S2540"/>
    </row>
    <row r="2541" spans="2:19" x14ac:dyDescent="0.25">
      <c r="B2541" s="6" t="s">
        <v>46</v>
      </c>
      <c r="R2541"/>
      <c r="S2541"/>
    </row>
    <row r="2542" spans="2:19" x14ac:dyDescent="0.25">
      <c r="B2542" s="6" t="s">
        <v>46</v>
      </c>
      <c r="R2542"/>
      <c r="S2542"/>
    </row>
    <row r="2543" spans="2:19" x14ac:dyDescent="0.25">
      <c r="B2543" s="6" t="s">
        <v>46</v>
      </c>
      <c r="R2543"/>
      <c r="S2543"/>
    </row>
    <row r="2544" spans="2:19" x14ac:dyDescent="0.25">
      <c r="B2544" s="6" t="s">
        <v>46</v>
      </c>
      <c r="R2544"/>
      <c r="S2544"/>
    </row>
    <row r="2545" spans="2:19" x14ac:dyDescent="0.25">
      <c r="B2545" s="6" t="s">
        <v>46</v>
      </c>
      <c r="R2545"/>
      <c r="S2545"/>
    </row>
    <row r="2546" spans="2:19" x14ac:dyDescent="0.25">
      <c r="B2546" s="6" t="s">
        <v>46</v>
      </c>
      <c r="R2546"/>
      <c r="S2546"/>
    </row>
    <row r="2547" spans="2:19" x14ac:dyDescent="0.25">
      <c r="B2547" s="6" t="s">
        <v>46</v>
      </c>
      <c r="R2547"/>
      <c r="S2547"/>
    </row>
    <row r="2548" spans="2:19" x14ac:dyDescent="0.25">
      <c r="B2548" s="6" t="s">
        <v>46</v>
      </c>
      <c r="R2548"/>
      <c r="S2548"/>
    </row>
    <row r="2549" spans="2:19" x14ac:dyDescent="0.25">
      <c r="B2549" s="6" t="s">
        <v>46</v>
      </c>
      <c r="R2549"/>
      <c r="S2549"/>
    </row>
    <row r="2550" spans="2:19" x14ac:dyDescent="0.25">
      <c r="B2550" s="6" t="s">
        <v>46</v>
      </c>
      <c r="R2550"/>
      <c r="S2550"/>
    </row>
    <row r="2551" spans="2:19" x14ac:dyDescent="0.25">
      <c r="B2551" s="6" t="s">
        <v>46</v>
      </c>
      <c r="R2551"/>
      <c r="S2551"/>
    </row>
    <row r="2552" spans="2:19" x14ac:dyDescent="0.25">
      <c r="B2552" s="6" t="s">
        <v>46</v>
      </c>
      <c r="R2552"/>
      <c r="S2552"/>
    </row>
    <row r="2553" spans="2:19" x14ac:dyDescent="0.25">
      <c r="B2553" s="6" t="s">
        <v>46</v>
      </c>
      <c r="R2553"/>
      <c r="S2553"/>
    </row>
    <row r="2554" spans="2:19" x14ac:dyDescent="0.25">
      <c r="B2554" s="6" t="s">
        <v>46</v>
      </c>
      <c r="R2554"/>
      <c r="S2554"/>
    </row>
    <row r="2555" spans="2:19" x14ac:dyDescent="0.25">
      <c r="B2555" s="6" t="s">
        <v>46</v>
      </c>
      <c r="R2555"/>
      <c r="S2555"/>
    </row>
    <row r="2556" spans="2:19" x14ac:dyDescent="0.25">
      <c r="B2556" s="6" t="s">
        <v>46</v>
      </c>
      <c r="R2556"/>
      <c r="S2556"/>
    </row>
    <row r="2557" spans="2:19" x14ac:dyDescent="0.25">
      <c r="B2557" s="6" t="s">
        <v>46</v>
      </c>
      <c r="R2557"/>
      <c r="S2557"/>
    </row>
    <row r="2558" spans="2:19" x14ac:dyDescent="0.25">
      <c r="B2558" s="6" t="s">
        <v>46</v>
      </c>
      <c r="R2558"/>
      <c r="S2558"/>
    </row>
    <row r="2559" spans="2:19" x14ac:dyDescent="0.25">
      <c r="B2559" s="6" t="s">
        <v>46</v>
      </c>
      <c r="R2559"/>
      <c r="S2559"/>
    </row>
    <row r="2560" spans="2:19" x14ac:dyDescent="0.25">
      <c r="B2560" s="6" t="s">
        <v>46</v>
      </c>
      <c r="R2560"/>
      <c r="S2560"/>
    </row>
    <row r="2561" spans="2:19" x14ac:dyDescent="0.25">
      <c r="B2561" s="6" t="s">
        <v>46</v>
      </c>
      <c r="R2561"/>
      <c r="S2561"/>
    </row>
    <row r="2562" spans="2:19" x14ac:dyDescent="0.25">
      <c r="B2562" s="6" t="s">
        <v>46</v>
      </c>
      <c r="R2562"/>
      <c r="S2562"/>
    </row>
    <row r="2563" spans="2:19" x14ac:dyDescent="0.25">
      <c r="B2563" s="6" t="s">
        <v>46</v>
      </c>
      <c r="R2563"/>
      <c r="S2563"/>
    </row>
    <row r="2564" spans="2:19" x14ac:dyDescent="0.25">
      <c r="B2564" s="6" t="s">
        <v>46</v>
      </c>
      <c r="R2564"/>
      <c r="S2564"/>
    </row>
    <row r="2565" spans="2:19" x14ac:dyDescent="0.25">
      <c r="B2565" s="6" t="s">
        <v>46</v>
      </c>
      <c r="R2565"/>
      <c r="S2565"/>
    </row>
    <row r="2566" spans="2:19" x14ac:dyDescent="0.25">
      <c r="B2566" s="6" t="s">
        <v>46</v>
      </c>
      <c r="R2566"/>
      <c r="S2566"/>
    </row>
    <row r="2567" spans="2:19" x14ac:dyDescent="0.25">
      <c r="B2567" s="6" t="s">
        <v>46</v>
      </c>
      <c r="R2567"/>
      <c r="S2567"/>
    </row>
    <row r="2568" spans="2:19" x14ac:dyDescent="0.25">
      <c r="B2568" s="6" t="s">
        <v>46</v>
      </c>
      <c r="R2568"/>
      <c r="S2568"/>
    </row>
    <row r="2569" spans="2:19" x14ac:dyDescent="0.25">
      <c r="B2569" s="6" t="s">
        <v>46</v>
      </c>
      <c r="R2569"/>
      <c r="S2569"/>
    </row>
    <row r="2570" spans="2:19" x14ac:dyDescent="0.25">
      <c r="B2570" s="6" t="s">
        <v>46</v>
      </c>
      <c r="R2570"/>
      <c r="S2570"/>
    </row>
    <row r="2571" spans="2:19" x14ac:dyDescent="0.25">
      <c r="B2571" s="6" t="s">
        <v>46</v>
      </c>
      <c r="R2571"/>
      <c r="S2571"/>
    </row>
    <row r="2572" spans="2:19" x14ac:dyDescent="0.25">
      <c r="B2572" s="6" t="s">
        <v>46</v>
      </c>
      <c r="R2572"/>
      <c r="S2572"/>
    </row>
    <row r="2573" spans="2:19" x14ac:dyDescent="0.25">
      <c r="B2573" s="6" t="s">
        <v>46</v>
      </c>
      <c r="R2573"/>
      <c r="S2573"/>
    </row>
    <row r="2574" spans="2:19" x14ac:dyDescent="0.25">
      <c r="B2574" s="6" t="s">
        <v>46</v>
      </c>
      <c r="R2574"/>
      <c r="S2574"/>
    </row>
    <row r="2575" spans="2:19" x14ac:dyDescent="0.25">
      <c r="B2575" s="6" t="s">
        <v>46</v>
      </c>
      <c r="R2575"/>
      <c r="S2575"/>
    </row>
    <row r="2576" spans="2:19" x14ac:dyDescent="0.25">
      <c r="B2576" s="6" t="s">
        <v>46</v>
      </c>
      <c r="R2576"/>
      <c r="S2576"/>
    </row>
    <row r="2577" spans="2:19" x14ac:dyDescent="0.25">
      <c r="B2577" s="6" t="s">
        <v>46</v>
      </c>
      <c r="R2577"/>
      <c r="S2577"/>
    </row>
    <row r="2578" spans="2:19" x14ac:dyDescent="0.25">
      <c r="B2578" s="6" t="s">
        <v>46</v>
      </c>
      <c r="R2578"/>
      <c r="S2578"/>
    </row>
    <row r="2579" spans="2:19" x14ac:dyDescent="0.25">
      <c r="B2579" s="6" t="s">
        <v>46</v>
      </c>
      <c r="R2579"/>
      <c r="S2579"/>
    </row>
    <row r="2580" spans="2:19" x14ac:dyDescent="0.25">
      <c r="B2580" s="6" t="s">
        <v>46</v>
      </c>
      <c r="R2580"/>
      <c r="S2580"/>
    </row>
    <row r="2581" spans="2:19" x14ac:dyDescent="0.25">
      <c r="B2581" s="6" t="s">
        <v>46</v>
      </c>
      <c r="R2581"/>
      <c r="S2581"/>
    </row>
    <row r="2582" spans="2:19" x14ac:dyDescent="0.25">
      <c r="B2582" s="6" t="s">
        <v>46</v>
      </c>
      <c r="R2582"/>
      <c r="S2582"/>
    </row>
    <row r="2583" spans="2:19" x14ac:dyDescent="0.25">
      <c r="B2583" s="6" t="s">
        <v>46</v>
      </c>
      <c r="R2583"/>
      <c r="S2583"/>
    </row>
    <row r="2584" spans="2:19" x14ac:dyDescent="0.25">
      <c r="B2584" s="6" t="s">
        <v>46</v>
      </c>
      <c r="R2584"/>
      <c r="S2584"/>
    </row>
    <row r="2585" spans="2:19" x14ac:dyDescent="0.25">
      <c r="B2585" s="6" t="s">
        <v>46</v>
      </c>
      <c r="R2585"/>
      <c r="S2585"/>
    </row>
    <row r="2586" spans="2:19" x14ac:dyDescent="0.25">
      <c r="B2586" s="6" t="s">
        <v>46</v>
      </c>
      <c r="R2586"/>
      <c r="S2586"/>
    </row>
    <row r="2587" spans="2:19" x14ac:dyDescent="0.25">
      <c r="B2587" s="6" t="s">
        <v>46</v>
      </c>
      <c r="R2587"/>
      <c r="S2587"/>
    </row>
    <row r="2588" spans="2:19" x14ac:dyDescent="0.25">
      <c r="B2588" s="6" t="s">
        <v>46</v>
      </c>
      <c r="R2588"/>
      <c r="S2588"/>
    </row>
    <row r="2589" spans="2:19" x14ac:dyDescent="0.25">
      <c r="B2589" s="6" t="s">
        <v>46</v>
      </c>
      <c r="R2589"/>
      <c r="S2589"/>
    </row>
    <row r="2590" spans="2:19" x14ac:dyDescent="0.25">
      <c r="B2590" s="6" t="s">
        <v>46</v>
      </c>
      <c r="R2590"/>
      <c r="S2590"/>
    </row>
    <row r="2591" spans="2:19" x14ac:dyDescent="0.25">
      <c r="B2591" s="6" t="s">
        <v>46</v>
      </c>
      <c r="R2591"/>
      <c r="S2591"/>
    </row>
    <row r="2592" spans="2:19" x14ac:dyDescent="0.25">
      <c r="B2592" s="6" t="s">
        <v>46</v>
      </c>
      <c r="R2592"/>
      <c r="S2592"/>
    </row>
    <row r="2593" spans="2:19" x14ac:dyDescent="0.25">
      <c r="B2593" s="6" t="s">
        <v>46</v>
      </c>
      <c r="R2593"/>
      <c r="S2593"/>
    </row>
    <row r="2594" spans="2:19" x14ac:dyDescent="0.25">
      <c r="B2594" s="6" t="s">
        <v>46</v>
      </c>
      <c r="R2594"/>
      <c r="S2594"/>
    </row>
    <row r="2595" spans="2:19" x14ac:dyDescent="0.25">
      <c r="B2595" s="6" t="s">
        <v>46</v>
      </c>
      <c r="R2595"/>
      <c r="S2595"/>
    </row>
    <row r="2596" spans="2:19" x14ac:dyDescent="0.25">
      <c r="B2596" s="6" t="s">
        <v>46</v>
      </c>
      <c r="R2596"/>
      <c r="S2596"/>
    </row>
    <row r="2597" spans="2:19" x14ac:dyDescent="0.25">
      <c r="B2597" s="6" t="s">
        <v>46</v>
      </c>
      <c r="R2597"/>
      <c r="S2597"/>
    </row>
    <row r="2598" spans="2:19" x14ac:dyDescent="0.25">
      <c r="B2598" s="6" t="s">
        <v>46</v>
      </c>
      <c r="R2598"/>
      <c r="S2598"/>
    </row>
    <row r="2599" spans="2:19" x14ac:dyDescent="0.25">
      <c r="B2599" s="6" t="s">
        <v>46</v>
      </c>
      <c r="R2599"/>
      <c r="S2599"/>
    </row>
    <row r="2600" spans="2:19" x14ac:dyDescent="0.25">
      <c r="B2600" s="6" t="s">
        <v>46</v>
      </c>
      <c r="R2600"/>
      <c r="S2600"/>
    </row>
    <row r="2601" spans="2:19" x14ac:dyDescent="0.25">
      <c r="B2601" s="6" t="s">
        <v>46</v>
      </c>
      <c r="R2601"/>
      <c r="S2601"/>
    </row>
    <row r="2602" spans="2:19" x14ac:dyDescent="0.25">
      <c r="B2602" s="6" t="s">
        <v>46</v>
      </c>
      <c r="R2602"/>
      <c r="S2602"/>
    </row>
    <row r="2603" spans="2:19" x14ac:dyDescent="0.25">
      <c r="B2603" s="6" t="s">
        <v>46</v>
      </c>
      <c r="R2603"/>
      <c r="S2603"/>
    </row>
    <row r="2604" spans="2:19" x14ac:dyDescent="0.25">
      <c r="B2604" s="6" t="s">
        <v>46</v>
      </c>
      <c r="R2604"/>
      <c r="S2604"/>
    </row>
    <row r="2605" spans="2:19" x14ac:dyDescent="0.25">
      <c r="B2605" s="6" t="s">
        <v>46</v>
      </c>
      <c r="R2605"/>
      <c r="S2605"/>
    </row>
    <row r="2606" spans="2:19" x14ac:dyDescent="0.25">
      <c r="B2606" s="6" t="s">
        <v>46</v>
      </c>
      <c r="R2606"/>
      <c r="S2606"/>
    </row>
    <row r="2607" spans="2:19" x14ac:dyDescent="0.25">
      <c r="B2607" s="6" t="s">
        <v>46</v>
      </c>
      <c r="R2607"/>
      <c r="S2607"/>
    </row>
    <row r="2608" spans="2:19" x14ac:dyDescent="0.25">
      <c r="B2608" s="6" t="s">
        <v>46</v>
      </c>
      <c r="R2608"/>
      <c r="S2608"/>
    </row>
    <row r="2609" spans="2:19" x14ac:dyDescent="0.25">
      <c r="B2609" s="6" t="s">
        <v>46</v>
      </c>
      <c r="R2609"/>
      <c r="S2609"/>
    </row>
    <row r="2610" spans="2:19" x14ac:dyDescent="0.25">
      <c r="B2610" s="6" t="s">
        <v>46</v>
      </c>
      <c r="R2610"/>
      <c r="S2610"/>
    </row>
    <row r="2611" spans="2:19" x14ac:dyDescent="0.25">
      <c r="B2611" s="6" t="s">
        <v>46</v>
      </c>
      <c r="R2611"/>
      <c r="S2611"/>
    </row>
    <row r="2612" spans="2:19" x14ac:dyDescent="0.25">
      <c r="B2612" s="6" t="s">
        <v>46</v>
      </c>
      <c r="R2612"/>
      <c r="S2612"/>
    </row>
    <row r="2613" spans="2:19" x14ac:dyDescent="0.25">
      <c r="B2613" s="6" t="s">
        <v>46</v>
      </c>
      <c r="R2613"/>
      <c r="S2613"/>
    </row>
    <row r="2614" spans="2:19" x14ac:dyDescent="0.25">
      <c r="B2614" s="6" t="s">
        <v>46</v>
      </c>
      <c r="R2614"/>
      <c r="S2614"/>
    </row>
    <row r="2615" spans="2:19" x14ac:dyDescent="0.25">
      <c r="B2615" s="6" t="s">
        <v>46</v>
      </c>
      <c r="R2615"/>
      <c r="S2615"/>
    </row>
    <row r="2616" spans="2:19" x14ac:dyDescent="0.25">
      <c r="B2616" s="6" t="s">
        <v>46</v>
      </c>
      <c r="R2616"/>
      <c r="S2616"/>
    </row>
    <row r="2617" spans="2:19" x14ac:dyDescent="0.25">
      <c r="B2617" s="6" t="s">
        <v>46</v>
      </c>
      <c r="R2617"/>
      <c r="S2617"/>
    </row>
    <row r="2618" spans="2:19" x14ac:dyDescent="0.25">
      <c r="B2618" s="6" t="s">
        <v>46</v>
      </c>
      <c r="R2618"/>
      <c r="S2618"/>
    </row>
    <row r="2619" spans="2:19" x14ac:dyDescent="0.25">
      <c r="B2619" s="6" t="s">
        <v>46</v>
      </c>
      <c r="R2619"/>
      <c r="S2619"/>
    </row>
    <row r="2620" spans="2:19" x14ac:dyDescent="0.25">
      <c r="B2620" s="6" t="s">
        <v>46</v>
      </c>
      <c r="R2620"/>
      <c r="S2620"/>
    </row>
    <row r="2621" spans="2:19" x14ac:dyDescent="0.25">
      <c r="B2621" s="6" t="s">
        <v>46</v>
      </c>
      <c r="R2621"/>
      <c r="S2621"/>
    </row>
    <row r="2622" spans="2:19" x14ac:dyDescent="0.25">
      <c r="B2622" s="6" t="s">
        <v>46</v>
      </c>
      <c r="R2622"/>
      <c r="S2622"/>
    </row>
    <row r="2623" spans="2:19" x14ac:dyDescent="0.25">
      <c r="B2623" s="6" t="s">
        <v>46</v>
      </c>
      <c r="R2623"/>
      <c r="S2623"/>
    </row>
    <row r="2624" spans="2:19" x14ac:dyDescent="0.25">
      <c r="B2624" s="6" t="s">
        <v>46</v>
      </c>
      <c r="R2624"/>
      <c r="S2624"/>
    </row>
    <row r="2625" spans="2:19" x14ac:dyDescent="0.25">
      <c r="B2625" s="6" t="s">
        <v>46</v>
      </c>
      <c r="R2625"/>
      <c r="S2625"/>
    </row>
    <row r="2626" spans="2:19" x14ac:dyDescent="0.25">
      <c r="B2626" s="6" t="s">
        <v>46</v>
      </c>
      <c r="R2626"/>
      <c r="S2626"/>
    </row>
    <row r="2627" spans="2:19" x14ac:dyDescent="0.25">
      <c r="B2627" s="6" t="s">
        <v>46</v>
      </c>
      <c r="R2627"/>
      <c r="S2627"/>
    </row>
    <row r="2628" spans="2:19" x14ac:dyDescent="0.25">
      <c r="B2628" s="6" t="s">
        <v>46</v>
      </c>
      <c r="R2628"/>
      <c r="S2628"/>
    </row>
    <row r="2629" spans="2:19" x14ac:dyDescent="0.25">
      <c r="B2629" s="6" t="s">
        <v>46</v>
      </c>
      <c r="R2629"/>
      <c r="S2629"/>
    </row>
    <row r="2630" spans="2:19" x14ac:dyDescent="0.25">
      <c r="B2630" s="6" t="s">
        <v>46</v>
      </c>
      <c r="R2630"/>
      <c r="S2630"/>
    </row>
    <row r="2631" spans="2:19" x14ac:dyDescent="0.25">
      <c r="B2631" s="6" t="s">
        <v>46</v>
      </c>
      <c r="R2631"/>
      <c r="S2631"/>
    </row>
    <row r="2632" spans="2:19" x14ac:dyDescent="0.25">
      <c r="B2632" s="6" t="s">
        <v>46</v>
      </c>
      <c r="R2632"/>
      <c r="S2632"/>
    </row>
    <row r="2633" spans="2:19" x14ac:dyDescent="0.25">
      <c r="B2633" s="6" t="s">
        <v>46</v>
      </c>
      <c r="R2633"/>
      <c r="S2633"/>
    </row>
    <row r="2634" spans="2:19" x14ac:dyDescent="0.25">
      <c r="B2634" s="6" t="s">
        <v>46</v>
      </c>
      <c r="R2634"/>
      <c r="S2634"/>
    </row>
    <row r="2635" spans="2:19" x14ac:dyDescent="0.25">
      <c r="B2635" s="6" t="s">
        <v>46</v>
      </c>
      <c r="R2635"/>
      <c r="S2635"/>
    </row>
    <row r="2636" spans="2:19" x14ac:dyDescent="0.25">
      <c r="B2636" s="6" t="s">
        <v>46</v>
      </c>
      <c r="R2636"/>
      <c r="S2636"/>
    </row>
    <row r="2637" spans="2:19" x14ac:dyDescent="0.25">
      <c r="B2637" s="6" t="s">
        <v>46</v>
      </c>
      <c r="R2637"/>
      <c r="S2637"/>
    </row>
    <row r="2638" spans="2:19" x14ac:dyDescent="0.25">
      <c r="B2638" s="6" t="s">
        <v>46</v>
      </c>
      <c r="R2638"/>
      <c r="S2638"/>
    </row>
    <row r="2639" spans="2:19" x14ac:dyDescent="0.25">
      <c r="B2639" s="6" t="s">
        <v>46</v>
      </c>
      <c r="R2639"/>
      <c r="S2639"/>
    </row>
    <row r="2640" spans="2:19" x14ac:dyDescent="0.25">
      <c r="B2640" s="6" t="s">
        <v>46</v>
      </c>
      <c r="R2640"/>
      <c r="S2640"/>
    </row>
    <row r="2641" spans="2:19" x14ac:dyDescent="0.25">
      <c r="B2641" s="6" t="s">
        <v>46</v>
      </c>
      <c r="R2641"/>
      <c r="S2641"/>
    </row>
    <row r="2642" spans="2:19" x14ac:dyDescent="0.25">
      <c r="B2642" s="6" t="s">
        <v>46</v>
      </c>
      <c r="R2642"/>
      <c r="S2642"/>
    </row>
    <row r="2643" spans="2:19" x14ac:dyDescent="0.25">
      <c r="B2643" s="6" t="s">
        <v>46</v>
      </c>
      <c r="R2643"/>
      <c r="S2643"/>
    </row>
    <row r="2644" spans="2:19" x14ac:dyDescent="0.25">
      <c r="B2644" s="6" t="s">
        <v>46</v>
      </c>
      <c r="R2644"/>
      <c r="S2644"/>
    </row>
    <row r="2645" spans="2:19" x14ac:dyDescent="0.25">
      <c r="B2645" s="6" t="s">
        <v>46</v>
      </c>
      <c r="R2645"/>
      <c r="S2645"/>
    </row>
    <row r="2646" spans="2:19" x14ac:dyDescent="0.25">
      <c r="B2646" s="6" t="s">
        <v>46</v>
      </c>
      <c r="R2646"/>
      <c r="S2646"/>
    </row>
    <row r="2647" spans="2:19" x14ac:dyDescent="0.25">
      <c r="B2647" s="6" t="s">
        <v>46</v>
      </c>
      <c r="R2647"/>
      <c r="S2647"/>
    </row>
    <row r="2648" spans="2:19" x14ac:dyDescent="0.25">
      <c r="B2648" s="6" t="s">
        <v>46</v>
      </c>
      <c r="R2648"/>
      <c r="S2648"/>
    </row>
    <row r="2649" spans="2:19" x14ac:dyDescent="0.25">
      <c r="B2649" s="6" t="s">
        <v>46</v>
      </c>
      <c r="R2649"/>
      <c r="S2649"/>
    </row>
    <row r="2650" spans="2:19" x14ac:dyDescent="0.25">
      <c r="B2650" s="6" t="s">
        <v>46</v>
      </c>
      <c r="R2650"/>
      <c r="S2650"/>
    </row>
    <row r="2651" spans="2:19" x14ac:dyDescent="0.25">
      <c r="B2651" s="6" t="s">
        <v>46</v>
      </c>
      <c r="R2651"/>
      <c r="S2651"/>
    </row>
    <row r="2652" spans="2:19" x14ac:dyDescent="0.25">
      <c r="B2652" s="6" t="s">
        <v>46</v>
      </c>
      <c r="R2652"/>
      <c r="S2652"/>
    </row>
    <row r="2653" spans="2:19" x14ac:dyDescent="0.25">
      <c r="B2653" s="6" t="s">
        <v>46</v>
      </c>
      <c r="R2653"/>
      <c r="S2653"/>
    </row>
    <row r="2654" spans="2:19" x14ac:dyDescent="0.25">
      <c r="B2654" s="6" t="s">
        <v>46</v>
      </c>
      <c r="R2654"/>
      <c r="S2654"/>
    </row>
    <row r="2655" spans="2:19" x14ac:dyDescent="0.25">
      <c r="B2655" s="6" t="s">
        <v>46</v>
      </c>
      <c r="R2655"/>
      <c r="S2655"/>
    </row>
    <row r="2656" spans="2:19" x14ac:dyDescent="0.25">
      <c r="B2656" s="6" t="s">
        <v>46</v>
      </c>
      <c r="R2656"/>
      <c r="S2656"/>
    </row>
    <row r="2657" spans="2:19" x14ac:dyDescent="0.25">
      <c r="B2657" s="6" t="s">
        <v>46</v>
      </c>
      <c r="R2657"/>
      <c r="S2657"/>
    </row>
    <row r="2658" spans="2:19" x14ac:dyDescent="0.25">
      <c r="B2658" s="6" t="s">
        <v>46</v>
      </c>
      <c r="R2658"/>
      <c r="S2658"/>
    </row>
    <row r="2659" spans="2:19" x14ac:dyDescent="0.25">
      <c r="B2659" s="6" t="s">
        <v>46</v>
      </c>
      <c r="R2659"/>
      <c r="S2659"/>
    </row>
    <row r="2660" spans="2:19" x14ac:dyDescent="0.25">
      <c r="B2660" s="6" t="s">
        <v>46</v>
      </c>
      <c r="R2660"/>
      <c r="S2660"/>
    </row>
    <row r="2661" spans="2:19" x14ac:dyDescent="0.25">
      <c r="B2661" s="6" t="s">
        <v>46</v>
      </c>
      <c r="R2661"/>
      <c r="S2661"/>
    </row>
    <row r="2662" spans="2:19" x14ac:dyDescent="0.25">
      <c r="B2662" s="6" t="s">
        <v>46</v>
      </c>
      <c r="R2662"/>
      <c r="S2662"/>
    </row>
    <row r="2663" spans="2:19" x14ac:dyDescent="0.25">
      <c r="B2663" s="6" t="s">
        <v>46</v>
      </c>
      <c r="R2663"/>
      <c r="S2663"/>
    </row>
    <row r="2664" spans="2:19" x14ac:dyDescent="0.25">
      <c r="B2664" s="6" t="s">
        <v>46</v>
      </c>
      <c r="R2664"/>
      <c r="S2664"/>
    </row>
    <row r="2665" spans="2:19" x14ac:dyDescent="0.25">
      <c r="B2665" s="6" t="s">
        <v>46</v>
      </c>
      <c r="R2665"/>
      <c r="S2665"/>
    </row>
    <row r="2666" spans="2:19" x14ac:dyDescent="0.25">
      <c r="B2666" s="6" t="s">
        <v>46</v>
      </c>
      <c r="R2666"/>
      <c r="S2666"/>
    </row>
    <row r="2667" spans="2:19" x14ac:dyDescent="0.25">
      <c r="B2667" s="6" t="s">
        <v>46</v>
      </c>
      <c r="R2667"/>
      <c r="S2667"/>
    </row>
    <row r="2668" spans="2:19" x14ac:dyDescent="0.25">
      <c r="B2668" s="6" t="s">
        <v>46</v>
      </c>
      <c r="R2668"/>
      <c r="S2668"/>
    </row>
    <row r="2669" spans="2:19" x14ac:dyDescent="0.25">
      <c r="B2669" s="6" t="s">
        <v>46</v>
      </c>
      <c r="R2669"/>
      <c r="S2669"/>
    </row>
    <row r="2670" spans="2:19" x14ac:dyDescent="0.25">
      <c r="B2670" s="6" t="s">
        <v>46</v>
      </c>
      <c r="R2670"/>
      <c r="S2670"/>
    </row>
    <row r="2671" spans="2:19" x14ac:dyDescent="0.25">
      <c r="B2671" s="6" t="s">
        <v>46</v>
      </c>
      <c r="R2671"/>
      <c r="S2671"/>
    </row>
    <row r="2672" spans="2:19" x14ac:dyDescent="0.25">
      <c r="B2672" s="6" t="s">
        <v>46</v>
      </c>
      <c r="R2672"/>
      <c r="S2672"/>
    </row>
    <row r="2673" spans="2:19" x14ac:dyDescent="0.25">
      <c r="B2673" s="6" t="s">
        <v>46</v>
      </c>
      <c r="R2673"/>
      <c r="S2673"/>
    </row>
    <row r="2674" spans="2:19" x14ac:dyDescent="0.25">
      <c r="B2674" s="6" t="s">
        <v>46</v>
      </c>
      <c r="R2674"/>
      <c r="S2674"/>
    </row>
    <row r="2675" spans="2:19" x14ac:dyDescent="0.25">
      <c r="B2675" s="6" t="s">
        <v>46</v>
      </c>
      <c r="R2675"/>
      <c r="S2675"/>
    </row>
    <row r="2676" spans="2:19" x14ac:dyDescent="0.25">
      <c r="B2676" s="6" t="s">
        <v>46</v>
      </c>
      <c r="R2676"/>
      <c r="S2676"/>
    </row>
    <row r="2677" spans="2:19" x14ac:dyDescent="0.25">
      <c r="B2677" s="6" t="s">
        <v>46</v>
      </c>
      <c r="R2677"/>
      <c r="S2677"/>
    </row>
    <row r="2678" spans="2:19" x14ac:dyDescent="0.25">
      <c r="B2678" s="6" t="s">
        <v>46</v>
      </c>
      <c r="R2678"/>
      <c r="S2678"/>
    </row>
    <row r="2679" spans="2:19" x14ac:dyDescent="0.25">
      <c r="B2679" s="6" t="s">
        <v>46</v>
      </c>
      <c r="R2679"/>
      <c r="S2679"/>
    </row>
    <row r="2680" spans="2:19" x14ac:dyDescent="0.25">
      <c r="B2680" s="6" t="s">
        <v>46</v>
      </c>
      <c r="R2680"/>
      <c r="S2680"/>
    </row>
    <row r="2681" spans="2:19" x14ac:dyDescent="0.25">
      <c r="B2681" s="6" t="s">
        <v>46</v>
      </c>
      <c r="R2681"/>
      <c r="S2681"/>
    </row>
    <row r="2682" spans="2:19" x14ac:dyDescent="0.25">
      <c r="B2682" s="6" t="s">
        <v>46</v>
      </c>
      <c r="R2682"/>
      <c r="S2682"/>
    </row>
    <row r="2683" spans="2:19" x14ac:dyDescent="0.25">
      <c r="B2683" s="6" t="s">
        <v>46</v>
      </c>
      <c r="R2683"/>
      <c r="S2683"/>
    </row>
    <row r="2684" spans="2:19" x14ac:dyDescent="0.25">
      <c r="B2684" s="6" t="s">
        <v>46</v>
      </c>
      <c r="R2684"/>
      <c r="S2684"/>
    </row>
    <row r="2685" spans="2:19" x14ac:dyDescent="0.25">
      <c r="B2685" s="6" t="s">
        <v>46</v>
      </c>
      <c r="R2685"/>
      <c r="S2685"/>
    </row>
    <row r="2686" spans="2:19" x14ac:dyDescent="0.25">
      <c r="B2686" s="6" t="s">
        <v>46</v>
      </c>
      <c r="R2686"/>
      <c r="S2686"/>
    </row>
    <row r="2687" spans="2:19" x14ac:dyDescent="0.25">
      <c r="B2687" s="6" t="s">
        <v>46</v>
      </c>
      <c r="R2687"/>
      <c r="S2687"/>
    </row>
    <row r="2688" spans="2:19" x14ac:dyDescent="0.25">
      <c r="B2688" s="6" t="s">
        <v>46</v>
      </c>
      <c r="R2688"/>
      <c r="S2688"/>
    </row>
    <row r="2689" spans="2:19" x14ac:dyDescent="0.25">
      <c r="B2689" s="6" t="s">
        <v>46</v>
      </c>
      <c r="R2689"/>
      <c r="S2689"/>
    </row>
    <row r="2690" spans="2:19" x14ac:dyDescent="0.25">
      <c r="B2690" s="6" t="s">
        <v>46</v>
      </c>
      <c r="R2690"/>
      <c r="S2690"/>
    </row>
    <row r="2691" spans="2:19" x14ac:dyDescent="0.25">
      <c r="B2691" s="6" t="s">
        <v>46</v>
      </c>
      <c r="R2691"/>
      <c r="S2691"/>
    </row>
    <row r="2692" spans="2:19" x14ac:dyDescent="0.25">
      <c r="B2692" s="6" t="s">
        <v>46</v>
      </c>
      <c r="R2692"/>
      <c r="S2692"/>
    </row>
    <row r="2693" spans="2:19" x14ac:dyDescent="0.25">
      <c r="B2693" s="6" t="s">
        <v>46</v>
      </c>
      <c r="R2693"/>
      <c r="S2693"/>
    </row>
    <row r="2694" spans="2:19" x14ac:dyDescent="0.25">
      <c r="B2694" s="6" t="s">
        <v>46</v>
      </c>
      <c r="R2694"/>
      <c r="S2694"/>
    </row>
    <row r="2695" spans="2:19" x14ac:dyDescent="0.25">
      <c r="B2695" s="6" t="s">
        <v>46</v>
      </c>
      <c r="R2695"/>
      <c r="S2695"/>
    </row>
    <row r="2696" spans="2:19" x14ac:dyDescent="0.25">
      <c r="B2696" s="6" t="s">
        <v>46</v>
      </c>
      <c r="R2696"/>
      <c r="S2696"/>
    </row>
    <row r="2697" spans="2:19" x14ac:dyDescent="0.25">
      <c r="B2697" s="6" t="s">
        <v>46</v>
      </c>
      <c r="R2697"/>
      <c r="S2697"/>
    </row>
    <row r="2698" spans="2:19" x14ac:dyDescent="0.25">
      <c r="B2698" s="6" t="s">
        <v>46</v>
      </c>
      <c r="R2698"/>
      <c r="S2698"/>
    </row>
    <row r="2699" spans="2:19" x14ac:dyDescent="0.25">
      <c r="B2699" s="6" t="s">
        <v>46</v>
      </c>
      <c r="R2699"/>
      <c r="S2699"/>
    </row>
    <row r="2700" spans="2:19" x14ac:dyDescent="0.25">
      <c r="B2700" s="6" t="s">
        <v>46</v>
      </c>
      <c r="R2700"/>
      <c r="S2700"/>
    </row>
    <row r="2701" spans="2:19" x14ac:dyDescent="0.25">
      <c r="B2701" s="6" t="s">
        <v>46</v>
      </c>
      <c r="R2701"/>
      <c r="S2701"/>
    </row>
    <row r="2702" spans="2:19" x14ac:dyDescent="0.25">
      <c r="B2702" s="6" t="s">
        <v>46</v>
      </c>
      <c r="R2702"/>
      <c r="S2702"/>
    </row>
    <row r="2703" spans="2:19" x14ac:dyDescent="0.25">
      <c r="B2703" s="6" t="s">
        <v>46</v>
      </c>
      <c r="R2703"/>
      <c r="S2703"/>
    </row>
    <row r="2704" spans="2:19" x14ac:dyDescent="0.25">
      <c r="B2704" s="6" t="s">
        <v>46</v>
      </c>
      <c r="R2704"/>
      <c r="S2704"/>
    </row>
    <row r="2705" spans="2:19" x14ac:dyDescent="0.25">
      <c r="B2705" s="6" t="s">
        <v>46</v>
      </c>
      <c r="R2705"/>
      <c r="S2705"/>
    </row>
    <row r="2706" spans="2:19" x14ac:dyDescent="0.25">
      <c r="B2706" s="6" t="s">
        <v>46</v>
      </c>
      <c r="R2706"/>
      <c r="S2706"/>
    </row>
    <row r="2707" spans="2:19" x14ac:dyDescent="0.25">
      <c r="B2707" s="6" t="s">
        <v>46</v>
      </c>
      <c r="R2707"/>
      <c r="S2707"/>
    </row>
    <row r="2708" spans="2:19" x14ac:dyDescent="0.25">
      <c r="B2708" s="6" t="s">
        <v>46</v>
      </c>
      <c r="R2708"/>
      <c r="S2708"/>
    </row>
    <row r="2709" spans="2:19" x14ac:dyDescent="0.25">
      <c r="B2709" s="6" t="s">
        <v>46</v>
      </c>
      <c r="R2709"/>
      <c r="S2709"/>
    </row>
    <row r="2710" spans="2:19" x14ac:dyDescent="0.25">
      <c r="B2710" s="6" t="s">
        <v>46</v>
      </c>
      <c r="R2710"/>
      <c r="S2710"/>
    </row>
    <row r="2711" spans="2:19" x14ac:dyDescent="0.25">
      <c r="B2711" s="6" t="s">
        <v>46</v>
      </c>
      <c r="R2711"/>
      <c r="S2711"/>
    </row>
    <row r="2712" spans="2:19" x14ac:dyDescent="0.25">
      <c r="B2712" s="6" t="s">
        <v>46</v>
      </c>
      <c r="R2712"/>
      <c r="S2712"/>
    </row>
    <row r="2713" spans="2:19" x14ac:dyDescent="0.25">
      <c r="B2713" s="6" t="s">
        <v>46</v>
      </c>
      <c r="R2713"/>
      <c r="S2713"/>
    </row>
    <row r="2714" spans="2:19" x14ac:dyDescent="0.25">
      <c r="B2714" s="6" t="s">
        <v>46</v>
      </c>
      <c r="R2714"/>
      <c r="S2714"/>
    </row>
    <row r="2715" spans="2:19" x14ac:dyDescent="0.25">
      <c r="B2715" s="6" t="s">
        <v>46</v>
      </c>
      <c r="R2715"/>
      <c r="S2715"/>
    </row>
    <row r="2716" spans="2:19" x14ac:dyDescent="0.25">
      <c r="B2716" s="6" t="s">
        <v>46</v>
      </c>
      <c r="R2716"/>
      <c r="S2716"/>
    </row>
    <row r="2717" spans="2:19" x14ac:dyDescent="0.25">
      <c r="B2717" s="6" t="s">
        <v>46</v>
      </c>
      <c r="R2717"/>
      <c r="S2717"/>
    </row>
    <row r="2718" spans="2:19" x14ac:dyDescent="0.25">
      <c r="B2718" s="6" t="s">
        <v>46</v>
      </c>
      <c r="R2718"/>
      <c r="S2718"/>
    </row>
    <row r="2719" spans="2:19" x14ac:dyDescent="0.25">
      <c r="B2719" s="6" t="s">
        <v>46</v>
      </c>
      <c r="R2719"/>
      <c r="S2719"/>
    </row>
    <row r="2720" spans="2:19" x14ac:dyDescent="0.25">
      <c r="B2720" s="6" t="s">
        <v>46</v>
      </c>
      <c r="R2720"/>
      <c r="S2720"/>
    </row>
    <row r="2721" spans="2:19" x14ac:dyDescent="0.25">
      <c r="B2721" s="6" t="s">
        <v>46</v>
      </c>
      <c r="R2721"/>
      <c r="S2721"/>
    </row>
    <row r="2722" spans="2:19" x14ac:dyDescent="0.25">
      <c r="B2722" s="6" t="s">
        <v>46</v>
      </c>
      <c r="R2722"/>
      <c r="S2722"/>
    </row>
    <row r="2723" spans="2:19" x14ac:dyDescent="0.25">
      <c r="B2723" s="6" t="s">
        <v>46</v>
      </c>
      <c r="R2723"/>
      <c r="S2723"/>
    </row>
    <row r="2724" spans="2:19" x14ac:dyDescent="0.25">
      <c r="B2724" s="6" t="s">
        <v>46</v>
      </c>
      <c r="R2724"/>
      <c r="S2724"/>
    </row>
    <row r="2725" spans="2:19" x14ac:dyDescent="0.25">
      <c r="B2725" s="6" t="s">
        <v>46</v>
      </c>
      <c r="R2725"/>
      <c r="S2725"/>
    </row>
    <row r="2726" spans="2:19" x14ac:dyDescent="0.25">
      <c r="B2726" s="6" t="s">
        <v>46</v>
      </c>
      <c r="R2726"/>
      <c r="S2726"/>
    </row>
    <row r="2727" spans="2:19" x14ac:dyDescent="0.25">
      <c r="B2727" s="6" t="s">
        <v>46</v>
      </c>
      <c r="R2727"/>
      <c r="S2727"/>
    </row>
    <row r="2728" spans="2:19" x14ac:dyDescent="0.25">
      <c r="B2728" s="6" t="s">
        <v>46</v>
      </c>
      <c r="R2728"/>
      <c r="S2728"/>
    </row>
    <row r="2729" spans="2:19" x14ac:dyDescent="0.25">
      <c r="B2729" s="6" t="s">
        <v>46</v>
      </c>
      <c r="R2729"/>
      <c r="S2729"/>
    </row>
    <row r="2730" spans="2:19" x14ac:dyDescent="0.25">
      <c r="B2730" s="6" t="s">
        <v>46</v>
      </c>
      <c r="R2730"/>
      <c r="S2730"/>
    </row>
    <row r="2731" spans="2:19" x14ac:dyDescent="0.25">
      <c r="B2731" s="6" t="s">
        <v>46</v>
      </c>
      <c r="R2731"/>
      <c r="S2731"/>
    </row>
    <row r="2732" spans="2:19" x14ac:dyDescent="0.25">
      <c r="B2732" s="6" t="s">
        <v>46</v>
      </c>
      <c r="R2732"/>
      <c r="S2732"/>
    </row>
    <row r="2733" spans="2:19" x14ac:dyDescent="0.25">
      <c r="B2733" s="6" t="s">
        <v>46</v>
      </c>
      <c r="R2733"/>
      <c r="S2733"/>
    </row>
    <row r="2734" spans="2:19" x14ac:dyDescent="0.25">
      <c r="B2734" s="6" t="s">
        <v>46</v>
      </c>
      <c r="R2734"/>
      <c r="S2734"/>
    </row>
    <row r="2735" spans="2:19" x14ac:dyDescent="0.25">
      <c r="B2735" s="6" t="s">
        <v>46</v>
      </c>
      <c r="R2735"/>
      <c r="S2735"/>
    </row>
    <row r="2736" spans="2:19" x14ac:dyDescent="0.25">
      <c r="B2736" s="6" t="s">
        <v>46</v>
      </c>
      <c r="R2736"/>
      <c r="S2736"/>
    </row>
    <row r="2737" spans="2:19" x14ac:dyDescent="0.25">
      <c r="B2737" s="6" t="s">
        <v>46</v>
      </c>
      <c r="R2737"/>
      <c r="S2737"/>
    </row>
    <row r="2738" spans="2:19" x14ac:dyDescent="0.25">
      <c r="B2738" s="6" t="s">
        <v>46</v>
      </c>
      <c r="R2738"/>
      <c r="S2738"/>
    </row>
    <row r="2739" spans="2:19" x14ac:dyDescent="0.25">
      <c r="B2739" s="6" t="s">
        <v>46</v>
      </c>
      <c r="R2739"/>
      <c r="S2739"/>
    </row>
    <row r="2740" spans="2:19" x14ac:dyDescent="0.25">
      <c r="B2740" s="6" t="s">
        <v>46</v>
      </c>
      <c r="R2740"/>
      <c r="S2740"/>
    </row>
    <row r="2741" spans="2:19" x14ac:dyDescent="0.25">
      <c r="B2741" s="6" t="s">
        <v>46</v>
      </c>
      <c r="R2741"/>
      <c r="S2741"/>
    </row>
    <row r="2742" spans="2:19" x14ac:dyDescent="0.25">
      <c r="B2742" s="6" t="s">
        <v>46</v>
      </c>
      <c r="R2742"/>
      <c r="S2742"/>
    </row>
    <row r="2743" spans="2:19" x14ac:dyDescent="0.25">
      <c r="B2743" s="6" t="s">
        <v>46</v>
      </c>
      <c r="R2743"/>
      <c r="S2743"/>
    </row>
    <row r="2744" spans="2:19" x14ac:dyDescent="0.25">
      <c r="B2744" s="6" t="s">
        <v>46</v>
      </c>
      <c r="R2744"/>
      <c r="S2744"/>
    </row>
    <row r="2745" spans="2:19" x14ac:dyDescent="0.25">
      <c r="B2745" s="6" t="s">
        <v>46</v>
      </c>
      <c r="R2745"/>
      <c r="S2745"/>
    </row>
    <row r="2746" spans="2:19" x14ac:dyDescent="0.25">
      <c r="B2746" s="6" t="s">
        <v>46</v>
      </c>
      <c r="R2746"/>
      <c r="S2746"/>
    </row>
    <row r="2747" spans="2:19" x14ac:dyDescent="0.25">
      <c r="B2747" s="6" t="s">
        <v>46</v>
      </c>
      <c r="R2747"/>
      <c r="S2747"/>
    </row>
    <row r="2748" spans="2:19" x14ac:dyDescent="0.25">
      <c r="B2748" s="6" t="s">
        <v>46</v>
      </c>
      <c r="R2748"/>
      <c r="S2748"/>
    </row>
    <row r="2749" spans="2:19" x14ac:dyDescent="0.25">
      <c r="B2749" s="6" t="s">
        <v>46</v>
      </c>
      <c r="R2749"/>
      <c r="S2749"/>
    </row>
    <row r="2750" spans="2:19" x14ac:dyDescent="0.25">
      <c r="B2750" s="6" t="s">
        <v>46</v>
      </c>
      <c r="R2750"/>
      <c r="S2750"/>
    </row>
    <row r="2751" spans="2:19" x14ac:dyDescent="0.25">
      <c r="B2751" s="6" t="s">
        <v>46</v>
      </c>
      <c r="R2751"/>
      <c r="S2751"/>
    </row>
    <row r="2752" spans="2:19" x14ac:dyDescent="0.25">
      <c r="B2752" s="6" t="s">
        <v>46</v>
      </c>
      <c r="R2752"/>
      <c r="S2752"/>
    </row>
    <row r="2753" spans="2:19" x14ac:dyDescent="0.25">
      <c r="B2753" s="6" t="s">
        <v>46</v>
      </c>
      <c r="R2753"/>
      <c r="S2753"/>
    </row>
    <row r="2754" spans="2:19" x14ac:dyDescent="0.25">
      <c r="B2754" s="6" t="s">
        <v>46</v>
      </c>
      <c r="R2754"/>
      <c r="S2754"/>
    </row>
    <row r="2755" spans="2:19" x14ac:dyDescent="0.25">
      <c r="B2755" s="6" t="s">
        <v>46</v>
      </c>
      <c r="R2755"/>
      <c r="S2755"/>
    </row>
    <row r="2756" spans="2:19" x14ac:dyDescent="0.25">
      <c r="B2756" s="6" t="s">
        <v>46</v>
      </c>
      <c r="R2756"/>
      <c r="S2756"/>
    </row>
    <row r="2757" spans="2:19" x14ac:dyDescent="0.25">
      <c r="B2757" s="6" t="s">
        <v>46</v>
      </c>
      <c r="R2757"/>
      <c r="S2757"/>
    </row>
    <row r="2758" spans="2:19" x14ac:dyDescent="0.25">
      <c r="B2758" s="6" t="s">
        <v>46</v>
      </c>
      <c r="R2758"/>
      <c r="S2758"/>
    </row>
    <row r="2759" spans="2:19" x14ac:dyDescent="0.25">
      <c r="B2759" s="6" t="s">
        <v>46</v>
      </c>
      <c r="R2759"/>
      <c r="S2759"/>
    </row>
    <row r="2760" spans="2:19" x14ac:dyDescent="0.25">
      <c r="B2760" s="6" t="s">
        <v>46</v>
      </c>
      <c r="R2760"/>
      <c r="S2760"/>
    </row>
    <row r="2761" spans="2:19" x14ac:dyDescent="0.25">
      <c r="B2761" s="6" t="s">
        <v>46</v>
      </c>
      <c r="R2761"/>
      <c r="S2761"/>
    </row>
    <row r="2762" spans="2:19" x14ac:dyDescent="0.25">
      <c r="B2762" s="6" t="s">
        <v>46</v>
      </c>
      <c r="R2762"/>
      <c r="S2762"/>
    </row>
    <row r="2763" spans="2:19" x14ac:dyDescent="0.25">
      <c r="B2763" s="6" t="s">
        <v>46</v>
      </c>
      <c r="R2763"/>
      <c r="S2763"/>
    </row>
    <row r="2764" spans="2:19" x14ac:dyDescent="0.25">
      <c r="B2764" s="6" t="s">
        <v>46</v>
      </c>
      <c r="R2764"/>
      <c r="S2764"/>
    </row>
    <row r="2765" spans="2:19" x14ac:dyDescent="0.25">
      <c r="B2765" s="6" t="s">
        <v>46</v>
      </c>
      <c r="R2765"/>
      <c r="S2765"/>
    </row>
    <row r="2766" spans="2:19" x14ac:dyDescent="0.25">
      <c r="B2766" s="6" t="s">
        <v>46</v>
      </c>
      <c r="R2766"/>
      <c r="S2766"/>
    </row>
    <row r="2767" spans="2:19" x14ac:dyDescent="0.25">
      <c r="B2767" s="6" t="s">
        <v>46</v>
      </c>
      <c r="R2767"/>
      <c r="S2767"/>
    </row>
    <row r="2768" spans="2:19" x14ac:dyDescent="0.25">
      <c r="B2768" s="6" t="s">
        <v>46</v>
      </c>
      <c r="R2768"/>
      <c r="S2768"/>
    </row>
    <row r="2769" spans="2:19" x14ac:dyDescent="0.25">
      <c r="B2769" s="6" t="s">
        <v>46</v>
      </c>
      <c r="R2769"/>
      <c r="S2769"/>
    </row>
    <row r="2770" spans="2:19" x14ac:dyDescent="0.25">
      <c r="B2770" s="6" t="s">
        <v>46</v>
      </c>
      <c r="R2770"/>
      <c r="S2770"/>
    </row>
    <row r="2771" spans="2:19" x14ac:dyDescent="0.25">
      <c r="B2771" s="6" t="s">
        <v>46</v>
      </c>
      <c r="R2771"/>
      <c r="S2771"/>
    </row>
    <row r="2772" spans="2:19" x14ac:dyDescent="0.25">
      <c r="B2772" s="6" t="s">
        <v>46</v>
      </c>
      <c r="R2772"/>
      <c r="S2772"/>
    </row>
    <row r="2773" spans="2:19" x14ac:dyDescent="0.25">
      <c r="B2773" s="6" t="s">
        <v>46</v>
      </c>
      <c r="R2773"/>
      <c r="S2773"/>
    </row>
    <row r="2774" spans="2:19" x14ac:dyDescent="0.25">
      <c r="B2774" s="6" t="s">
        <v>46</v>
      </c>
      <c r="R2774"/>
      <c r="S2774"/>
    </row>
    <row r="2775" spans="2:19" x14ac:dyDescent="0.25">
      <c r="B2775" s="6" t="s">
        <v>46</v>
      </c>
      <c r="R2775"/>
      <c r="S2775"/>
    </row>
    <row r="2776" spans="2:19" x14ac:dyDescent="0.25">
      <c r="B2776" s="6" t="s">
        <v>46</v>
      </c>
      <c r="R2776"/>
      <c r="S2776"/>
    </row>
    <row r="2777" spans="2:19" x14ac:dyDescent="0.25">
      <c r="B2777" s="6" t="s">
        <v>46</v>
      </c>
      <c r="R2777"/>
      <c r="S2777"/>
    </row>
    <row r="2778" spans="2:19" x14ac:dyDescent="0.25">
      <c r="B2778" s="6" t="s">
        <v>46</v>
      </c>
      <c r="R2778"/>
      <c r="S2778"/>
    </row>
    <row r="2779" spans="2:19" x14ac:dyDescent="0.25">
      <c r="B2779" s="6" t="s">
        <v>46</v>
      </c>
      <c r="R2779"/>
      <c r="S2779"/>
    </row>
    <row r="2780" spans="2:19" x14ac:dyDescent="0.25">
      <c r="B2780" s="6" t="s">
        <v>46</v>
      </c>
      <c r="R2780"/>
      <c r="S2780"/>
    </row>
    <row r="2781" spans="2:19" x14ac:dyDescent="0.25">
      <c r="B2781" s="6" t="s">
        <v>46</v>
      </c>
      <c r="R2781"/>
      <c r="S2781"/>
    </row>
    <row r="2782" spans="2:19" x14ac:dyDescent="0.25">
      <c r="B2782" s="6" t="s">
        <v>46</v>
      </c>
      <c r="R2782"/>
      <c r="S2782"/>
    </row>
    <row r="2783" spans="2:19" x14ac:dyDescent="0.25">
      <c r="B2783" s="6" t="s">
        <v>46</v>
      </c>
      <c r="R2783"/>
      <c r="S2783"/>
    </row>
    <row r="2784" spans="2:19" x14ac:dyDescent="0.25">
      <c r="B2784" s="6" t="s">
        <v>46</v>
      </c>
      <c r="R2784"/>
      <c r="S2784"/>
    </row>
    <row r="2785" spans="2:19" x14ac:dyDescent="0.25">
      <c r="B2785" s="6" t="s">
        <v>46</v>
      </c>
      <c r="R2785"/>
      <c r="S2785"/>
    </row>
    <row r="2786" spans="2:19" x14ac:dyDescent="0.25">
      <c r="B2786" s="6" t="s">
        <v>46</v>
      </c>
      <c r="R2786"/>
      <c r="S2786"/>
    </row>
    <row r="2787" spans="2:19" x14ac:dyDescent="0.25">
      <c r="B2787" s="6" t="s">
        <v>46</v>
      </c>
      <c r="R2787"/>
      <c r="S2787"/>
    </row>
    <row r="2788" spans="2:19" x14ac:dyDescent="0.25">
      <c r="B2788" s="6" t="s">
        <v>46</v>
      </c>
      <c r="R2788"/>
      <c r="S2788"/>
    </row>
    <row r="2789" spans="2:19" x14ac:dyDescent="0.25">
      <c r="B2789" s="6" t="s">
        <v>46</v>
      </c>
      <c r="R2789"/>
      <c r="S2789"/>
    </row>
    <row r="2790" spans="2:19" x14ac:dyDescent="0.25">
      <c r="B2790" s="6" t="s">
        <v>46</v>
      </c>
      <c r="R2790"/>
      <c r="S2790"/>
    </row>
    <row r="2791" spans="2:19" x14ac:dyDescent="0.25">
      <c r="B2791" s="6" t="s">
        <v>46</v>
      </c>
      <c r="R2791"/>
      <c r="S2791"/>
    </row>
    <row r="2792" spans="2:19" x14ac:dyDescent="0.25">
      <c r="B2792" s="6" t="s">
        <v>46</v>
      </c>
      <c r="R2792"/>
      <c r="S2792"/>
    </row>
    <row r="2793" spans="2:19" x14ac:dyDescent="0.25">
      <c r="B2793" s="6" t="s">
        <v>46</v>
      </c>
      <c r="R2793"/>
      <c r="S2793"/>
    </row>
    <row r="2794" spans="2:19" x14ac:dyDescent="0.25">
      <c r="B2794" s="6" t="s">
        <v>46</v>
      </c>
      <c r="R2794"/>
      <c r="S2794"/>
    </row>
    <row r="2795" spans="2:19" x14ac:dyDescent="0.25">
      <c r="B2795" s="6" t="s">
        <v>46</v>
      </c>
      <c r="R2795"/>
      <c r="S2795"/>
    </row>
    <row r="2796" spans="2:19" x14ac:dyDescent="0.25">
      <c r="B2796" s="6" t="s">
        <v>46</v>
      </c>
      <c r="R2796"/>
      <c r="S2796"/>
    </row>
    <row r="2797" spans="2:19" x14ac:dyDescent="0.25">
      <c r="B2797" s="6" t="s">
        <v>46</v>
      </c>
      <c r="R2797"/>
      <c r="S2797"/>
    </row>
    <row r="2798" spans="2:19" x14ac:dyDescent="0.25">
      <c r="B2798" s="6" t="s">
        <v>46</v>
      </c>
      <c r="R2798"/>
      <c r="S2798"/>
    </row>
    <row r="2799" spans="2:19" x14ac:dyDescent="0.25">
      <c r="B2799" s="6" t="s">
        <v>46</v>
      </c>
      <c r="R2799"/>
      <c r="S2799"/>
    </row>
    <row r="2800" spans="2:19" x14ac:dyDescent="0.25">
      <c r="B2800" s="6" t="s">
        <v>46</v>
      </c>
      <c r="R2800"/>
      <c r="S2800"/>
    </row>
    <row r="2801" spans="2:19" x14ac:dyDescent="0.25">
      <c r="B2801" s="6" t="s">
        <v>46</v>
      </c>
      <c r="R2801"/>
      <c r="S2801"/>
    </row>
    <row r="2802" spans="2:19" x14ac:dyDescent="0.25">
      <c r="B2802" s="6" t="s">
        <v>46</v>
      </c>
      <c r="R2802"/>
      <c r="S2802"/>
    </row>
    <row r="2803" spans="2:19" x14ac:dyDescent="0.25">
      <c r="B2803" s="6" t="s">
        <v>46</v>
      </c>
      <c r="R2803"/>
      <c r="S2803"/>
    </row>
    <row r="2804" spans="2:19" x14ac:dyDescent="0.25">
      <c r="B2804" s="6" t="s">
        <v>46</v>
      </c>
      <c r="R2804"/>
      <c r="S2804"/>
    </row>
    <row r="2805" spans="2:19" x14ac:dyDescent="0.25">
      <c r="B2805" s="6" t="s">
        <v>46</v>
      </c>
      <c r="R2805"/>
      <c r="S2805"/>
    </row>
    <row r="2806" spans="2:19" x14ac:dyDescent="0.25">
      <c r="B2806" s="6" t="s">
        <v>46</v>
      </c>
      <c r="R2806"/>
      <c r="S2806"/>
    </row>
    <row r="2807" spans="2:19" x14ac:dyDescent="0.25">
      <c r="B2807" s="6" t="s">
        <v>46</v>
      </c>
      <c r="R2807"/>
      <c r="S2807"/>
    </row>
    <row r="2808" spans="2:19" x14ac:dyDescent="0.25">
      <c r="B2808" s="6" t="s">
        <v>46</v>
      </c>
      <c r="R2808"/>
      <c r="S2808"/>
    </row>
    <row r="2809" spans="2:19" x14ac:dyDescent="0.25">
      <c r="B2809" s="6" t="s">
        <v>46</v>
      </c>
      <c r="R2809"/>
      <c r="S2809"/>
    </row>
    <row r="2810" spans="2:19" x14ac:dyDescent="0.25">
      <c r="B2810" s="6" t="s">
        <v>46</v>
      </c>
      <c r="R2810"/>
      <c r="S2810"/>
    </row>
    <row r="2811" spans="2:19" x14ac:dyDescent="0.25">
      <c r="B2811" s="6" t="s">
        <v>46</v>
      </c>
      <c r="R2811"/>
      <c r="S2811"/>
    </row>
    <row r="2812" spans="2:19" x14ac:dyDescent="0.25">
      <c r="B2812" s="6" t="s">
        <v>46</v>
      </c>
      <c r="R2812"/>
      <c r="S2812"/>
    </row>
    <row r="2813" spans="2:19" x14ac:dyDescent="0.25">
      <c r="B2813" s="6" t="s">
        <v>46</v>
      </c>
      <c r="R2813"/>
      <c r="S2813"/>
    </row>
    <row r="2814" spans="2:19" x14ac:dyDescent="0.25">
      <c r="B2814" s="6" t="s">
        <v>46</v>
      </c>
      <c r="R2814"/>
      <c r="S2814"/>
    </row>
    <row r="2815" spans="2:19" x14ac:dyDescent="0.25">
      <c r="B2815" s="6" t="s">
        <v>46</v>
      </c>
      <c r="R2815"/>
      <c r="S2815"/>
    </row>
    <row r="2816" spans="2:19" x14ac:dyDescent="0.25">
      <c r="B2816" s="6" t="s">
        <v>46</v>
      </c>
      <c r="R2816"/>
      <c r="S2816"/>
    </row>
    <row r="2817" spans="2:19" x14ac:dyDescent="0.25">
      <c r="B2817" s="6" t="s">
        <v>46</v>
      </c>
      <c r="R2817"/>
      <c r="S2817"/>
    </row>
    <row r="2818" spans="2:19" x14ac:dyDescent="0.25">
      <c r="B2818" s="6" t="s">
        <v>46</v>
      </c>
      <c r="R2818"/>
      <c r="S2818"/>
    </row>
    <row r="2819" spans="2:19" x14ac:dyDescent="0.25">
      <c r="B2819" s="6" t="s">
        <v>46</v>
      </c>
      <c r="R2819"/>
      <c r="S2819"/>
    </row>
    <row r="2820" spans="2:19" x14ac:dyDescent="0.25">
      <c r="B2820" s="6" t="s">
        <v>46</v>
      </c>
      <c r="R2820"/>
      <c r="S2820"/>
    </row>
    <row r="2821" spans="2:19" x14ac:dyDescent="0.25">
      <c r="B2821" s="6" t="s">
        <v>46</v>
      </c>
      <c r="R2821"/>
      <c r="S2821"/>
    </row>
    <row r="2822" spans="2:19" x14ac:dyDescent="0.25">
      <c r="B2822" s="6" t="s">
        <v>46</v>
      </c>
      <c r="R2822"/>
      <c r="S2822"/>
    </row>
    <row r="2823" spans="2:19" x14ac:dyDescent="0.25">
      <c r="B2823" s="6" t="s">
        <v>46</v>
      </c>
      <c r="R2823"/>
      <c r="S2823"/>
    </row>
    <row r="2824" spans="2:19" x14ac:dyDescent="0.25">
      <c r="B2824" s="6" t="s">
        <v>46</v>
      </c>
      <c r="R2824"/>
      <c r="S2824"/>
    </row>
    <row r="2825" spans="2:19" x14ac:dyDescent="0.25">
      <c r="B2825" s="6" t="s">
        <v>46</v>
      </c>
      <c r="R2825"/>
      <c r="S2825"/>
    </row>
    <row r="2826" spans="2:19" x14ac:dyDescent="0.25">
      <c r="B2826" s="6" t="s">
        <v>46</v>
      </c>
      <c r="R2826"/>
      <c r="S2826"/>
    </row>
    <row r="2827" spans="2:19" x14ac:dyDescent="0.25">
      <c r="B2827" s="6" t="s">
        <v>46</v>
      </c>
      <c r="R2827"/>
      <c r="S2827"/>
    </row>
    <row r="2828" spans="2:19" x14ac:dyDescent="0.25">
      <c r="B2828" s="6" t="s">
        <v>46</v>
      </c>
      <c r="R2828"/>
      <c r="S2828"/>
    </row>
    <row r="2829" spans="2:19" x14ac:dyDescent="0.25">
      <c r="B2829" s="6" t="s">
        <v>46</v>
      </c>
      <c r="R2829"/>
      <c r="S2829"/>
    </row>
    <row r="2830" spans="2:19" x14ac:dyDescent="0.25">
      <c r="B2830" s="6" t="s">
        <v>46</v>
      </c>
      <c r="R2830"/>
      <c r="S2830"/>
    </row>
    <row r="2831" spans="2:19" x14ac:dyDescent="0.25">
      <c r="B2831" s="6" t="s">
        <v>46</v>
      </c>
      <c r="R2831"/>
      <c r="S2831"/>
    </row>
    <row r="2832" spans="2:19" x14ac:dyDescent="0.25">
      <c r="B2832" s="6" t="s">
        <v>46</v>
      </c>
      <c r="R2832"/>
      <c r="S2832"/>
    </row>
    <row r="2833" spans="2:19" x14ac:dyDescent="0.25">
      <c r="B2833" s="6" t="s">
        <v>46</v>
      </c>
      <c r="R2833"/>
      <c r="S2833"/>
    </row>
    <row r="2834" spans="2:19" x14ac:dyDescent="0.25">
      <c r="B2834" s="6" t="s">
        <v>46</v>
      </c>
      <c r="R2834"/>
      <c r="S2834"/>
    </row>
    <row r="2835" spans="2:19" x14ac:dyDescent="0.25">
      <c r="B2835" s="6" t="s">
        <v>46</v>
      </c>
      <c r="R2835"/>
      <c r="S2835"/>
    </row>
    <row r="2836" spans="2:19" x14ac:dyDescent="0.25">
      <c r="B2836" s="6" t="s">
        <v>46</v>
      </c>
      <c r="R2836"/>
      <c r="S2836"/>
    </row>
    <row r="2837" spans="2:19" x14ac:dyDescent="0.25">
      <c r="B2837" s="6" t="s">
        <v>46</v>
      </c>
      <c r="R2837"/>
      <c r="S2837"/>
    </row>
    <row r="2838" spans="2:19" x14ac:dyDescent="0.25">
      <c r="B2838" s="6" t="s">
        <v>46</v>
      </c>
      <c r="R2838"/>
      <c r="S2838"/>
    </row>
    <row r="2839" spans="2:19" x14ac:dyDescent="0.25">
      <c r="B2839" s="6" t="s">
        <v>46</v>
      </c>
      <c r="R2839"/>
      <c r="S2839"/>
    </row>
    <row r="2840" spans="2:19" x14ac:dyDescent="0.25">
      <c r="B2840" s="6" t="s">
        <v>46</v>
      </c>
      <c r="R2840"/>
      <c r="S2840"/>
    </row>
    <row r="2841" spans="2:19" x14ac:dyDescent="0.25">
      <c r="B2841" s="6" t="s">
        <v>46</v>
      </c>
      <c r="R2841"/>
      <c r="S2841"/>
    </row>
    <row r="2842" spans="2:19" x14ac:dyDescent="0.25">
      <c r="B2842" s="6" t="s">
        <v>46</v>
      </c>
      <c r="R2842"/>
      <c r="S2842"/>
    </row>
    <row r="2843" spans="2:19" x14ac:dyDescent="0.25">
      <c r="B2843" s="6" t="s">
        <v>46</v>
      </c>
      <c r="R2843"/>
      <c r="S2843"/>
    </row>
    <row r="2844" spans="2:19" x14ac:dyDescent="0.25">
      <c r="B2844" s="6" t="s">
        <v>46</v>
      </c>
      <c r="R2844"/>
      <c r="S2844"/>
    </row>
    <row r="2845" spans="2:19" x14ac:dyDescent="0.25">
      <c r="B2845" s="6" t="s">
        <v>46</v>
      </c>
      <c r="R2845"/>
      <c r="S2845"/>
    </row>
    <row r="2846" spans="2:19" x14ac:dyDescent="0.25">
      <c r="B2846" s="6" t="s">
        <v>46</v>
      </c>
      <c r="R2846"/>
      <c r="S2846"/>
    </row>
    <row r="2847" spans="2:19" x14ac:dyDescent="0.25">
      <c r="B2847" s="6" t="s">
        <v>46</v>
      </c>
      <c r="R2847"/>
      <c r="S2847"/>
    </row>
    <row r="2848" spans="2:19" x14ac:dyDescent="0.25">
      <c r="B2848" s="6" t="s">
        <v>46</v>
      </c>
      <c r="R2848"/>
      <c r="S2848"/>
    </row>
    <row r="2849" spans="2:19" x14ac:dyDescent="0.25">
      <c r="B2849" s="6" t="s">
        <v>46</v>
      </c>
      <c r="R2849"/>
      <c r="S2849"/>
    </row>
    <row r="2850" spans="2:19" x14ac:dyDescent="0.25">
      <c r="B2850" s="6" t="s">
        <v>46</v>
      </c>
      <c r="R2850"/>
      <c r="S2850"/>
    </row>
    <row r="2851" spans="2:19" x14ac:dyDescent="0.25">
      <c r="B2851" s="6" t="s">
        <v>46</v>
      </c>
      <c r="R2851"/>
      <c r="S2851"/>
    </row>
    <row r="2852" spans="2:19" x14ac:dyDescent="0.25">
      <c r="B2852" s="6" t="s">
        <v>46</v>
      </c>
      <c r="R2852"/>
      <c r="S2852"/>
    </row>
    <row r="2853" spans="2:19" x14ac:dyDescent="0.25">
      <c r="B2853" s="6" t="s">
        <v>46</v>
      </c>
      <c r="R2853"/>
      <c r="S2853"/>
    </row>
    <row r="2854" spans="2:19" x14ac:dyDescent="0.25">
      <c r="B2854" s="6" t="s">
        <v>46</v>
      </c>
      <c r="R2854"/>
      <c r="S2854"/>
    </row>
    <row r="2855" spans="2:19" x14ac:dyDescent="0.25">
      <c r="B2855" s="6" t="s">
        <v>46</v>
      </c>
      <c r="R2855"/>
      <c r="S2855"/>
    </row>
    <row r="2856" spans="2:19" x14ac:dyDescent="0.25">
      <c r="B2856" s="6" t="s">
        <v>46</v>
      </c>
      <c r="R2856"/>
      <c r="S2856"/>
    </row>
    <row r="2857" spans="2:19" x14ac:dyDescent="0.25">
      <c r="B2857" s="6" t="s">
        <v>46</v>
      </c>
      <c r="R2857"/>
      <c r="S2857"/>
    </row>
    <row r="2858" spans="2:19" x14ac:dyDescent="0.25">
      <c r="B2858" s="6" t="s">
        <v>46</v>
      </c>
      <c r="R2858"/>
      <c r="S2858"/>
    </row>
    <row r="2859" spans="2:19" x14ac:dyDescent="0.25">
      <c r="B2859" s="6" t="s">
        <v>46</v>
      </c>
      <c r="R2859"/>
      <c r="S2859"/>
    </row>
    <row r="2860" spans="2:19" x14ac:dyDescent="0.25">
      <c r="B2860" s="6" t="s">
        <v>46</v>
      </c>
      <c r="R2860"/>
      <c r="S2860"/>
    </row>
    <row r="2861" spans="2:19" x14ac:dyDescent="0.25">
      <c r="B2861" s="6" t="s">
        <v>46</v>
      </c>
      <c r="R2861"/>
      <c r="S2861"/>
    </row>
    <row r="2862" spans="2:19" x14ac:dyDescent="0.25">
      <c r="B2862" s="6" t="s">
        <v>46</v>
      </c>
      <c r="R2862"/>
      <c r="S2862"/>
    </row>
    <row r="2863" spans="2:19" x14ac:dyDescent="0.25">
      <c r="B2863" s="6" t="s">
        <v>46</v>
      </c>
      <c r="R2863"/>
      <c r="S2863"/>
    </row>
    <row r="2864" spans="2:19" x14ac:dyDescent="0.25">
      <c r="B2864" s="6" t="s">
        <v>46</v>
      </c>
      <c r="R2864"/>
      <c r="S2864"/>
    </row>
    <row r="2865" spans="2:19" x14ac:dyDescent="0.25">
      <c r="B2865" s="6" t="s">
        <v>46</v>
      </c>
      <c r="R2865"/>
      <c r="S2865"/>
    </row>
    <row r="2866" spans="2:19" x14ac:dyDescent="0.25">
      <c r="B2866" s="6" t="s">
        <v>46</v>
      </c>
      <c r="R2866"/>
      <c r="S2866"/>
    </row>
    <row r="2867" spans="2:19" x14ac:dyDescent="0.25">
      <c r="B2867" s="6" t="s">
        <v>46</v>
      </c>
      <c r="R2867"/>
      <c r="S2867"/>
    </row>
    <row r="2868" spans="2:19" x14ac:dyDescent="0.25">
      <c r="B2868" s="6" t="s">
        <v>46</v>
      </c>
      <c r="R2868"/>
      <c r="S2868"/>
    </row>
    <row r="2869" spans="2:19" x14ac:dyDescent="0.25">
      <c r="B2869" s="6" t="s">
        <v>46</v>
      </c>
      <c r="R2869"/>
      <c r="S2869"/>
    </row>
    <row r="2870" spans="2:19" x14ac:dyDescent="0.25">
      <c r="B2870" s="6" t="s">
        <v>46</v>
      </c>
      <c r="R2870"/>
      <c r="S2870"/>
    </row>
    <row r="2871" spans="2:19" x14ac:dyDescent="0.25">
      <c r="B2871" s="6" t="s">
        <v>46</v>
      </c>
      <c r="R2871"/>
      <c r="S2871"/>
    </row>
    <row r="2872" spans="2:19" x14ac:dyDescent="0.25">
      <c r="B2872" s="6" t="s">
        <v>46</v>
      </c>
      <c r="R2872"/>
      <c r="S2872"/>
    </row>
    <row r="2873" spans="2:19" x14ac:dyDescent="0.25">
      <c r="B2873" s="6" t="s">
        <v>46</v>
      </c>
      <c r="R2873"/>
      <c r="S2873"/>
    </row>
    <row r="2874" spans="2:19" x14ac:dyDescent="0.25">
      <c r="B2874" s="6" t="s">
        <v>46</v>
      </c>
      <c r="R2874"/>
      <c r="S2874"/>
    </row>
    <row r="2875" spans="2:19" x14ac:dyDescent="0.25">
      <c r="B2875" s="6" t="s">
        <v>46</v>
      </c>
      <c r="R2875"/>
      <c r="S2875"/>
    </row>
    <row r="2876" spans="2:19" x14ac:dyDescent="0.25">
      <c r="B2876" s="6" t="s">
        <v>46</v>
      </c>
      <c r="R2876"/>
      <c r="S2876"/>
    </row>
    <row r="2877" spans="2:19" x14ac:dyDescent="0.25">
      <c r="B2877" s="6" t="s">
        <v>46</v>
      </c>
      <c r="R2877"/>
      <c r="S2877"/>
    </row>
    <row r="2878" spans="2:19" x14ac:dyDescent="0.25">
      <c r="B2878" s="6" t="s">
        <v>46</v>
      </c>
      <c r="R2878"/>
      <c r="S2878"/>
    </row>
    <row r="2879" spans="2:19" x14ac:dyDescent="0.25">
      <c r="B2879" s="6" t="s">
        <v>46</v>
      </c>
      <c r="R2879"/>
      <c r="S2879"/>
    </row>
    <row r="2880" spans="2:19" x14ac:dyDescent="0.25">
      <c r="B2880" s="6" t="s">
        <v>46</v>
      </c>
      <c r="R2880"/>
      <c r="S2880"/>
    </row>
    <row r="2881" spans="2:19" x14ac:dyDescent="0.25">
      <c r="B2881" s="6" t="s">
        <v>46</v>
      </c>
      <c r="R2881"/>
      <c r="S2881"/>
    </row>
    <row r="2882" spans="2:19" x14ac:dyDescent="0.25">
      <c r="B2882" s="6" t="s">
        <v>46</v>
      </c>
      <c r="R2882"/>
      <c r="S2882"/>
    </row>
    <row r="2883" spans="2:19" x14ac:dyDescent="0.25">
      <c r="B2883" s="6" t="s">
        <v>46</v>
      </c>
      <c r="R2883"/>
      <c r="S2883"/>
    </row>
    <row r="2884" spans="2:19" x14ac:dyDescent="0.25">
      <c r="B2884" s="6" t="s">
        <v>46</v>
      </c>
      <c r="R2884"/>
      <c r="S2884"/>
    </row>
    <row r="2885" spans="2:19" x14ac:dyDescent="0.25">
      <c r="B2885" s="6" t="s">
        <v>46</v>
      </c>
      <c r="R2885"/>
      <c r="S2885"/>
    </row>
    <row r="2886" spans="2:19" x14ac:dyDescent="0.25">
      <c r="B2886" s="6" t="s">
        <v>46</v>
      </c>
      <c r="R2886"/>
      <c r="S2886"/>
    </row>
    <row r="2887" spans="2:19" x14ac:dyDescent="0.25">
      <c r="B2887" s="6" t="s">
        <v>46</v>
      </c>
      <c r="R2887"/>
      <c r="S2887"/>
    </row>
    <row r="2888" spans="2:19" x14ac:dyDescent="0.25">
      <c r="B2888" s="6" t="s">
        <v>46</v>
      </c>
      <c r="R2888"/>
      <c r="S2888"/>
    </row>
    <row r="2889" spans="2:19" x14ac:dyDescent="0.25">
      <c r="B2889" s="6" t="s">
        <v>46</v>
      </c>
      <c r="R2889"/>
      <c r="S2889"/>
    </row>
    <row r="2890" spans="2:19" x14ac:dyDescent="0.25">
      <c r="B2890" s="6" t="s">
        <v>46</v>
      </c>
      <c r="R2890"/>
      <c r="S2890"/>
    </row>
    <row r="2891" spans="2:19" x14ac:dyDescent="0.25">
      <c r="B2891" s="6" t="s">
        <v>46</v>
      </c>
      <c r="R2891"/>
      <c r="S2891"/>
    </row>
    <row r="2892" spans="2:19" x14ac:dyDescent="0.25">
      <c r="B2892" s="6" t="s">
        <v>46</v>
      </c>
      <c r="R2892"/>
      <c r="S2892"/>
    </row>
    <row r="2893" spans="2:19" x14ac:dyDescent="0.25">
      <c r="B2893" s="6" t="s">
        <v>46</v>
      </c>
      <c r="R2893"/>
      <c r="S2893"/>
    </row>
    <row r="2894" spans="2:19" x14ac:dyDescent="0.25">
      <c r="B2894" s="6" t="s">
        <v>46</v>
      </c>
      <c r="R2894"/>
      <c r="S2894"/>
    </row>
    <row r="2895" spans="2:19" x14ac:dyDescent="0.25">
      <c r="B2895" s="6" t="s">
        <v>46</v>
      </c>
      <c r="R2895"/>
      <c r="S2895"/>
    </row>
    <row r="2896" spans="2:19" x14ac:dyDescent="0.25">
      <c r="B2896" s="6" t="s">
        <v>46</v>
      </c>
      <c r="R2896"/>
      <c r="S2896"/>
    </row>
    <row r="2897" spans="2:19" x14ac:dyDescent="0.25">
      <c r="B2897" s="6" t="s">
        <v>46</v>
      </c>
      <c r="R2897"/>
      <c r="S2897"/>
    </row>
    <row r="2898" spans="2:19" x14ac:dyDescent="0.25">
      <c r="B2898" s="6" t="s">
        <v>46</v>
      </c>
      <c r="R2898"/>
      <c r="S2898"/>
    </row>
    <row r="2899" spans="2:19" x14ac:dyDescent="0.25">
      <c r="B2899" s="6" t="s">
        <v>46</v>
      </c>
      <c r="R2899"/>
      <c r="S2899"/>
    </row>
    <row r="2900" spans="2:19" x14ac:dyDescent="0.25">
      <c r="B2900" s="6" t="s">
        <v>46</v>
      </c>
      <c r="R2900"/>
      <c r="S2900"/>
    </row>
    <row r="2901" spans="2:19" x14ac:dyDescent="0.25">
      <c r="B2901" s="6" t="s">
        <v>46</v>
      </c>
      <c r="R2901"/>
      <c r="S2901"/>
    </row>
    <row r="2902" spans="2:19" x14ac:dyDescent="0.25">
      <c r="B2902" s="6" t="s">
        <v>46</v>
      </c>
      <c r="R2902"/>
      <c r="S2902"/>
    </row>
    <row r="2903" spans="2:19" x14ac:dyDescent="0.25">
      <c r="B2903" s="6" t="s">
        <v>46</v>
      </c>
      <c r="R2903"/>
      <c r="S2903"/>
    </row>
    <row r="2904" spans="2:19" x14ac:dyDescent="0.25">
      <c r="B2904" s="6" t="s">
        <v>46</v>
      </c>
      <c r="R2904"/>
      <c r="S2904"/>
    </row>
    <row r="2905" spans="2:19" x14ac:dyDescent="0.25">
      <c r="B2905" s="6" t="s">
        <v>46</v>
      </c>
      <c r="R2905"/>
      <c r="S2905"/>
    </row>
    <row r="2906" spans="2:19" x14ac:dyDescent="0.25">
      <c r="B2906" s="6" t="s">
        <v>46</v>
      </c>
      <c r="R2906"/>
      <c r="S2906"/>
    </row>
    <row r="2907" spans="2:19" x14ac:dyDescent="0.25">
      <c r="B2907" s="6" t="s">
        <v>46</v>
      </c>
      <c r="R2907"/>
      <c r="S2907"/>
    </row>
    <row r="2908" spans="2:19" x14ac:dyDescent="0.25">
      <c r="B2908" s="6" t="s">
        <v>46</v>
      </c>
      <c r="R2908"/>
      <c r="S2908"/>
    </row>
    <row r="2909" spans="2:19" x14ac:dyDescent="0.25">
      <c r="B2909" s="6" t="s">
        <v>46</v>
      </c>
      <c r="R2909"/>
      <c r="S2909"/>
    </row>
    <row r="2910" spans="2:19" x14ac:dyDescent="0.25">
      <c r="B2910" s="6" t="s">
        <v>46</v>
      </c>
      <c r="R2910"/>
      <c r="S2910"/>
    </row>
    <row r="2911" spans="2:19" x14ac:dyDescent="0.25">
      <c r="B2911" s="6" t="s">
        <v>46</v>
      </c>
      <c r="R2911"/>
      <c r="S2911"/>
    </row>
    <row r="2912" spans="2:19" x14ac:dyDescent="0.25">
      <c r="B2912" s="6" t="s">
        <v>46</v>
      </c>
      <c r="R2912"/>
      <c r="S2912"/>
    </row>
    <row r="2913" spans="2:19" x14ac:dyDescent="0.25">
      <c r="B2913" s="6" t="s">
        <v>46</v>
      </c>
      <c r="R2913"/>
      <c r="S2913"/>
    </row>
    <row r="2914" spans="2:19" x14ac:dyDescent="0.25">
      <c r="B2914" s="6" t="s">
        <v>46</v>
      </c>
      <c r="R2914"/>
      <c r="S2914"/>
    </row>
    <row r="2915" spans="2:19" x14ac:dyDescent="0.25">
      <c r="B2915" s="6" t="s">
        <v>46</v>
      </c>
      <c r="R2915"/>
      <c r="S2915"/>
    </row>
    <row r="2916" spans="2:19" x14ac:dyDescent="0.25">
      <c r="B2916" s="6" t="s">
        <v>46</v>
      </c>
      <c r="R2916"/>
      <c r="S2916"/>
    </row>
    <row r="2917" spans="2:19" x14ac:dyDescent="0.25">
      <c r="B2917" s="6" t="s">
        <v>46</v>
      </c>
      <c r="R2917"/>
      <c r="S2917"/>
    </row>
    <row r="2918" spans="2:19" x14ac:dyDescent="0.25">
      <c r="B2918" s="6" t="s">
        <v>46</v>
      </c>
      <c r="R2918"/>
      <c r="S2918"/>
    </row>
    <row r="2919" spans="2:19" x14ac:dyDescent="0.25">
      <c r="B2919" s="6" t="s">
        <v>46</v>
      </c>
      <c r="R2919"/>
      <c r="S2919"/>
    </row>
    <row r="2920" spans="2:19" x14ac:dyDescent="0.25">
      <c r="B2920" s="6" t="s">
        <v>46</v>
      </c>
      <c r="R2920"/>
      <c r="S2920"/>
    </row>
    <row r="2921" spans="2:19" x14ac:dyDescent="0.25">
      <c r="B2921" s="6" t="s">
        <v>46</v>
      </c>
      <c r="R2921"/>
      <c r="S2921"/>
    </row>
    <row r="2922" spans="2:19" x14ac:dyDescent="0.25">
      <c r="B2922" s="6" t="s">
        <v>46</v>
      </c>
      <c r="R2922"/>
      <c r="S2922"/>
    </row>
    <row r="2923" spans="2:19" x14ac:dyDescent="0.25">
      <c r="B2923" s="6" t="s">
        <v>46</v>
      </c>
      <c r="R2923"/>
      <c r="S2923"/>
    </row>
    <row r="2924" spans="2:19" x14ac:dyDescent="0.25">
      <c r="B2924" s="6" t="s">
        <v>46</v>
      </c>
      <c r="R2924"/>
      <c r="S2924"/>
    </row>
    <row r="2925" spans="2:19" x14ac:dyDescent="0.25">
      <c r="B2925" s="6" t="s">
        <v>46</v>
      </c>
      <c r="R2925"/>
      <c r="S2925"/>
    </row>
    <row r="2926" spans="2:19" x14ac:dyDescent="0.25">
      <c r="B2926" s="6" t="s">
        <v>46</v>
      </c>
      <c r="R2926"/>
      <c r="S2926"/>
    </row>
    <row r="2927" spans="2:19" x14ac:dyDescent="0.25">
      <c r="B2927" s="6" t="s">
        <v>46</v>
      </c>
      <c r="R2927"/>
      <c r="S2927"/>
    </row>
    <row r="2928" spans="2:19" x14ac:dyDescent="0.25">
      <c r="B2928" s="6" t="s">
        <v>46</v>
      </c>
      <c r="R2928"/>
      <c r="S2928"/>
    </row>
    <row r="2929" spans="2:19" x14ac:dyDescent="0.25">
      <c r="B2929" s="6" t="s">
        <v>46</v>
      </c>
      <c r="R2929"/>
      <c r="S2929"/>
    </row>
    <row r="2930" spans="2:19" x14ac:dyDescent="0.25">
      <c r="B2930" s="6" t="s">
        <v>46</v>
      </c>
      <c r="R2930"/>
      <c r="S2930"/>
    </row>
    <row r="2931" spans="2:19" x14ac:dyDescent="0.25">
      <c r="B2931" s="6" t="s">
        <v>46</v>
      </c>
      <c r="R2931"/>
      <c r="S2931"/>
    </row>
    <row r="2932" spans="2:19" x14ac:dyDescent="0.25">
      <c r="B2932" s="6" t="s">
        <v>46</v>
      </c>
      <c r="R2932"/>
      <c r="S2932"/>
    </row>
    <row r="2933" spans="2:19" x14ac:dyDescent="0.25">
      <c r="B2933" s="6" t="s">
        <v>46</v>
      </c>
      <c r="R2933"/>
      <c r="S2933"/>
    </row>
    <row r="2934" spans="2:19" x14ac:dyDescent="0.25">
      <c r="B2934" s="6" t="s">
        <v>46</v>
      </c>
      <c r="R2934"/>
      <c r="S2934"/>
    </row>
    <row r="2935" spans="2:19" x14ac:dyDescent="0.25">
      <c r="B2935" s="6" t="s">
        <v>46</v>
      </c>
      <c r="R2935"/>
      <c r="S2935"/>
    </row>
    <row r="2936" spans="2:19" x14ac:dyDescent="0.25">
      <c r="B2936" s="6" t="s">
        <v>46</v>
      </c>
      <c r="R2936"/>
      <c r="S2936"/>
    </row>
    <row r="2937" spans="2:19" x14ac:dyDescent="0.25">
      <c r="B2937" s="6" t="s">
        <v>46</v>
      </c>
      <c r="R2937"/>
      <c r="S2937"/>
    </row>
    <row r="2938" spans="2:19" x14ac:dyDescent="0.25">
      <c r="B2938" s="6" t="s">
        <v>46</v>
      </c>
      <c r="R2938"/>
      <c r="S2938"/>
    </row>
    <row r="2939" spans="2:19" x14ac:dyDescent="0.25">
      <c r="B2939" s="6" t="s">
        <v>46</v>
      </c>
      <c r="R2939"/>
      <c r="S2939"/>
    </row>
    <row r="2940" spans="2:19" x14ac:dyDescent="0.25">
      <c r="B2940" s="6" t="s">
        <v>46</v>
      </c>
      <c r="R2940"/>
      <c r="S2940"/>
    </row>
    <row r="2941" spans="2:19" x14ac:dyDescent="0.25">
      <c r="B2941" s="6" t="s">
        <v>46</v>
      </c>
      <c r="R2941"/>
      <c r="S2941"/>
    </row>
    <row r="2942" spans="2:19" x14ac:dyDescent="0.25">
      <c r="B2942" s="6" t="s">
        <v>46</v>
      </c>
      <c r="R2942"/>
      <c r="S2942"/>
    </row>
    <row r="2943" spans="2:19" x14ac:dyDescent="0.25">
      <c r="B2943" s="6" t="s">
        <v>46</v>
      </c>
      <c r="R2943"/>
      <c r="S2943"/>
    </row>
    <row r="2944" spans="2:19" x14ac:dyDescent="0.25">
      <c r="B2944" s="6" t="s">
        <v>46</v>
      </c>
      <c r="R2944"/>
      <c r="S2944"/>
    </row>
    <row r="2945" spans="2:19" x14ac:dyDescent="0.25">
      <c r="B2945" s="6" t="s">
        <v>46</v>
      </c>
      <c r="R2945"/>
      <c r="S2945"/>
    </row>
    <row r="2946" spans="2:19" x14ac:dyDescent="0.25">
      <c r="B2946" s="6" t="s">
        <v>46</v>
      </c>
      <c r="R2946"/>
      <c r="S2946"/>
    </row>
    <row r="2947" spans="2:19" x14ac:dyDescent="0.25">
      <c r="B2947" s="6" t="s">
        <v>46</v>
      </c>
      <c r="R2947"/>
      <c r="S2947"/>
    </row>
    <row r="2948" spans="2:19" x14ac:dyDescent="0.25">
      <c r="B2948" s="6" t="s">
        <v>46</v>
      </c>
      <c r="R2948"/>
      <c r="S2948"/>
    </row>
    <row r="2949" spans="2:19" x14ac:dyDescent="0.25">
      <c r="B2949" s="6" t="s">
        <v>46</v>
      </c>
      <c r="R2949"/>
      <c r="S2949"/>
    </row>
    <row r="2950" spans="2:19" x14ac:dyDescent="0.25">
      <c r="B2950" s="6" t="s">
        <v>46</v>
      </c>
      <c r="R2950"/>
      <c r="S2950"/>
    </row>
    <row r="2951" spans="2:19" x14ac:dyDescent="0.25">
      <c r="B2951" s="6" t="s">
        <v>46</v>
      </c>
      <c r="R2951"/>
      <c r="S2951"/>
    </row>
    <row r="2952" spans="2:19" x14ac:dyDescent="0.25">
      <c r="B2952" s="6" t="s">
        <v>46</v>
      </c>
      <c r="R2952"/>
      <c r="S2952"/>
    </row>
    <row r="2953" spans="2:19" x14ac:dyDescent="0.25">
      <c r="B2953" s="6" t="s">
        <v>46</v>
      </c>
      <c r="R2953"/>
      <c r="S2953"/>
    </row>
    <row r="2954" spans="2:19" x14ac:dyDescent="0.25">
      <c r="B2954" s="6" t="s">
        <v>46</v>
      </c>
      <c r="R2954"/>
      <c r="S2954"/>
    </row>
    <row r="2955" spans="2:19" x14ac:dyDescent="0.25">
      <c r="B2955" s="6" t="s">
        <v>46</v>
      </c>
      <c r="R2955"/>
      <c r="S2955"/>
    </row>
    <row r="2956" spans="2:19" x14ac:dyDescent="0.25">
      <c r="B2956" s="6" t="s">
        <v>46</v>
      </c>
      <c r="R2956"/>
      <c r="S2956"/>
    </row>
    <row r="2957" spans="2:19" x14ac:dyDescent="0.25">
      <c r="B2957" s="6" t="s">
        <v>46</v>
      </c>
      <c r="R2957"/>
      <c r="S2957"/>
    </row>
    <row r="2958" spans="2:19" x14ac:dyDescent="0.25">
      <c r="B2958" s="6" t="s">
        <v>46</v>
      </c>
      <c r="R2958"/>
      <c r="S2958"/>
    </row>
    <row r="2959" spans="2:19" x14ac:dyDescent="0.25">
      <c r="B2959" s="6" t="s">
        <v>46</v>
      </c>
      <c r="R2959"/>
      <c r="S2959"/>
    </row>
    <row r="2960" spans="2:19" x14ac:dyDescent="0.25">
      <c r="B2960" s="6" t="s">
        <v>46</v>
      </c>
      <c r="R2960"/>
      <c r="S2960"/>
    </row>
    <row r="2961" spans="2:19" x14ac:dyDescent="0.25">
      <c r="B2961" s="6" t="s">
        <v>46</v>
      </c>
      <c r="R2961"/>
      <c r="S2961"/>
    </row>
    <row r="2962" spans="2:19" x14ac:dyDescent="0.25">
      <c r="B2962" s="6" t="s">
        <v>46</v>
      </c>
      <c r="R2962"/>
      <c r="S2962"/>
    </row>
    <row r="2963" spans="2:19" x14ac:dyDescent="0.25">
      <c r="B2963" s="6" t="s">
        <v>46</v>
      </c>
      <c r="R2963"/>
      <c r="S2963"/>
    </row>
    <row r="2964" spans="2:19" x14ac:dyDescent="0.25">
      <c r="B2964" s="6" t="s">
        <v>46</v>
      </c>
      <c r="R2964"/>
      <c r="S2964"/>
    </row>
    <row r="2965" spans="2:19" x14ac:dyDescent="0.25">
      <c r="B2965" s="6" t="s">
        <v>46</v>
      </c>
      <c r="R2965"/>
      <c r="S2965"/>
    </row>
    <row r="2966" spans="2:19" x14ac:dyDescent="0.25">
      <c r="B2966" s="6" t="s">
        <v>46</v>
      </c>
      <c r="R2966"/>
      <c r="S2966"/>
    </row>
    <row r="2967" spans="2:19" x14ac:dyDescent="0.25">
      <c r="B2967" s="6" t="s">
        <v>46</v>
      </c>
      <c r="R2967"/>
      <c r="S2967"/>
    </row>
    <row r="2968" spans="2:19" x14ac:dyDescent="0.25">
      <c r="B2968" s="6" t="s">
        <v>46</v>
      </c>
      <c r="R2968"/>
      <c r="S2968"/>
    </row>
    <row r="2969" spans="2:19" x14ac:dyDescent="0.25">
      <c r="B2969" s="6" t="s">
        <v>46</v>
      </c>
      <c r="R2969"/>
      <c r="S2969"/>
    </row>
    <row r="2970" spans="2:19" x14ac:dyDescent="0.25">
      <c r="B2970" s="6" t="s">
        <v>46</v>
      </c>
      <c r="R2970"/>
      <c r="S2970"/>
    </row>
    <row r="2971" spans="2:19" x14ac:dyDescent="0.25">
      <c r="B2971" s="6" t="s">
        <v>46</v>
      </c>
      <c r="R2971"/>
      <c r="S2971"/>
    </row>
    <row r="2972" spans="2:19" x14ac:dyDescent="0.25">
      <c r="B2972" s="6" t="s">
        <v>46</v>
      </c>
      <c r="R2972"/>
      <c r="S2972"/>
    </row>
    <row r="2973" spans="2:19" x14ac:dyDescent="0.25">
      <c r="B2973" s="6" t="s">
        <v>46</v>
      </c>
      <c r="R2973"/>
      <c r="S2973"/>
    </row>
    <row r="2974" spans="2:19" x14ac:dyDescent="0.25">
      <c r="B2974" s="6" t="s">
        <v>46</v>
      </c>
      <c r="R2974"/>
      <c r="S2974"/>
    </row>
    <row r="2975" spans="2:19" x14ac:dyDescent="0.25">
      <c r="B2975" s="6" t="s">
        <v>46</v>
      </c>
      <c r="R2975"/>
      <c r="S2975"/>
    </row>
    <row r="2976" spans="2:19" x14ac:dyDescent="0.25">
      <c r="B2976" s="6" t="s">
        <v>46</v>
      </c>
      <c r="R2976"/>
      <c r="S2976"/>
    </row>
    <row r="2977" spans="2:19" x14ac:dyDescent="0.25">
      <c r="B2977" s="6" t="s">
        <v>46</v>
      </c>
      <c r="R2977"/>
      <c r="S2977"/>
    </row>
    <row r="2978" spans="2:19" x14ac:dyDescent="0.25">
      <c r="B2978" s="6" t="s">
        <v>46</v>
      </c>
      <c r="R2978"/>
      <c r="S2978"/>
    </row>
    <row r="2979" spans="2:19" x14ac:dyDescent="0.25">
      <c r="B2979" s="6" t="s">
        <v>46</v>
      </c>
      <c r="R2979"/>
      <c r="S2979"/>
    </row>
    <row r="2980" spans="2:19" x14ac:dyDescent="0.25">
      <c r="B2980" s="6" t="s">
        <v>46</v>
      </c>
      <c r="R2980"/>
      <c r="S2980"/>
    </row>
    <row r="2981" spans="2:19" x14ac:dyDescent="0.25">
      <c r="B2981" s="6" t="s">
        <v>46</v>
      </c>
      <c r="R2981"/>
      <c r="S2981"/>
    </row>
    <row r="2982" spans="2:19" x14ac:dyDescent="0.25">
      <c r="B2982" s="6" t="s">
        <v>46</v>
      </c>
      <c r="R2982"/>
      <c r="S2982"/>
    </row>
    <row r="2983" spans="2:19" x14ac:dyDescent="0.25">
      <c r="B2983" s="6" t="s">
        <v>46</v>
      </c>
      <c r="R2983"/>
      <c r="S2983"/>
    </row>
    <row r="2984" spans="2:19" x14ac:dyDescent="0.25">
      <c r="B2984" s="6" t="s">
        <v>46</v>
      </c>
      <c r="R2984"/>
      <c r="S2984"/>
    </row>
    <row r="2985" spans="2:19" x14ac:dyDescent="0.25">
      <c r="B2985" s="6" t="s">
        <v>46</v>
      </c>
      <c r="R2985"/>
      <c r="S2985"/>
    </row>
    <row r="2986" spans="2:19" x14ac:dyDescent="0.25">
      <c r="B2986" s="6" t="s">
        <v>46</v>
      </c>
      <c r="R2986"/>
      <c r="S2986"/>
    </row>
    <row r="2987" spans="2:19" x14ac:dyDescent="0.25">
      <c r="B2987" s="6" t="s">
        <v>46</v>
      </c>
      <c r="R2987"/>
      <c r="S2987"/>
    </row>
    <row r="2988" spans="2:19" x14ac:dyDescent="0.25">
      <c r="B2988" s="6" t="s">
        <v>46</v>
      </c>
      <c r="R2988"/>
      <c r="S2988"/>
    </row>
    <row r="2989" spans="2:19" x14ac:dyDescent="0.25">
      <c r="B2989" s="6" t="s">
        <v>46</v>
      </c>
      <c r="R2989"/>
      <c r="S2989"/>
    </row>
    <row r="2990" spans="2:19" x14ac:dyDescent="0.25">
      <c r="B2990" s="6" t="s">
        <v>46</v>
      </c>
      <c r="R2990"/>
      <c r="S2990"/>
    </row>
    <row r="2991" spans="2:19" x14ac:dyDescent="0.25">
      <c r="B2991" s="6" t="s">
        <v>46</v>
      </c>
      <c r="R2991"/>
      <c r="S2991"/>
    </row>
    <row r="2992" spans="2:19" x14ac:dyDescent="0.25">
      <c r="B2992" s="6" t="s">
        <v>46</v>
      </c>
      <c r="R2992"/>
      <c r="S2992"/>
    </row>
    <row r="2993" spans="2:19" x14ac:dyDescent="0.25">
      <c r="B2993" s="6" t="s">
        <v>46</v>
      </c>
      <c r="R2993"/>
      <c r="S2993"/>
    </row>
    <row r="2994" spans="2:19" x14ac:dyDescent="0.25">
      <c r="B2994" s="6" t="s">
        <v>46</v>
      </c>
      <c r="R2994"/>
      <c r="S2994"/>
    </row>
    <row r="2995" spans="2:19" x14ac:dyDescent="0.25">
      <c r="B2995" s="6" t="s">
        <v>46</v>
      </c>
      <c r="R2995"/>
      <c r="S2995"/>
    </row>
    <row r="2996" spans="2:19" x14ac:dyDescent="0.25">
      <c r="B2996" s="6" t="s">
        <v>46</v>
      </c>
      <c r="R2996"/>
      <c r="S2996"/>
    </row>
    <row r="2997" spans="2:19" x14ac:dyDescent="0.25">
      <c r="B2997" s="6" t="s">
        <v>46</v>
      </c>
      <c r="R2997"/>
      <c r="S2997"/>
    </row>
    <row r="2998" spans="2:19" x14ac:dyDescent="0.25">
      <c r="B2998" s="6" t="s">
        <v>46</v>
      </c>
      <c r="R2998"/>
      <c r="S2998"/>
    </row>
    <row r="2999" spans="2:19" x14ac:dyDescent="0.25">
      <c r="B2999" s="6" t="s">
        <v>46</v>
      </c>
      <c r="R2999"/>
      <c r="S2999"/>
    </row>
    <row r="3000" spans="2:19" x14ac:dyDescent="0.25">
      <c r="B3000" s="6" t="s">
        <v>46</v>
      </c>
      <c r="R3000"/>
      <c r="S3000"/>
    </row>
    <row r="3001" spans="2:19" x14ac:dyDescent="0.25">
      <c r="B3001" s="6" t="s">
        <v>46</v>
      </c>
      <c r="R3001"/>
      <c r="S3001"/>
    </row>
    <row r="3002" spans="2:19" x14ac:dyDescent="0.25">
      <c r="B3002" s="6" t="s">
        <v>46</v>
      </c>
      <c r="R3002"/>
      <c r="S3002"/>
    </row>
    <row r="3003" spans="2:19" x14ac:dyDescent="0.25">
      <c r="B3003" s="6" t="s">
        <v>46</v>
      </c>
      <c r="R3003"/>
      <c r="S3003"/>
    </row>
    <row r="3004" spans="2:19" x14ac:dyDescent="0.25">
      <c r="B3004" s="6" t="s">
        <v>46</v>
      </c>
      <c r="R3004"/>
      <c r="S3004"/>
    </row>
    <row r="3005" spans="2:19" x14ac:dyDescent="0.25">
      <c r="B3005" s="6" t="s">
        <v>46</v>
      </c>
      <c r="R3005"/>
      <c r="S3005"/>
    </row>
    <row r="3006" spans="2:19" x14ac:dyDescent="0.25">
      <c r="B3006" s="6" t="s">
        <v>46</v>
      </c>
      <c r="R3006"/>
      <c r="S3006"/>
    </row>
    <row r="3007" spans="2:19" x14ac:dyDescent="0.25">
      <c r="B3007" s="6" t="s">
        <v>46</v>
      </c>
      <c r="R3007"/>
      <c r="S3007"/>
    </row>
    <row r="3008" spans="2:19" x14ac:dyDescent="0.25">
      <c r="B3008" s="6" t="s">
        <v>46</v>
      </c>
      <c r="R3008"/>
      <c r="S3008"/>
    </row>
    <row r="3009" spans="2:19" x14ac:dyDescent="0.25">
      <c r="B3009" s="6" t="s">
        <v>46</v>
      </c>
      <c r="R3009"/>
      <c r="S3009"/>
    </row>
    <row r="3010" spans="2:19" x14ac:dyDescent="0.25">
      <c r="B3010" s="6" t="s">
        <v>46</v>
      </c>
      <c r="R3010"/>
      <c r="S3010"/>
    </row>
    <row r="3011" spans="2:19" x14ac:dyDescent="0.25">
      <c r="B3011" s="6" t="s">
        <v>46</v>
      </c>
      <c r="R3011"/>
      <c r="S3011"/>
    </row>
    <row r="3012" spans="2:19" x14ac:dyDescent="0.25">
      <c r="B3012" s="6" t="s">
        <v>46</v>
      </c>
      <c r="R3012"/>
      <c r="S3012"/>
    </row>
    <row r="3013" spans="2:19" x14ac:dyDescent="0.25">
      <c r="B3013" s="6" t="s">
        <v>46</v>
      </c>
      <c r="R3013"/>
      <c r="S3013"/>
    </row>
    <row r="3014" spans="2:19" x14ac:dyDescent="0.25">
      <c r="B3014" s="6" t="s">
        <v>46</v>
      </c>
      <c r="R3014"/>
      <c r="S3014"/>
    </row>
    <row r="3015" spans="2:19" x14ac:dyDescent="0.25">
      <c r="B3015" s="6" t="s">
        <v>46</v>
      </c>
      <c r="R3015"/>
      <c r="S3015"/>
    </row>
    <row r="3016" spans="2:19" x14ac:dyDescent="0.25">
      <c r="B3016" s="6" t="s">
        <v>46</v>
      </c>
      <c r="R3016"/>
      <c r="S3016"/>
    </row>
    <row r="3017" spans="2:19" x14ac:dyDescent="0.25">
      <c r="B3017" s="6" t="s">
        <v>46</v>
      </c>
      <c r="R3017"/>
      <c r="S3017"/>
    </row>
    <row r="3018" spans="2:19" x14ac:dyDescent="0.25">
      <c r="B3018" s="6" t="s">
        <v>46</v>
      </c>
      <c r="R3018"/>
      <c r="S3018"/>
    </row>
    <row r="3019" spans="2:19" x14ac:dyDescent="0.25">
      <c r="B3019" s="6" t="s">
        <v>46</v>
      </c>
      <c r="R3019"/>
      <c r="S3019"/>
    </row>
    <row r="3020" spans="2:19" x14ac:dyDescent="0.25">
      <c r="B3020" s="6" t="s">
        <v>46</v>
      </c>
      <c r="R3020"/>
      <c r="S3020"/>
    </row>
    <row r="3021" spans="2:19" x14ac:dyDescent="0.25">
      <c r="B3021" s="6" t="s">
        <v>46</v>
      </c>
      <c r="R3021"/>
      <c r="S3021"/>
    </row>
    <row r="3022" spans="2:19" x14ac:dyDescent="0.25">
      <c r="B3022" s="6" t="s">
        <v>46</v>
      </c>
      <c r="R3022"/>
      <c r="S3022"/>
    </row>
    <row r="3023" spans="2:19" x14ac:dyDescent="0.25">
      <c r="B3023" s="6" t="s">
        <v>46</v>
      </c>
      <c r="R3023"/>
      <c r="S3023"/>
    </row>
    <row r="3024" spans="2:19" x14ac:dyDescent="0.25">
      <c r="B3024" s="6" t="s">
        <v>46</v>
      </c>
      <c r="R3024"/>
      <c r="S3024"/>
    </row>
    <row r="3025" spans="2:19" x14ac:dyDescent="0.25">
      <c r="B3025" s="6" t="s">
        <v>46</v>
      </c>
      <c r="R3025"/>
      <c r="S3025"/>
    </row>
    <row r="3026" spans="2:19" x14ac:dyDescent="0.25">
      <c r="B3026" s="6" t="s">
        <v>46</v>
      </c>
      <c r="R3026"/>
      <c r="S3026"/>
    </row>
    <row r="3027" spans="2:19" x14ac:dyDescent="0.25">
      <c r="B3027" s="6" t="s">
        <v>46</v>
      </c>
      <c r="R3027"/>
      <c r="S3027"/>
    </row>
    <row r="3028" spans="2:19" x14ac:dyDescent="0.25">
      <c r="B3028" s="6" t="s">
        <v>46</v>
      </c>
      <c r="R3028"/>
      <c r="S3028"/>
    </row>
    <row r="3029" spans="2:19" x14ac:dyDescent="0.25">
      <c r="B3029" s="6" t="s">
        <v>46</v>
      </c>
      <c r="R3029"/>
      <c r="S3029"/>
    </row>
    <row r="3030" spans="2:19" x14ac:dyDescent="0.25">
      <c r="B3030" s="6" t="s">
        <v>46</v>
      </c>
      <c r="R3030"/>
      <c r="S3030"/>
    </row>
    <row r="3031" spans="2:19" x14ac:dyDescent="0.25">
      <c r="B3031" s="6" t="s">
        <v>46</v>
      </c>
      <c r="R3031"/>
      <c r="S3031"/>
    </row>
    <row r="3032" spans="2:19" x14ac:dyDescent="0.25">
      <c r="B3032" s="6" t="s">
        <v>46</v>
      </c>
      <c r="R3032"/>
      <c r="S3032"/>
    </row>
    <row r="3033" spans="2:19" x14ac:dyDescent="0.25">
      <c r="B3033" s="6" t="s">
        <v>46</v>
      </c>
      <c r="R3033"/>
      <c r="S3033"/>
    </row>
    <row r="3034" spans="2:19" x14ac:dyDescent="0.25">
      <c r="B3034" s="6" t="s">
        <v>46</v>
      </c>
      <c r="R3034"/>
      <c r="S3034"/>
    </row>
    <row r="3035" spans="2:19" x14ac:dyDescent="0.25">
      <c r="B3035" s="6" t="s">
        <v>46</v>
      </c>
      <c r="R3035"/>
      <c r="S3035"/>
    </row>
    <row r="3036" spans="2:19" x14ac:dyDescent="0.25">
      <c r="B3036" s="6" t="s">
        <v>46</v>
      </c>
      <c r="R3036"/>
      <c r="S3036"/>
    </row>
    <row r="3037" spans="2:19" x14ac:dyDescent="0.25">
      <c r="B3037" s="6" t="s">
        <v>46</v>
      </c>
      <c r="R3037"/>
      <c r="S3037"/>
    </row>
    <row r="3038" spans="2:19" x14ac:dyDescent="0.25">
      <c r="B3038" s="6" t="s">
        <v>46</v>
      </c>
      <c r="R3038"/>
      <c r="S3038"/>
    </row>
    <row r="3039" spans="2:19" x14ac:dyDescent="0.25">
      <c r="B3039" s="6" t="s">
        <v>46</v>
      </c>
      <c r="R3039"/>
      <c r="S3039"/>
    </row>
    <row r="3040" spans="2:19" x14ac:dyDescent="0.25">
      <c r="B3040" s="6" t="s">
        <v>46</v>
      </c>
      <c r="R3040"/>
      <c r="S3040"/>
    </row>
    <row r="3041" spans="2:19" x14ac:dyDescent="0.25">
      <c r="B3041" s="6" t="s">
        <v>46</v>
      </c>
      <c r="R3041"/>
      <c r="S3041"/>
    </row>
    <row r="3042" spans="2:19" x14ac:dyDescent="0.25">
      <c r="B3042" s="6" t="s">
        <v>46</v>
      </c>
      <c r="R3042"/>
      <c r="S3042"/>
    </row>
    <row r="3043" spans="2:19" x14ac:dyDescent="0.25">
      <c r="B3043" s="6" t="s">
        <v>46</v>
      </c>
      <c r="R3043"/>
      <c r="S3043"/>
    </row>
    <row r="3044" spans="2:19" x14ac:dyDescent="0.25">
      <c r="B3044" s="6" t="s">
        <v>46</v>
      </c>
      <c r="R3044"/>
      <c r="S3044"/>
    </row>
    <row r="3045" spans="2:19" x14ac:dyDescent="0.25">
      <c r="B3045" s="6" t="s">
        <v>46</v>
      </c>
      <c r="R3045"/>
      <c r="S3045"/>
    </row>
    <row r="3046" spans="2:19" x14ac:dyDescent="0.25">
      <c r="B3046" s="6" t="s">
        <v>46</v>
      </c>
      <c r="R3046"/>
      <c r="S3046"/>
    </row>
    <row r="3047" spans="2:19" x14ac:dyDescent="0.25">
      <c r="B3047" s="6" t="s">
        <v>46</v>
      </c>
      <c r="R3047"/>
      <c r="S3047"/>
    </row>
    <row r="3048" spans="2:19" x14ac:dyDescent="0.25">
      <c r="B3048" s="6" t="s">
        <v>46</v>
      </c>
      <c r="R3048"/>
      <c r="S3048"/>
    </row>
    <row r="3049" spans="2:19" x14ac:dyDescent="0.25">
      <c r="B3049" s="6" t="s">
        <v>46</v>
      </c>
      <c r="R3049"/>
      <c r="S3049"/>
    </row>
    <row r="3050" spans="2:19" x14ac:dyDescent="0.25">
      <c r="B3050" s="6" t="s">
        <v>46</v>
      </c>
      <c r="R3050"/>
      <c r="S3050"/>
    </row>
    <row r="3051" spans="2:19" x14ac:dyDescent="0.25">
      <c r="B3051" s="6" t="s">
        <v>46</v>
      </c>
      <c r="R3051"/>
      <c r="S3051"/>
    </row>
    <row r="3052" spans="2:19" x14ac:dyDescent="0.25">
      <c r="B3052" s="6" t="s">
        <v>46</v>
      </c>
      <c r="R3052"/>
      <c r="S3052"/>
    </row>
    <row r="3053" spans="2:19" x14ac:dyDescent="0.25">
      <c r="B3053" s="6" t="s">
        <v>46</v>
      </c>
      <c r="R3053"/>
      <c r="S3053"/>
    </row>
    <row r="3054" spans="2:19" x14ac:dyDescent="0.25">
      <c r="B3054" s="6" t="s">
        <v>46</v>
      </c>
      <c r="R3054"/>
      <c r="S3054"/>
    </row>
    <row r="3055" spans="2:19" x14ac:dyDescent="0.25">
      <c r="B3055" s="6" t="s">
        <v>46</v>
      </c>
      <c r="R3055"/>
      <c r="S3055"/>
    </row>
    <row r="3056" spans="2:19" x14ac:dyDescent="0.25">
      <c r="B3056" s="6" t="s">
        <v>46</v>
      </c>
      <c r="R3056"/>
      <c r="S3056"/>
    </row>
    <row r="3057" spans="2:19" x14ac:dyDescent="0.25">
      <c r="B3057" s="6" t="s">
        <v>46</v>
      </c>
      <c r="R3057"/>
      <c r="S3057"/>
    </row>
    <row r="3058" spans="2:19" x14ac:dyDescent="0.25">
      <c r="B3058" s="6" t="s">
        <v>46</v>
      </c>
      <c r="R3058"/>
      <c r="S3058"/>
    </row>
    <row r="3059" spans="2:19" x14ac:dyDescent="0.25">
      <c r="B3059" s="6" t="s">
        <v>46</v>
      </c>
      <c r="R3059"/>
      <c r="S3059"/>
    </row>
    <row r="3060" spans="2:19" x14ac:dyDescent="0.25">
      <c r="B3060" s="6" t="s">
        <v>46</v>
      </c>
      <c r="R3060"/>
      <c r="S3060"/>
    </row>
    <row r="3061" spans="2:19" x14ac:dyDescent="0.25">
      <c r="B3061" s="6" t="s">
        <v>46</v>
      </c>
      <c r="R3061"/>
      <c r="S3061"/>
    </row>
    <row r="3062" spans="2:19" x14ac:dyDescent="0.25">
      <c r="B3062" s="6" t="s">
        <v>46</v>
      </c>
      <c r="R3062"/>
      <c r="S3062"/>
    </row>
    <row r="3063" spans="2:19" x14ac:dyDescent="0.25">
      <c r="B3063" s="6" t="s">
        <v>46</v>
      </c>
      <c r="R3063"/>
      <c r="S3063"/>
    </row>
    <row r="3064" spans="2:19" x14ac:dyDescent="0.25">
      <c r="B3064" s="6" t="s">
        <v>46</v>
      </c>
      <c r="R3064"/>
      <c r="S3064"/>
    </row>
    <row r="3065" spans="2:19" x14ac:dyDescent="0.25">
      <c r="B3065" s="6" t="s">
        <v>46</v>
      </c>
      <c r="R3065"/>
      <c r="S3065"/>
    </row>
    <row r="3066" spans="2:19" x14ac:dyDescent="0.25">
      <c r="B3066" s="6" t="s">
        <v>46</v>
      </c>
      <c r="R3066"/>
      <c r="S3066"/>
    </row>
    <row r="3067" spans="2:19" x14ac:dyDescent="0.25">
      <c r="B3067" s="6" t="s">
        <v>46</v>
      </c>
      <c r="R3067"/>
      <c r="S3067"/>
    </row>
    <row r="3068" spans="2:19" x14ac:dyDescent="0.25">
      <c r="B3068" s="6" t="s">
        <v>46</v>
      </c>
      <c r="R3068"/>
      <c r="S3068"/>
    </row>
    <row r="3069" spans="2:19" x14ac:dyDescent="0.25">
      <c r="B3069" s="6" t="s">
        <v>46</v>
      </c>
      <c r="R3069"/>
      <c r="S3069"/>
    </row>
    <row r="3070" spans="2:19" x14ac:dyDescent="0.25">
      <c r="B3070" s="6" t="s">
        <v>46</v>
      </c>
      <c r="R3070"/>
      <c r="S3070"/>
    </row>
    <row r="3071" spans="2:19" x14ac:dyDescent="0.25">
      <c r="B3071" s="6" t="s">
        <v>46</v>
      </c>
      <c r="R3071"/>
      <c r="S3071"/>
    </row>
    <row r="3072" spans="2:19" x14ac:dyDescent="0.25">
      <c r="B3072" s="6" t="s">
        <v>46</v>
      </c>
      <c r="R3072"/>
      <c r="S3072"/>
    </row>
    <row r="3073" spans="2:19" x14ac:dyDescent="0.25">
      <c r="B3073" s="6" t="s">
        <v>46</v>
      </c>
      <c r="R3073"/>
      <c r="S3073"/>
    </row>
    <row r="3074" spans="2:19" x14ac:dyDescent="0.25">
      <c r="B3074" s="6" t="s">
        <v>46</v>
      </c>
      <c r="R3074"/>
      <c r="S3074"/>
    </row>
    <row r="3075" spans="2:19" x14ac:dyDescent="0.25">
      <c r="B3075" s="6" t="s">
        <v>46</v>
      </c>
      <c r="R3075"/>
      <c r="S3075"/>
    </row>
    <row r="3076" spans="2:19" x14ac:dyDescent="0.25">
      <c r="B3076" s="6" t="s">
        <v>46</v>
      </c>
      <c r="R3076"/>
      <c r="S3076"/>
    </row>
    <row r="3077" spans="2:19" x14ac:dyDescent="0.25">
      <c r="B3077" s="6" t="s">
        <v>46</v>
      </c>
      <c r="R3077"/>
      <c r="S3077"/>
    </row>
    <row r="3078" spans="2:19" x14ac:dyDescent="0.25">
      <c r="B3078" s="6" t="s">
        <v>46</v>
      </c>
      <c r="R3078"/>
      <c r="S3078"/>
    </row>
    <row r="3079" spans="2:19" x14ac:dyDescent="0.25">
      <c r="B3079" s="6" t="s">
        <v>46</v>
      </c>
      <c r="R3079"/>
      <c r="S3079"/>
    </row>
    <row r="3080" spans="2:19" x14ac:dyDescent="0.25">
      <c r="B3080" s="6" t="s">
        <v>46</v>
      </c>
      <c r="R3080"/>
      <c r="S3080"/>
    </row>
    <row r="3081" spans="2:19" x14ac:dyDescent="0.25">
      <c r="B3081" s="6" t="s">
        <v>46</v>
      </c>
      <c r="R3081"/>
      <c r="S3081"/>
    </row>
    <row r="3082" spans="2:19" x14ac:dyDescent="0.25">
      <c r="B3082" s="6" t="s">
        <v>46</v>
      </c>
      <c r="R3082"/>
      <c r="S3082"/>
    </row>
    <row r="3083" spans="2:19" x14ac:dyDescent="0.25">
      <c r="B3083" s="6" t="s">
        <v>46</v>
      </c>
      <c r="R3083"/>
      <c r="S3083"/>
    </row>
    <row r="3084" spans="2:19" x14ac:dyDescent="0.25">
      <c r="B3084" s="6" t="s">
        <v>46</v>
      </c>
      <c r="R3084"/>
      <c r="S3084"/>
    </row>
    <row r="3085" spans="2:19" x14ac:dyDescent="0.25">
      <c r="B3085" s="6" t="s">
        <v>46</v>
      </c>
      <c r="R3085"/>
      <c r="S3085"/>
    </row>
    <row r="3086" spans="2:19" x14ac:dyDescent="0.25">
      <c r="B3086" s="6" t="s">
        <v>46</v>
      </c>
      <c r="R3086"/>
      <c r="S3086"/>
    </row>
    <row r="3087" spans="2:19" x14ac:dyDescent="0.25">
      <c r="B3087" s="6" t="s">
        <v>46</v>
      </c>
      <c r="R3087"/>
      <c r="S3087"/>
    </row>
    <row r="3088" spans="2:19" x14ac:dyDescent="0.25">
      <c r="B3088" s="6" t="s">
        <v>46</v>
      </c>
      <c r="R3088"/>
      <c r="S3088"/>
    </row>
    <row r="3089" spans="2:19" x14ac:dyDescent="0.25">
      <c r="B3089" s="6" t="s">
        <v>46</v>
      </c>
      <c r="R3089"/>
      <c r="S3089"/>
    </row>
    <row r="3090" spans="2:19" x14ac:dyDescent="0.25">
      <c r="B3090" s="6" t="s">
        <v>46</v>
      </c>
      <c r="R3090"/>
      <c r="S3090"/>
    </row>
    <row r="3091" spans="2:19" x14ac:dyDescent="0.25">
      <c r="B3091" s="6" t="s">
        <v>46</v>
      </c>
      <c r="R3091"/>
      <c r="S3091"/>
    </row>
    <row r="3092" spans="2:19" x14ac:dyDescent="0.25">
      <c r="B3092" s="6" t="s">
        <v>46</v>
      </c>
      <c r="R3092"/>
      <c r="S3092"/>
    </row>
    <row r="3093" spans="2:19" x14ac:dyDescent="0.25">
      <c r="B3093" s="6" t="s">
        <v>46</v>
      </c>
      <c r="R3093"/>
      <c r="S3093"/>
    </row>
    <row r="3094" spans="2:19" x14ac:dyDescent="0.25">
      <c r="B3094" s="6" t="s">
        <v>46</v>
      </c>
      <c r="R3094"/>
      <c r="S3094"/>
    </row>
    <row r="3095" spans="2:19" x14ac:dyDescent="0.25">
      <c r="B3095" s="6" t="s">
        <v>46</v>
      </c>
      <c r="R3095"/>
      <c r="S3095"/>
    </row>
    <row r="3096" spans="2:19" x14ac:dyDescent="0.25">
      <c r="B3096" s="6" t="s">
        <v>46</v>
      </c>
      <c r="R3096"/>
      <c r="S3096"/>
    </row>
    <row r="3097" spans="2:19" x14ac:dyDescent="0.25">
      <c r="B3097" s="6" t="s">
        <v>46</v>
      </c>
      <c r="R3097"/>
      <c r="S3097"/>
    </row>
    <row r="3098" spans="2:19" x14ac:dyDescent="0.25">
      <c r="B3098" s="6" t="s">
        <v>46</v>
      </c>
      <c r="R3098"/>
      <c r="S3098"/>
    </row>
    <row r="3099" spans="2:19" x14ac:dyDescent="0.25">
      <c r="B3099" s="6" t="s">
        <v>46</v>
      </c>
      <c r="R3099"/>
      <c r="S3099"/>
    </row>
    <row r="3100" spans="2:19" x14ac:dyDescent="0.25">
      <c r="B3100" s="6" t="s">
        <v>46</v>
      </c>
      <c r="R3100"/>
      <c r="S3100"/>
    </row>
    <row r="3101" spans="2:19" x14ac:dyDescent="0.25">
      <c r="B3101" s="6" t="s">
        <v>46</v>
      </c>
      <c r="R3101"/>
      <c r="S3101"/>
    </row>
    <row r="3102" spans="2:19" x14ac:dyDescent="0.25">
      <c r="B3102" s="6" t="s">
        <v>46</v>
      </c>
      <c r="R3102"/>
      <c r="S3102"/>
    </row>
    <row r="3103" spans="2:19" x14ac:dyDescent="0.25">
      <c r="B3103" s="6" t="s">
        <v>46</v>
      </c>
      <c r="R3103"/>
      <c r="S3103"/>
    </row>
    <row r="3104" spans="2:19" x14ac:dyDescent="0.25">
      <c r="B3104" s="6" t="s">
        <v>46</v>
      </c>
      <c r="R3104"/>
      <c r="S3104"/>
    </row>
    <row r="3105" spans="2:19" x14ac:dyDescent="0.25">
      <c r="B3105" s="6" t="s">
        <v>46</v>
      </c>
      <c r="R3105"/>
      <c r="S3105"/>
    </row>
    <row r="3106" spans="2:19" x14ac:dyDescent="0.25">
      <c r="B3106" s="6" t="s">
        <v>46</v>
      </c>
      <c r="R3106"/>
      <c r="S3106"/>
    </row>
    <row r="3107" spans="2:19" x14ac:dyDescent="0.25">
      <c r="B3107" s="6" t="s">
        <v>46</v>
      </c>
      <c r="R3107"/>
      <c r="S3107"/>
    </row>
    <row r="3108" spans="2:19" x14ac:dyDescent="0.25">
      <c r="B3108" s="6" t="s">
        <v>46</v>
      </c>
      <c r="R3108"/>
      <c r="S3108"/>
    </row>
    <row r="3109" spans="2:19" x14ac:dyDescent="0.25">
      <c r="B3109" s="6" t="s">
        <v>46</v>
      </c>
      <c r="R3109"/>
      <c r="S3109"/>
    </row>
    <row r="3110" spans="2:19" x14ac:dyDescent="0.25">
      <c r="B3110" s="6" t="s">
        <v>46</v>
      </c>
      <c r="R3110"/>
      <c r="S3110"/>
    </row>
    <row r="3111" spans="2:19" x14ac:dyDescent="0.25">
      <c r="B3111" s="6" t="s">
        <v>46</v>
      </c>
      <c r="R3111"/>
      <c r="S3111"/>
    </row>
    <row r="3112" spans="2:19" x14ac:dyDescent="0.25">
      <c r="B3112" s="6" t="s">
        <v>46</v>
      </c>
      <c r="R3112"/>
      <c r="S3112"/>
    </row>
    <row r="3113" spans="2:19" x14ac:dyDescent="0.25">
      <c r="B3113" s="6" t="s">
        <v>46</v>
      </c>
      <c r="R3113"/>
      <c r="S3113"/>
    </row>
    <row r="3114" spans="2:19" x14ac:dyDescent="0.25">
      <c r="B3114" s="6" t="s">
        <v>46</v>
      </c>
      <c r="R3114"/>
      <c r="S3114"/>
    </row>
    <row r="3115" spans="2:19" x14ac:dyDescent="0.25">
      <c r="B3115" s="6" t="s">
        <v>46</v>
      </c>
      <c r="R3115"/>
      <c r="S3115"/>
    </row>
    <row r="3116" spans="2:19" x14ac:dyDescent="0.25">
      <c r="B3116" s="6" t="s">
        <v>46</v>
      </c>
      <c r="R3116"/>
      <c r="S3116"/>
    </row>
    <row r="3117" spans="2:19" x14ac:dyDescent="0.25">
      <c r="B3117" s="6" t="s">
        <v>46</v>
      </c>
      <c r="R3117"/>
      <c r="S3117"/>
    </row>
    <row r="3118" spans="2:19" x14ac:dyDescent="0.25">
      <c r="B3118" s="6" t="s">
        <v>46</v>
      </c>
      <c r="R3118"/>
      <c r="S3118"/>
    </row>
    <row r="3119" spans="2:19" x14ac:dyDescent="0.25">
      <c r="B3119" s="6" t="s">
        <v>46</v>
      </c>
      <c r="R3119"/>
      <c r="S3119"/>
    </row>
    <row r="3120" spans="2:19" x14ac:dyDescent="0.25">
      <c r="B3120" s="6" t="s">
        <v>46</v>
      </c>
      <c r="R3120"/>
      <c r="S3120"/>
    </row>
    <row r="3121" spans="2:19" x14ac:dyDescent="0.25">
      <c r="B3121" s="6" t="s">
        <v>46</v>
      </c>
      <c r="R3121"/>
      <c r="S3121"/>
    </row>
    <row r="3122" spans="2:19" x14ac:dyDescent="0.25">
      <c r="B3122" s="6" t="s">
        <v>46</v>
      </c>
      <c r="R3122"/>
      <c r="S3122"/>
    </row>
    <row r="3123" spans="2:19" x14ac:dyDescent="0.25">
      <c r="B3123" s="6" t="s">
        <v>46</v>
      </c>
      <c r="R3123"/>
      <c r="S3123"/>
    </row>
    <row r="3124" spans="2:19" x14ac:dyDescent="0.25">
      <c r="B3124" s="6" t="s">
        <v>46</v>
      </c>
      <c r="R3124"/>
      <c r="S3124"/>
    </row>
    <row r="3125" spans="2:19" x14ac:dyDescent="0.25">
      <c r="B3125" s="6" t="s">
        <v>46</v>
      </c>
      <c r="R3125"/>
      <c r="S3125"/>
    </row>
    <row r="3126" spans="2:19" x14ac:dyDescent="0.25">
      <c r="B3126" s="6" t="s">
        <v>46</v>
      </c>
      <c r="R3126"/>
      <c r="S3126"/>
    </row>
    <row r="3127" spans="2:19" x14ac:dyDescent="0.25">
      <c r="B3127" s="6" t="s">
        <v>46</v>
      </c>
      <c r="R3127"/>
      <c r="S3127"/>
    </row>
    <row r="3128" spans="2:19" x14ac:dyDescent="0.25">
      <c r="B3128" s="6" t="s">
        <v>46</v>
      </c>
      <c r="R3128"/>
      <c r="S3128"/>
    </row>
    <row r="3129" spans="2:19" x14ac:dyDescent="0.25">
      <c r="B3129" s="6" t="s">
        <v>46</v>
      </c>
      <c r="R3129"/>
      <c r="S3129"/>
    </row>
    <row r="3130" spans="2:19" x14ac:dyDescent="0.25">
      <c r="B3130" s="6" t="s">
        <v>46</v>
      </c>
      <c r="R3130"/>
      <c r="S3130"/>
    </row>
    <row r="3131" spans="2:19" x14ac:dyDescent="0.25">
      <c r="B3131" s="6" t="s">
        <v>46</v>
      </c>
      <c r="R3131"/>
      <c r="S3131"/>
    </row>
    <row r="3132" spans="2:19" x14ac:dyDescent="0.25">
      <c r="B3132" s="6" t="s">
        <v>46</v>
      </c>
      <c r="R3132"/>
      <c r="S3132"/>
    </row>
    <row r="3133" spans="2:19" x14ac:dyDescent="0.25">
      <c r="B3133" s="6" t="s">
        <v>46</v>
      </c>
      <c r="R3133"/>
      <c r="S3133"/>
    </row>
    <row r="3134" spans="2:19" x14ac:dyDescent="0.25">
      <c r="B3134" s="6" t="s">
        <v>46</v>
      </c>
      <c r="R3134"/>
      <c r="S3134"/>
    </row>
    <row r="3135" spans="2:19" x14ac:dyDescent="0.25">
      <c r="B3135" s="6" t="s">
        <v>46</v>
      </c>
      <c r="R3135"/>
      <c r="S3135"/>
    </row>
    <row r="3136" spans="2:19" x14ac:dyDescent="0.25">
      <c r="B3136" s="6" t="s">
        <v>46</v>
      </c>
      <c r="R3136"/>
      <c r="S3136"/>
    </row>
    <row r="3137" spans="2:19" x14ac:dyDescent="0.25">
      <c r="B3137" s="6" t="s">
        <v>46</v>
      </c>
      <c r="R3137"/>
      <c r="S3137"/>
    </row>
    <row r="3138" spans="2:19" x14ac:dyDescent="0.25">
      <c r="B3138" s="6" t="s">
        <v>46</v>
      </c>
      <c r="R3138"/>
      <c r="S3138"/>
    </row>
    <row r="3139" spans="2:19" x14ac:dyDescent="0.25">
      <c r="B3139" s="6" t="s">
        <v>46</v>
      </c>
      <c r="R3139"/>
      <c r="S3139"/>
    </row>
    <row r="3140" spans="2:19" x14ac:dyDescent="0.25">
      <c r="B3140" s="6" t="s">
        <v>46</v>
      </c>
      <c r="R3140"/>
      <c r="S3140"/>
    </row>
    <row r="3141" spans="2:19" x14ac:dyDescent="0.25">
      <c r="B3141" s="6" t="s">
        <v>46</v>
      </c>
      <c r="R3141"/>
      <c r="S3141"/>
    </row>
    <row r="3142" spans="2:19" x14ac:dyDescent="0.25">
      <c r="B3142" s="6" t="s">
        <v>46</v>
      </c>
      <c r="R3142"/>
      <c r="S3142"/>
    </row>
    <row r="3143" spans="2:19" x14ac:dyDescent="0.25">
      <c r="B3143" s="6" t="s">
        <v>46</v>
      </c>
      <c r="R3143"/>
      <c r="S3143"/>
    </row>
    <row r="3144" spans="2:19" x14ac:dyDescent="0.25">
      <c r="B3144" s="6" t="s">
        <v>46</v>
      </c>
      <c r="R3144"/>
      <c r="S3144"/>
    </row>
    <row r="3145" spans="2:19" x14ac:dyDescent="0.25">
      <c r="B3145" s="6" t="s">
        <v>46</v>
      </c>
      <c r="R3145"/>
      <c r="S3145"/>
    </row>
    <row r="3146" spans="2:19" x14ac:dyDescent="0.25">
      <c r="B3146" s="6" t="s">
        <v>46</v>
      </c>
      <c r="R3146"/>
      <c r="S3146"/>
    </row>
    <row r="3147" spans="2:19" x14ac:dyDescent="0.25">
      <c r="B3147" s="6" t="s">
        <v>46</v>
      </c>
      <c r="R3147"/>
      <c r="S3147"/>
    </row>
    <row r="3148" spans="2:19" x14ac:dyDescent="0.25">
      <c r="B3148" s="6" t="s">
        <v>46</v>
      </c>
      <c r="R3148"/>
      <c r="S3148"/>
    </row>
    <row r="3149" spans="2:19" x14ac:dyDescent="0.25">
      <c r="B3149" s="6" t="s">
        <v>46</v>
      </c>
      <c r="R3149"/>
      <c r="S3149"/>
    </row>
    <row r="3150" spans="2:19" x14ac:dyDescent="0.25">
      <c r="B3150" s="6" t="s">
        <v>46</v>
      </c>
      <c r="R3150"/>
      <c r="S3150"/>
    </row>
    <row r="3151" spans="2:19" x14ac:dyDescent="0.25">
      <c r="B3151" s="6" t="s">
        <v>46</v>
      </c>
      <c r="R3151"/>
      <c r="S3151"/>
    </row>
    <row r="3152" spans="2:19" x14ac:dyDescent="0.25">
      <c r="B3152" s="6" t="s">
        <v>46</v>
      </c>
      <c r="R3152"/>
      <c r="S3152"/>
    </row>
    <row r="3153" spans="2:19" x14ac:dyDescent="0.25">
      <c r="B3153" s="6" t="s">
        <v>46</v>
      </c>
      <c r="R3153"/>
      <c r="S3153"/>
    </row>
    <row r="3154" spans="2:19" x14ac:dyDescent="0.25">
      <c r="B3154" s="6" t="s">
        <v>46</v>
      </c>
      <c r="R3154"/>
      <c r="S3154"/>
    </row>
    <row r="3155" spans="2:19" x14ac:dyDescent="0.25">
      <c r="B3155" s="6" t="s">
        <v>46</v>
      </c>
      <c r="R3155"/>
      <c r="S3155"/>
    </row>
    <row r="3156" spans="2:19" x14ac:dyDescent="0.25">
      <c r="B3156" s="6" t="s">
        <v>46</v>
      </c>
      <c r="R3156"/>
      <c r="S3156"/>
    </row>
    <row r="3157" spans="2:19" x14ac:dyDescent="0.25">
      <c r="B3157" s="6" t="s">
        <v>46</v>
      </c>
      <c r="R3157"/>
      <c r="S3157"/>
    </row>
    <row r="3158" spans="2:19" x14ac:dyDescent="0.25">
      <c r="B3158" s="6" t="s">
        <v>46</v>
      </c>
      <c r="R3158"/>
      <c r="S3158"/>
    </row>
    <row r="3159" spans="2:19" x14ac:dyDescent="0.25">
      <c r="B3159" s="6" t="s">
        <v>46</v>
      </c>
      <c r="R3159"/>
      <c r="S3159"/>
    </row>
    <row r="3160" spans="2:19" x14ac:dyDescent="0.25">
      <c r="B3160" s="6" t="s">
        <v>46</v>
      </c>
      <c r="R3160"/>
      <c r="S3160"/>
    </row>
    <row r="3161" spans="2:19" x14ac:dyDescent="0.25">
      <c r="B3161" s="6" t="s">
        <v>46</v>
      </c>
      <c r="R3161"/>
      <c r="S3161"/>
    </row>
    <row r="3162" spans="2:19" x14ac:dyDescent="0.25">
      <c r="B3162" s="6" t="s">
        <v>46</v>
      </c>
      <c r="R3162"/>
      <c r="S3162"/>
    </row>
    <row r="3163" spans="2:19" x14ac:dyDescent="0.25">
      <c r="B3163" s="6" t="s">
        <v>46</v>
      </c>
      <c r="R3163"/>
      <c r="S3163"/>
    </row>
    <row r="3164" spans="2:19" x14ac:dyDescent="0.25">
      <c r="B3164" s="6" t="s">
        <v>46</v>
      </c>
      <c r="R3164"/>
      <c r="S3164"/>
    </row>
    <row r="3165" spans="2:19" x14ac:dyDescent="0.25">
      <c r="B3165" s="6" t="s">
        <v>46</v>
      </c>
      <c r="R3165"/>
      <c r="S3165"/>
    </row>
    <row r="3166" spans="2:19" x14ac:dyDescent="0.25">
      <c r="B3166" s="6" t="s">
        <v>46</v>
      </c>
      <c r="R3166"/>
      <c r="S3166"/>
    </row>
    <row r="3167" spans="2:19" x14ac:dyDescent="0.25">
      <c r="B3167" s="6" t="s">
        <v>46</v>
      </c>
      <c r="R3167"/>
      <c r="S3167"/>
    </row>
    <row r="3168" spans="2:19" x14ac:dyDescent="0.25">
      <c r="B3168" s="6" t="s">
        <v>46</v>
      </c>
      <c r="R3168"/>
      <c r="S3168"/>
    </row>
    <row r="3169" spans="2:19" x14ac:dyDescent="0.25">
      <c r="B3169" s="6" t="s">
        <v>46</v>
      </c>
      <c r="R3169"/>
      <c r="S3169"/>
    </row>
    <row r="3170" spans="2:19" x14ac:dyDescent="0.25">
      <c r="B3170" s="6" t="s">
        <v>46</v>
      </c>
      <c r="R3170"/>
      <c r="S3170"/>
    </row>
    <row r="3171" spans="2:19" x14ac:dyDescent="0.25">
      <c r="B3171" s="6" t="s">
        <v>46</v>
      </c>
      <c r="R3171"/>
      <c r="S3171"/>
    </row>
    <row r="3172" spans="2:19" x14ac:dyDescent="0.25">
      <c r="B3172" s="6" t="s">
        <v>46</v>
      </c>
      <c r="R3172"/>
      <c r="S3172"/>
    </row>
    <row r="3173" spans="2:19" x14ac:dyDescent="0.25">
      <c r="B3173" s="6" t="s">
        <v>46</v>
      </c>
      <c r="R3173"/>
      <c r="S3173"/>
    </row>
    <row r="3174" spans="2:19" x14ac:dyDescent="0.25">
      <c r="B3174" s="6" t="s">
        <v>46</v>
      </c>
      <c r="R3174"/>
      <c r="S3174"/>
    </row>
    <row r="3175" spans="2:19" x14ac:dyDescent="0.25">
      <c r="B3175" s="6" t="s">
        <v>46</v>
      </c>
      <c r="R3175"/>
      <c r="S3175"/>
    </row>
    <row r="3176" spans="2:19" x14ac:dyDescent="0.25">
      <c r="B3176" s="6" t="s">
        <v>46</v>
      </c>
      <c r="R3176"/>
      <c r="S3176"/>
    </row>
    <row r="3177" spans="2:19" x14ac:dyDescent="0.25">
      <c r="B3177" s="6" t="s">
        <v>46</v>
      </c>
      <c r="R3177"/>
      <c r="S3177"/>
    </row>
    <row r="3178" spans="2:19" x14ac:dyDescent="0.25">
      <c r="B3178" s="6" t="s">
        <v>46</v>
      </c>
      <c r="R3178"/>
      <c r="S3178"/>
    </row>
    <row r="3179" spans="2:19" x14ac:dyDescent="0.25">
      <c r="B3179" s="6" t="s">
        <v>46</v>
      </c>
      <c r="R3179"/>
      <c r="S3179"/>
    </row>
    <row r="3180" spans="2:19" x14ac:dyDescent="0.25">
      <c r="B3180" s="6" t="s">
        <v>46</v>
      </c>
      <c r="R3180"/>
      <c r="S3180"/>
    </row>
    <row r="3181" spans="2:19" x14ac:dyDescent="0.25">
      <c r="B3181" s="6" t="s">
        <v>46</v>
      </c>
      <c r="R3181"/>
      <c r="S3181"/>
    </row>
    <row r="3182" spans="2:19" x14ac:dyDescent="0.25">
      <c r="B3182" s="6" t="s">
        <v>46</v>
      </c>
      <c r="R3182"/>
      <c r="S3182"/>
    </row>
    <row r="3183" spans="2:19" x14ac:dyDescent="0.25">
      <c r="B3183" s="6" t="s">
        <v>46</v>
      </c>
      <c r="R3183"/>
      <c r="S3183"/>
    </row>
    <row r="3184" spans="2:19" x14ac:dyDescent="0.25">
      <c r="B3184" s="6" t="s">
        <v>46</v>
      </c>
      <c r="R3184"/>
      <c r="S3184"/>
    </row>
    <row r="3185" spans="2:19" x14ac:dyDescent="0.25">
      <c r="B3185" s="6" t="s">
        <v>46</v>
      </c>
      <c r="R3185"/>
      <c r="S3185"/>
    </row>
    <row r="3186" spans="2:19" x14ac:dyDescent="0.25">
      <c r="B3186" s="6" t="s">
        <v>46</v>
      </c>
      <c r="R3186"/>
      <c r="S3186"/>
    </row>
    <row r="3187" spans="2:19" x14ac:dyDescent="0.25">
      <c r="B3187" s="6" t="s">
        <v>46</v>
      </c>
      <c r="R3187"/>
      <c r="S3187"/>
    </row>
    <row r="3188" spans="2:19" x14ac:dyDescent="0.25">
      <c r="B3188" s="6" t="s">
        <v>46</v>
      </c>
      <c r="R3188"/>
      <c r="S3188"/>
    </row>
    <row r="3189" spans="2:19" x14ac:dyDescent="0.25">
      <c r="B3189" s="6" t="s">
        <v>46</v>
      </c>
      <c r="R3189"/>
      <c r="S3189"/>
    </row>
    <row r="3190" spans="2:19" x14ac:dyDescent="0.25">
      <c r="B3190" s="6" t="s">
        <v>46</v>
      </c>
      <c r="R3190"/>
      <c r="S3190"/>
    </row>
    <row r="3191" spans="2:19" x14ac:dyDescent="0.25">
      <c r="B3191" s="6" t="s">
        <v>46</v>
      </c>
      <c r="R3191"/>
      <c r="S3191"/>
    </row>
    <row r="3192" spans="2:19" x14ac:dyDescent="0.25">
      <c r="B3192" s="6" t="s">
        <v>46</v>
      </c>
      <c r="R3192"/>
      <c r="S3192"/>
    </row>
    <row r="3193" spans="2:19" x14ac:dyDescent="0.25">
      <c r="B3193" s="6" t="s">
        <v>46</v>
      </c>
      <c r="R3193"/>
      <c r="S3193"/>
    </row>
    <row r="3194" spans="2:19" x14ac:dyDescent="0.25">
      <c r="B3194" s="6" t="s">
        <v>46</v>
      </c>
      <c r="R3194"/>
      <c r="S3194"/>
    </row>
    <row r="3195" spans="2:19" x14ac:dyDescent="0.25">
      <c r="B3195" s="6" t="s">
        <v>46</v>
      </c>
      <c r="R3195"/>
      <c r="S3195"/>
    </row>
    <row r="3196" spans="2:19" x14ac:dyDescent="0.25">
      <c r="B3196" s="6" t="s">
        <v>46</v>
      </c>
      <c r="R3196"/>
      <c r="S3196"/>
    </row>
    <row r="3197" spans="2:19" x14ac:dyDescent="0.25">
      <c r="B3197" s="6" t="s">
        <v>46</v>
      </c>
      <c r="R3197"/>
      <c r="S3197"/>
    </row>
    <row r="3198" spans="2:19" x14ac:dyDescent="0.25">
      <c r="B3198" s="6" t="s">
        <v>46</v>
      </c>
      <c r="R3198"/>
      <c r="S3198"/>
    </row>
    <row r="3199" spans="2:19" x14ac:dyDescent="0.25">
      <c r="B3199" s="6" t="s">
        <v>46</v>
      </c>
      <c r="R3199"/>
      <c r="S3199"/>
    </row>
    <row r="3200" spans="2:19" x14ac:dyDescent="0.25">
      <c r="B3200" s="6" t="s">
        <v>46</v>
      </c>
      <c r="R3200"/>
      <c r="S3200"/>
    </row>
    <row r="3201" spans="2:19" x14ac:dyDescent="0.25">
      <c r="B3201" s="6" t="s">
        <v>46</v>
      </c>
      <c r="R3201"/>
      <c r="S3201"/>
    </row>
    <row r="3202" spans="2:19" x14ac:dyDescent="0.25">
      <c r="B3202" s="6" t="s">
        <v>46</v>
      </c>
      <c r="R3202"/>
      <c r="S3202"/>
    </row>
    <row r="3203" spans="2:19" x14ac:dyDescent="0.25">
      <c r="B3203" s="6" t="s">
        <v>46</v>
      </c>
      <c r="R3203"/>
      <c r="S3203"/>
    </row>
    <row r="3204" spans="2:19" x14ac:dyDescent="0.25">
      <c r="B3204" s="6" t="s">
        <v>46</v>
      </c>
      <c r="R3204"/>
      <c r="S3204"/>
    </row>
    <row r="3205" spans="2:19" x14ac:dyDescent="0.25">
      <c r="B3205" s="6" t="s">
        <v>46</v>
      </c>
      <c r="R3205"/>
      <c r="S3205"/>
    </row>
    <row r="3206" spans="2:19" x14ac:dyDescent="0.25">
      <c r="B3206" s="6" t="s">
        <v>46</v>
      </c>
      <c r="R3206"/>
      <c r="S3206"/>
    </row>
    <row r="3207" spans="2:19" x14ac:dyDescent="0.25">
      <c r="B3207" s="6" t="s">
        <v>46</v>
      </c>
      <c r="R3207"/>
      <c r="S3207"/>
    </row>
    <row r="3208" spans="2:19" x14ac:dyDescent="0.25">
      <c r="B3208" s="6" t="s">
        <v>46</v>
      </c>
      <c r="R3208"/>
      <c r="S3208"/>
    </row>
    <row r="3209" spans="2:19" x14ac:dyDescent="0.25">
      <c r="B3209" s="6" t="s">
        <v>46</v>
      </c>
      <c r="R3209"/>
      <c r="S3209"/>
    </row>
    <row r="3210" spans="2:19" x14ac:dyDescent="0.25">
      <c r="B3210" s="6" t="s">
        <v>46</v>
      </c>
      <c r="R3210"/>
      <c r="S3210"/>
    </row>
    <row r="3211" spans="2:19" x14ac:dyDescent="0.25">
      <c r="B3211" s="6" t="s">
        <v>46</v>
      </c>
      <c r="R3211"/>
      <c r="S3211"/>
    </row>
    <row r="3212" spans="2:19" x14ac:dyDescent="0.25">
      <c r="B3212" s="6" t="s">
        <v>46</v>
      </c>
      <c r="R3212"/>
      <c r="S3212"/>
    </row>
    <row r="3213" spans="2:19" x14ac:dyDescent="0.25">
      <c r="B3213" s="6" t="s">
        <v>46</v>
      </c>
      <c r="R3213"/>
      <c r="S3213"/>
    </row>
    <row r="3214" spans="2:19" x14ac:dyDescent="0.25">
      <c r="B3214" s="6" t="s">
        <v>46</v>
      </c>
      <c r="R3214"/>
      <c r="S3214"/>
    </row>
    <row r="3215" spans="2:19" x14ac:dyDescent="0.25">
      <c r="B3215" s="6" t="s">
        <v>46</v>
      </c>
      <c r="R3215"/>
      <c r="S3215"/>
    </row>
    <row r="3216" spans="2:19" x14ac:dyDescent="0.25">
      <c r="B3216" s="6" t="s">
        <v>46</v>
      </c>
      <c r="R3216"/>
      <c r="S3216"/>
    </row>
    <row r="3217" spans="2:19" x14ac:dyDescent="0.25">
      <c r="B3217" s="6" t="s">
        <v>46</v>
      </c>
      <c r="R3217"/>
      <c r="S3217"/>
    </row>
    <row r="3218" spans="2:19" x14ac:dyDescent="0.25">
      <c r="B3218" s="6" t="s">
        <v>46</v>
      </c>
      <c r="R3218"/>
      <c r="S3218"/>
    </row>
    <row r="3219" spans="2:19" x14ac:dyDescent="0.25">
      <c r="B3219" s="6" t="s">
        <v>46</v>
      </c>
      <c r="R3219"/>
      <c r="S3219"/>
    </row>
    <row r="3220" spans="2:19" x14ac:dyDescent="0.25">
      <c r="B3220" s="6" t="s">
        <v>46</v>
      </c>
      <c r="R3220"/>
      <c r="S3220"/>
    </row>
    <row r="3221" spans="2:19" x14ac:dyDescent="0.25">
      <c r="B3221" s="6" t="s">
        <v>46</v>
      </c>
      <c r="R3221"/>
      <c r="S3221"/>
    </row>
    <row r="3222" spans="2:19" x14ac:dyDescent="0.25">
      <c r="B3222" s="6" t="s">
        <v>46</v>
      </c>
      <c r="R3222"/>
      <c r="S3222"/>
    </row>
    <row r="3223" spans="2:19" x14ac:dyDescent="0.25">
      <c r="B3223" s="6" t="s">
        <v>46</v>
      </c>
      <c r="R3223"/>
      <c r="S3223"/>
    </row>
    <row r="3224" spans="2:19" x14ac:dyDescent="0.25">
      <c r="B3224" s="6" t="s">
        <v>46</v>
      </c>
      <c r="R3224"/>
      <c r="S3224"/>
    </row>
    <row r="3225" spans="2:19" x14ac:dyDescent="0.25">
      <c r="B3225" s="6" t="s">
        <v>46</v>
      </c>
      <c r="R3225"/>
      <c r="S3225"/>
    </row>
    <row r="3226" spans="2:19" x14ac:dyDescent="0.25">
      <c r="B3226" s="6" t="s">
        <v>46</v>
      </c>
      <c r="R3226"/>
      <c r="S3226"/>
    </row>
    <row r="3227" spans="2:19" x14ac:dyDescent="0.25">
      <c r="B3227" s="6" t="s">
        <v>46</v>
      </c>
      <c r="R3227"/>
      <c r="S3227"/>
    </row>
    <row r="3228" spans="2:19" x14ac:dyDescent="0.25">
      <c r="B3228" s="6" t="s">
        <v>46</v>
      </c>
      <c r="R3228"/>
      <c r="S3228"/>
    </row>
    <row r="3229" spans="2:19" x14ac:dyDescent="0.25">
      <c r="B3229" s="6" t="s">
        <v>46</v>
      </c>
      <c r="R3229"/>
      <c r="S3229"/>
    </row>
    <row r="3230" spans="2:19" x14ac:dyDescent="0.25">
      <c r="B3230" s="6" t="s">
        <v>46</v>
      </c>
      <c r="R3230"/>
      <c r="S3230"/>
    </row>
    <row r="3231" spans="2:19" x14ac:dyDescent="0.25">
      <c r="B3231" s="6" t="s">
        <v>46</v>
      </c>
      <c r="R3231"/>
      <c r="S3231"/>
    </row>
    <row r="3232" spans="2:19" x14ac:dyDescent="0.25">
      <c r="B3232" s="6" t="s">
        <v>46</v>
      </c>
      <c r="R3232"/>
      <c r="S3232"/>
    </row>
    <row r="3233" spans="2:19" x14ac:dyDescent="0.25">
      <c r="B3233" s="6" t="s">
        <v>46</v>
      </c>
      <c r="R3233"/>
      <c r="S3233"/>
    </row>
    <row r="3234" spans="2:19" x14ac:dyDescent="0.25">
      <c r="B3234" s="6" t="s">
        <v>46</v>
      </c>
      <c r="R3234"/>
      <c r="S3234"/>
    </row>
    <row r="3235" spans="2:19" x14ac:dyDescent="0.25">
      <c r="B3235" s="6" t="s">
        <v>46</v>
      </c>
      <c r="R3235"/>
      <c r="S3235"/>
    </row>
    <row r="3236" spans="2:19" x14ac:dyDescent="0.25">
      <c r="B3236" s="6" t="s">
        <v>46</v>
      </c>
      <c r="R3236"/>
      <c r="S3236"/>
    </row>
    <row r="3237" spans="2:19" x14ac:dyDescent="0.25">
      <c r="B3237" s="6" t="s">
        <v>46</v>
      </c>
      <c r="R3237"/>
      <c r="S3237"/>
    </row>
    <row r="3238" spans="2:19" x14ac:dyDescent="0.25">
      <c r="B3238" s="6" t="s">
        <v>46</v>
      </c>
      <c r="R3238"/>
      <c r="S3238"/>
    </row>
    <row r="3239" spans="2:19" x14ac:dyDescent="0.25">
      <c r="B3239" s="6" t="s">
        <v>46</v>
      </c>
      <c r="R3239"/>
      <c r="S3239"/>
    </row>
    <row r="3240" spans="2:19" x14ac:dyDescent="0.25">
      <c r="B3240" s="6" t="s">
        <v>46</v>
      </c>
      <c r="R3240"/>
      <c r="S3240"/>
    </row>
    <row r="3241" spans="2:19" x14ac:dyDescent="0.25">
      <c r="B3241" s="6" t="s">
        <v>46</v>
      </c>
      <c r="R3241"/>
      <c r="S3241"/>
    </row>
    <row r="3242" spans="2:19" x14ac:dyDescent="0.25">
      <c r="B3242" s="6" t="s">
        <v>46</v>
      </c>
      <c r="R3242"/>
      <c r="S3242"/>
    </row>
    <row r="3243" spans="2:19" x14ac:dyDescent="0.25">
      <c r="B3243" s="6" t="s">
        <v>46</v>
      </c>
      <c r="R3243"/>
      <c r="S3243"/>
    </row>
    <row r="3244" spans="2:19" x14ac:dyDescent="0.25">
      <c r="B3244" s="6" t="s">
        <v>46</v>
      </c>
      <c r="R3244"/>
      <c r="S3244"/>
    </row>
    <row r="3245" spans="2:19" x14ac:dyDescent="0.25">
      <c r="B3245" s="6" t="s">
        <v>46</v>
      </c>
      <c r="R3245"/>
      <c r="S3245"/>
    </row>
    <row r="3246" spans="2:19" x14ac:dyDescent="0.25">
      <c r="B3246" s="6" t="s">
        <v>46</v>
      </c>
      <c r="R3246"/>
      <c r="S3246"/>
    </row>
    <row r="3247" spans="2:19" x14ac:dyDescent="0.25">
      <c r="B3247" s="6" t="s">
        <v>46</v>
      </c>
      <c r="R3247"/>
      <c r="S3247"/>
    </row>
    <row r="3248" spans="2:19" x14ac:dyDescent="0.25">
      <c r="B3248" s="6" t="s">
        <v>46</v>
      </c>
      <c r="R3248"/>
      <c r="S3248"/>
    </row>
    <row r="3249" spans="2:19" x14ac:dyDescent="0.25">
      <c r="B3249" s="6" t="s">
        <v>46</v>
      </c>
      <c r="R3249"/>
      <c r="S3249"/>
    </row>
    <row r="3250" spans="2:19" x14ac:dyDescent="0.25">
      <c r="B3250" s="6" t="s">
        <v>46</v>
      </c>
      <c r="R3250"/>
      <c r="S3250"/>
    </row>
    <row r="3251" spans="2:19" x14ac:dyDescent="0.25">
      <c r="B3251" s="6" t="s">
        <v>46</v>
      </c>
      <c r="R3251"/>
      <c r="S3251"/>
    </row>
    <row r="3252" spans="2:19" x14ac:dyDescent="0.25">
      <c r="B3252" s="6" t="s">
        <v>46</v>
      </c>
      <c r="R3252"/>
      <c r="S3252"/>
    </row>
    <row r="3253" spans="2:19" x14ac:dyDescent="0.25">
      <c r="B3253" s="6" t="s">
        <v>46</v>
      </c>
      <c r="R3253"/>
      <c r="S3253"/>
    </row>
    <row r="3254" spans="2:19" x14ac:dyDescent="0.25">
      <c r="B3254" s="6" t="s">
        <v>46</v>
      </c>
      <c r="R3254"/>
      <c r="S3254"/>
    </row>
    <row r="3255" spans="2:19" x14ac:dyDescent="0.25">
      <c r="B3255" s="6" t="s">
        <v>46</v>
      </c>
      <c r="R3255"/>
      <c r="S3255"/>
    </row>
    <row r="3256" spans="2:19" x14ac:dyDescent="0.25">
      <c r="B3256" s="6" t="s">
        <v>46</v>
      </c>
      <c r="R3256"/>
      <c r="S3256"/>
    </row>
    <row r="3257" spans="2:19" x14ac:dyDescent="0.25">
      <c r="B3257" s="6" t="s">
        <v>46</v>
      </c>
      <c r="R3257"/>
      <c r="S3257"/>
    </row>
    <row r="3258" spans="2:19" x14ac:dyDescent="0.25">
      <c r="B3258" s="6" t="s">
        <v>46</v>
      </c>
      <c r="R3258"/>
      <c r="S3258"/>
    </row>
    <row r="3259" spans="2:19" x14ac:dyDescent="0.25">
      <c r="B3259" s="6" t="s">
        <v>46</v>
      </c>
      <c r="R3259"/>
      <c r="S3259"/>
    </row>
    <row r="3260" spans="2:19" x14ac:dyDescent="0.25">
      <c r="B3260" s="6" t="s">
        <v>46</v>
      </c>
      <c r="R3260"/>
      <c r="S3260"/>
    </row>
    <row r="3261" spans="2:19" x14ac:dyDescent="0.25">
      <c r="B3261" s="6" t="s">
        <v>46</v>
      </c>
      <c r="R3261"/>
      <c r="S3261"/>
    </row>
    <row r="3262" spans="2:19" x14ac:dyDescent="0.25">
      <c r="B3262" s="6" t="s">
        <v>46</v>
      </c>
      <c r="R3262"/>
      <c r="S3262"/>
    </row>
    <row r="3263" spans="2:19" x14ac:dyDescent="0.25">
      <c r="B3263" s="6" t="s">
        <v>46</v>
      </c>
      <c r="R3263"/>
      <c r="S3263"/>
    </row>
    <row r="3264" spans="2:19" x14ac:dyDescent="0.25">
      <c r="B3264" s="6" t="s">
        <v>46</v>
      </c>
      <c r="R3264"/>
      <c r="S3264"/>
    </row>
    <row r="3265" spans="2:19" x14ac:dyDescent="0.25">
      <c r="B3265" s="6" t="s">
        <v>46</v>
      </c>
      <c r="R3265"/>
      <c r="S3265"/>
    </row>
    <row r="3266" spans="2:19" x14ac:dyDescent="0.25">
      <c r="B3266" s="6" t="s">
        <v>46</v>
      </c>
      <c r="R3266"/>
      <c r="S3266"/>
    </row>
    <row r="3267" spans="2:19" x14ac:dyDescent="0.25">
      <c r="B3267" s="6" t="s">
        <v>46</v>
      </c>
      <c r="R3267"/>
      <c r="S3267"/>
    </row>
    <row r="3268" spans="2:19" x14ac:dyDescent="0.25">
      <c r="B3268" s="6" t="s">
        <v>46</v>
      </c>
      <c r="R3268"/>
      <c r="S3268"/>
    </row>
    <row r="3269" spans="2:19" x14ac:dyDescent="0.25">
      <c r="B3269" s="6" t="s">
        <v>46</v>
      </c>
      <c r="R3269"/>
      <c r="S3269"/>
    </row>
    <row r="3270" spans="2:19" x14ac:dyDescent="0.25">
      <c r="B3270" s="6" t="s">
        <v>46</v>
      </c>
      <c r="R3270"/>
      <c r="S3270"/>
    </row>
    <row r="3271" spans="2:19" x14ac:dyDescent="0.25">
      <c r="B3271" s="6" t="s">
        <v>46</v>
      </c>
      <c r="R3271"/>
      <c r="S3271"/>
    </row>
    <row r="3272" spans="2:19" x14ac:dyDescent="0.25">
      <c r="B3272" s="6" t="s">
        <v>46</v>
      </c>
      <c r="R3272"/>
      <c r="S3272"/>
    </row>
    <row r="3273" spans="2:19" x14ac:dyDescent="0.25">
      <c r="B3273" s="6" t="s">
        <v>46</v>
      </c>
      <c r="R3273"/>
      <c r="S3273"/>
    </row>
    <row r="3274" spans="2:19" x14ac:dyDescent="0.25">
      <c r="B3274" s="6" t="s">
        <v>46</v>
      </c>
      <c r="R3274"/>
      <c r="S3274"/>
    </row>
    <row r="3275" spans="2:19" x14ac:dyDescent="0.25">
      <c r="B3275" s="6" t="s">
        <v>46</v>
      </c>
      <c r="R3275"/>
      <c r="S3275"/>
    </row>
    <row r="3276" spans="2:19" x14ac:dyDescent="0.25">
      <c r="B3276" s="6" t="s">
        <v>46</v>
      </c>
      <c r="R3276"/>
      <c r="S3276"/>
    </row>
    <row r="3277" spans="2:19" x14ac:dyDescent="0.25">
      <c r="B3277" s="6" t="s">
        <v>46</v>
      </c>
      <c r="R3277"/>
      <c r="S3277"/>
    </row>
    <row r="3278" spans="2:19" x14ac:dyDescent="0.25">
      <c r="B3278" s="6" t="s">
        <v>46</v>
      </c>
      <c r="R3278"/>
      <c r="S3278"/>
    </row>
    <row r="3279" spans="2:19" x14ac:dyDescent="0.25">
      <c r="B3279" s="6" t="s">
        <v>46</v>
      </c>
      <c r="R3279"/>
      <c r="S3279"/>
    </row>
    <row r="3280" spans="2:19" x14ac:dyDescent="0.25">
      <c r="B3280" s="6" t="s">
        <v>46</v>
      </c>
      <c r="R3280"/>
      <c r="S3280"/>
    </row>
    <row r="3281" spans="2:19" x14ac:dyDescent="0.25">
      <c r="B3281" s="6" t="s">
        <v>46</v>
      </c>
      <c r="R3281"/>
      <c r="S3281"/>
    </row>
    <row r="3282" spans="2:19" x14ac:dyDescent="0.25">
      <c r="B3282" s="6" t="s">
        <v>46</v>
      </c>
      <c r="R3282"/>
      <c r="S3282"/>
    </row>
    <row r="3283" spans="2:19" x14ac:dyDescent="0.25">
      <c r="B3283" s="6" t="s">
        <v>46</v>
      </c>
      <c r="R3283"/>
      <c r="S3283"/>
    </row>
    <row r="3284" spans="2:19" x14ac:dyDescent="0.25">
      <c r="B3284" s="6" t="s">
        <v>46</v>
      </c>
      <c r="R3284"/>
      <c r="S3284"/>
    </row>
    <row r="3285" spans="2:19" x14ac:dyDescent="0.25">
      <c r="B3285" s="6" t="s">
        <v>46</v>
      </c>
      <c r="R3285"/>
      <c r="S3285"/>
    </row>
    <row r="3286" spans="2:19" x14ac:dyDescent="0.25">
      <c r="B3286" s="6" t="s">
        <v>46</v>
      </c>
      <c r="R3286"/>
      <c r="S3286"/>
    </row>
    <row r="3287" spans="2:19" x14ac:dyDescent="0.25">
      <c r="B3287" s="6" t="s">
        <v>46</v>
      </c>
      <c r="R3287"/>
      <c r="S3287"/>
    </row>
    <row r="3288" spans="2:19" x14ac:dyDescent="0.25">
      <c r="B3288" s="6" t="s">
        <v>46</v>
      </c>
      <c r="R3288"/>
      <c r="S3288"/>
    </row>
    <row r="3289" spans="2:19" x14ac:dyDescent="0.25">
      <c r="B3289" s="6" t="s">
        <v>46</v>
      </c>
      <c r="R3289"/>
      <c r="S3289"/>
    </row>
    <row r="3290" spans="2:19" x14ac:dyDescent="0.25">
      <c r="B3290" s="6" t="s">
        <v>46</v>
      </c>
      <c r="R3290"/>
      <c r="S3290"/>
    </row>
    <row r="3291" spans="2:19" x14ac:dyDescent="0.25">
      <c r="B3291" s="6" t="s">
        <v>46</v>
      </c>
      <c r="R3291"/>
      <c r="S3291"/>
    </row>
    <row r="3292" spans="2:19" x14ac:dyDescent="0.25">
      <c r="B3292" s="6" t="s">
        <v>46</v>
      </c>
      <c r="R3292"/>
      <c r="S3292"/>
    </row>
    <row r="3293" spans="2:19" x14ac:dyDescent="0.25">
      <c r="B3293" s="6" t="s">
        <v>46</v>
      </c>
      <c r="R3293"/>
      <c r="S3293"/>
    </row>
    <row r="3294" spans="2:19" x14ac:dyDescent="0.25">
      <c r="B3294" s="6" t="s">
        <v>46</v>
      </c>
      <c r="R3294"/>
      <c r="S3294"/>
    </row>
    <row r="3295" spans="2:19" x14ac:dyDescent="0.25">
      <c r="B3295" s="6" t="s">
        <v>46</v>
      </c>
      <c r="R3295"/>
      <c r="S3295"/>
    </row>
    <row r="3296" spans="2:19" x14ac:dyDescent="0.25">
      <c r="B3296" s="6" t="s">
        <v>46</v>
      </c>
      <c r="R3296"/>
      <c r="S3296"/>
    </row>
    <row r="3297" spans="2:19" x14ac:dyDescent="0.25">
      <c r="B3297" s="6" t="s">
        <v>46</v>
      </c>
      <c r="R3297"/>
      <c r="S3297"/>
    </row>
    <row r="3298" spans="2:19" x14ac:dyDescent="0.25">
      <c r="B3298" s="6" t="s">
        <v>46</v>
      </c>
      <c r="R3298"/>
      <c r="S3298"/>
    </row>
    <row r="3299" spans="2:19" x14ac:dyDescent="0.25">
      <c r="B3299" s="6" t="s">
        <v>46</v>
      </c>
      <c r="R3299"/>
      <c r="S3299"/>
    </row>
    <row r="3300" spans="2:19" x14ac:dyDescent="0.25">
      <c r="B3300" s="6" t="s">
        <v>46</v>
      </c>
      <c r="R3300"/>
      <c r="S3300"/>
    </row>
    <row r="3301" spans="2:19" x14ac:dyDescent="0.25">
      <c r="B3301" s="6" t="s">
        <v>46</v>
      </c>
      <c r="R3301"/>
      <c r="S3301"/>
    </row>
    <row r="3302" spans="2:19" x14ac:dyDescent="0.25">
      <c r="B3302" s="6" t="s">
        <v>46</v>
      </c>
      <c r="R3302"/>
      <c r="S3302"/>
    </row>
    <row r="3303" spans="2:19" x14ac:dyDescent="0.25">
      <c r="B3303" s="6" t="s">
        <v>46</v>
      </c>
      <c r="R3303"/>
      <c r="S3303"/>
    </row>
    <row r="3304" spans="2:19" x14ac:dyDescent="0.25">
      <c r="B3304" s="6" t="s">
        <v>46</v>
      </c>
      <c r="R3304"/>
      <c r="S3304"/>
    </row>
    <row r="3305" spans="2:19" x14ac:dyDescent="0.25">
      <c r="B3305" s="6" t="s">
        <v>46</v>
      </c>
      <c r="R3305"/>
      <c r="S3305"/>
    </row>
    <row r="3306" spans="2:19" x14ac:dyDescent="0.25">
      <c r="B3306" s="6" t="s">
        <v>46</v>
      </c>
      <c r="R3306"/>
      <c r="S3306"/>
    </row>
    <row r="3307" spans="2:19" x14ac:dyDescent="0.25">
      <c r="B3307" s="6" t="s">
        <v>46</v>
      </c>
      <c r="R3307"/>
      <c r="S3307"/>
    </row>
    <row r="3308" spans="2:19" x14ac:dyDescent="0.25">
      <c r="B3308" s="6" t="s">
        <v>46</v>
      </c>
      <c r="R3308"/>
      <c r="S3308"/>
    </row>
    <row r="3309" spans="2:19" x14ac:dyDescent="0.25">
      <c r="B3309" s="6" t="s">
        <v>46</v>
      </c>
      <c r="R3309"/>
      <c r="S3309"/>
    </row>
    <row r="3310" spans="2:19" x14ac:dyDescent="0.25">
      <c r="B3310" s="6" t="s">
        <v>46</v>
      </c>
      <c r="R3310"/>
      <c r="S3310"/>
    </row>
    <row r="3311" spans="2:19" x14ac:dyDescent="0.25">
      <c r="B3311" s="6" t="s">
        <v>46</v>
      </c>
      <c r="R3311"/>
      <c r="S3311"/>
    </row>
    <row r="3312" spans="2:19" x14ac:dyDescent="0.25">
      <c r="B3312" s="6" t="s">
        <v>46</v>
      </c>
      <c r="R3312"/>
      <c r="S3312"/>
    </row>
    <row r="3313" spans="2:19" x14ac:dyDescent="0.25">
      <c r="B3313" s="6" t="s">
        <v>46</v>
      </c>
      <c r="R3313"/>
      <c r="S3313"/>
    </row>
    <row r="3314" spans="2:19" x14ac:dyDescent="0.25">
      <c r="B3314" s="6" t="s">
        <v>46</v>
      </c>
      <c r="R3314"/>
      <c r="S3314"/>
    </row>
    <row r="3315" spans="2:19" x14ac:dyDescent="0.25">
      <c r="B3315" s="6" t="s">
        <v>46</v>
      </c>
      <c r="R3315"/>
      <c r="S3315"/>
    </row>
    <row r="3316" spans="2:19" x14ac:dyDescent="0.25">
      <c r="B3316" s="6" t="s">
        <v>46</v>
      </c>
      <c r="R3316"/>
      <c r="S3316"/>
    </row>
    <row r="3317" spans="2:19" x14ac:dyDescent="0.25">
      <c r="B3317" s="6" t="s">
        <v>46</v>
      </c>
      <c r="R3317"/>
      <c r="S3317"/>
    </row>
    <row r="3318" spans="2:19" x14ac:dyDescent="0.25">
      <c r="B3318" s="6" t="s">
        <v>46</v>
      </c>
      <c r="R3318"/>
      <c r="S3318"/>
    </row>
    <row r="3319" spans="2:19" x14ac:dyDescent="0.25">
      <c r="B3319" s="6" t="s">
        <v>46</v>
      </c>
      <c r="R3319"/>
      <c r="S3319"/>
    </row>
    <row r="3320" spans="2:19" x14ac:dyDescent="0.25">
      <c r="B3320" s="6" t="s">
        <v>46</v>
      </c>
      <c r="R3320"/>
      <c r="S3320"/>
    </row>
    <row r="3321" spans="2:19" x14ac:dyDescent="0.25">
      <c r="B3321" s="6" t="s">
        <v>46</v>
      </c>
      <c r="R3321"/>
      <c r="S3321"/>
    </row>
    <row r="3322" spans="2:19" x14ac:dyDescent="0.25">
      <c r="B3322" s="6" t="s">
        <v>46</v>
      </c>
      <c r="R3322"/>
      <c r="S3322"/>
    </row>
    <row r="3323" spans="2:19" x14ac:dyDescent="0.25">
      <c r="B3323" s="6" t="s">
        <v>46</v>
      </c>
      <c r="R3323"/>
      <c r="S3323"/>
    </row>
    <row r="3324" spans="2:19" x14ac:dyDescent="0.25">
      <c r="B3324" s="6" t="s">
        <v>46</v>
      </c>
      <c r="R3324"/>
      <c r="S3324"/>
    </row>
    <row r="3325" spans="2:19" x14ac:dyDescent="0.25">
      <c r="B3325" s="6" t="s">
        <v>46</v>
      </c>
      <c r="R3325"/>
      <c r="S3325"/>
    </row>
    <row r="3326" spans="2:19" x14ac:dyDescent="0.25">
      <c r="B3326" s="6" t="s">
        <v>46</v>
      </c>
      <c r="R3326"/>
      <c r="S3326"/>
    </row>
    <row r="3327" spans="2:19" x14ac:dyDescent="0.25">
      <c r="B3327" s="6" t="s">
        <v>46</v>
      </c>
      <c r="R3327"/>
      <c r="S3327"/>
    </row>
    <row r="3328" spans="2:19" x14ac:dyDescent="0.25">
      <c r="B3328" s="6" t="s">
        <v>46</v>
      </c>
      <c r="R3328"/>
      <c r="S3328"/>
    </row>
    <row r="3329" spans="2:19" x14ac:dyDescent="0.25">
      <c r="B3329" s="6" t="s">
        <v>46</v>
      </c>
      <c r="R3329"/>
      <c r="S3329"/>
    </row>
    <row r="3330" spans="2:19" x14ac:dyDescent="0.25">
      <c r="B3330" s="6" t="s">
        <v>46</v>
      </c>
      <c r="R3330"/>
      <c r="S3330"/>
    </row>
    <row r="3331" spans="2:19" x14ac:dyDescent="0.25">
      <c r="B3331" s="6" t="s">
        <v>46</v>
      </c>
      <c r="R3331"/>
      <c r="S3331"/>
    </row>
    <row r="3332" spans="2:19" x14ac:dyDescent="0.25">
      <c r="B3332" s="6" t="s">
        <v>46</v>
      </c>
      <c r="R3332"/>
      <c r="S3332"/>
    </row>
    <row r="3333" spans="2:19" x14ac:dyDescent="0.25">
      <c r="B3333" s="6" t="s">
        <v>46</v>
      </c>
      <c r="R3333"/>
      <c r="S3333"/>
    </row>
    <row r="3334" spans="2:19" x14ac:dyDescent="0.25">
      <c r="B3334" s="6" t="s">
        <v>46</v>
      </c>
      <c r="R3334"/>
      <c r="S3334"/>
    </row>
    <row r="3335" spans="2:19" x14ac:dyDescent="0.25">
      <c r="B3335" s="6" t="s">
        <v>46</v>
      </c>
      <c r="R3335"/>
      <c r="S3335"/>
    </row>
    <row r="3336" spans="2:19" x14ac:dyDescent="0.25">
      <c r="B3336" s="6" t="s">
        <v>46</v>
      </c>
      <c r="R3336"/>
      <c r="S3336"/>
    </row>
    <row r="3337" spans="2:19" x14ac:dyDescent="0.25">
      <c r="B3337" s="6" t="s">
        <v>46</v>
      </c>
      <c r="R3337"/>
      <c r="S3337"/>
    </row>
    <row r="3338" spans="2:19" x14ac:dyDescent="0.25">
      <c r="B3338" s="6" t="s">
        <v>46</v>
      </c>
      <c r="R3338"/>
      <c r="S3338"/>
    </row>
    <row r="3339" spans="2:19" x14ac:dyDescent="0.25">
      <c r="B3339" s="6" t="s">
        <v>46</v>
      </c>
      <c r="R3339"/>
      <c r="S3339"/>
    </row>
    <row r="3340" spans="2:19" x14ac:dyDescent="0.25">
      <c r="B3340" s="6" t="s">
        <v>46</v>
      </c>
      <c r="R3340"/>
      <c r="S3340"/>
    </row>
    <row r="3341" spans="2:19" x14ac:dyDescent="0.25">
      <c r="B3341" s="6" t="s">
        <v>46</v>
      </c>
      <c r="R3341"/>
      <c r="S3341"/>
    </row>
    <row r="3342" spans="2:19" x14ac:dyDescent="0.25">
      <c r="B3342" s="6" t="s">
        <v>46</v>
      </c>
      <c r="R3342"/>
      <c r="S3342"/>
    </row>
    <row r="3343" spans="2:19" x14ac:dyDescent="0.25">
      <c r="B3343" s="6" t="s">
        <v>46</v>
      </c>
      <c r="R3343"/>
      <c r="S3343"/>
    </row>
    <row r="3344" spans="2:19" x14ac:dyDescent="0.25">
      <c r="B3344" s="6" t="s">
        <v>46</v>
      </c>
      <c r="R3344"/>
      <c r="S3344"/>
    </row>
    <row r="3345" spans="2:19" x14ac:dyDescent="0.25">
      <c r="B3345" s="6" t="s">
        <v>46</v>
      </c>
      <c r="R3345"/>
      <c r="S3345"/>
    </row>
    <row r="3346" spans="2:19" x14ac:dyDescent="0.25">
      <c r="B3346" s="6" t="s">
        <v>46</v>
      </c>
      <c r="R3346"/>
      <c r="S3346"/>
    </row>
    <row r="3347" spans="2:19" x14ac:dyDescent="0.25">
      <c r="B3347" s="6" t="s">
        <v>46</v>
      </c>
      <c r="R3347"/>
      <c r="S3347"/>
    </row>
    <row r="3348" spans="2:19" x14ac:dyDescent="0.25">
      <c r="B3348" s="6" t="s">
        <v>46</v>
      </c>
      <c r="R3348"/>
      <c r="S3348"/>
    </row>
    <row r="3349" spans="2:19" x14ac:dyDescent="0.25">
      <c r="B3349" s="6" t="s">
        <v>46</v>
      </c>
      <c r="R3349"/>
      <c r="S3349"/>
    </row>
    <row r="3350" spans="2:19" x14ac:dyDescent="0.25">
      <c r="B3350" s="6" t="s">
        <v>46</v>
      </c>
      <c r="R3350"/>
      <c r="S3350"/>
    </row>
    <row r="3351" spans="2:19" x14ac:dyDescent="0.25">
      <c r="B3351" s="6" t="s">
        <v>46</v>
      </c>
      <c r="R3351"/>
      <c r="S3351"/>
    </row>
    <row r="3352" spans="2:19" x14ac:dyDescent="0.25">
      <c r="B3352" s="6" t="s">
        <v>46</v>
      </c>
      <c r="R3352"/>
      <c r="S3352"/>
    </row>
    <row r="3353" spans="2:19" x14ac:dyDescent="0.25">
      <c r="B3353" s="6" t="s">
        <v>46</v>
      </c>
      <c r="R3353"/>
      <c r="S3353"/>
    </row>
    <row r="3354" spans="2:19" x14ac:dyDescent="0.25">
      <c r="B3354" s="6" t="s">
        <v>46</v>
      </c>
      <c r="R3354"/>
      <c r="S3354"/>
    </row>
    <row r="3355" spans="2:19" x14ac:dyDescent="0.25">
      <c r="B3355" s="6" t="s">
        <v>46</v>
      </c>
      <c r="R3355"/>
      <c r="S3355"/>
    </row>
    <row r="3356" spans="2:19" x14ac:dyDescent="0.25">
      <c r="B3356" s="6" t="s">
        <v>46</v>
      </c>
      <c r="R3356"/>
      <c r="S3356"/>
    </row>
    <row r="3357" spans="2:19" x14ac:dyDescent="0.25">
      <c r="B3357" s="6" t="s">
        <v>46</v>
      </c>
      <c r="R3357"/>
      <c r="S3357"/>
    </row>
    <row r="3358" spans="2:19" x14ac:dyDescent="0.25">
      <c r="B3358" s="6" t="s">
        <v>46</v>
      </c>
      <c r="R3358"/>
      <c r="S3358"/>
    </row>
    <row r="3359" spans="2:19" x14ac:dyDescent="0.25">
      <c r="B3359" s="6" t="s">
        <v>46</v>
      </c>
      <c r="R3359"/>
      <c r="S3359"/>
    </row>
    <row r="3360" spans="2:19" x14ac:dyDescent="0.25">
      <c r="B3360" s="6" t="s">
        <v>46</v>
      </c>
      <c r="R3360"/>
      <c r="S3360"/>
    </row>
    <row r="3361" spans="2:19" x14ac:dyDescent="0.25">
      <c r="B3361" s="6" t="s">
        <v>46</v>
      </c>
      <c r="R3361"/>
      <c r="S3361"/>
    </row>
    <row r="3362" spans="2:19" x14ac:dyDescent="0.25">
      <c r="B3362" s="6" t="s">
        <v>46</v>
      </c>
      <c r="R3362"/>
      <c r="S3362"/>
    </row>
    <row r="3363" spans="2:19" x14ac:dyDescent="0.25">
      <c r="B3363" s="6" t="s">
        <v>46</v>
      </c>
      <c r="R3363"/>
      <c r="S3363"/>
    </row>
    <row r="3364" spans="2:19" x14ac:dyDescent="0.25">
      <c r="B3364" s="6" t="s">
        <v>46</v>
      </c>
      <c r="R3364"/>
      <c r="S3364"/>
    </row>
    <row r="3365" spans="2:19" x14ac:dyDescent="0.25">
      <c r="B3365" s="6" t="s">
        <v>46</v>
      </c>
      <c r="R3365"/>
      <c r="S3365"/>
    </row>
    <row r="3366" spans="2:19" x14ac:dyDescent="0.25">
      <c r="B3366" s="6" t="s">
        <v>46</v>
      </c>
      <c r="R3366"/>
      <c r="S3366"/>
    </row>
    <row r="3367" spans="2:19" x14ac:dyDescent="0.25">
      <c r="B3367" s="6" t="s">
        <v>46</v>
      </c>
      <c r="R3367"/>
      <c r="S3367"/>
    </row>
    <row r="3368" spans="2:19" x14ac:dyDescent="0.25">
      <c r="B3368" s="6" t="s">
        <v>46</v>
      </c>
      <c r="R3368"/>
      <c r="S3368"/>
    </row>
    <row r="3369" spans="2:19" x14ac:dyDescent="0.25">
      <c r="B3369" s="6" t="s">
        <v>46</v>
      </c>
      <c r="R3369"/>
      <c r="S3369"/>
    </row>
    <row r="3370" spans="2:19" x14ac:dyDescent="0.25">
      <c r="B3370" s="6" t="s">
        <v>46</v>
      </c>
      <c r="R3370"/>
      <c r="S3370"/>
    </row>
    <row r="3371" spans="2:19" x14ac:dyDescent="0.25">
      <c r="B3371" s="6" t="s">
        <v>46</v>
      </c>
      <c r="R3371"/>
      <c r="S3371"/>
    </row>
    <row r="3372" spans="2:19" x14ac:dyDescent="0.25">
      <c r="B3372" s="6" t="s">
        <v>46</v>
      </c>
      <c r="R3372"/>
      <c r="S3372"/>
    </row>
    <row r="3373" spans="2:19" x14ac:dyDescent="0.25">
      <c r="B3373" s="6" t="s">
        <v>46</v>
      </c>
      <c r="R3373"/>
      <c r="S3373"/>
    </row>
    <row r="3374" spans="2:19" x14ac:dyDescent="0.25">
      <c r="B3374" s="6" t="s">
        <v>46</v>
      </c>
      <c r="R3374"/>
      <c r="S3374"/>
    </row>
    <row r="3375" spans="2:19" x14ac:dyDescent="0.25">
      <c r="B3375" s="6" t="s">
        <v>46</v>
      </c>
      <c r="R3375"/>
      <c r="S3375"/>
    </row>
    <row r="3376" spans="2:19" x14ac:dyDescent="0.25">
      <c r="B3376" s="6" t="s">
        <v>46</v>
      </c>
      <c r="R3376"/>
      <c r="S3376"/>
    </row>
    <row r="3377" spans="2:19" x14ac:dyDescent="0.25">
      <c r="B3377" s="6" t="s">
        <v>46</v>
      </c>
      <c r="R3377"/>
      <c r="S3377"/>
    </row>
    <row r="3378" spans="2:19" x14ac:dyDescent="0.25">
      <c r="B3378" s="6" t="s">
        <v>46</v>
      </c>
      <c r="R3378"/>
      <c r="S3378"/>
    </row>
    <row r="3379" spans="2:19" x14ac:dyDescent="0.25">
      <c r="B3379" s="6" t="s">
        <v>46</v>
      </c>
      <c r="R3379"/>
      <c r="S3379"/>
    </row>
    <row r="3380" spans="2:19" x14ac:dyDescent="0.25">
      <c r="B3380" s="6" t="s">
        <v>46</v>
      </c>
      <c r="R3380"/>
      <c r="S3380"/>
    </row>
    <row r="3381" spans="2:19" x14ac:dyDescent="0.25">
      <c r="B3381" s="6" t="s">
        <v>46</v>
      </c>
      <c r="R3381"/>
      <c r="S3381"/>
    </row>
    <row r="3382" spans="2:19" x14ac:dyDescent="0.25">
      <c r="B3382" s="6" t="s">
        <v>46</v>
      </c>
      <c r="R3382"/>
      <c r="S3382"/>
    </row>
    <row r="3383" spans="2:19" x14ac:dyDescent="0.25">
      <c r="B3383" s="6" t="s">
        <v>46</v>
      </c>
      <c r="R3383"/>
      <c r="S3383"/>
    </row>
    <row r="3384" spans="2:19" x14ac:dyDescent="0.25">
      <c r="B3384" s="6" t="s">
        <v>46</v>
      </c>
      <c r="R3384"/>
      <c r="S3384"/>
    </row>
    <row r="3385" spans="2:19" x14ac:dyDescent="0.25">
      <c r="B3385" s="6" t="s">
        <v>46</v>
      </c>
      <c r="R3385"/>
      <c r="S3385"/>
    </row>
    <row r="3386" spans="2:19" x14ac:dyDescent="0.25">
      <c r="B3386" s="6" t="s">
        <v>46</v>
      </c>
      <c r="R3386"/>
      <c r="S3386"/>
    </row>
    <row r="3387" spans="2:19" x14ac:dyDescent="0.25">
      <c r="B3387" s="6" t="s">
        <v>46</v>
      </c>
      <c r="R3387"/>
      <c r="S3387"/>
    </row>
    <row r="3388" spans="2:19" x14ac:dyDescent="0.25">
      <c r="B3388" s="6" t="s">
        <v>46</v>
      </c>
      <c r="R3388"/>
      <c r="S3388"/>
    </row>
    <row r="3389" spans="2:19" x14ac:dyDescent="0.25">
      <c r="B3389" s="6" t="s">
        <v>46</v>
      </c>
      <c r="R3389"/>
      <c r="S3389"/>
    </row>
    <row r="3390" spans="2:19" x14ac:dyDescent="0.25">
      <c r="B3390" s="6" t="s">
        <v>46</v>
      </c>
      <c r="R3390"/>
      <c r="S3390"/>
    </row>
    <row r="3391" spans="2:19" x14ac:dyDescent="0.25">
      <c r="B3391" s="6" t="s">
        <v>46</v>
      </c>
      <c r="R3391"/>
      <c r="S3391"/>
    </row>
    <row r="3392" spans="2:19" x14ac:dyDescent="0.25">
      <c r="B3392" s="6" t="s">
        <v>46</v>
      </c>
      <c r="R3392"/>
      <c r="S3392"/>
    </row>
    <row r="3393" spans="2:19" x14ac:dyDescent="0.25">
      <c r="B3393" s="6" t="s">
        <v>46</v>
      </c>
      <c r="R3393"/>
      <c r="S3393"/>
    </row>
    <row r="3394" spans="2:19" x14ac:dyDescent="0.25">
      <c r="B3394" s="6" t="s">
        <v>46</v>
      </c>
      <c r="R3394"/>
      <c r="S3394"/>
    </row>
    <row r="3395" spans="2:19" x14ac:dyDescent="0.25">
      <c r="B3395" s="6" t="s">
        <v>46</v>
      </c>
      <c r="R3395"/>
      <c r="S3395"/>
    </row>
    <row r="3396" spans="2:19" x14ac:dyDescent="0.25">
      <c r="B3396" s="6" t="s">
        <v>46</v>
      </c>
      <c r="R3396"/>
      <c r="S3396"/>
    </row>
    <row r="3397" spans="2:19" x14ac:dyDescent="0.25">
      <c r="B3397" s="6" t="s">
        <v>46</v>
      </c>
      <c r="R3397"/>
      <c r="S3397"/>
    </row>
    <row r="3398" spans="2:19" x14ac:dyDescent="0.25">
      <c r="B3398" s="6" t="s">
        <v>46</v>
      </c>
      <c r="R3398"/>
      <c r="S3398"/>
    </row>
    <row r="3399" spans="2:19" x14ac:dyDescent="0.25">
      <c r="B3399" s="6" t="s">
        <v>46</v>
      </c>
      <c r="R3399"/>
      <c r="S3399"/>
    </row>
    <row r="3400" spans="2:19" x14ac:dyDescent="0.25">
      <c r="B3400" s="6" t="s">
        <v>46</v>
      </c>
      <c r="R3400"/>
      <c r="S3400"/>
    </row>
    <row r="3401" spans="2:19" x14ac:dyDescent="0.25">
      <c r="B3401" s="6" t="s">
        <v>46</v>
      </c>
      <c r="R3401"/>
      <c r="S3401"/>
    </row>
    <row r="3402" spans="2:19" x14ac:dyDescent="0.25">
      <c r="B3402" s="6" t="s">
        <v>46</v>
      </c>
      <c r="R3402"/>
      <c r="S3402"/>
    </row>
    <row r="3403" spans="2:19" x14ac:dyDescent="0.25">
      <c r="B3403" s="6" t="s">
        <v>46</v>
      </c>
      <c r="R3403"/>
      <c r="S3403"/>
    </row>
    <row r="3404" spans="2:19" x14ac:dyDescent="0.25">
      <c r="B3404" s="6" t="s">
        <v>46</v>
      </c>
      <c r="R3404"/>
      <c r="S3404"/>
    </row>
    <row r="3405" spans="2:19" x14ac:dyDescent="0.25">
      <c r="B3405" s="6" t="s">
        <v>46</v>
      </c>
      <c r="R3405"/>
      <c r="S3405"/>
    </row>
    <row r="3406" spans="2:19" x14ac:dyDescent="0.25">
      <c r="B3406" s="6" t="s">
        <v>46</v>
      </c>
      <c r="R3406"/>
      <c r="S3406"/>
    </row>
    <row r="3407" spans="2:19" x14ac:dyDescent="0.25">
      <c r="B3407" s="6" t="s">
        <v>46</v>
      </c>
      <c r="R3407"/>
      <c r="S3407"/>
    </row>
    <row r="3408" spans="2:19" x14ac:dyDescent="0.25">
      <c r="B3408" s="6" t="s">
        <v>46</v>
      </c>
      <c r="R3408"/>
      <c r="S3408"/>
    </row>
    <row r="3409" spans="2:19" x14ac:dyDescent="0.25">
      <c r="B3409" s="6" t="s">
        <v>46</v>
      </c>
      <c r="R3409"/>
      <c r="S3409"/>
    </row>
    <row r="3410" spans="2:19" x14ac:dyDescent="0.25">
      <c r="B3410" s="6" t="s">
        <v>46</v>
      </c>
      <c r="R3410"/>
      <c r="S3410"/>
    </row>
    <row r="3411" spans="2:19" x14ac:dyDescent="0.25">
      <c r="B3411" s="6" t="s">
        <v>46</v>
      </c>
      <c r="R3411"/>
      <c r="S3411"/>
    </row>
    <row r="3412" spans="2:19" x14ac:dyDescent="0.25">
      <c r="B3412" s="6" t="s">
        <v>46</v>
      </c>
      <c r="R3412"/>
      <c r="S3412"/>
    </row>
    <row r="3413" spans="2:19" x14ac:dyDescent="0.25">
      <c r="B3413" s="6" t="s">
        <v>46</v>
      </c>
      <c r="R3413"/>
      <c r="S3413"/>
    </row>
    <row r="3414" spans="2:19" x14ac:dyDescent="0.25">
      <c r="B3414" s="6" t="s">
        <v>46</v>
      </c>
      <c r="R3414"/>
      <c r="S3414"/>
    </row>
    <row r="3415" spans="2:19" x14ac:dyDescent="0.25">
      <c r="B3415" s="6" t="s">
        <v>46</v>
      </c>
      <c r="R3415"/>
      <c r="S3415"/>
    </row>
    <row r="3416" spans="2:19" x14ac:dyDescent="0.25">
      <c r="B3416" s="6" t="s">
        <v>46</v>
      </c>
      <c r="R3416"/>
      <c r="S3416"/>
    </row>
    <row r="3417" spans="2:19" x14ac:dyDescent="0.25">
      <c r="B3417" s="6" t="s">
        <v>46</v>
      </c>
      <c r="R3417"/>
      <c r="S3417"/>
    </row>
    <row r="3418" spans="2:19" x14ac:dyDescent="0.25">
      <c r="B3418" s="6" t="s">
        <v>46</v>
      </c>
      <c r="R3418"/>
      <c r="S3418"/>
    </row>
    <row r="3419" spans="2:19" x14ac:dyDescent="0.25">
      <c r="B3419" s="6" t="s">
        <v>46</v>
      </c>
      <c r="R3419"/>
      <c r="S3419"/>
    </row>
    <row r="3420" spans="2:19" x14ac:dyDescent="0.25">
      <c r="B3420" s="6" t="s">
        <v>46</v>
      </c>
      <c r="R3420"/>
      <c r="S3420"/>
    </row>
    <row r="3421" spans="2:19" x14ac:dyDescent="0.25">
      <c r="B3421" s="6" t="s">
        <v>46</v>
      </c>
      <c r="R3421"/>
      <c r="S3421"/>
    </row>
    <row r="3422" spans="2:19" x14ac:dyDescent="0.25">
      <c r="B3422" s="6" t="s">
        <v>46</v>
      </c>
      <c r="R3422"/>
      <c r="S3422"/>
    </row>
    <row r="3423" spans="2:19" x14ac:dyDescent="0.25">
      <c r="B3423" s="6" t="s">
        <v>46</v>
      </c>
      <c r="R3423"/>
      <c r="S3423"/>
    </row>
    <row r="3424" spans="2:19" x14ac:dyDescent="0.25">
      <c r="B3424" s="6" t="s">
        <v>46</v>
      </c>
      <c r="R3424"/>
      <c r="S3424"/>
    </row>
    <row r="3425" spans="2:19" x14ac:dyDescent="0.25">
      <c r="B3425" s="6" t="s">
        <v>46</v>
      </c>
      <c r="R3425"/>
      <c r="S3425"/>
    </row>
    <row r="3426" spans="2:19" x14ac:dyDescent="0.25">
      <c r="B3426" s="6" t="s">
        <v>46</v>
      </c>
      <c r="R3426"/>
      <c r="S3426"/>
    </row>
    <row r="3427" spans="2:19" x14ac:dyDescent="0.25">
      <c r="B3427" s="6" t="s">
        <v>46</v>
      </c>
      <c r="R3427"/>
      <c r="S3427"/>
    </row>
    <row r="3428" spans="2:19" x14ac:dyDescent="0.25">
      <c r="B3428" s="6" t="s">
        <v>46</v>
      </c>
      <c r="R3428"/>
      <c r="S3428"/>
    </row>
    <row r="3429" spans="2:19" x14ac:dyDescent="0.25">
      <c r="B3429" s="6" t="s">
        <v>46</v>
      </c>
      <c r="R3429"/>
      <c r="S3429"/>
    </row>
    <row r="3430" spans="2:19" x14ac:dyDescent="0.25">
      <c r="B3430" s="6" t="s">
        <v>46</v>
      </c>
      <c r="R3430"/>
      <c r="S3430"/>
    </row>
    <row r="3431" spans="2:19" x14ac:dyDescent="0.25">
      <c r="B3431" s="6" t="s">
        <v>46</v>
      </c>
      <c r="R3431"/>
      <c r="S3431"/>
    </row>
    <row r="3432" spans="2:19" x14ac:dyDescent="0.25">
      <c r="B3432" s="6" t="s">
        <v>46</v>
      </c>
      <c r="R3432"/>
      <c r="S3432"/>
    </row>
    <row r="3433" spans="2:19" x14ac:dyDescent="0.25">
      <c r="B3433" s="6" t="s">
        <v>46</v>
      </c>
      <c r="R3433"/>
      <c r="S3433"/>
    </row>
    <row r="3434" spans="2:19" x14ac:dyDescent="0.25">
      <c r="B3434" s="6" t="s">
        <v>46</v>
      </c>
      <c r="R3434"/>
      <c r="S3434"/>
    </row>
    <row r="3435" spans="2:19" x14ac:dyDescent="0.25">
      <c r="B3435" s="6" t="s">
        <v>46</v>
      </c>
      <c r="R3435"/>
      <c r="S3435"/>
    </row>
    <row r="3436" spans="2:19" x14ac:dyDescent="0.25">
      <c r="B3436" s="6" t="s">
        <v>46</v>
      </c>
      <c r="R3436"/>
      <c r="S3436"/>
    </row>
    <row r="3437" spans="2:19" x14ac:dyDescent="0.25">
      <c r="B3437" s="6" t="s">
        <v>46</v>
      </c>
      <c r="R3437"/>
      <c r="S3437"/>
    </row>
    <row r="3438" spans="2:19" x14ac:dyDescent="0.25">
      <c r="B3438" s="6" t="s">
        <v>46</v>
      </c>
      <c r="R3438"/>
      <c r="S3438"/>
    </row>
    <row r="3439" spans="2:19" x14ac:dyDescent="0.25">
      <c r="B3439" s="6" t="s">
        <v>46</v>
      </c>
      <c r="R3439"/>
      <c r="S3439"/>
    </row>
    <row r="3440" spans="2:19" x14ac:dyDescent="0.25">
      <c r="B3440" s="6" t="s">
        <v>46</v>
      </c>
      <c r="R3440"/>
      <c r="S3440"/>
    </row>
    <row r="3441" spans="2:19" x14ac:dyDescent="0.25">
      <c r="B3441" s="6" t="s">
        <v>46</v>
      </c>
      <c r="R3441"/>
      <c r="S3441"/>
    </row>
    <row r="3442" spans="2:19" x14ac:dyDescent="0.25">
      <c r="B3442" s="6" t="s">
        <v>46</v>
      </c>
      <c r="R3442"/>
      <c r="S3442"/>
    </row>
    <row r="3443" spans="2:19" x14ac:dyDescent="0.25">
      <c r="B3443" s="6" t="s">
        <v>46</v>
      </c>
      <c r="R3443"/>
      <c r="S3443"/>
    </row>
    <row r="3444" spans="2:19" x14ac:dyDescent="0.25">
      <c r="B3444" s="6" t="s">
        <v>46</v>
      </c>
      <c r="R3444"/>
      <c r="S3444"/>
    </row>
    <row r="3445" spans="2:19" x14ac:dyDescent="0.25">
      <c r="B3445" s="6" t="s">
        <v>46</v>
      </c>
      <c r="R3445"/>
      <c r="S3445"/>
    </row>
    <row r="3446" spans="2:19" x14ac:dyDescent="0.25">
      <c r="B3446" s="6" t="s">
        <v>46</v>
      </c>
      <c r="R3446"/>
      <c r="S3446"/>
    </row>
    <row r="3447" spans="2:19" x14ac:dyDescent="0.25">
      <c r="B3447" s="6" t="s">
        <v>46</v>
      </c>
      <c r="R3447"/>
      <c r="S3447"/>
    </row>
    <row r="3448" spans="2:19" x14ac:dyDescent="0.25">
      <c r="B3448" s="6" t="s">
        <v>46</v>
      </c>
      <c r="R3448"/>
      <c r="S3448"/>
    </row>
    <row r="3449" spans="2:19" x14ac:dyDescent="0.25">
      <c r="B3449" s="6" t="s">
        <v>46</v>
      </c>
      <c r="R3449"/>
      <c r="S3449"/>
    </row>
    <row r="3450" spans="2:19" x14ac:dyDescent="0.25">
      <c r="B3450" s="6" t="s">
        <v>46</v>
      </c>
      <c r="R3450"/>
      <c r="S3450"/>
    </row>
    <row r="3451" spans="2:19" x14ac:dyDescent="0.25">
      <c r="B3451" s="6" t="s">
        <v>46</v>
      </c>
      <c r="R3451"/>
      <c r="S3451"/>
    </row>
    <row r="3452" spans="2:19" x14ac:dyDescent="0.25">
      <c r="B3452" s="6" t="s">
        <v>46</v>
      </c>
      <c r="R3452"/>
      <c r="S3452"/>
    </row>
    <row r="3453" spans="2:19" x14ac:dyDescent="0.25">
      <c r="B3453" s="6" t="s">
        <v>46</v>
      </c>
      <c r="R3453"/>
      <c r="S3453"/>
    </row>
    <row r="3454" spans="2:19" x14ac:dyDescent="0.25">
      <c r="B3454" s="6" t="s">
        <v>46</v>
      </c>
      <c r="R3454"/>
      <c r="S3454"/>
    </row>
    <row r="3455" spans="2:19" x14ac:dyDescent="0.25">
      <c r="B3455" s="6" t="s">
        <v>46</v>
      </c>
      <c r="R3455"/>
      <c r="S3455"/>
    </row>
    <row r="3456" spans="2:19" x14ac:dyDescent="0.25">
      <c r="B3456" s="6" t="s">
        <v>46</v>
      </c>
      <c r="R3456"/>
      <c r="S3456"/>
    </row>
    <row r="3457" spans="2:19" x14ac:dyDescent="0.25">
      <c r="B3457" s="6" t="s">
        <v>46</v>
      </c>
      <c r="R3457"/>
      <c r="S3457"/>
    </row>
    <row r="3458" spans="2:19" x14ac:dyDescent="0.25">
      <c r="B3458" s="6" t="s">
        <v>46</v>
      </c>
      <c r="R3458"/>
      <c r="S3458"/>
    </row>
    <row r="3459" spans="2:19" x14ac:dyDescent="0.25">
      <c r="B3459" s="6" t="s">
        <v>46</v>
      </c>
      <c r="R3459"/>
      <c r="S3459"/>
    </row>
    <row r="3460" spans="2:19" x14ac:dyDescent="0.25">
      <c r="B3460" s="6" t="s">
        <v>46</v>
      </c>
      <c r="R3460"/>
      <c r="S3460"/>
    </row>
    <row r="3461" spans="2:19" x14ac:dyDescent="0.25">
      <c r="B3461" s="6" t="s">
        <v>46</v>
      </c>
      <c r="R3461"/>
      <c r="S3461"/>
    </row>
    <row r="3462" spans="2:19" x14ac:dyDescent="0.25">
      <c r="B3462" s="6" t="s">
        <v>46</v>
      </c>
      <c r="R3462"/>
      <c r="S3462"/>
    </row>
    <row r="3463" spans="2:19" x14ac:dyDescent="0.25">
      <c r="B3463" s="6" t="s">
        <v>46</v>
      </c>
      <c r="R3463"/>
      <c r="S3463"/>
    </row>
    <row r="3464" spans="2:19" x14ac:dyDescent="0.25">
      <c r="B3464" s="6" t="s">
        <v>46</v>
      </c>
      <c r="R3464"/>
      <c r="S3464"/>
    </row>
    <row r="3465" spans="2:19" x14ac:dyDescent="0.25">
      <c r="B3465" s="6" t="s">
        <v>46</v>
      </c>
      <c r="R3465"/>
      <c r="S3465"/>
    </row>
    <row r="3466" spans="2:19" x14ac:dyDescent="0.25">
      <c r="B3466" s="6" t="s">
        <v>46</v>
      </c>
      <c r="R3466"/>
      <c r="S3466"/>
    </row>
    <row r="3467" spans="2:19" x14ac:dyDescent="0.25">
      <c r="B3467" s="6" t="s">
        <v>46</v>
      </c>
      <c r="R3467"/>
      <c r="S3467"/>
    </row>
    <row r="3468" spans="2:19" x14ac:dyDescent="0.25">
      <c r="B3468" s="6" t="s">
        <v>46</v>
      </c>
      <c r="R3468"/>
      <c r="S3468"/>
    </row>
    <row r="3469" spans="2:19" x14ac:dyDescent="0.25">
      <c r="B3469" s="6" t="s">
        <v>46</v>
      </c>
      <c r="R3469"/>
      <c r="S3469"/>
    </row>
    <row r="3470" spans="2:19" x14ac:dyDescent="0.25">
      <c r="B3470" s="6" t="s">
        <v>46</v>
      </c>
      <c r="R3470"/>
      <c r="S3470"/>
    </row>
    <row r="3471" spans="2:19" x14ac:dyDescent="0.25">
      <c r="B3471" s="6" t="s">
        <v>46</v>
      </c>
      <c r="R3471"/>
      <c r="S3471"/>
    </row>
    <row r="3472" spans="2:19" x14ac:dyDescent="0.25">
      <c r="B3472" s="6" t="s">
        <v>46</v>
      </c>
      <c r="R3472"/>
      <c r="S3472"/>
    </row>
    <row r="3473" spans="2:19" x14ac:dyDescent="0.25">
      <c r="B3473" s="6" t="s">
        <v>46</v>
      </c>
      <c r="R3473"/>
      <c r="S3473"/>
    </row>
    <row r="3474" spans="2:19" x14ac:dyDescent="0.25">
      <c r="B3474" s="6" t="s">
        <v>46</v>
      </c>
      <c r="R3474"/>
      <c r="S3474"/>
    </row>
    <row r="3475" spans="2:19" x14ac:dyDescent="0.25">
      <c r="B3475" s="6" t="s">
        <v>46</v>
      </c>
      <c r="R3475"/>
      <c r="S3475"/>
    </row>
    <row r="3476" spans="2:19" x14ac:dyDescent="0.25">
      <c r="B3476" s="6" t="s">
        <v>46</v>
      </c>
      <c r="R3476"/>
      <c r="S3476"/>
    </row>
    <row r="3477" spans="2:19" x14ac:dyDescent="0.25">
      <c r="B3477" s="6" t="s">
        <v>46</v>
      </c>
      <c r="R3477"/>
      <c r="S3477"/>
    </row>
    <row r="3478" spans="2:19" x14ac:dyDescent="0.25">
      <c r="B3478" s="6" t="s">
        <v>46</v>
      </c>
      <c r="R3478"/>
      <c r="S3478"/>
    </row>
    <row r="3479" spans="2:19" x14ac:dyDescent="0.25">
      <c r="B3479" s="6" t="s">
        <v>46</v>
      </c>
      <c r="R3479"/>
      <c r="S3479"/>
    </row>
    <row r="3480" spans="2:19" x14ac:dyDescent="0.25">
      <c r="B3480" s="6" t="s">
        <v>46</v>
      </c>
      <c r="R3480"/>
      <c r="S3480"/>
    </row>
    <row r="3481" spans="2:19" x14ac:dyDescent="0.25">
      <c r="B3481" s="6" t="s">
        <v>46</v>
      </c>
      <c r="R3481"/>
      <c r="S3481"/>
    </row>
    <row r="3482" spans="2:19" x14ac:dyDescent="0.25">
      <c r="B3482" s="6" t="s">
        <v>46</v>
      </c>
      <c r="R3482"/>
      <c r="S3482"/>
    </row>
    <row r="3483" spans="2:19" x14ac:dyDescent="0.25">
      <c r="B3483" s="6" t="s">
        <v>46</v>
      </c>
      <c r="R3483"/>
      <c r="S3483"/>
    </row>
    <row r="3484" spans="2:19" x14ac:dyDescent="0.25">
      <c r="B3484" s="6" t="s">
        <v>46</v>
      </c>
      <c r="R3484"/>
      <c r="S3484"/>
    </row>
    <row r="3485" spans="2:19" x14ac:dyDescent="0.25">
      <c r="B3485" s="6" t="s">
        <v>46</v>
      </c>
      <c r="R3485"/>
      <c r="S3485"/>
    </row>
    <row r="3486" spans="2:19" x14ac:dyDescent="0.25">
      <c r="B3486" s="6" t="s">
        <v>46</v>
      </c>
      <c r="R3486"/>
      <c r="S3486"/>
    </row>
    <row r="3487" spans="2:19" x14ac:dyDescent="0.25">
      <c r="B3487" s="6" t="s">
        <v>46</v>
      </c>
      <c r="R3487"/>
      <c r="S3487"/>
    </row>
    <row r="3488" spans="2:19" x14ac:dyDescent="0.25">
      <c r="B3488" s="6" t="s">
        <v>46</v>
      </c>
      <c r="R3488"/>
      <c r="S3488"/>
    </row>
    <row r="3489" spans="2:19" x14ac:dyDescent="0.25">
      <c r="B3489" s="6" t="s">
        <v>46</v>
      </c>
      <c r="R3489"/>
      <c r="S3489"/>
    </row>
    <row r="3490" spans="2:19" x14ac:dyDescent="0.25">
      <c r="B3490" s="6" t="s">
        <v>46</v>
      </c>
      <c r="R3490"/>
      <c r="S3490"/>
    </row>
    <row r="3491" spans="2:19" x14ac:dyDescent="0.25">
      <c r="B3491" s="6" t="s">
        <v>46</v>
      </c>
      <c r="R3491"/>
      <c r="S3491"/>
    </row>
    <row r="3492" spans="2:19" x14ac:dyDescent="0.25">
      <c r="B3492" s="6" t="s">
        <v>46</v>
      </c>
      <c r="R3492"/>
      <c r="S3492"/>
    </row>
    <row r="3493" spans="2:19" x14ac:dyDescent="0.25">
      <c r="B3493" s="6" t="s">
        <v>46</v>
      </c>
      <c r="R3493"/>
      <c r="S3493"/>
    </row>
    <row r="3494" spans="2:19" x14ac:dyDescent="0.25">
      <c r="B3494" s="6" t="s">
        <v>46</v>
      </c>
      <c r="R3494"/>
      <c r="S3494"/>
    </row>
    <row r="3495" spans="2:19" x14ac:dyDescent="0.25">
      <c r="B3495" s="6" t="s">
        <v>46</v>
      </c>
      <c r="R3495"/>
      <c r="S3495"/>
    </row>
    <row r="3496" spans="2:19" x14ac:dyDescent="0.25">
      <c r="B3496" s="6" t="s">
        <v>46</v>
      </c>
      <c r="R3496"/>
      <c r="S3496"/>
    </row>
    <row r="3497" spans="2:19" x14ac:dyDescent="0.25">
      <c r="B3497" s="6" t="s">
        <v>46</v>
      </c>
      <c r="R3497"/>
      <c r="S3497"/>
    </row>
    <row r="3498" spans="2:19" x14ac:dyDescent="0.25">
      <c r="B3498" s="6" t="s">
        <v>46</v>
      </c>
      <c r="R3498"/>
      <c r="S3498"/>
    </row>
    <row r="3499" spans="2:19" x14ac:dyDescent="0.25">
      <c r="B3499" s="6" t="s">
        <v>46</v>
      </c>
      <c r="R3499"/>
      <c r="S3499"/>
    </row>
    <row r="3500" spans="2:19" x14ac:dyDescent="0.25">
      <c r="B3500" s="6" t="s">
        <v>46</v>
      </c>
      <c r="R3500"/>
      <c r="S3500"/>
    </row>
    <row r="3501" spans="2:19" x14ac:dyDescent="0.25">
      <c r="B3501" s="6" t="s">
        <v>46</v>
      </c>
      <c r="R3501"/>
      <c r="S3501"/>
    </row>
    <row r="3502" spans="2:19" x14ac:dyDescent="0.25">
      <c r="B3502" s="6" t="s">
        <v>46</v>
      </c>
      <c r="R3502"/>
      <c r="S3502"/>
    </row>
    <row r="3503" spans="2:19" x14ac:dyDescent="0.25">
      <c r="B3503" s="6" t="s">
        <v>46</v>
      </c>
      <c r="R3503"/>
      <c r="S3503"/>
    </row>
    <row r="3504" spans="2:19" x14ac:dyDescent="0.25">
      <c r="B3504" s="6" t="s">
        <v>46</v>
      </c>
      <c r="R3504"/>
      <c r="S3504"/>
    </row>
    <row r="3505" spans="2:19" x14ac:dyDescent="0.25">
      <c r="B3505" s="6" t="s">
        <v>46</v>
      </c>
      <c r="R3505"/>
      <c r="S3505"/>
    </row>
    <row r="3506" spans="2:19" x14ac:dyDescent="0.25">
      <c r="B3506" s="6" t="s">
        <v>46</v>
      </c>
      <c r="R3506"/>
      <c r="S3506"/>
    </row>
    <row r="3507" spans="2:19" x14ac:dyDescent="0.25">
      <c r="B3507" s="6" t="s">
        <v>46</v>
      </c>
      <c r="R3507"/>
      <c r="S3507"/>
    </row>
    <row r="3508" spans="2:19" x14ac:dyDescent="0.25">
      <c r="B3508" s="6" t="s">
        <v>46</v>
      </c>
      <c r="R3508"/>
      <c r="S3508"/>
    </row>
    <row r="3509" spans="2:19" x14ac:dyDescent="0.25">
      <c r="B3509" s="6" t="s">
        <v>46</v>
      </c>
      <c r="R3509"/>
      <c r="S3509"/>
    </row>
    <row r="3510" spans="2:19" x14ac:dyDescent="0.25">
      <c r="B3510" s="6" t="s">
        <v>46</v>
      </c>
      <c r="R3510"/>
      <c r="S3510"/>
    </row>
    <row r="3511" spans="2:19" x14ac:dyDescent="0.25">
      <c r="B3511" s="6" t="s">
        <v>46</v>
      </c>
      <c r="R3511"/>
      <c r="S3511"/>
    </row>
    <row r="3512" spans="2:19" x14ac:dyDescent="0.25">
      <c r="B3512" s="6" t="s">
        <v>46</v>
      </c>
      <c r="R3512"/>
      <c r="S3512"/>
    </row>
    <row r="3513" spans="2:19" x14ac:dyDescent="0.25">
      <c r="B3513" s="6" t="s">
        <v>46</v>
      </c>
      <c r="R3513"/>
      <c r="S3513"/>
    </row>
    <row r="3514" spans="2:19" x14ac:dyDescent="0.25">
      <c r="B3514" s="6" t="s">
        <v>46</v>
      </c>
      <c r="R3514"/>
      <c r="S3514"/>
    </row>
    <row r="3515" spans="2:19" x14ac:dyDescent="0.25">
      <c r="B3515" s="6" t="s">
        <v>46</v>
      </c>
      <c r="R3515"/>
      <c r="S3515"/>
    </row>
    <row r="3516" spans="2:19" x14ac:dyDescent="0.25">
      <c r="B3516" s="6" t="s">
        <v>46</v>
      </c>
      <c r="R3516"/>
      <c r="S3516"/>
    </row>
    <row r="3517" spans="2:19" x14ac:dyDescent="0.25">
      <c r="B3517" s="6" t="s">
        <v>46</v>
      </c>
      <c r="R3517"/>
      <c r="S3517"/>
    </row>
    <row r="3518" spans="2:19" x14ac:dyDescent="0.25">
      <c r="B3518" s="6" t="s">
        <v>46</v>
      </c>
      <c r="R3518"/>
      <c r="S3518"/>
    </row>
    <row r="3519" spans="2:19" x14ac:dyDescent="0.25">
      <c r="B3519" s="6" t="s">
        <v>46</v>
      </c>
      <c r="R3519"/>
      <c r="S3519"/>
    </row>
    <row r="3520" spans="2:19" x14ac:dyDescent="0.25">
      <c r="B3520" s="6" t="s">
        <v>46</v>
      </c>
      <c r="R3520"/>
      <c r="S3520"/>
    </row>
    <row r="3521" spans="2:19" x14ac:dyDescent="0.25">
      <c r="B3521" s="6" t="s">
        <v>46</v>
      </c>
      <c r="R3521"/>
      <c r="S3521"/>
    </row>
    <row r="3522" spans="2:19" x14ac:dyDescent="0.25">
      <c r="B3522" s="6" t="s">
        <v>46</v>
      </c>
      <c r="R3522"/>
      <c r="S3522"/>
    </row>
    <row r="3523" spans="2:19" x14ac:dyDescent="0.25">
      <c r="B3523" s="6" t="s">
        <v>46</v>
      </c>
      <c r="R3523"/>
      <c r="S3523"/>
    </row>
    <row r="3524" spans="2:19" x14ac:dyDescent="0.25">
      <c r="B3524" s="6" t="s">
        <v>46</v>
      </c>
      <c r="R3524"/>
      <c r="S3524"/>
    </row>
    <row r="3525" spans="2:19" x14ac:dyDescent="0.25">
      <c r="B3525" s="6" t="s">
        <v>46</v>
      </c>
      <c r="R3525"/>
      <c r="S3525"/>
    </row>
    <row r="3526" spans="2:19" x14ac:dyDescent="0.25">
      <c r="B3526" s="6" t="s">
        <v>46</v>
      </c>
      <c r="R3526"/>
      <c r="S3526"/>
    </row>
    <row r="3527" spans="2:19" x14ac:dyDescent="0.25">
      <c r="B3527" s="6" t="s">
        <v>46</v>
      </c>
      <c r="R3527"/>
      <c r="S3527"/>
    </row>
    <row r="3528" spans="2:19" x14ac:dyDescent="0.25">
      <c r="B3528" s="6" t="s">
        <v>46</v>
      </c>
      <c r="R3528"/>
      <c r="S3528"/>
    </row>
    <row r="3529" spans="2:19" x14ac:dyDescent="0.25">
      <c r="B3529" s="6" t="s">
        <v>46</v>
      </c>
      <c r="R3529"/>
      <c r="S3529"/>
    </row>
    <row r="3530" spans="2:19" x14ac:dyDescent="0.25">
      <c r="B3530" s="6" t="s">
        <v>46</v>
      </c>
      <c r="R3530"/>
      <c r="S3530"/>
    </row>
    <row r="3531" spans="2:19" x14ac:dyDescent="0.25">
      <c r="B3531" s="6" t="s">
        <v>46</v>
      </c>
      <c r="R3531"/>
      <c r="S3531"/>
    </row>
    <row r="3532" spans="2:19" x14ac:dyDescent="0.25">
      <c r="B3532" s="6" t="s">
        <v>46</v>
      </c>
      <c r="R3532"/>
      <c r="S3532"/>
    </row>
    <row r="3533" spans="2:19" x14ac:dyDescent="0.25">
      <c r="B3533" s="6" t="s">
        <v>46</v>
      </c>
      <c r="R3533"/>
      <c r="S3533"/>
    </row>
    <row r="3534" spans="2:19" x14ac:dyDescent="0.25">
      <c r="B3534" s="6" t="s">
        <v>46</v>
      </c>
      <c r="R3534"/>
      <c r="S3534"/>
    </row>
    <row r="3535" spans="2:19" x14ac:dyDescent="0.25">
      <c r="B3535" s="6" t="s">
        <v>46</v>
      </c>
      <c r="R3535"/>
      <c r="S3535"/>
    </row>
    <row r="3536" spans="2:19" x14ac:dyDescent="0.25">
      <c r="B3536" s="6" t="s">
        <v>46</v>
      </c>
      <c r="R3536"/>
      <c r="S3536"/>
    </row>
    <row r="3537" spans="2:19" x14ac:dyDescent="0.25">
      <c r="B3537" s="6" t="s">
        <v>46</v>
      </c>
      <c r="R3537"/>
      <c r="S3537"/>
    </row>
    <row r="3538" spans="2:19" x14ac:dyDescent="0.25">
      <c r="B3538" s="6" t="s">
        <v>46</v>
      </c>
      <c r="R3538"/>
      <c r="S3538"/>
    </row>
    <row r="3539" spans="2:19" x14ac:dyDescent="0.25">
      <c r="B3539" s="6" t="s">
        <v>46</v>
      </c>
      <c r="R3539"/>
      <c r="S3539"/>
    </row>
    <row r="3540" spans="2:19" x14ac:dyDescent="0.25">
      <c r="B3540" s="6" t="s">
        <v>46</v>
      </c>
      <c r="R3540"/>
      <c r="S3540"/>
    </row>
    <row r="3541" spans="2:19" x14ac:dyDescent="0.25">
      <c r="B3541" s="6" t="s">
        <v>46</v>
      </c>
      <c r="R3541"/>
      <c r="S3541"/>
    </row>
    <row r="3542" spans="2:19" x14ac:dyDescent="0.25">
      <c r="B3542" s="6" t="s">
        <v>46</v>
      </c>
      <c r="R3542"/>
      <c r="S3542"/>
    </row>
    <row r="3543" spans="2:19" x14ac:dyDescent="0.25">
      <c r="B3543" s="6" t="s">
        <v>46</v>
      </c>
      <c r="R3543"/>
      <c r="S3543"/>
    </row>
    <row r="3544" spans="2:19" x14ac:dyDescent="0.25">
      <c r="B3544" s="6" t="s">
        <v>46</v>
      </c>
      <c r="R3544"/>
      <c r="S3544"/>
    </row>
    <row r="3545" spans="2:19" x14ac:dyDescent="0.25">
      <c r="B3545" s="6" t="s">
        <v>46</v>
      </c>
      <c r="R3545"/>
      <c r="S3545"/>
    </row>
    <row r="3546" spans="2:19" x14ac:dyDescent="0.25">
      <c r="B3546" s="6" t="s">
        <v>46</v>
      </c>
      <c r="R3546"/>
      <c r="S3546"/>
    </row>
    <row r="3547" spans="2:19" x14ac:dyDescent="0.25">
      <c r="B3547" s="6" t="s">
        <v>46</v>
      </c>
      <c r="R3547"/>
      <c r="S3547"/>
    </row>
    <row r="3548" spans="2:19" x14ac:dyDescent="0.25">
      <c r="B3548" s="6" t="s">
        <v>46</v>
      </c>
      <c r="R3548"/>
      <c r="S3548"/>
    </row>
    <row r="3549" spans="2:19" x14ac:dyDescent="0.25">
      <c r="B3549" s="6" t="s">
        <v>46</v>
      </c>
      <c r="R3549"/>
      <c r="S3549"/>
    </row>
    <row r="3550" spans="2:19" x14ac:dyDescent="0.25">
      <c r="B3550" s="6" t="s">
        <v>46</v>
      </c>
      <c r="R3550"/>
      <c r="S3550"/>
    </row>
    <row r="3551" spans="2:19" x14ac:dyDescent="0.25">
      <c r="B3551" s="6" t="s">
        <v>46</v>
      </c>
      <c r="R3551"/>
      <c r="S3551"/>
    </row>
    <row r="3552" spans="2:19" x14ac:dyDescent="0.25">
      <c r="B3552" s="6" t="s">
        <v>46</v>
      </c>
      <c r="R3552"/>
      <c r="S3552"/>
    </row>
    <row r="3553" spans="2:19" x14ac:dyDescent="0.25">
      <c r="B3553" s="6" t="s">
        <v>46</v>
      </c>
      <c r="R3553"/>
      <c r="S3553"/>
    </row>
    <row r="3554" spans="2:19" x14ac:dyDescent="0.25">
      <c r="B3554" s="6" t="s">
        <v>46</v>
      </c>
      <c r="R3554"/>
      <c r="S3554"/>
    </row>
    <row r="3555" spans="2:19" x14ac:dyDescent="0.25">
      <c r="B3555" s="6" t="s">
        <v>46</v>
      </c>
      <c r="R3555"/>
      <c r="S3555"/>
    </row>
    <row r="3556" spans="2:19" x14ac:dyDescent="0.25">
      <c r="B3556" s="6" t="s">
        <v>46</v>
      </c>
      <c r="R3556"/>
      <c r="S3556"/>
    </row>
    <row r="3557" spans="2:19" x14ac:dyDescent="0.25">
      <c r="B3557" s="6" t="s">
        <v>46</v>
      </c>
      <c r="R3557"/>
      <c r="S3557"/>
    </row>
    <row r="3558" spans="2:19" x14ac:dyDescent="0.25">
      <c r="B3558" s="6" t="s">
        <v>46</v>
      </c>
      <c r="R3558"/>
      <c r="S3558"/>
    </row>
    <row r="3559" spans="2:19" x14ac:dyDescent="0.25">
      <c r="B3559" s="6" t="s">
        <v>46</v>
      </c>
      <c r="R3559"/>
      <c r="S3559"/>
    </row>
    <row r="3560" spans="2:19" x14ac:dyDescent="0.25">
      <c r="B3560" s="6" t="s">
        <v>46</v>
      </c>
      <c r="R3560"/>
      <c r="S3560"/>
    </row>
    <row r="3561" spans="2:19" x14ac:dyDescent="0.25">
      <c r="B3561" s="6" t="s">
        <v>46</v>
      </c>
      <c r="R3561"/>
      <c r="S3561"/>
    </row>
    <row r="3562" spans="2:19" x14ac:dyDescent="0.25">
      <c r="B3562" s="6" t="s">
        <v>46</v>
      </c>
      <c r="R3562"/>
      <c r="S3562"/>
    </row>
    <row r="3563" spans="2:19" x14ac:dyDescent="0.25">
      <c r="B3563" s="6" t="s">
        <v>46</v>
      </c>
      <c r="R3563"/>
      <c r="S3563"/>
    </row>
    <row r="3564" spans="2:19" x14ac:dyDescent="0.25">
      <c r="B3564" s="6" t="s">
        <v>46</v>
      </c>
      <c r="R3564"/>
      <c r="S3564"/>
    </row>
    <row r="3565" spans="2:19" x14ac:dyDescent="0.25">
      <c r="B3565" s="6" t="s">
        <v>46</v>
      </c>
      <c r="R3565"/>
      <c r="S3565"/>
    </row>
    <row r="3566" spans="2:19" x14ac:dyDescent="0.25">
      <c r="B3566" s="6" t="s">
        <v>46</v>
      </c>
      <c r="R3566"/>
      <c r="S3566"/>
    </row>
    <row r="3567" spans="2:19" x14ac:dyDescent="0.25">
      <c r="B3567" s="6" t="s">
        <v>46</v>
      </c>
      <c r="R3567"/>
      <c r="S3567"/>
    </row>
    <row r="3568" spans="2:19" x14ac:dyDescent="0.25">
      <c r="B3568" s="6" t="s">
        <v>46</v>
      </c>
      <c r="R3568"/>
      <c r="S3568"/>
    </row>
    <row r="3569" spans="2:19" x14ac:dyDescent="0.25">
      <c r="B3569" s="6" t="s">
        <v>46</v>
      </c>
      <c r="R3569"/>
      <c r="S3569"/>
    </row>
    <row r="3570" spans="2:19" x14ac:dyDescent="0.25">
      <c r="B3570" s="6" t="s">
        <v>46</v>
      </c>
      <c r="R3570"/>
      <c r="S3570"/>
    </row>
    <row r="3571" spans="2:19" x14ac:dyDescent="0.25">
      <c r="B3571" s="6" t="s">
        <v>46</v>
      </c>
      <c r="R3571"/>
      <c r="S3571"/>
    </row>
    <row r="3572" spans="2:19" x14ac:dyDescent="0.25">
      <c r="B3572" s="6" t="s">
        <v>46</v>
      </c>
      <c r="R3572"/>
      <c r="S3572"/>
    </row>
    <row r="3573" spans="2:19" x14ac:dyDescent="0.25">
      <c r="B3573" s="6" t="s">
        <v>46</v>
      </c>
      <c r="R3573"/>
      <c r="S3573"/>
    </row>
    <row r="3574" spans="2:19" x14ac:dyDescent="0.25">
      <c r="B3574" s="6" t="s">
        <v>46</v>
      </c>
      <c r="R3574"/>
      <c r="S3574"/>
    </row>
    <row r="3575" spans="2:19" x14ac:dyDescent="0.25">
      <c r="B3575" s="6" t="s">
        <v>46</v>
      </c>
      <c r="R3575"/>
      <c r="S3575"/>
    </row>
    <row r="3576" spans="2:19" x14ac:dyDescent="0.25">
      <c r="B3576" s="6" t="s">
        <v>46</v>
      </c>
      <c r="R3576"/>
      <c r="S3576"/>
    </row>
    <row r="3577" spans="2:19" x14ac:dyDescent="0.25">
      <c r="B3577" s="6" t="s">
        <v>46</v>
      </c>
      <c r="R3577"/>
      <c r="S3577"/>
    </row>
    <row r="3578" spans="2:19" x14ac:dyDescent="0.25">
      <c r="B3578" s="6" t="s">
        <v>46</v>
      </c>
      <c r="R3578"/>
      <c r="S3578"/>
    </row>
    <row r="3579" spans="2:19" x14ac:dyDescent="0.25">
      <c r="B3579" s="6" t="s">
        <v>46</v>
      </c>
      <c r="R3579"/>
      <c r="S3579"/>
    </row>
    <row r="3580" spans="2:19" x14ac:dyDescent="0.25">
      <c r="B3580" s="6" t="s">
        <v>46</v>
      </c>
      <c r="R3580"/>
      <c r="S3580"/>
    </row>
    <row r="3581" spans="2:19" x14ac:dyDescent="0.25">
      <c r="B3581" s="6" t="s">
        <v>46</v>
      </c>
      <c r="R3581"/>
      <c r="S3581"/>
    </row>
    <row r="3582" spans="2:19" x14ac:dyDescent="0.25">
      <c r="B3582" s="6" t="s">
        <v>46</v>
      </c>
      <c r="R3582"/>
      <c r="S3582"/>
    </row>
    <row r="3583" spans="2:19" x14ac:dyDescent="0.25">
      <c r="B3583" s="6" t="s">
        <v>46</v>
      </c>
      <c r="R3583"/>
      <c r="S3583"/>
    </row>
    <row r="3584" spans="2:19" x14ac:dyDescent="0.25">
      <c r="B3584" s="6" t="s">
        <v>46</v>
      </c>
      <c r="R3584"/>
      <c r="S3584"/>
    </row>
    <row r="3585" spans="2:19" x14ac:dyDescent="0.25">
      <c r="B3585" s="6" t="s">
        <v>46</v>
      </c>
      <c r="R3585"/>
      <c r="S3585"/>
    </row>
    <row r="3586" spans="2:19" x14ac:dyDescent="0.25">
      <c r="B3586" s="6" t="s">
        <v>46</v>
      </c>
      <c r="R3586"/>
      <c r="S3586"/>
    </row>
    <row r="3587" spans="2:19" x14ac:dyDescent="0.25">
      <c r="B3587" s="6" t="s">
        <v>46</v>
      </c>
      <c r="R3587"/>
      <c r="S3587"/>
    </row>
    <row r="3588" spans="2:19" x14ac:dyDescent="0.25">
      <c r="B3588" s="6" t="s">
        <v>46</v>
      </c>
      <c r="R3588"/>
      <c r="S3588"/>
    </row>
    <row r="3589" spans="2:19" x14ac:dyDescent="0.25">
      <c r="B3589" s="6" t="s">
        <v>46</v>
      </c>
      <c r="R3589"/>
      <c r="S3589"/>
    </row>
    <row r="3590" spans="2:19" x14ac:dyDescent="0.25">
      <c r="B3590" s="6" t="s">
        <v>46</v>
      </c>
      <c r="R3590"/>
      <c r="S3590"/>
    </row>
    <row r="3591" spans="2:19" x14ac:dyDescent="0.25">
      <c r="B3591" s="6" t="s">
        <v>46</v>
      </c>
      <c r="R3591"/>
      <c r="S3591"/>
    </row>
    <row r="3592" spans="2:19" x14ac:dyDescent="0.25">
      <c r="B3592" s="6" t="s">
        <v>46</v>
      </c>
      <c r="R3592"/>
      <c r="S3592"/>
    </row>
    <row r="3593" spans="2:19" x14ac:dyDescent="0.25">
      <c r="B3593" s="6" t="s">
        <v>46</v>
      </c>
      <c r="R3593"/>
      <c r="S3593"/>
    </row>
    <row r="3594" spans="2:19" x14ac:dyDescent="0.25">
      <c r="B3594" s="6" t="s">
        <v>46</v>
      </c>
      <c r="R3594"/>
      <c r="S3594"/>
    </row>
    <row r="3595" spans="2:19" x14ac:dyDescent="0.25">
      <c r="B3595" s="6" t="s">
        <v>46</v>
      </c>
      <c r="R3595"/>
      <c r="S3595"/>
    </row>
    <row r="3596" spans="2:19" x14ac:dyDescent="0.25">
      <c r="B3596" s="6" t="s">
        <v>46</v>
      </c>
      <c r="R3596"/>
      <c r="S3596"/>
    </row>
    <row r="3597" spans="2:19" x14ac:dyDescent="0.25">
      <c r="B3597" s="6" t="s">
        <v>46</v>
      </c>
      <c r="R3597"/>
      <c r="S3597"/>
    </row>
    <row r="3598" spans="2:19" x14ac:dyDescent="0.25">
      <c r="B3598" s="6" t="s">
        <v>46</v>
      </c>
      <c r="R3598"/>
      <c r="S3598"/>
    </row>
    <row r="3599" spans="2:19" x14ac:dyDescent="0.25">
      <c r="B3599" s="6" t="s">
        <v>46</v>
      </c>
      <c r="R3599"/>
      <c r="S3599"/>
    </row>
    <row r="3600" spans="2:19" x14ac:dyDescent="0.25">
      <c r="B3600" s="6" t="s">
        <v>46</v>
      </c>
      <c r="R3600"/>
      <c r="S3600"/>
    </row>
    <row r="3601" spans="2:19" x14ac:dyDescent="0.25">
      <c r="B3601" s="6" t="s">
        <v>46</v>
      </c>
      <c r="R3601"/>
      <c r="S3601"/>
    </row>
    <row r="3602" spans="2:19" x14ac:dyDescent="0.25">
      <c r="B3602" s="6" t="s">
        <v>46</v>
      </c>
      <c r="R3602"/>
      <c r="S3602"/>
    </row>
    <row r="3603" spans="2:19" x14ac:dyDescent="0.25">
      <c r="B3603" s="6" t="s">
        <v>46</v>
      </c>
      <c r="R3603"/>
      <c r="S3603"/>
    </row>
    <row r="3604" spans="2:19" x14ac:dyDescent="0.25">
      <c r="B3604" s="6" t="s">
        <v>46</v>
      </c>
      <c r="R3604"/>
      <c r="S3604"/>
    </row>
    <row r="3605" spans="2:19" x14ac:dyDescent="0.25">
      <c r="B3605" s="6" t="s">
        <v>46</v>
      </c>
      <c r="R3605"/>
      <c r="S3605"/>
    </row>
    <row r="3606" spans="2:19" x14ac:dyDescent="0.25">
      <c r="B3606" s="6" t="s">
        <v>46</v>
      </c>
      <c r="R3606"/>
      <c r="S3606"/>
    </row>
    <row r="3607" spans="2:19" x14ac:dyDescent="0.25">
      <c r="B3607" s="6" t="s">
        <v>46</v>
      </c>
      <c r="R3607"/>
      <c r="S3607"/>
    </row>
    <row r="3608" spans="2:19" x14ac:dyDescent="0.25">
      <c r="B3608" s="6" t="s">
        <v>46</v>
      </c>
      <c r="R3608"/>
      <c r="S3608"/>
    </row>
    <row r="3609" spans="2:19" x14ac:dyDescent="0.25">
      <c r="B3609" s="6" t="s">
        <v>46</v>
      </c>
      <c r="R3609"/>
      <c r="S3609"/>
    </row>
    <row r="3610" spans="2:19" x14ac:dyDescent="0.25">
      <c r="B3610" s="6" t="s">
        <v>46</v>
      </c>
      <c r="R3610"/>
      <c r="S3610"/>
    </row>
    <row r="3611" spans="2:19" x14ac:dyDescent="0.25">
      <c r="B3611" s="6" t="s">
        <v>46</v>
      </c>
      <c r="R3611"/>
      <c r="S3611"/>
    </row>
    <row r="3612" spans="2:19" x14ac:dyDescent="0.25">
      <c r="B3612" s="6" t="s">
        <v>46</v>
      </c>
      <c r="R3612"/>
      <c r="S3612"/>
    </row>
    <row r="3613" spans="2:19" x14ac:dyDescent="0.25">
      <c r="B3613" s="6" t="s">
        <v>46</v>
      </c>
      <c r="R3613"/>
      <c r="S3613"/>
    </row>
    <row r="3614" spans="2:19" x14ac:dyDescent="0.25">
      <c r="B3614" s="6" t="s">
        <v>46</v>
      </c>
      <c r="R3614"/>
      <c r="S3614"/>
    </row>
    <row r="3615" spans="2:19" x14ac:dyDescent="0.25">
      <c r="B3615" s="6" t="s">
        <v>46</v>
      </c>
      <c r="R3615"/>
      <c r="S3615"/>
    </row>
    <row r="3616" spans="2:19" x14ac:dyDescent="0.25">
      <c r="B3616" s="6" t="s">
        <v>46</v>
      </c>
      <c r="R3616"/>
      <c r="S3616"/>
    </row>
    <row r="3617" spans="2:19" x14ac:dyDescent="0.25">
      <c r="B3617" s="6" t="s">
        <v>46</v>
      </c>
      <c r="R3617"/>
      <c r="S3617"/>
    </row>
    <row r="3618" spans="2:19" x14ac:dyDescent="0.25">
      <c r="B3618" s="6" t="s">
        <v>46</v>
      </c>
      <c r="R3618"/>
      <c r="S3618"/>
    </row>
    <row r="3619" spans="2:19" x14ac:dyDescent="0.25">
      <c r="B3619" s="6" t="s">
        <v>46</v>
      </c>
      <c r="R3619"/>
      <c r="S3619"/>
    </row>
    <row r="3620" spans="2:19" x14ac:dyDescent="0.25">
      <c r="B3620" s="6" t="s">
        <v>46</v>
      </c>
      <c r="R3620"/>
      <c r="S3620"/>
    </row>
    <row r="3621" spans="2:19" x14ac:dyDescent="0.25">
      <c r="B3621" s="6" t="s">
        <v>46</v>
      </c>
      <c r="R3621"/>
      <c r="S3621"/>
    </row>
    <row r="3622" spans="2:19" x14ac:dyDescent="0.25">
      <c r="B3622" s="6" t="s">
        <v>46</v>
      </c>
      <c r="R3622"/>
      <c r="S3622"/>
    </row>
    <row r="3623" spans="2:19" x14ac:dyDescent="0.25">
      <c r="B3623" s="6" t="s">
        <v>46</v>
      </c>
      <c r="R3623"/>
      <c r="S3623"/>
    </row>
    <row r="3624" spans="2:19" x14ac:dyDescent="0.25">
      <c r="B3624" s="6" t="s">
        <v>46</v>
      </c>
      <c r="R3624"/>
      <c r="S3624"/>
    </row>
    <row r="3625" spans="2:19" x14ac:dyDescent="0.25">
      <c r="B3625" s="6" t="s">
        <v>46</v>
      </c>
      <c r="R3625"/>
      <c r="S3625"/>
    </row>
    <row r="3626" spans="2:19" x14ac:dyDescent="0.25">
      <c r="B3626" s="6" t="s">
        <v>46</v>
      </c>
      <c r="R3626"/>
      <c r="S3626"/>
    </row>
    <row r="3627" spans="2:19" x14ac:dyDescent="0.25">
      <c r="B3627" s="6" t="s">
        <v>46</v>
      </c>
      <c r="R3627"/>
      <c r="S3627"/>
    </row>
    <row r="3628" spans="2:19" x14ac:dyDescent="0.25">
      <c r="B3628" s="6" t="s">
        <v>46</v>
      </c>
      <c r="R3628"/>
      <c r="S3628"/>
    </row>
    <row r="3629" spans="2:19" x14ac:dyDescent="0.25">
      <c r="B3629" s="6" t="s">
        <v>46</v>
      </c>
      <c r="R3629"/>
      <c r="S3629"/>
    </row>
    <row r="3630" spans="2:19" x14ac:dyDescent="0.25">
      <c r="B3630" s="6" t="s">
        <v>46</v>
      </c>
      <c r="R3630"/>
      <c r="S3630"/>
    </row>
    <row r="3631" spans="2:19" x14ac:dyDescent="0.25">
      <c r="B3631" s="6" t="s">
        <v>46</v>
      </c>
      <c r="R3631"/>
      <c r="S3631"/>
    </row>
    <row r="3632" spans="2:19" x14ac:dyDescent="0.25">
      <c r="B3632" s="6" t="s">
        <v>46</v>
      </c>
      <c r="R3632"/>
      <c r="S3632"/>
    </row>
    <row r="3633" spans="2:19" x14ac:dyDescent="0.25">
      <c r="B3633" s="6" t="s">
        <v>46</v>
      </c>
      <c r="R3633"/>
      <c r="S3633"/>
    </row>
    <row r="3634" spans="2:19" x14ac:dyDescent="0.25">
      <c r="B3634" s="6" t="s">
        <v>46</v>
      </c>
      <c r="R3634"/>
      <c r="S3634"/>
    </row>
    <row r="3635" spans="2:19" x14ac:dyDescent="0.25">
      <c r="B3635" s="6" t="s">
        <v>46</v>
      </c>
      <c r="R3635"/>
      <c r="S3635"/>
    </row>
    <row r="3636" spans="2:19" x14ac:dyDescent="0.25">
      <c r="B3636" s="6" t="s">
        <v>46</v>
      </c>
      <c r="R3636"/>
      <c r="S3636"/>
    </row>
    <row r="3637" spans="2:19" x14ac:dyDescent="0.25">
      <c r="B3637" s="6" t="s">
        <v>46</v>
      </c>
      <c r="R3637"/>
      <c r="S3637"/>
    </row>
    <row r="3638" spans="2:19" x14ac:dyDescent="0.25">
      <c r="B3638" s="6" t="s">
        <v>46</v>
      </c>
      <c r="R3638"/>
      <c r="S3638"/>
    </row>
    <row r="3639" spans="2:19" x14ac:dyDescent="0.25">
      <c r="B3639" s="6" t="s">
        <v>46</v>
      </c>
      <c r="R3639"/>
      <c r="S3639"/>
    </row>
    <row r="3640" spans="2:19" x14ac:dyDescent="0.25">
      <c r="B3640" s="6" t="s">
        <v>46</v>
      </c>
      <c r="R3640"/>
      <c r="S3640"/>
    </row>
    <row r="3641" spans="2:19" x14ac:dyDescent="0.25">
      <c r="B3641" s="6" t="s">
        <v>46</v>
      </c>
      <c r="R3641"/>
      <c r="S3641"/>
    </row>
    <row r="3642" spans="2:19" x14ac:dyDescent="0.25">
      <c r="B3642" s="6" t="s">
        <v>46</v>
      </c>
      <c r="R3642"/>
      <c r="S3642"/>
    </row>
    <row r="3643" spans="2:19" x14ac:dyDescent="0.25">
      <c r="B3643" s="6" t="s">
        <v>46</v>
      </c>
      <c r="R3643"/>
      <c r="S3643"/>
    </row>
    <row r="3644" spans="2:19" x14ac:dyDescent="0.25">
      <c r="B3644" s="6" t="s">
        <v>46</v>
      </c>
      <c r="R3644"/>
      <c r="S3644"/>
    </row>
    <row r="3645" spans="2:19" x14ac:dyDescent="0.25">
      <c r="B3645" s="6" t="s">
        <v>46</v>
      </c>
      <c r="R3645"/>
      <c r="S3645"/>
    </row>
    <row r="3646" spans="2:19" x14ac:dyDescent="0.25">
      <c r="B3646" s="6" t="s">
        <v>46</v>
      </c>
      <c r="R3646"/>
      <c r="S3646"/>
    </row>
    <row r="3647" spans="2:19" x14ac:dyDescent="0.25">
      <c r="B3647" s="6" t="s">
        <v>46</v>
      </c>
      <c r="R3647"/>
      <c r="S3647"/>
    </row>
    <row r="3648" spans="2:19" x14ac:dyDescent="0.25">
      <c r="B3648" s="6" t="s">
        <v>46</v>
      </c>
      <c r="R3648"/>
      <c r="S3648"/>
    </row>
    <row r="3649" spans="2:19" x14ac:dyDescent="0.25">
      <c r="B3649" s="6" t="s">
        <v>46</v>
      </c>
      <c r="R3649"/>
      <c r="S3649"/>
    </row>
    <row r="3650" spans="2:19" x14ac:dyDescent="0.25">
      <c r="B3650" s="6" t="s">
        <v>46</v>
      </c>
      <c r="R3650"/>
      <c r="S3650"/>
    </row>
    <row r="3651" spans="2:19" x14ac:dyDescent="0.25">
      <c r="B3651" s="6" t="s">
        <v>46</v>
      </c>
      <c r="R3651"/>
      <c r="S3651"/>
    </row>
    <row r="3652" spans="2:19" x14ac:dyDescent="0.25">
      <c r="B3652" s="6" t="s">
        <v>46</v>
      </c>
      <c r="R3652"/>
      <c r="S3652"/>
    </row>
    <row r="3653" spans="2:19" x14ac:dyDescent="0.25">
      <c r="B3653" s="6" t="s">
        <v>46</v>
      </c>
      <c r="R3653"/>
      <c r="S3653"/>
    </row>
    <row r="3654" spans="2:19" x14ac:dyDescent="0.25">
      <c r="B3654" s="6" t="s">
        <v>46</v>
      </c>
      <c r="R3654"/>
      <c r="S3654"/>
    </row>
    <row r="3655" spans="2:19" x14ac:dyDescent="0.25">
      <c r="B3655" s="6" t="s">
        <v>46</v>
      </c>
      <c r="R3655"/>
      <c r="S3655"/>
    </row>
    <row r="3656" spans="2:19" x14ac:dyDescent="0.25">
      <c r="B3656" s="6" t="s">
        <v>46</v>
      </c>
      <c r="R3656"/>
      <c r="S3656"/>
    </row>
    <row r="3657" spans="2:19" x14ac:dyDescent="0.25">
      <c r="B3657" s="6" t="s">
        <v>46</v>
      </c>
      <c r="R3657"/>
      <c r="S3657"/>
    </row>
    <row r="3658" spans="2:19" x14ac:dyDescent="0.25">
      <c r="B3658" s="6" t="s">
        <v>46</v>
      </c>
      <c r="R3658"/>
      <c r="S3658"/>
    </row>
    <row r="3659" spans="2:19" x14ac:dyDescent="0.25">
      <c r="B3659" s="6" t="s">
        <v>46</v>
      </c>
      <c r="R3659"/>
      <c r="S3659"/>
    </row>
    <row r="3660" spans="2:19" x14ac:dyDescent="0.25">
      <c r="B3660" s="6" t="s">
        <v>46</v>
      </c>
      <c r="R3660"/>
      <c r="S3660"/>
    </row>
    <row r="3661" spans="2:19" x14ac:dyDescent="0.25">
      <c r="B3661" s="6" t="s">
        <v>46</v>
      </c>
      <c r="R3661"/>
      <c r="S3661"/>
    </row>
    <row r="3662" spans="2:19" x14ac:dyDescent="0.25">
      <c r="B3662" s="6" t="s">
        <v>46</v>
      </c>
      <c r="R3662"/>
      <c r="S3662"/>
    </row>
    <row r="3663" spans="2:19" x14ac:dyDescent="0.25">
      <c r="B3663" s="6" t="s">
        <v>46</v>
      </c>
      <c r="R3663"/>
      <c r="S3663"/>
    </row>
    <row r="3664" spans="2:19" x14ac:dyDescent="0.25">
      <c r="B3664" s="6" t="s">
        <v>46</v>
      </c>
      <c r="R3664"/>
      <c r="S3664"/>
    </row>
    <row r="3665" spans="2:19" x14ac:dyDescent="0.25">
      <c r="B3665" s="6" t="s">
        <v>46</v>
      </c>
      <c r="R3665"/>
      <c r="S3665"/>
    </row>
    <row r="3666" spans="2:19" x14ac:dyDescent="0.25">
      <c r="B3666" s="6" t="s">
        <v>46</v>
      </c>
      <c r="R3666"/>
      <c r="S3666"/>
    </row>
    <row r="3667" spans="2:19" x14ac:dyDescent="0.25">
      <c r="B3667" s="6" t="s">
        <v>46</v>
      </c>
      <c r="R3667"/>
      <c r="S3667"/>
    </row>
    <row r="3668" spans="2:19" x14ac:dyDescent="0.25">
      <c r="B3668" s="6" t="s">
        <v>46</v>
      </c>
      <c r="R3668"/>
      <c r="S3668"/>
    </row>
    <row r="3669" spans="2:19" x14ac:dyDescent="0.25">
      <c r="B3669" s="6" t="s">
        <v>46</v>
      </c>
      <c r="R3669"/>
      <c r="S3669"/>
    </row>
    <row r="3670" spans="2:19" x14ac:dyDescent="0.25">
      <c r="B3670" s="6" t="s">
        <v>46</v>
      </c>
      <c r="R3670"/>
      <c r="S3670"/>
    </row>
    <row r="3671" spans="2:19" x14ac:dyDescent="0.25">
      <c r="B3671" s="6" t="s">
        <v>46</v>
      </c>
      <c r="R3671"/>
      <c r="S3671"/>
    </row>
    <row r="3672" spans="2:19" x14ac:dyDescent="0.25">
      <c r="B3672" s="6" t="s">
        <v>46</v>
      </c>
      <c r="R3672"/>
      <c r="S3672"/>
    </row>
    <row r="3673" spans="2:19" x14ac:dyDescent="0.25">
      <c r="B3673" s="6" t="s">
        <v>46</v>
      </c>
      <c r="R3673"/>
      <c r="S3673"/>
    </row>
    <row r="3674" spans="2:19" x14ac:dyDescent="0.25">
      <c r="B3674" s="6" t="s">
        <v>46</v>
      </c>
      <c r="R3674"/>
      <c r="S3674"/>
    </row>
    <row r="3675" spans="2:19" x14ac:dyDescent="0.25">
      <c r="B3675" s="6" t="s">
        <v>46</v>
      </c>
      <c r="R3675"/>
      <c r="S3675"/>
    </row>
    <row r="3676" spans="2:19" x14ac:dyDescent="0.25">
      <c r="B3676" s="6" t="s">
        <v>46</v>
      </c>
      <c r="R3676"/>
      <c r="S3676"/>
    </row>
    <row r="3677" spans="2:19" x14ac:dyDescent="0.25">
      <c r="B3677" s="6" t="s">
        <v>46</v>
      </c>
      <c r="R3677"/>
      <c r="S3677"/>
    </row>
    <row r="3678" spans="2:19" x14ac:dyDescent="0.25">
      <c r="B3678" s="6" t="s">
        <v>46</v>
      </c>
      <c r="R3678"/>
      <c r="S3678"/>
    </row>
    <row r="3679" spans="2:19" x14ac:dyDescent="0.25">
      <c r="B3679" s="6" t="s">
        <v>46</v>
      </c>
      <c r="R3679"/>
      <c r="S3679"/>
    </row>
    <row r="3680" spans="2:19" x14ac:dyDescent="0.25">
      <c r="B3680" s="6" t="s">
        <v>46</v>
      </c>
      <c r="R3680"/>
      <c r="S3680"/>
    </row>
    <row r="3681" spans="2:19" x14ac:dyDescent="0.25">
      <c r="B3681" s="6" t="s">
        <v>46</v>
      </c>
      <c r="R3681"/>
      <c r="S3681"/>
    </row>
    <row r="3682" spans="2:19" x14ac:dyDescent="0.25">
      <c r="B3682" s="6" t="s">
        <v>46</v>
      </c>
      <c r="R3682"/>
      <c r="S3682"/>
    </row>
    <row r="3683" spans="2:19" x14ac:dyDescent="0.25">
      <c r="B3683" s="6" t="s">
        <v>46</v>
      </c>
      <c r="R3683"/>
      <c r="S3683"/>
    </row>
    <row r="3684" spans="2:19" x14ac:dyDescent="0.25">
      <c r="B3684" s="6" t="s">
        <v>46</v>
      </c>
      <c r="R3684"/>
      <c r="S3684"/>
    </row>
    <row r="3685" spans="2:19" x14ac:dyDescent="0.25">
      <c r="B3685" s="6" t="s">
        <v>46</v>
      </c>
      <c r="R3685"/>
      <c r="S3685"/>
    </row>
    <row r="3686" spans="2:19" x14ac:dyDescent="0.25">
      <c r="B3686" s="6" t="s">
        <v>46</v>
      </c>
      <c r="R3686"/>
      <c r="S3686"/>
    </row>
    <row r="3687" spans="2:19" x14ac:dyDescent="0.25">
      <c r="B3687" s="6" t="s">
        <v>46</v>
      </c>
      <c r="R3687"/>
      <c r="S3687"/>
    </row>
    <row r="3688" spans="2:19" x14ac:dyDescent="0.25">
      <c r="B3688" s="6" t="s">
        <v>46</v>
      </c>
      <c r="R3688"/>
      <c r="S3688"/>
    </row>
    <row r="3689" spans="2:19" x14ac:dyDescent="0.25">
      <c r="B3689" s="6" t="s">
        <v>46</v>
      </c>
      <c r="R3689"/>
      <c r="S3689"/>
    </row>
    <row r="3690" spans="2:19" x14ac:dyDescent="0.25">
      <c r="B3690" s="6" t="s">
        <v>46</v>
      </c>
      <c r="R3690"/>
      <c r="S3690"/>
    </row>
    <row r="3691" spans="2:19" x14ac:dyDescent="0.25">
      <c r="B3691" s="6" t="s">
        <v>46</v>
      </c>
      <c r="R3691"/>
      <c r="S3691"/>
    </row>
    <row r="3692" spans="2:19" x14ac:dyDescent="0.25">
      <c r="B3692" s="6" t="s">
        <v>46</v>
      </c>
      <c r="R3692"/>
      <c r="S3692"/>
    </row>
    <row r="3693" spans="2:19" x14ac:dyDescent="0.25">
      <c r="B3693" s="6" t="s">
        <v>46</v>
      </c>
      <c r="R3693"/>
      <c r="S3693"/>
    </row>
    <row r="3694" spans="2:19" x14ac:dyDescent="0.25">
      <c r="B3694" s="6" t="s">
        <v>46</v>
      </c>
      <c r="R3694"/>
      <c r="S3694"/>
    </row>
    <row r="3695" spans="2:19" x14ac:dyDescent="0.25">
      <c r="B3695" s="6" t="s">
        <v>46</v>
      </c>
      <c r="R3695"/>
      <c r="S3695"/>
    </row>
    <row r="3696" spans="2:19" x14ac:dyDescent="0.25">
      <c r="B3696" s="6" t="s">
        <v>46</v>
      </c>
      <c r="R3696"/>
      <c r="S3696"/>
    </row>
    <row r="3697" spans="2:19" x14ac:dyDescent="0.25">
      <c r="B3697" s="6" t="s">
        <v>46</v>
      </c>
      <c r="R3697"/>
      <c r="S3697"/>
    </row>
    <row r="3698" spans="2:19" x14ac:dyDescent="0.25">
      <c r="B3698" s="6" t="s">
        <v>46</v>
      </c>
      <c r="R3698"/>
      <c r="S3698"/>
    </row>
    <row r="3699" spans="2:19" x14ac:dyDescent="0.25">
      <c r="B3699" s="6" t="s">
        <v>46</v>
      </c>
      <c r="R3699"/>
      <c r="S3699"/>
    </row>
    <row r="3700" spans="2:19" x14ac:dyDescent="0.25">
      <c r="B3700" s="6" t="s">
        <v>46</v>
      </c>
      <c r="R3700"/>
      <c r="S3700"/>
    </row>
    <row r="3701" spans="2:19" x14ac:dyDescent="0.25">
      <c r="B3701" s="6" t="s">
        <v>46</v>
      </c>
      <c r="R3701"/>
      <c r="S3701"/>
    </row>
    <row r="3702" spans="2:19" x14ac:dyDescent="0.25">
      <c r="B3702" s="6" t="s">
        <v>46</v>
      </c>
      <c r="R3702"/>
      <c r="S3702"/>
    </row>
    <row r="3703" spans="2:19" x14ac:dyDescent="0.25">
      <c r="B3703" s="6" t="s">
        <v>46</v>
      </c>
      <c r="R3703"/>
      <c r="S3703"/>
    </row>
    <row r="3704" spans="2:19" x14ac:dyDescent="0.25">
      <c r="B3704" s="6" t="s">
        <v>46</v>
      </c>
      <c r="R3704"/>
      <c r="S3704"/>
    </row>
    <row r="3705" spans="2:19" x14ac:dyDescent="0.25">
      <c r="B3705" s="6" t="s">
        <v>46</v>
      </c>
      <c r="R3705"/>
      <c r="S3705"/>
    </row>
    <row r="3706" spans="2:19" x14ac:dyDescent="0.25">
      <c r="B3706" s="6" t="s">
        <v>46</v>
      </c>
      <c r="R3706"/>
      <c r="S3706"/>
    </row>
    <row r="3707" spans="2:19" x14ac:dyDescent="0.25">
      <c r="B3707" s="6" t="s">
        <v>46</v>
      </c>
      <c r="R3707"/>
      <c r="S3707"/>
    </row>
    <row r="3708" spans="2:19" x14ac:dyDescent="0.25">
      <c r="B3708" s="6" t="s">
        <v>46</v>
      </c>
      <c r="R3708"/>
      <c r="S3708"/>
    </row>
    <row r="3709" spans="2:19" x14ac:dyDescent="0.25">
      <c r="B3709" s="6" t="s">
        <v>46</v>
      </c>
      <c r="R3709"/>
      <c r="S3709"/>
    </row>
    <row r="3710" spans="2:19" x14ac:dyDescent="0.25">
      <c r="B3710" s="6" t="s">
        <v>46</v>
      </c>
      <c r="R3710"/>
      <c r="S3710"/>
    </row>
    <row r="3711" spans="2:19" x14ac:dyDescent="0.25">
      <c r="B3711" s="6" t="s">
        <v>46</v>
      </c>
      <c r="R3711"/>
      <c r="S3711"/>
    </row>
    <row r="3712" spans="2:19" x14ac:dyDescent="0.25">
      <c r="B3712" s="6" t="s">
        <v>46</v>
      </c>
      <c r="R3712"/>
      <c r="S3712"/>
    </row>
    <row r="3713" spans="2:19" x14ac:dyDescent="0.25">
      <c r="B3713" s="6" t="s">
        <v>46</v>
      </c>
      <c r="R3713"/>
      <c r="S3713"/>
    </row>
    <row r="3714" spans="2:19" x14ac:dyDescent="0.25">
      <c r="B3714" s="6" t="s">
        <v>46</v>
      </c>
      <c r="R3714"/>
      <c r="S3714"/>
    </row>
    <row r="3715" spans="2:19" x14ac:dyDescent="0.25">
      <c r="B3715" s="6" t="s">
        <v>46</v>
      </c>
      <c r="R3715"/>
      <c r="S3715"/>
    </row>
    <row r="3716" spans="2:19" x14ac:dyDescent="0.25">
      <c r="B3716" s="6" t="s">
        <v>46</v>
      </c>
      <c r="R3716"/>
      <c r="S3716"/>
    </row>
    <row r="3717" spans="2:19" x14ac:dyDescent="0.25">
      <c r="B3717" s="6" t="s">
        <v>46</v>
      </c>
      <c r="R3717"/>
      <c r="S3717"/>
    </row>
    <row r="3718" spans="2:19" x14ac:dyDescent="0.25">
      <c r="B3718" s="6" t="s">
        <v>46</v>
      </c>
      <c r="R3718"/>
      <c r="S3718"/>
    </row>
    <row r="3719" spans="2:19" x14ac:dyDescent="0.25">
      <c r="B3719" s="6" t="s">
        <v>46</v>
      </c>
      <c r="R3719"/>
      <c r="S3719"/>
    </row>
    <row r="3720" spans="2:19" x14ac:dyDescent="0.25">
      <c r="B3720" s="6" t="s">
        <v>46</v>
      </c>
      <c r="R3720"/>
      <c r="S3720"/>
    </row>
    <row r="3721" spans="2:19" x14ac:dyDescent="0.25">
      <c r="B3721" s="6" t="s">
        <v>46</v>
      </c>
      <c r="R3721"/>
      <c r="S3721"/>
    </row>
    <row r="3722" spans="2:19" x14ac:dyDescent="0.25">
      <c r="B3722" s="6" t="s">
        <v>46</v>
      </c>
      <c r="R3722"/>
      <c r="S3722"/>
    </row>
    <row r="3723" spans="2:19" x14ac:dyDescent="0.25">
      <c r="B3723" s="6" t="s">
        <v>46</v>
      </c>
      <c r="R3723"/>
      <c r="S3723"/>
    </row>
    <row r="3724" spans="2:19" x14ac:dyDescent="0.25">
      <c r="B3724" s="6" t="s">
        <v>46</v>
      </c>
      <c r="R3724"/>
      <c r="S3724"/>
    </row>
    <row r="3725" spans="2:19" x14ac:dyDescent="0.25">
      <c r="B3725" s="6" t="s">
        <v>46</v>
      </c>
      <c r="R3725"/>
      <c r="S3725"/>
    </row>
    <row r="3726" spans="2:19" x14ac:dyDescent="0.25">
      <c r="B3726" s="6" t="s">
        <v>46</v>
      </c>
      <c r="R3726"/>
      <c r="S3726"/>
    </row>
    <row r="3727" spans="2:19" x14ac:dyDescent="0.25">
      <c r="B3727" s="6" t="s">
        <v>46</v>
      </c>
      <c r="R3727"/>
      <c r="S3727"/>
    </row>
    <row r="3728" spans="2:19" x14ac:dyDescent="0.25">
      <c r="B3728" s="6" t="s">
        <v>46</v>
      </c>
      <c r="R3728"/>
      <c r="S3728"/>
    </row>
    <row r="3729" spans="2:19" x14ac:dyDescent="0.25">
      <c r="B3729" s="6" t="s">
        <v>46</v>
      </c>
      <c r="R3729"/>
      <c r="S3729"/>
    </row>
    <row r="3730" spans="2:19" x14ac:dyDescent="0.25">
      <c r="B3730" s="6" t="s">
        <v>46</v>
      </c>
      <c r="R3730"/>
      <c r="S3730"/>
    </row>
    <row r="3731" spans="2:19" x14ac:dyDescent="0.25">
      <c r="B3731" s="6" t="s">
        <v>46</v>
      </c>
      <c r="R3731"/>
      <c r="S3731"/>
    </row>
    <row r="3732" spans="2:19" x14ac:dyDescent="0.25">
      <c r="B3732" s="6" t="s">
        <v>46</v>
      </c>
      <c r="R3732"/>
      <c r="S3732"/>
    </row>
    <row r="3733" spans="2:19" x14ac:dyDescent="0.25">
      <c r="B3733" s="6" t="s">
        <v>46</v>
      </c>
      <c r="R3733"/>
      <c r="S3733"/>
    </row>
    <row r="3734" spans="2:19" x14ac:dyDescent="0.25">
      <c r="B3734" s="6" t="s">
        <v>46</v>
      </c>
      <c r="R3734"/>
      <c r="S3734"/>
    </row>
    <row r="3735" spans="2:19" x14ac:dyDescent="0.25">
      <c r="B3735" s="6" t="s">
        <v>46</v>
      </c>
      <c r="R3735"/>
      <c r="S3735"/>
    </row>
    <row r="3736" spans="2:19" x14ac:dyDescent="0.25">
      <c r="B3736" s="6" t="s">
        <v>46</v>
      </c>
      <c r="R3736"/>
      <c r="S3736"/>
    </row>
    <row r="3737" spans="2:19" x14ac:dyDescent="0.25">
      <c r="B3737" s="6" t="s">
        <v>46</v>
      </c>
      <c r="R3737"/>
      <c r="S3737"/>
    </row>
    <row r="3738" spans="2:19" x14ac:dyDescent="0.25">
      <c r="B3738" s="6" t="s">
        <v>46</v>
      </c>
      <c r="R3738"/>
      <c r="S3738"/>
    </row>
    <row r="3739" spans="2:19" x14ac:dyDescent="0.25">
      <c r="B3739" s="6" t="s">
        <v>46</v>
      </c>
      <c r="R3739"/>
      <c r="S3739"/>
    </row>
    <row r="3740" spans="2:19" x14ac:dyDescent="0.25">
      <c r="B3740" s="6" t="s">
        <v>46</v>
      </c>
      <c r="R3740"/>
      <c r="S3740"/>
    </row>
    <row r="3741" spans="2:19" x14ac:dyDescent="0.25">
      <c r="B3741" s="6" t="s">
        <v>46</v>
      </c>
      <c r="R3741"/>
      <c r="S3741"/>
    </row>
    <row r="3742" spans="2:19" x14ac:dyDescent="0.25">
      <c r="B3742" s="6" t="s">
        <v>46</v>
      </c>
      <c r="R3742"/>
      <c r="S3742"/>
    </row>
    <row r="3743" spans="2:19" x14ac:dyDescent="0.25">
      <c r="B3743" s="6" t="s">
        <v>46</v>
      </c>
      <c r="R3743"/>
      <c r="S3743"/>
    </row>
    <row r="3744" spans="2:19" x14ac:dyDescent="0.25">
      <c r="B3744" s="6" t="s">
        <v>46</v>
      </c>
      <c r="R3744"/>
      <c r="S3744"/>
    </row>
    <row r="3745" spans="2:19" x14ac:dyDescent="0.25">
      <c r="B3745" s="6" t="s">
        <v>46</v>
      </c>
      <c r="R3745"/>
      <c r="S3745"/>
    </row>
    <row r="3746" spans="2:19" x14ac:dyDescent="0.25">
      <c r="B3746" s="6" t="s">
        <v>46</v>
      </c>
      <c r="R3746"/>
      <c r="S3746"/>
    </row>
    <row r="3747" spans="2:19" x14ac:dyDescent="0.25">
      <c r="B3747" s="6" t="s">
        <v>46</v>
      </c>
      <c r="R3747"/>
      <c r="S3747"/>
    </row>
    <row r="3748" spans="2:19" x14ac:dyDescent="0.25">
      <c r="B3748" s="6" t="s">
        <v>46</v>
      </c>
      <c r="R3748"/>
      <c r="S3748"/>
    </row>
    <row r="3749" spans="2:19" x14ac:dyDescent="0.25">
      <c r="B3749" s="6" t="s">
        <v>46</v>
      </c>
      <c r="R3749"/>
      <c r="S3749"/>
    </row>
    <row r="3750" spans="2:19" x14ac:dyDescent="0.25">
      <c r="B3750" s="6" t="s">
        <v>46</v>
      </c>
      <c r="R3750"/>
      <c r="S3750"/>
    </row>
    <row r="3751" spans="2:19" x14ac:dyDescent="0.25">
      <c r="B3751" s="6" t="s">
        <v>46</v>
      </c>
      <c r="R3751"/>
      <c r="S3751"/>
    </row>
    <row r="3752" spans="2:19" x14ac:dyDescent="0.25">
      <c r="B3752" s="6" t="s">
        <v>46</v>
      </c>
      <c r="R3752"/>
      <c r="S3752"/>
    </row>
    <row r="3753" spans="2:19" x14ac:dyDescent="0.25">
      <c r="B3753" s="6" t="s">
        <v>46</v>
      </c>
      <c r="R3753"/>
      <c r="S3753"/>
    </row>
    <row r="3754" spans="2:19" x14ac:dyDescent="0.25">
      <c r="B3754" s="6" t="s">
        <v>46</v>
      </c>
      <c r="R3754"/>
      <c r="S3754"/>
    </row>
    <row r="3755" spans="2:19" x14ac:dyDescent="0.25">
      <c r="B3755" s="6" t="s">
        <v>46</v>
      </c>
      <c r="R3755"/>
      <c r="S3755"/>
    </row>
    <row r="3756" spans="2:19" x14ac:dyDescent="0.25">
      <c r="B3756" s="6" t="s">
        <v>46</v>
      </c>
      <c r="R3756"/>
      <c r="S3756"/>
    </row>
    <row r="3757" spans="2:19" x14ac:dyDescent="0.25">
      <c r="B3757" s="6" t="s">
        <v>46</v>
      </c>
      <c r="R3757"/>
      <c r="S3757"/>
    </row>
    <row r="3758" spans="2:19" x14ac:dyDescent="0.25">
      <c r="B3758" s="6" t="s">
        <v>46</v>
      </c>
      <c r="R3758"/>
      <c r="S3758"/>
    </row>
    <row r="3759" spans="2:19" x14ac:dyDescent="0.25">
      <c r="B3759" s="6" t="s">
        <v>46</v>
      </c>
      <c r="R3759"/>
      <c r="S3759"/>
    </row>
    <row r="3760" spans="2:19" x14ac:dyDescent="0.25">
      <c r="B3760" s="6" t="s">
        <v>46</v>
      </c>
      <c r="R3760"/>
      <c r="S3760"/>
    </row>
    <row r="3761" spans="2:19" x14ac:dyDescent="0.25">
      <c r="B3761" s="6" t="s">
        <v>46</v>
      </c>
      <c r="R3761"/>
      <c r="S3761"/>
    </row>
    <row r="3762" spans="2:19" x14ac:dyDescent="0.25">
      <c r="B3762" s="6" t="s">
        <v>46</v>
      </c>
      <c r="R3762"/>
      <c r="S3762"/>
    </row>
    <row r="3763" spans="2:19" x14ac:dyDescent="0.25">
      <c r="B3763" s="6" t="s">
        <v>46</v>
      </c>
      <c r="R3763"/>
      <c r="S3763"/>
    </row>
    <row r="3764" spans="2:19" x14ac:dyDescent="0.25">
      <c r="B3764" s="6" t="s">
        <v>46</v>
      </c>
      <c r="R3764"/>
      <c r="S3764"/>
    </row>
    <row r="3765" spans="2:19" x14ac:dyDescent="0.25">
      <c r="B3765" s="6" t="s">
        <v>46</v>
      </c>
      <c r="R3765"/>
      <c r="S3765"/>
    </row>
    <row r="3766" spans="2:19" x14ac:dyDescent="0.25">
      <c r="B3766" s="6" t="s">
        <v>46</v>
      </c>
      <c r="R3766"/>
      <c r="S3766"/>
    </row>
    <row r="3767" spans="2:19" x14ac:dyDescent="0.25">
      <c r="B3767" s="6" t="s">
        <v>46</v>
      </c>
      <c r="R3767"/>
      <c r="S3767"/>
    </row>
    <row r="3768" spans="2:19" x14ac:dyDescent="0.25">
      <c r="B3768" s="6" t="s">
        <v>46</v>
      </c>
      <c r="R3768"/>
      <c r="S3768"/>
    </row>
    <row r="3769" spans="2:19" x14ac:dyDescent="0.25">
      <c r="B3769" s="6" t="s">
        <v>46</v>
      </c>
      <c r="R3769"/>
      <c r="S3769"/>
    </row>
    <row r="3770" spans="2:19" x14ac:dyDescent="0.25">
      <c r="B3770" s="6" t="s">
        <v>46</v>
      </c>
      <c r="R3770"/>
      <c r="S3770"/>
    </row>
    <row r="3771" spans="2:19" x14ac:dyDescent="0.25">
      <c r="B3771" s="6" t="s">
        <v>46</v>
      </c>
      <c r="R3771"/>
      <c r="S3771"/>
    </row>
    <row r="3772" spans="2:19" x14ac:dyDescent="0.25">
      <c r="B3772" s="6" t="s">
        <v>46</v>
      </c>
      <c r="R3772"/>
      <c r="S3772"/>
    </row>
    <row r="3773" spans="2:19" x14ac:dyDescent="0.25">
      <c r="B3773" s="6" t="s">
        <v>46</v>
      </c>
      <c r="R3773"/>
      <c r="S3773"/>
    </row>
    <row r="3774" spans="2:19" x14ac:dyDescent="0.25">
      <c r="B3774" s="6" t="s">
        <v>46</v>
      </c>
      <c r="R3774"/>
      <c r="S3774"/>
    </row>
    <row r="3775" spans="2:19" x14ac:dyDescent="0.25">
      <c r="B3775" s="6" t="s">
        <v>46</v>
      </c>
      <c r="R3775"/>
      <c r="S3775"/>
    </row>
    <row r="3776" spans="2:19" x14ac:dyDescent="0.25">
      <c r="B3776" s="6" t="s">
        <v>46</v>
      </c>
      <c r="R3776"/>
      <c r="S3776"/>
    </row>
    <row r="3777" spans="2:19" x14ac:dyDescent="0.25">
      <c r="B3777" s="6" t="s">
        <v>46</v>
      </c>
      <c r="R3777"/>
      <c r="S3777"/>
    </row>
    <row r="3778" spans="2:19" x14ac:dyDescent="0.25">
      <c r="B3778" s="6" t="s">
        <v>46</v>
      </c>
      <c r="R3778"/>
      <c r="S3778"/>
    </row>
    <row r="3779" spans="2:19" x14ac:dyDescent="0.25">
      <c r="B3779" s="6" t="s">
        <v>46</v>
      </c>
      <c r="R3779"/>
      <c r="S3779"/>
    </row>
    <row r="3780" spans="2:19" x14ac:dyDescent="0.25">
      <c r="B3780" s="6" t="s">
        <v>46</v>
      </c>
      <c r="R3780"/>
      <c r="S3780"/>
    </row>
    <row r="3781" spans="2:19" x14ac:dyDescent="0.25">
      <c r="B3781" s="6" t="s">
        <v>46</v>
      </c>
      <c r="R3781"/>
      <c r="S3781"/>
    </row>
    <row r="3782" spans="2:19" x14ac:dyDescent="0.25">
      <c r="B3782" s="6" t="s">
        <v>46</v>
      </c>
      <c r="R3782"/>
      <c r="S3782"/>
    </row>
    <row r="3783" spans="2:19" x14ac:dyDescent="0.25">
      <c r="B3783" s="6" t="s">
        <v>46</v>
      </c>
      <c r="R3783"/>
      <c r="S3783"/>
    </row>
    <row r="3784" spans="2:19" x14ac:dyDescent="0.25">
      <c r="B3784" s="6" t="s">
        <v>46</v>
      </c>
      <c r="R3784"/>
      <c r="S3784"/>
    </row>
    <row r="3785" spans="2:19" x14ac:dyDescent="0.25">
      <c r="B3785" s="6" t="s">
        <v>46</v>
      </c>
      <c r="R3785"/>
      <c r="S3785"/>
    </row>
    <row r="3786" spans="2:19" x14ac:dyDescent="0.25">
      <c r="B3786" s="6" t="s">
        <v>46</v>
      </c>
      <c r="R3786"/>
      <c r="S3786"/>
    </row>
    <row r="3787" spans="2:19" x14ac:dyDescent="0.25">
      <c r="B3787" s="6" t="s">
        <v>46</v>
      </c>
      <c r="R3787"/>
      <c r="S3787"/>
    </row>
    <row r="3788" spans="2:19" x14ac:dyDescent="0.25">
      <c r="B3788" s="6" t="s">
        <v>46</v>
      </c>
      <c r="R3788"/>
      <c r="S3788"/>
    </row>
    <row r="3789" spans="2:19" x14ac:dyDescent="0.25">
      <c r="B3789" s="6" t="s">
        <v>46</v>
      </c>
      <c r="R3789"/>
      <c r="S3789"/>
    </row>
    <row r="3790" spans="2:19" x14ac:dyDescent="0.25">
      <c r="B3790" s="6" t="s">
        <v>46</v>
      </c>
      <c r="R3790"/>
      <c r="S3790"/>
    </row>
    <row r="3791" spans="2:19" x14ac:dyDescent="0.25">
      <c r="B3791" s="6" t="s">
        <v>46</v>
      </c>
      <c r="R3791"/>
      <c r="S3791"/>
    </row>
    <row r="3792" spans="2:19" x14ac:dyDescent="0.25">
      <c r="B3792" s="6" t="s">
        <v>46</v>
      </c>
      <c r="R3792"/>
      <c r="S3792"/>
    </row>
    <row r="3793" spans="2:19" x14ac:dyDescent="0.25">
      <c r="B3793" s="6" t="s">
        <v>46</v>
      </c>
      <c r="R3793"/>
      <c r="S3793"/>
    </row>
    <row r="3794" spans="2:19" x14ac:dyDescent="0.25">
      <c r="B3794" s="6" t="s">
        <v>46</v>
      </c>
      <c r="R3794"/>
      <c r="S3794"/>
    </row>
    <row r="3795" spans="2:19" x14ac:dyDescent="0.25">
      <c r="B3795" s="6" t="s">
        <v>46</v>
      </c>
      <c r="R3795"/>
      <c r="S3795"/>
    </row>
    <row r="3796" spans="2:19" x14ac:dyDescent="0.25">
      <c r="B3796" s="6" t="s">
        <v>46</v>
      </c>
      <c r="R3796"/>
      <c r="S3796"/>
    </row>
    <row r="3797" spans="2:19" x14ac:dyDescent="0.25">
      <c r="B3797" s="6" t="s">
        <v>46</v>
      </c>
      <c r="R3797"/>
      <c r="S3797"/>
    </row>
    <row r="3798" spans="2:19" x14ac:dyDescent="0.25">
      <c r="B3798" s="6" t="s">
        <v>46</v>
      </c>
      <c r="R3798"/>
      <c r="S3798"/>
    </row>
    <row r="3799" spans="2:19" x14ac:dyDescent="0.25">
      <c r="B3799" s="6" t="s">
        <v>46</v>
      </c>
      <c r="R3799"/>
      <c r="S3799"/>
    </row>
    <row r="3800" spans="2:19" x14ac:dyDescent="0.25">
      <c r="B3800" s="6" t="s">
        <v>46</v>
      </c>
      <c r="R3800"/>
      <c r="S3800"/>
    </row>
    <row r="3801" spans="2:19" x14ac:dyDescent="0.25">
      <c r="B3801" s="6" t="s">
        <v>46</v>
      </c>
      <c r="R3801"/>
      <c r="S3801"/>
    </row>
    <row r="3802" spans="2:19" x14ac:dyDescent="0.25">
      <c r="B3802" s="6" t="s">
        <v>46</v>
      </c>
      <c r="R3802"/>
      <c r="S3802"/>
    </row>
    <row r="3803" spans="2:19" x14ac:dyDescent="0.25">
      <c r="B3803" s="6" t="s">
        <v>46</v>
      </c>
      <c r="R3803"/>
      <c r="S3803"/>
    </row>
    <row r="3804" spans="2:19" x14ac:dyDescent="0.25">
      <c r="B3804" s="6" t="s">
        <v>46</v>
      </c>
      <c r="R3804"/>
      <c r="S3804"/>
    </row>
    <row r="3805" spans="2:19" x14ac:dyDescent="0.25">
      <c r="B3805" s="6" t="s">
        <v>46</v>
      </c>
      <c r="R3805"/>
      <c r="S3805"/>
    </row>
    <row r="3806" spans="2:19" x14ac:dyDescent="0.25">
      <c r="B3806" s="6" t="s">
        <v>46</v>
      </c>
      <c r="R3806"/>
      <c r="S3806"/>
    </row>
    <row r="3807" spans="2:19" x14ac:dyDescent="0.25">
      <c r="B3807" s="6" t="s">
        <v>46</v>
      </c>
      <c r="R3807"/>
      <c r="S3807"/>
    </row>
    <row r="3808" spans="2:19" x14ac:dyDescent="0.25">
      <c r="B3808" s="6" t="s">
        <v>46</v>
      </c>
      <c r="R3808"/>
      <c r="S3808"/>
    </row>
    <row r="3809" spans="2:19" x14ac:dyDescent="0.25">
      <c r="B3809" s="6" t="s">
        <v>46</v>
      </c>
      <c r="R3809"/>
      <c r="S3809"/>
    </row>
    <row r="3810" spans="2:19" x14ac:dyDescent="0.25">
      <c r="B3810" s="6" t="s">
        <v>46</v>
      </c>
      <c r="R3810"/>
      <c r="S3810"/>
    </row>
    <row r="3811" spans="2:19" x14ac:dyDescent="0.25">
      <c r="B3811" s="6" t="s">
        <v>46</v>
      </c>
      <c r="R3811"/>
      <c r="S3811"/>
    </row>
    <row r="3812" spans="2:19" x14ac:dyDescent="0.25">
      <c r="B3812" s="6" t="s">
        <v>46</v>
      </c>
      <c r="R3812"/>
      <c r="S3812"/>
    </row>
    <row r="3813" spans="2:19" x14ac:dyDescent="0.25">
      <c r="B3813" s="6" t="s">
        <v>46</v>
      </c>
      <c r="R3813"/>
      <c r="S3813"/>
    </row>
    <row r="3814" spans="2:19" x14ac:dyDescent="0.25">
      <c r="B3814" s="6" t="s">
        <v>46</v>
      </c>
      <c r="R3814"/>
      <c r="S3814"/>
    </row>
    <row r="3815" spans="2:19" x14ac:dyDescent="0.25">
      <c r="B3815" s="6" t="s">
        <v>46</v>
      </c>
      <c r="R3815"/>
      <c r="S3815"/>
    </row>
    <row r="3816" spans="2:19" x14ac:dyDescent="0.25">
      <c r="B3816" s="6" t="s">
        <v>46</v>
      </c>
      <c r="R3816"/>
      <c r="S3816"/>
    </row>
    <row r="3817" spans="2:19" x14ac:dyDescent="0.25">
      <c r="B3817" s="6" t="s">
        <v>46</v>
      </c>
      <c r="R3817"/>
      <c r="S3817"/>
    </row>
    <row r="3818" spans="2:19" x14ac:dyDescent="0.25">
      <c r="B3818" s="6" t="s">
        <v>46</v>
      </c>
      <c r="R3818"/>
      <c r="S3818"/>
    </row>
    <row r="3819" spans="2:19" x14ac:dyDescent="0.25">
      <c r="B3819" s="6" t="s">
        <v>46</v>
      </c>
      <c r="R3819"/>
      <c r="S3819"/>
    </row>
    <row r="3820" spans="2:19" x14ac:dyDescent="0.25">
      <c r="B3820" s="6" t="s">
        <v>46</v>
      </c>
      <c r="R3820"/>
      <c r="S3820"/>
    </row>
    <row r="3821" spans="2:19" x14ac:dyDescent="0.25">
      <c r="B3821" s="6" t="s">
        <v>46</v>
      </c>
      <c r="R3821"/>
      <c r="S3821"/>
    </row>
    <row r="3822" spans="2:19" x14ac:dyDescent="0.25">
      <c r="B3822" s="6" t="s">
        <v>46</v>
      </c>
      <c r="R3822"/>
      <c r="S3822"/>
    </row>
    <row r="3823" spans="2:19" x14ac:dyDescent="0.25">
      <c r="B3823" s="6" t="s">
        <v>46</v>
      </c>
      <c r="R3823"/>
      <c r="S3823"/>
    </row>
    <row r="3824" spans="2:19" x14ac:dyDescent="0.25">
      <c r="B3824" s="6" t="s">
        <v>46</v>
      </c>
      <c r="R3824"/>
      <c r="S3824"/>
    </row>
    <row r="3825" spans="2:19" x14ac:dyDescent="0.25">
      <c r="B3825" s="6" t="s">
        <v>46</v>
      </c>
      <c r="R3825"/>
      <c r="S3825"/>
    </row>
    <row r="3826" spans="2:19" x14ac:dyDescent="0.25">
      <c r="B3826" s="6" t="s">
        <v>46</v>
      </c>
      <c r="R3826"/>
      <c r="S3826"/>
    </row>
    <row r="3827" spans="2:19" x14ac:dyDescent="0.25">
      <c r="B3827" s="6" t="s">
        <v>46</v>
      </c>
      <c r="R3827"/>
      <c r="S3827"/>
    </row>
    <row r="3828" spans="2:19" x14ac:dyDescent="0.25">
      <c r="B3828" s="6" t="s">
        <v>46</v>
      </c>
      <c r="R3828"/>
      <c r="S3828"/>
    </row>
    <row r="3829" spans="2:19" x14ac:dyDescent="0.25">
      <c r="B3829" s="6" t="s">
        <v>46</v>
      </c>
      <c r="R3829"/>
      <c r="S3829"/>
    </row>
    <row r="3830" spans="2:19" x14ac:dyDescent="0.25">
      <c r="B3830" s="6" t="s">
        <v>46</v>
      </c>
      <c r="R3830"/>
      <c r="S3830"/>
    </row>
    <row r="3831" spans="2:19" x14ac:dyDescent="0.25">
      <c r="B3831" s="6" t="s">
        <v>46</v>
      </c>
      <c r="R3831"/>
      <c r="S3831"/>
    </row>
    <row r="3832" spans="2:19" x14ac:dyDescent="0.25">
      <c r="B3832" s="6" t="s">
        <v>46</v>
      </c>
      <c r="R3832"/>
      <c r="S3832"/>
    </row>
    <row r="3833" spans="2:19" x14ac:dyDescent="0.25">
      <c r="B3833" s="6" t="s">
        <v>46</v>
      </c>
      <c r="R3833"/>
      <c r="S3833"/>
    </row>
    <row r="3834" spans="2:19" x14ac:dyDescent="0.25">
      <c r="B3834" s="6" t="s">
        <v>46</v>
      </c>
      <c r="R3834"/>
      <c r="S3834"/>
    </row>
    <row r="3835" spans="2:19" x14ac:dyDescent="0.25">
      <c r="B3835" s="6" t="s">
        <v>46</v>
      </c>
      <c r="R3835"/>
      <c r="S3835"/>
    </row>
    <row r="3836" spans="2:19" x14ac:dyDescent="0.25">
      <c r="B3836" s="6" t="s">
        <v>46</v>
      </c>
      <c r="R3836"/>
      <c r="S3836"/>
    </row>
    <row r="3837" spans="2:19" x14ac:dyDescent="0.25">
      <c r="B3837" s="6" t="s">
        <v>46</v>
      </c>
      <c r="R3837"/>
      <c r="S3837"/>
    </row>
    <row r="3838" spans="2:19" x14ac:dyDescent="0.25">
      <c r="B3838" s="6" t="s">
        <v>46</v>
      </c>
      <c r="R3838"/>
      <c r="S3838"/>
    </row>
    <row r="3839" spans="2:19" x14ac:dyDescent="0.25">
      <c r="B3839" s="6" t="s">
        <v>46</v>
      </c>
      <c r="R3839"/>
      <c r="S3839"/>
    </row>
    <row r="3840" spans="2:19" x14ac:dyDescent="0.25">
      <c r="B3840" s="6" t="s">
        <v>46</v>
      </c>
      <c r="R3840"/>
      <c r="S3840"/>
    </row>
    <row r="3841" spans="2:19" x14ac:dyDescent="0.25">
      <c r="B3841" s="6" t="s">
        <v>46</v>
      </c>
      <c r="R3841"/>
      <c r="S3841"/>
    </row>
    <row r="3842" spans="2:19" x14ac:dyDescent="0.25">
      <c r="B3842" s="6" t="s">
        <v>46</v>
      </c>
      <c r="R3842"/>
      <c r="S3842"/>
    </row>
    <row r="3843" spans="2:19" x14ac:dyDescent="0.25">
      <c r="B3843" s="6" t="s">
        <v>46</v>
      </c>
      <c r="R3843"/>
      <c r="S3843"/>
    </row>
    <row r="3844" spans="2:19" x14ac:dyDescent="0.25">
      <c r="B3844" s="6" t="s">
        <v>46</v>
      </c>
      <c r="R3844"/>
      <c r="S3844"/>
    </row>
    <row r="3845" spans="2:19" x14ac:dyDescent="0.25">
      <c r="B3845" s="6" t="s">
        <v>46</v>
      </c>
      <c r="R3845"/>
      <c r="S3845"/>
    </row>
    <row r="3846" spans="2:19" x14ac:dyDescent="0.25">
      <c r="B3846" s="6" t="s">
        <v>46</v>
      </c>
      <c r="R3846"/>
      <c r="S3846"/>
    </row>
    <row r="3847" spans="2:19" x14ac:dyDescent="0.25">
      <c r="B3847" s="6" t="s">
        <v>46</v>
      </c>
      <c r="R3847"/>
      <c r="S3847"/>
    </row>
    <row r="3848" spans="2:19" x14ac:dyDescent="0.25">
      <c r="B3848" s="6" t="s">
        <v>46</v>
      </c>
      <c r="R3848"/>
      <c r="S3848"/>
    </row>
    <row r="3849" spans="2:19" x14ac:dyDescent="0.25">
      <c r="B3849" s="6" t="s">
        <v>46</v>
      </c>
      <c r="R3849"/>
      <c r="S3849"/>
    </row>
    <row r="3850" spans="2:19" x14ac:dyDescent="0.25">
      <c r="B3850" s="6" t="s">
        <v>46</v>
      </c>
      <c r="R3850"/>
      <c r="S3850"/>
    </row>
    <row r="3851" spans="2:19" x14ac:dyDescent="0.25">
      <c r="B3851" s="6" t="s">
        <v>46</v>
      </c>
      <c r="R3851"/>
      <c r="S3851"/>
    </row>
    <row r="3852" spans="2:19" x14ac:dyDescent="0.25">
      <c r="B3852" s="6" t="s">
        <v>46</v>
      </c>
      <c r="R3852"/>
      <c r="S3852"/>
    </row>
    <row r="3853" spans="2:19" x14ac:dyDescent="0.25">
      <c r="B3853" s="6" t="s">
        <v>46</v>
      </c>
      <c r="R3853"/>
      <c r="S3853"/>
    </row>
    <row r="3854" spans="2:19" x14ac:dyDescent="0.25">
      <c r="B3854" s="6" t="s">
        <v>46</v>
      </c>
      <c r="R3854"/>
      <c r="S3854"/>
    </row>
    <row r="3855" spans="2:19" x14ac:dyDescent="0.25">
      <c r="B3855" s="6" t="s">
        <v>46</v>
      </c>
      <c r="R3855"/>
      <c r="S3855"/>
    </row>
    <row r="3856" spans="2:19" x14ac:dyDescent="0.25">
      <c r="B3856" s="6" t="s">
        <v>46</v>
      </c>
      <c r="R3856"/>
      <c r="S3856"/>
    </row>
    <row r="3857" spans="2:19" x14ac:dyDescent="0.25">
      <c r="B3857" s="6" t="s">
        <v>46</v>
      </c>
      <c r="R3857"/>
      <c r="S3857"/>
    </row>
    <row r="3858" spans="2:19" x14ac:dyDescent="0.25">
      <c r="B3858" s="6" t="s">
        <v>46</v>
      </c>
      <c r="R3858"/>
      <c r="S3858"/>
    </row>
    <row r="3859" spans="2:19" x14ac:dyDescent="0.25">
      <c r="B3859" s="6" t="s">
        <v>46</v>
      </c>
      <c r="R3859"/>
      <c r="S3859"/>
    </row>
    <row r="3860" spans="2:19" x14ac:dyDescent="0.25">
      <c r="B3860" s="6" t="s">
        <v>46</v>
      </c>
      <c r="R3860"/>
      <c r="S3860"/>
    </row>
    <row r="3861" spans="2:19" x14ac:dyDescent="0.25">
      <c r="B3861" s="6" t="s">
        <v>46</v>
      </c>
      <c r="R3861"/>
      <c r="S3861"/>
    </row>
    <row r="3862" spans="2:19" x14ac:dyDescent="0.25">
      <c r="B3862" s="6" t="s">
        <v>46</v>
      </c>
      <c r="R3862"/>
      <c r="S3862"/>
    </row>
    <row r="3863" spans="2:19" x14ac:dyDescent="0.25">
      <c r="B3863" s="6" t="s">
        <v>46</v>
      </c>
      <c r="R3863"/>
      <c r="S3863"/>
    </row>
    <row r="3864" spans="2:19" x14ac:dyDescent="0.25">
      <c r="B3864" s="6" t="s">
        <v>46</v>
      </c>
      <c r="R3864"/>
      <c r="S3864"/>
    </row>
    <row r="3865" spans="2:19" x14ac:dyDescent="0.25">
      <c r="B3865" s="6" t="s">
        <v>46</v>
      </c>
      <c r="R3865"/>
      <c r="S3865"/>
    </row>
    <row r="3866" spans="2:19" x14ac:dyDescent="0.25">
      <c r="B3866" s="6" t="s">
        <v>46</v>
      </c>
      <c r="R3866"/>
      <c r="S3866"/>
    </row>
    <row r="3867" spans="2:19" x14ac:dyDescent="0.25">
      <c r="B3867" s="6" t="s">
        <v>46</v>
      </c>
      <c r="R3867"/>
      <c r="S3867"/>
    </row>
    <row r="3868" spans="2:19" x14ac:dyDescent="0.25">
      <c r="B3868" s="6" t="s">
        <v>46</v>
      </c>
      <c r="R3868"/>
      <c r="S3868"/>
    </row>
    <row r="3869" spans="2:19" x14ac:dyDescent="0.25">
      <c r="B3869" s="6" t="s">
        <v>46</v>
      </c>
      <c r="R3869"/>
      <c r="S3869"/>
    </row>
    <row r="3870" spans="2:19" x14ac:dyDescent="0.25">
      <c r="B3870" s="6" t="s">
        <v>46</v>
      </c>
      <c r="R3870"/>
      <c r="S3870"/>
    </row>
    <row r="3871" spans="2:19" x14ac:dyDescent="0.25">
      <c r="B3871" s="6" t="s">
        <v>46</v>
      </c>
      <c r="R3871"/>
      <c r="S3871"/>
    </row>
    <row r="3872" spans="2:19" x14ac:dyDescent="0.25">
      <c r="B3872" s="6" t="s">
        <v>46</v>
      </c>
      <c r="R3872"/>
      <c r="S3872"/>
    </row>
    <row r="3873" spans="2:19" x14ac:dyDescent="0.25">
      <c r="B3873" s="6" t="s">
        <v>46</v>
      </c>
      <c r="R3873"/>
      <c r="S3873"/>
    </row>
    <row r="3874" spans="2:19" x14ac:dyDescent="0.25">
      <c r="B3874" s="6" t="s">
        <v>46</v>
      </c>
      <c r="R3874"/>
      <c r="S3874"/>
    </row>
    <row r="3875" spans="2:19" x14ac:dyDescent="0.25">
      <c r="B3875" s="6" t="s">
        <v>46</v>
      </c>
      <c r="R3875"/>
      <c r="S3875"/>
    </row>
    <row r="3876" spans="2:19" x14ac:dyDescent="0.25">
      <c r="B3876" s="6" t="s">
        <v>46</v>
      </c>
      <c r="R3876"/>
      <c r="S3876"/>
    </row>
    <row r="3877" spans="2:19" x14ac:dyDescent="0.25">
      <c r="B3877" s="6" t="s">
        <v>46</v>
      </c>
      <c r="R3877"/>
      <c r="S3877"/>
    </row>
    <row r="3878" spans="2:19" x14ac:dyDescent="0.25">
      <c r="B3878" s="6" t="s">
        <v>46</v>
      </c>
      <c r="R3878"/>
      <c r="S3878"/>
    </row>
    <row r="3879" spans="2:19" x14ac:dyDescent="0.25">
      <c r="B3879" s="6" t="s">
        <v>46</v>
      </c>
      <c r="R3879"/>
      <c r="S3879"/>
    </row>
    <row r="3880" spans="2:19" x14ac:dyDescent="0.25">
      <c r="B3880" s="6" t="s">
        <v>46</v>
      </c>
      <c r="R3880"/>
      <c r="S3880"/>
    </row>
    <row r="3881" spans="2:19" x14ac:dyDescent="0.25">
      <c r="B3881" s="6" t="s">
        <v>46</v>
      </c>
      <c r="R3881"/>
      <c r="S3881"/>
    </row>
    <row r="3882" spans="2:19" x14ac:dyDescent="0.25">
      <c r="B3882" s="6" t="s">
        <v>46</v>
      </c>
      <c r="R3882"/>
      <c r="S3882"/>
    </row>
    <row r="3883" spans="2:19" x14ac:dyDescent="0.25">
      <c r="B3883" s="6" t="s">
        <v>46</v>
      </c>
      <c r="R3883"/>
      <c r="S3883"/>
    </row>
    <row r="3884" spans="2:19" x14ac:dyDescent="0.25">
      <c r="B3884" s="6" t="s">
        <v>46</v>
      </c>
      <c r="R3884"/>
      <c r="S3884"/>
    </row>
    <row r="3885" spans="2:19" x14ac:dyDescent="0.25">
      <c r="B3885" s="6" t="s">
        <v>46</v>
      </c>
      <c r="R3885"/>
      <c r="S3885"/>
    </row>
    <row r="3886" spans="2:19" x14ac:dyDescent="0.25">
      <c r="B3886" s="6" t="s">
        <v>46</v>
      </c>
      <c r="R3886"/>
      <c r="S3886"/>
    </row>
    <row r="3887" spans="2:19" x14ac:dyDescent="0.25">
      <c r="B3887" s="6" t="s">
        <v>46</v>
      </c>
      <c r="R3887"/>
      <c r="S3887"/>
    </row>
    <row r="3888" spans="2:19" x14ac:dyDescent="0.25">
      <c r="B3888" s="6" t="s">
        <v>46</v>
      </c>
      <c r="R3888"/>
      <c r="S3888"/>
    </row>
    <row r="3889" spans="2:19" x14ac:dyDescent="0.25">
      <c r="B3889" s="6" t="s">
        <v>46</v>
      </c>
      <c r="R3889"/>
      <c r="S3889"/>
    </row>
    <row r="3890" spans="2:19" x14ac:dyDescent="0.25">
      <c r="B3890" s="6" t="s">
        <v>46</v>
      </c>
      <c r="R3890"/>
      <c r="S3890"/>
    </row>
    <row r="3891" spans="2:19" x14ac:dyDescent="0.25">
      <c r="B3891" s="6" t="s">
        <v>46</v>
      </c>
      <c r="R3891"/>
      <c r="S3891"/>
    </row>
    <row r="3892" spans="2:19" x14ac:dyDescent="0.25">
      <c r="B3892" s="6" t="s">
        <v>46</v>
      </c>
      <c r="R3892"/>
      <c r="S3892"/>
    </row>
    <row r="3893" spans="2:19" x14ac:dyDescent="0.25">
      <c r="B3893" s="6" t="s">
        <v>46</v>
      </c>
      <c r="R3893"/>
      <c r="S3893"/>
    </row>
    <row r="3894" spans="2:19" x14ac:dyDescent="0.25">
      <c r="B3894" s="6" t="s">
        <v>46</v>
      </c>
      <c r="R3894"/>
      <c r="S3894"/>
    </row>
    <row r="3895" spans="2:19" x14ac:dyDescent="0.25">
      <c r="B3895" s="6" t="s">
        <v>46</v>
      </c>
      <c r="R3895"/>
      <c r="S3895"/>
    </row>
    <row r="3896" spans="2:19" x14ac:dyDescent="0.25">
      <c r="B3896" s="6" t="s">
        <v>46</v>
      </c>
      <c r="R3896"/>
      <c r="S3896"/>
    </row>
    <row r="3897" spans="2:19" x14ac:dyDescent="0.25">
      <c r="B3897" s="6" t="s">
        <v>46</v>
      </c>
      <c r="R3897"/>
      <c r="S3897"/>
    </row>
    <row r="3898" spans="2:19" x14ac:dyDescent="0.25">
      <c r="B3898" s="6" t="s">
        <v>46</v>
      </c>
      <c r="R3898"/>
      <c r="S3898"/>
    </row>
    <row r="3899" spans="2:19" x14ac:dyDescent="0.25">
      <c r="B3899" s="6" t="s">
        <v>46</v>
      </c>
      <c r="R3899"/>
      <c r="S3899"/>
    </row>
    <row r="3900" spans="2:19" x14ac:dyDescent="0.25">
      <c r="B3900" s="6" t="s">
        <v>46</v>
      </c>
      <c r="R3900"/>
      <c r="S3900"/>
    </row>
    <row r="3901" spans="2:19" x14ac:dyDescent="0.25">
      <c r="B3901" s="6" t="s">
        <v>46</v>
      </c>
      <c r="R3901"/>
      <c r="S3901"/>
    </row>
    <row r="3902" spans="2:19" x14ac:dyDescent="0.25">
      <c r="B3902" s="6" t="s">
        <v>46</v>
      </c>
      <c r="R3902"/>
      <c r="S3902"/>
    </row>
    <row r="3903" spans="2:19" x14ac:dyDescent="0.25">
      <c r="B3903" s="6" t="s">
        <v>46</v>
      </c>
      <c r="R3903"/>
      <c r="S3903"/>
    </row>
    <row r="3904" spans="2:19" x14ac:dyDescent="0.25">
      <c r="B3904" s="6" t="s">
        <v>46</v>
      </c>
      <c r="R3904"/>
      <c r="S3904"/>
    </row>
    <row r="3905" spans="2:19" x14ac:dyDescent="0.25">
      <c r="B3905" s="6" t="s">
        <v>46</v>
      </c>
      <c r="R3905"/>
      <c r="S3905"/>
    </row>
    <row r="3906" spans="2:19" x14ac:dyDescent="0.25">
      <c r="B3906" s="6" t="s">
        <v>46</v>
      </c>
      <c r="R3906"/>
      <c r="S3906"/>
    </row>
    <row r="3907" spans="2:19" x14ac:dyDescent="0.25">
      <c r="B3907" s="6" t="s">
        <v>46</v>
      </c>
      <c r="R3907"/>
      <c r="S3907"/>
    </row>
    <row r="3908" spans="2:19" x14ac:dyDescent="0.25">
      <c r="B3908" s="6" t="s">
        <v>46</v>
      </c>
      <c r="R3908"/>
      <c r="S3908"/>
    </row>
    <row r="3909" spans="2:19" x14ac:dyDescent="0.25">
      <c r="B3909" s="6" t="s">
        <v>46</v>
      </c>
      <c r="R3909"/>
      <c r="S3909"/>
    </row>
    <row r="3910" spans="2:19" x14ac:dyDescent="0.25">
      <c r="B3910" s="6" t="s">
        <v>46</v>
      </c>
      <c r="R3910"/>
      <c r="S3910"/>
    </row>
    <row r="3911" spans="2:19" x14ac:dyDescent="0.25">
      <c r="B3911" s="6" t="s">
        <v>46</v>
      </c>
      <c r="R3911"/>
      <c r="S3911"/>
    </row>
    <row r="3912" spans="2:19" x14ac:dyDescent="0.25">
      <c r="B3912" s="6" t="s">
        <v>46</v>
      </c>
      <c r="R3912"/>
      <c r="S3912"/>
    </row>
    <row r="3913" spans="2:19" x14ac:dyDescent="0.25">
      <c r="B3913" s="6" t="s">
        <v>46</v>
      </c>
      <c r="R3913"/>
      <c r="S3913"/>
    </row>
    <row r="3914" spans="2:19" x14ac:dyDescent="0.25">
      <c r="B3914" s="6" t="s">
        <v>46</v>
      </c>
      <c r="R3914"/>
      <c r="S3914"/>
    </row>
    <row r="3915" spans="2:19" x14ac:dyDescent="0.25">
      <c r="B3915" s="6" t="s">
        <v>46</v>
      </c>
      <c r="R3915"/>
      <c r="S3915"/>
    </row>
    <row r="3916" spans="2:19" x14ac:dyDescent="0.25">
      <c r="B3916" s="6" t="s">
        <v>46</v>
      </c>
      <c r="R3916"/>
      <c r="S3916"/>
    </row>
    <row r="3917" spans="2:19" x14ac:dyDescent="0.25">
      <c r="B3917" s="6" t="s">
        <v>46</v>
      </c>
      <c r="R3917"/>
      <c r="S3917"/>
    </row>
    <row r="3918" spans="2:19" x14ac:dyDescent="0.25">
      <c r="B3918" s="6" t="s">
        <v>46</v>
      </c>
      <c r="R3918"/>
      <c r="S3918"/>
    </row>
    <row r="3919" spans="2:19" x14ac:dyDescent="0.25">
      <c r="B3919" s="6" t="s">
        <v>46</v>
      </c>
      <c r="R3919"/>
      <c r="S3919"/>
    </row>
    <row r="3920" spans="2:19" x14ac:dyDescent="0.25">
      <c r="B3920" s="6" t="s">
        <v>46</v>
      </c>
      <c r="R3920"/>
      <c r="S3920"/>
    </row>
    <row r="3921" spans="2:19" x14ac:dyDescent="0.25">
      <c r="B3921" s="6" t="s">
        <v>46</v>
      </c>
      <c r="R3921"/>
      <c r="S3921"/>
    </row>
    <row r="3922" spans="2:19" x14ac:dyDescent="0.25">
      <c r="B3922" s="6" t="s">
        <v>46</v>
      </c>
      <c r="R3922"/>
      <c r="S3922"/>
    </row>
    <row r="3923" spans="2:19" x14ac:dyDescent="0.25">
      <c r="B3923" s="6" t="s">
        <v>46</v>
      </c>
      <c r="R3923"/>
      <c r="S3923"/>
    </row>
    <row r="3924" spans="2:19" x14ac:dyDescent="0.25">
      <c r="B3924" s="6" t="s">
        <v>46</v>
      </c>
      <c r="R3924"/>
      <c r="S3924"/>
    </row>
    <row r="3925" spans="2:19" x14ac:dyDescent="0.25">
      <c r="B3925" s="6" t="s">
        <v>46</v>
      </c>
      <c r="R3925"/>
      <c r="S3925"/>
    </row>
    <row r="3926" spans="2:19" x14ac:dyDescent="0.25">
      <c r="B3926" s="6" t="s">
        <v>46</v>
      </c>
      <c r="R3926"/>
      <c r="S3926"/>
    </row>
    <row r="3927" spans="2:19" x14ac:dyDescent="0.25">
      <c r="B3927" s="6" t="s">
        <v>46</v>
      </c>
      <c r="R3927"/>
      <c r="S3927"/>
    </row>
    <row r="3928" spans="2:19" x14ac:dyDescent="0.25">
      <c r="B3928" s="6" t="s">
        <v>46</v>
      </c>
      <c r="R3928"/>
      <c r="S3928"/>
    </row>
    <row r="3929" spans="2:19" x14ac:dyDescent="0.25">
      <c r="B3929" s="6" t="s">
        <v>46</v>
      </c>
      <c r="R3929"/>
      <c r="S3929"/>
    </row>
    <row r="3930" spans="2:19" x14ac:dyDescent="0.25">
      <c r="B3930" s="6" t="s">
        <v>46</v>
      </c>
      <c r="R3930"/>
      <c r="S3930"/>
    </row>
    <row r="3931" spans="2:19" x14ac:dyDescent="0.25">
      <c r="B3931" s="6" t="s">
        <v>46</v>
      </c>
      <c r="R3931"/>
      <c r="S3931"/>
    </row>
    <row r="3932" spans="2:19" x14ac:dyDescent="0.25">
      <c r="B3932" s="6" t="s">
        <v>46</v>
      </c>
      <c r="R3932"/>
      <c r="S3932"/>
    </row>
    <row r="3933" spans="2:19" x14ac:dyDescent="0.25">
      <c r="B3933" s="6" t="s">
        <v>46</v>
      </c>
      <c r="R3933"/>
      <c r="S3933"/>
    </row>
    <row r="3934" spans="2:19" x14ac:dyDescent="0.25">
      <c r="B3934" s="6" t="s">
        <v>46</v>
      </c>
      <c r="R3934"/>
      <c r="S3934"/>
    </row>
    <row r="3935" spans="2:19" x14ac:dyDescent="0.25">
      <c r="B3935" s="6" t="s">
        <v>46</v>
      </c>
      <c r="R3935"/>
      <c r="S3935"/>
    </row>
    <row r="3936" spans="2:19" x14ac:dyDescent="0.25">
      <c r="B3936" s="6" t="s">
        <v>46</v>
      </c>
      <c r="R3936"/>
      <c r="S3936"/>
    </row>
    <row r="3937" spans="2:19" x14ac:dyDescent="0.25">
      <c r="B3937" s="6" t="s">
        <v>46</v>
      </c>
      <c r="R3937"/>
      <c r="S3937"/>
    </row>
    <row r="3938" spans="2:19" x14ac:dyDescent="0.25">
      <c r="B3938" s="6" t="s">
        <v>46</v>
      </c>
      <c r="R3938"/>
      <c r="S3938"/>
    </row>
    <row r="3939" spans="2:19" x14ac:dyDescent="0.25">
      <c r="B3939" s="6" t="s">
        <v>46</v>
      </c>
      <c r="R3939"/>
      <c r="S3939"/>
    </row>
    <row r="3940" spans="2:19" x14ac:dyDescent="0.25">
      <c r="B3940" s="6" t="s">
        <v>46</v>
      </c>
      <c r="R3940"/>
      <c r="S3940"/>
    </row>
    <row r="3941" spans="2:19" x14ac:dyDescent="0.25">
      <c r="B3941" s="6" t="s">
        <v>46</v>
      </c>
      <c r="R3941"/>
      <c r="S3941"/>
    </row>
    <row r="3942" spans="2:19" x14ac:dyDescent="0.25">
      <c r="B3942" s="6" t="s">
        <v>46</v>
      </c>
      <c r="R3942"/>
      <c r="S3942"/>
    </row>
    <row r="3943" spans="2:19" x14ac:dyDescent="0.25">
      <c r="B3943" s="6" t="s">
        <v>46</v>
      </c>
      <c r="R3943"/>
      <c r="S3943"/>
    </row>
    <row r="3944" spans="2:19" x14ac:dyDescent="0.25">
      <c r="B3944" s="6" t="s">
        <v>46</v>
      </c>
      <c r="R3944"/>
      <c r="S3944"/>
    </row>
    <row r="3945" spans="2:19" x14ac:dyDescent="0.25">
      <c r="B3945" s="6" t="s">
        <v>46</v>
      </c>
      <c r="R3945"/>
      <c r="S3945"/>
    </row>
    <row r="3946" spans="2:19" x14ac:dyDescent="0.25">
      <c r="B3946" s="6" t="s">
        <v>46</v>
      </c>
      <c r="R3946"/>
      <c r="S3946"/>
    </row>
    <row r="3947" spans="2:19" x14ac:dyDescent="0.25">
      <c r="B3947" s="6" t="s">
        <v>46</v>
      </c>
      <c r="R3947"/>
      <c r="S3947"/>
    </row>
    <row r="3948" spans="2:19" x14ac:dyDescent="0.25">
      <c r="B3948" s="6" t="s">
        <v>46</v>
      </c>
      <c r="R3948"/>
      <c r="S3948"/>
    </row>
    <row r="3949" spans="2:19" x14ac:dyDescent="0.25">
      <c r="B3949" s="6" t="s">
        <v>46</v>
      </c>
      <c r="R3949"/>
      <c r="S3949"/>
    </row>
    <row r="3950" spans="2:19" x14ac:dyDescent="0.25">
      <c r="B3950" s="6" t="s">
        <v>46</v>
      </c>
      <c r="R3950"/>
      <c r="S3950"/>
    </row>
    <row r="3951" spans="2:19" x14ac:dyDescent="0.25">
      <c r="B3951" s="6" t="s">
        <v>46</v>
      </c>
      <c r="R3951"/>
      <c r="S3951"/>
    </row>
    <row r="3952" spans="2:19" x14ac:dyDescent="0.25">
      <c r="B3952" s="6" t="s">
        <v>46</v>
      </c>
      <c r="R3952"/>
      <c r="S3952"/>
    </row>
    <row r="3953" spans="2:19" x14ac:dyDescent="0.25">
      <c r="B3953" s="6" t="s">
        <v>46</v>
      </c>
      <c r="R3953"/>
      <c r="S3953"/>
    </row>
    <row r="3954" spans="2:19" x14ac:dyDescent="0.25">
      <c r="B3954" s="6" t="s">
        <v>46</v>
      </c>
      <c r="R3954"/>
      <c r="S3954"/>
    </row>
    <row r="3955" spans="2:19" x14ac:dyDescent="0.25">
      <c r="B3955" s="6" t="s">
        <v>46</v>
      </c>
      <c r="R3955"/>
      <c r="S3955"/>
    </row>
    <row r="3956" spans="2:19" x14ac:dyDescent="0.25">
      <c r="B3956" s="6" t="s">
        <v>46</v>
      </c>
      <c r="R3956"/>
      <c r="S3956"/>
    </row>
    <row r="3957" spans="2:19" x14ac:dyDescent="0.25">
      <c r="B3957" s="6" t="s">
        <v>46</v>
      </c>
      <c r="R3957"/>
      <c r="S3957"/>
    </row>
    <row r="3958" spans="2:19" x14ac:dyDescent="0.25">
      <c r="B3958" s="6" t="s">
        <v>46</v>
      </c>
      <c r="R3958"/>
      <c r="S3958"/>
    </row>
    <row r="3959" spans="2:19" x14ac:dyDescent="0.25">
      <c r="B3959" s="6" t="s">
        <v>46</v>
      </c>
      <c r="R3959"/>
      <c r="S3959"/>
    </row>
    <row r="3960" spans="2:19" x14ac:dyDescent="0.25">
      <c r="B3960" s="6" t="s">
        <v>46</v>
      </c>
      <c r="R3960"/>
      <c r="S3960"/>
    </row>
    <row r="3961" spans="2:19" x14ac:dyDescent="0.25">
      <c r="B3961" s="6" t="s">
        <v>46</v>
      </c>
      <c r="R3961"/>
      <c r="S3961"/>
    </row>
    <row r="3962" spans="2:19" x14ac:dyDescent="0.25">
      <c r="B3962" s="6" t="s">
        <v>46</v>
      </c>
      <c r="R3962"/>
      <c r="S3962"/>
    </row>
    <row r="3963" spans="2:19" x14ac:dyDescent="0.25">
      <c r="B3963" s="6" t="s">
        <v>46</v>
      </c>
      <c r="R3963"/>
      <c r="S3963"/>
    </row>
    <row r="3964" spans="2:19" x14ac:dyDescent="0.25">
      <c r="B3964" s="6" t="s">
        <v>46</v>
      </c>
      <c r="R3964"/>
      <c r="S3964"/>
    </row>
    <row r="3965" spans="2:19" x14ac:dyDescent="0.25">
      <c r="B3965" s="6" t="s">
        <v>46</v>
      </c>
      <c r="R3965"/>
      <c r="S3965"/>
    </row>
    <row r="3966" spans="2:19" x14ac:dyDescent="0.25">
      <c r="B3966" s="6" t="s">
        <v>46</v>
      </c>
      <c r="R3966"/>
      <c r="S3966"/>
    </row>
    <row r="3967" spans="2:19" x14ac:dyDescent="0.25">
      <c r="B3967" s="6" t="s">
        <v>46</v>
      </c>
      <c r="R3967"/>
      <c r="S3967"/>
    </row>
    <row r="3968" spans="2:19" x14ac:dyDescent="0.25">
      <c r="B3968" s="6" t="s">
        <v>46</v>
      </c>
      <c r="R3968"/>
      <c r="S3968"/>
    </row>
    <row r="3969" spans="2:19" x14ac:dyDescent="0.25">
      <c r="B3969" s="6" t="s">
        <v>46</v>
      </c>
      <c r="R3969"/>
      <c r="S3969"/>
    </row>
    <row r="3970" spans="2:19" x14ac:dyDescent="0.25">
      <c r="B3970" s="6" t="s">
        <v>46</v>
      </c>
      <c r="R3970"/>
      <c r="S3970"/>
    </row>
    <row r="3971" spans="2:19" x14ac:dyDescent="0.25">
      <c r="B3971" s="6" t="s">
        <v>46</v>
      </c>
      <c r="R3971"/>
      <c r="S3971"/>
    </row>
    <row r="3972" spans="2:19" x14ac:dyDescent="0.25">
      <c r="B3972" s="6" t="s">
        <v>46</v>
      </c>
      <c r="R3972"/>
      <c r="S3972"/>
    </row>
    <row r="3973" spans="2:19" x14ac:dyDescent="0.25">
      <c r="B3973" s="6" t="s">
        <v>46</v>
      </c>
      <c r="R3973"/>
      <c r="S3973"/>
    </row>
    <row r="3974" spans="2:19" x14ac:dyDescent="0.25">
      <c r="B3974" s="6" t="s">
        <v>46</v>
      </c>
      <c r="R3974"/>
      <c r="S3974"/>
    </row>
    <row r="3975" spans="2:19" x14ac:dyDescent="0.25">
      <c r="B3975" s="6" t="s">
        <v>46</v>
      </c>
      <c r="R3975"/>
      <c r="S3975"/>
    </row>
    <row r="3976" spans="2:19" x14ac:dyDescent="0.25">
      <c r="B3976" s="6" t="s">
        <v>46</v>
      </c>
      <c r="R3976"/>
      <c r="S3976"/>
    </row>
    <row r="3977" spans="2:19" x14ac:dyDescent="0.25">
      <c r="B3977" s="6" t="s">
        <v>46</v>
      </c>
      <c r="R3977"/>
      <c r="S3977"/>
    </row>
    <row r="3978" spans="2:19" x14ac:dyDescent="0.25">
      <c r="B3978" s="6" t="s">
        <v>46</v>
      </c>
      <c r="R3978"/>
      <c r="S3978"/>
    </row>
    <row r="3979" spans="2:19" x14ac:dyDescent="0.25">
      <c r="B3979" s="6" t="s">
        <v>46</v>
      </c>
      <c r="R3979"/>
      <c r="S3979"/>
    </row>
    <row r="3980" spans="2:19" x14ac:dyDescent="0.25">
      <c r="B3980" s="6" t="s">
        <v>46</v>
      </c>
      <c r="R3980"/>
      <c r="S3980"/>
    </row>
    <row r="3981" spans="2:19" x14ac:dyDescent="0.25">
      <c r="B3981" s="6" t="s">
        <v>46</v>
      </c>
      <c r="R3981"/>
      <c r="S3981"/>
    </row>
    <row r="3982" spans="2:19" x14ac:dyDescent="0.25">
      <c r="B3982" s="6" t="s">
        <v>46</v>
      </c>
      <c r="R3982"/>
      <c r="S3982"/>
    </row>
    <row r="3983" spans="2:19" x14ac:dyDescent="0.25">
      <c r="B3983" s="6" t="s">
        <v>46</v>
      </c>
      <c r="R3983"/>
      <c r="S3983"/>
    </row>
    <row r="3984" spans="2:19" x14ac:dyDescent="0.25">
      <c r="B3984" s="6" t="s">
        <v>46</v>
      </c>
      <c r="R3984"/>
      <c r="S3984"/>
    </row>
    <row r="3985" spans="2:19" x14ac:dyDescent="0.25">
      <c r="B3985" s="6" t="s">
        <v>46</v>
      </c>
      <c r="R3985"/>
      <c r="S3985"/>
    </row>
    <row r="3986" spans="2:19" x14ac:dyDescent="0.25">
      <c r="B3986" s="6" t="s">
        <v>46</v>
      </c>
      <c r="R3986"/>
      <c r="S3986"/>
    </row>
    <row r="3987" spans="2:19" x14ac:dyDescent="0.25">
      <c r="B3987" s="6" t="s">
        <v>46</v>
      </c>
      <c r="R3987"/>
      <c r="S3987"/>
    </row>
    <row r="3988" spans="2:19" x14ac:dyDescent="0.25">
      <c r="B3988" s="6" t="s">
        <v>46</v>
      </c>
      <c r="R3988"/>
      <c r="S3988"/>
    </row>
    <row r="3989" spans="2:19" x14ac:dyDescent="0.25">
      <c r="B3989" s="6" t="s">
        <v>46</v>
      </c>
      <c r="R3989"/>
      <c r="S3989"/>
    </row>
    <row r="3990" spans="2:19" x14ac:dyDescent="0.25">
      <c r="B3990" s="6" t="s">
        <v>46</v>
      </c>
      <c r="R3990"/>
      <c r="S3990"/>
    </row>
    <row r="3991" spans="2:19" x14ac:dyDescent="0.25">
      <c r="B3991" s="6" t="s">
        <v>46</v>
      </c>
      <c r="R3991"/>
      <c r="S3991"/>
    </row>
    <row r="3992" spans="2:19" x14ac:dyDescent="0.25">
      <c r="B3992" s="6" t="s">
        <v>46</v>
      </c>
      <c r="R3992"/>
      <c r="S3992"/>
    </row>
    <row r="3993" spans="2:19" x14ac:dyDescent="0.25">
      <c r="B3993" s="6" t="s">
        <v>46</v>
      </c>
      <c r="R3993"/>
      <c r="S3993"/>
    </row>
    <row r="3994" spans="2:19" x14ac:dyDescent="0.25">
      <c r="B3994" s="6" t="s">
        <v>46</v>
      </c>
      <c r="R3994"/>
      <c r="S3994"/>
    </row>
    <row r="3995" spans="2:19" x14ac:dyDescent="0.25">
      <c r="B3995" s="6" t="s">
        <v>46</v>
      </c>
      <c r="R3995"/>
      <c r="S3995"/>
    </row>
    <row r="3996" spans="2:19" x14ac:dyDescent="0.25">
      <c r="B3996" s="6" t="s">
        <v>46</v>
      </c>
      <c r="R3996"/>
      <c r="S3996"/>
    </row>
    <row r="3997" spans="2:19" x14ac:dyDescent="0.25">
      <c r="B3997" s="6" t="s">
        <v>46</v>
      </c>
      <c r="R3997"/>
      <c r="S3997"/>
    </row>
    <row r="3998" spans="2:19" x14ac:dyDescent="0.25">
      <c r="B3998" s="6" t="s">
        <v>46</v>
      </c>
      <c r="R3998"/>
      <c r="S3998"/>
    </row>
    <row r="3999" spans="2:19" x14ac:dyDescent="0.25">
      <c r="B3999" s="6" t="s">
        <v>46</v>
      </c>
      <c r="R3999"/>
      <c r="S3999"/>
    </row>
    <row r="4000" spans="2:19" x14ac:dyDescent="0.25">
      <c r="B4000" s="6" t="s">
        <v>46</v>
      </c>
      <c r="R4000"/>
      <c r="S4000"/>
    </row>
    <row r="4001" spans="2:19" x14ac:dyDescent="0.25">
      <c r="B4001" s="6" t="s">
        <v>46</v>
      </c>
      <c r="R4001"/>
      <c r="S4001"/>
    </row>
    <row r="4002" spans="2:19" x14ac:dyDescent="0.25">
      <c r="B4002" s="6" t="s">
        <v>46</v>
      </c>
      <c r="R4002"/>
      <c r="S4002"/>
    </row>
    <row r="4003" spans="2:19" x14ac:dyDescent="0.25">
      <c r="B4003" s="6" t="s">
        <v>46</v>
      </c>
      <c r="R4003"/>
      <c r="S4003"/>
    </row>
    <row r="4004" spans="2:19" x14ac:dyDescent="0.25">
      <c r="B4004" s="6" t="s">
        <v>46</v>
      </c>
      <c r="R4004"/>
      <c r="S4004"/>
    </row>
    <row r="4005" spans="2:19" x14ac:dyDescent="0.25">
      <c r="B4005" s="6" t="s">
        <v>46</v>
      </c>
      <c r="R4005"/>
      <c r="S4005"/>
    </row>
    <row r="4006" spans="2:19" x14ac:dyDescent="0.25">
      <c r="B4006" s="6" t="s">
        <v>46</v>
      </c>
      <c r="R4006"/>
      <c r="S4006"/>
    </row>
    <row r="4007" spans="2:19" x14ac:dyDescent="0.25">
      <c r="B4007" s="6" t="s">
        <v>46</v>
      </c>
      <c r="R4007"/>
      <c r="S4007"/>
    </row>
    <row r="4008" spans="2:19" x14ac:dyDescent="0.25">
      <c r="B4008" s="6" t="s">
        <v>46</v>
      </c>
      <c r="R4008"/>
      <c r="S4008"/>
    </row>
    <row r="4009" spans="2:19" x14ac:dyDescent="0.25">
      <c r="B4009" s="6" t="s">
        <v>46</v>
      </c>
      <c r="R4009"/>
      <c r="S4009"/>
    </row>
    <row r="4010" spans="2:19" x14ac:dyDescent="0.25">
      <c r="B4010" s="6" t="s">
        <v>46</v>
      </c>
      <c r="R4010"/>
      <c r="S4010"/>
    </row>
    <row r="4011" spans="2:19" x14ac:dyDescent="0.25">
      <c r="B4011" s="6" t="s">
        <v>46</v>
      </c>
      <c r="R4011"/>
      <c r="S4011"/>
    </row>
    <row r="4012" spans="2:19" x14ac:dyDescent="0.25">
      <c r="B4012" s="6" t="s">
        <v>46</v>
      </c>
      <c r="R4012"/>
      <c r="S4012"/>
    </row>
    <row r="4013" spans="2:19" x14ac:dyDescent="0.25">
      <c r="B4013" s="6" t="s">
        <v>46</v>
      </c>
      <c r="R4013"/>
      <c r="S4013"/>
    </row>
    <row r="4014" spans="2:19" x14ac:dyDescent="0.25">
      <c r="B4014" s="6" t="s">
        <v>46</v>
      </c>
      <c r="R4014"/>
      <c r="S4014"/>
    </row>
    <row r="4015" spans="2:19" x14ac:dyDescent="0.25">
      <c r="B4015" s="6" t="s">
        <v>46</v>
      </c>
      <c r="R4015"/>
      <c r="S4015"/>
    </row>
    <row r="4016" spans="2:19" x14ac:dyDescent="0.25">
      <c r="B4016" s="6" t="s">
        <v>46</v>
      </c>
      <c r="R4016"/>
      <c r="S4016"/>
    </row>
    <row r="4017" spans="2:19" x14ac:dyDescent="0.25">
      <c r="B4017" s="6" t="s">
        <v>46</v>
      </c>
      <c r="R4017"/>
      <c r="S4017"/>
    </row>
    <row r="4018" spans="2:19" x14ac:dyDescent="0.25">
      <c r="B4018" s="6" t="s">
        <v>46</v>
      </c>
      <c r="R4018"/>
      <c r="S4018"/>
    </row>
    <row r="4019" spans="2:19" x14ac:dyDescent="0.25">
      <c r="B4019" s="6" t="s">
        <v>46</v>
      </c>
      <c r="R4019"/>
      <c r="S4019"/>
    </row>
    <row r="4020" spans="2:19" x14ac:dyDescent="0.25">
      <c r="B4020" s="6" t="s">
        <v>46</v>
      </c>
      <c r="R4020"/>
      <c r="S4020"/>
    </row>
    <row r="4021" spans="2:19" x14ac:dyDescent="0.25">
      <c r="B4021" s="6" t="s">
        <v>46</v>
      </c>
      <c r="R4021"/>
      <c r="S4021"/>
    </row>
    <row r="4022" spans="2:19" x14ac:dyDescent="0.25">
      <c r="B4022" s="6" t="s">
        <v>46</v>
      </c>
      <c r="R4022"/>
      <c r="S4022"/>
    </row>
    <row r="4023" spans="2:19" x14ac:dyDescent="0.25">
      <c r="B4023" s="6" t="s">
        <v>46</v>
      </c>
      <c r="R4023"/>
      <c r="S4023"/>
    </row>
    <row r="4024" spans="2:19" x14ac:dyDescent="0.25">
      <c r="B4024" s="6" t="s">
        <v>46</v>
      </c>
      <c r="R4024"/>
      <c r="S4024"/>
    </row>
    <row r="4025" spans="2:19" x14ac:dyDescent="0.25">
      <c r="B4025" s="6" t="s">
        <v>46</v>
      </c>
      <c r="R4025"/>
      <c r="S4025"/>
    </row>
    <row r="4026" spans="2:19" x14ac:dyDescent="0.25">
      <c r="B4026" s="6" t="s">
        <v>46</v>
      </c>
      <c r="R4026"/>
      <c r="S4026"/>
    </row>
    <row r="4027" spans="2:19" x14ac:dyDescent="0.25">
      <c r="B4027" s="6" t="s">
        <v>46</v>
      </c>
      <c r="R4027"/>
      <c r="S4027"/>
    </row>
    <row r="4028" spans="2:19" x14ac:dyDescent="0.25">
      <c r="B4028" s="6" t="s">
        <v>46</v>
      </c>
      <c r="R4028"/>
      <c r="S4028"/>
    </row>
    <row r="4029" spans="2:19" x14ac:dyDescent="0.25">
      <c r="B4029" s="6" t="s">
        <v>46</v>
      </c>
      <c r="R4029"/>
      <c r="S4029"/>
    </row>
    <row r="4030" spans="2:19" x14ac:dyDescent="0.25">
      <c r="B4030" s="6" t="s">
        <v>46</v>
      </c>
      <c r="R4030"/>
      <c r="S4030"/>
    </row>
    <row r="4031" spans="2:19" x14ac:dyDescent="0.25">
      <c r="B4031" s="6" t="s">
        <v>46</v>
      </c>
      <c r="R4031"/>
      <c r="S4031"/>
    </row>
    <row r="4032" spans="2:19" x14ac:dyDescent="0.25">
      <c r="B4032" s="6" t="s">
        <v>46</v>
      </c>
      <c r="R4032"/>
      <c r="S4032"/>
    </row>
    <row r="4033" spans="2:19" x14ac:dyDescent="0.25">
      <c r="B4033" s="6" t="s">
        <v>46</v>
      </c>
      <c r="R4033"/>
      <c r="S4033"/>
    </row>
    <row r="4034" spans="2:19" x14ac:dyDescent="0.25">
      <c r="B4034" s="6" t="s">
        <v>46</v>
      </c>
      <c r="R4034"/>
      <c r="S4034"/>
    </row>
    <row r="4035" spans="2:19" x14ac:dyDescent="0.25">
      <c r="B4035" s="6" t="s">
        <v>46</v>
      </c>
      <c r="R4035"/>
      <c r="S4035"/>
    </row>
    <row r="4036" spans="2:19" x14ac:dyDescent="0.25">
      <c r="B4036" s="6" t="s">
        <v>46</v>
      </c>
      <c r="R4036"/>
      <c r="S4036"/>
    </row>
    <row r="4037" spans="2:19" x14ac:dyDescent="0.25">
      <c r="B4037" s="6" t="s">
        <v>46</v>
      </c>
      <c r="R4037"/>
      <c r="S4037"/>
    </row>
    <row r="4038" spans="2:19" x14ac:dyDescent="0.25">
      <c r="B4038" s="6" t="s">
        <v>46</v>
      </c>
      <c r="R4038"/>
      <c r="S4038"/>
    </row>
    <row r="4039" spans="2:19" x14ac:dyDescent="0.25">
      <c r="B4039" s="6" t="s">
        <v>46</v>
      </c>
      <c r="R4039"/>
      <c r="S4039"/>
    </row>
    <row r="4040" spans="2:19" x14ac:dyDescent="0.25">
      <c r="B4040" s="6" t="s">
        <v>46</v>
      </c>
      <c r="R4040"/>
      <c r="S4040"/>
    </row>
    <row r="4041" spans="2:19" x14ac:dyDescent="0.25">
      <c r="B4041" s="6" t="s">
        <v>46</v>
      </c>
      <c r="R4041"/>
      <c r="S4041"/>
    </row>
    <row r="4042" spans="2:19" x14ac:dyDescent="0.25">
      <c r="B4042" s="6" t="s">
        <v>46</v>
      </c>
      <c r="R4042"/>
      <c r="S4042"/>
    </row>
    <row r="4043" spans="2:19" x14ac:dyDescent="0.25">
      <c r="B4043" s="6" t="s">
        <v>46</v>
      </c>
      <c r="R4043"/>
      <c r="S4043"/>
    </row>
    <row r="4044" spans="2:19" x14ac:dyDescent="0.25">
      <c r="B4044" s="6" t="s">
        <v>46</v>
      </c>
      <c r="R4044"/>
      <c r="S4044"/>
    </row>
    <row r="4045" spans="2:19" x14ac:dyDescent="0.25">
      <c r="B4045" s="6" t="s">
        <v>46</v>
      </c>
      <c r="R4045"/>
      <c r="S4045"/>
    </row>
    <row r="4046" spans="2:19" x14ac:dyDescent="0.25">
      <c r="B4046" s="6" t="s">
        <v>46</v>
      </c>
      <c r="R4046"/>
      <c r="S4046"/>
    </row>
    <row r="4047" spans="2:19" x14ac:dyDescent="0.25">
      <c r="B4047" s="6" t="s">
        <v>46</v>
      </c>
      <c r="R4047"/>
      <c r="S4047"/>
    </row>
    <row r="4048" spans="2:19" x14ac:dyDescent="0.25">
      <c r="B4048" s="6" t="s">
        <v>46</v>
      </c>
      <c r="R4048"/>
      <c r="S4048"/>
    </row>
    <row r="4049" spans="2:19" x14ac:dyDescent="0.25">
      <c r="B4049" s="6" t="s">
        <v>46</v>
      </c>
      <c r="R4049"/>
      <c r="S4049"/>
    </row>
    <row r="4050" spans="2:19" x14ac:dyDescent="0.25">
      <c r="B4050" s="6" t="s">
        <v>46</v>
      </c>
      <c r="R4050"/>
      <c r="S4050"/>
    </row>
    <row r="4051" spans="2:19" x14ac:dyDescent="0.25">
      <c r="B4051" s="6" t="s">
        <v>46</v>
      </c>
      <c r="R4051"/>
      <c r="S4051"/>
    </row>
    <row r="4052" spans="2:19" x14ac:dyDescent="0.25">
      <c r="B4052" s="6" t="s">
        <v>46</v>
      </c>
      <c r="R4052"/>
      <c r="S4052"/>
    </row>
    <row r="4053" spans="2:19" x14ac:dyDescent="0.25">
      <c r="B4053" s="6" t="s">
        <v>46</v>
      </c>
      <c r="R4053"/>
      <c r="S4053"/>
    </row>
    <row r="4054" spans="2:19" x14ac:dyDescent="0.25">
      <c r="B4054" s="6" t="s">
        <v>46</v>
      </c>
      <c r="R4054"/>
      <c r="S4054"/>
    </row>
    <row r="4055" spans="2:19" x14ac:dyDescent="0.25">
      <c r="B4055" s="6" t="s">
        <v>46</v>
      </c>
      <c r="R4055"/>
      <c r="S4055"/>
    </row>
    <row r="4056" spans="2:19" x14ac:dyDescent="0.25">
      <c r="B4056" s="6" t="s">
        <v>46</v>
      </c>
      <c r="R4056"/>
      <c r="S4056"/>
    </row>
    <row r="4057" spans="2:19" x14ac:dyDescent="0.25">
      <c r="B4057" s="6" t="s">
        <v>46</v>
      </c>
      <c r="R4057"/>
      <c r="S4057"/>
    </row>
    <row r="4058" spans="2:19" x14ac:dyDescent="0.25">
      <c r="B4058" s="6" t="s">
        <v>46</v>
      </c>
      <c r="R4058"/>
      <c r="S4058"/>
    </row>
    <row r="4059" spans="2:19" x14ac:dyDescent="0.25">
      <c r="B4059" s="6" t="s">
        <v>46</v>
      </c>
      <c r="R4059"/>
      <c r="S4059"/>
    </row>
    <row r="4060" spans="2:19" x14ac:dyDescent="0.25">
      <c r="B4060" s="6" t="s">
        <v>46</v>
      </c>
      <c r="R4060"/>
      <c r="S4060"/>
    </row>
    <row r="4061" spans="2:19" x14ac:dyDescent="0.25">
      <c r="B4061" s="6" t="s">
        <v>46</v>
      </c>
      <c r="R4061"/>
      <c r="S4061"/>
    </row>
    <row r="4062" spans="2:19" x14ac:dyDescent="0.25">
      <c r="B4062" s="6" t="s">
        <v>46</v>
      </c>
      <c r="R4062"/>
      <c r="S4062"/>
    </row>
    <row r="4063" spans="2:19" x14ac:dyDescent="0.25">
      <c r="B4063" s="6" t="s">
        <v>46</v>
      </c>
      <c r="R4063"/>
      <c r="S4063"/>
    </row>
    <row r="4064" spans="2:19" x14ac:dyDescent="0.25">
      <c r="B4064" s="6" t="s">
        <v>46</v>
      </c>
      <c r="R4064"/>
      <c r="S4064"/>
    </row>
    <row r="4065" spans="2:19" x14ac:dyDescent="0.25">
      <c r="B4065" s="6" t="s">
        <v>46</v>
      </c>
      <c r="R4065"/>
      <c r="S4065"/>
    </row>
    <row r="4066" spans="2:19" x14ac:dyDescent="0.25">
      <c r="B4066" s="6" t="s">
        <v>46</v>
      </c>
      <c r="R4066"/>
      <c r="S4066"/>
    </row>
    <row r="4067" spans="2:19" x14ac:dyDescent="0.25">
      <c r="B4067" s="6" t="s">
        <v>46</v>
      </c>
      <c r="R4067"/>
      <c r="S4067"/>
    </row>
    <row r="4068" spans="2:19" x14ac:dyDescent="0.25">
      <c r="B4068" s="6" t="s">
        <v>46</v>
      </c>
      <c r="R4068"/>
      <c r="S4068"/>
    </row>
    <row r="4069" spans="2:19" x14ac:dyDescent="0.25">
      <c r="B4069" s="6" t="s">
        <v>46</v>
      </c>
      <c r="R4069"/>
      <c r="S4069"/>
    </row>
    <row r="4070" spans="2:19" x14ac:dyDescent="0.25">
      <c r="B4070" s="6" t="s">
        <v>46</v>
      </c>
      <c r="R4070"/>
      <c r="S4070"/>
    </row>
    <row r="4071" spans="2:19" x14ac:dyDescent="0.25">
      <c r="B4071" s="6" t="s">
        <v>46</v>
      </c>
      <c r="R4071"/>
      <c r="S4071"/>
    </row>
    <row r="4072" spans="2:19" x14ac:dyDescent="0.25">
      <c r="B4072" s="6" t="s">
        <v>46</v>
      </c>
      <c r="R4072"/>
      <c r="S4072"/>
    </row>
    <row r="4073" spans="2:19" x14ac:dyDescent="0.25">
      <c r="B4073" s="6" t="s">
        <v>46</v>
      </c>
      <c r="R4073"/>
      <c r="S4073"/>
    </row>
    <row r="4074" spans="2:19" x14ac:dyDescent="0.25">
      <c r="B4074" s="6" t="s">
        <v>46</v>
      </c>
      <c r="R4074"/>
      <c r="S4074"/>
    </row>
    <row r="4075" spans="2:19" x14ac:dyDescent="0.25">
      <c r="B4075" s="6" t="s">
        <v>46</v>
      </c>
      <c r="R4075"/>
      <c r="S4075"/>
    </row>
    <row r="4076" spans="2:19" x14ac:dyDescent="0.25">
      <c r="B4076" s="6" t="s">
        <v>46</v>
      </c>
      <c r="R4076"/>
      <c r="S4076"/>
    </row>
    <row r="4077" spans="2:19" x14ac:dyDescent="0.25">
      <c r="B4077" s="6" t="s">
        <v>46</v>
      </c>
      <c r="R4077"/>
      <c r="S4077"/>
    </row>
    <row r="4078" spans="2:19" x14ac:dyDescent="0.25">
      <c r="B4078" s="6" t="s">
        <v>46</v>
      </c>
      <c r="R4078"/>
      <c r="S4078"/>
    </row>
    <row r="4079" spans="2:19" x14ac:dyDescent="0.25">
      <c r="B4079" s="6" t="s">
        <v>46</v>
      </c>
      <c r="R4079"/>
      <c r="S4079"/>
    </row>
    <row r="4080" spans="2:19" x14ac:dyDescent="0.25">
      <c r="B4080" s="6" t="s">
        <v>46</v>
      </c>
      <c r="R4080"/>
      <c r="S4080"/>
    </row>
    <row r="4081" spans="2:19" x14ac:dyDescent="0.25">
      <c r="B4081" s="6" t="s">
        <v>46</v>
      </c>
      <c r="R4081"/>
      <c r="S4081"/>
    </row>
    <row r="4082" spans="2:19" x14ac:dyDescent="0.25">
      <c r="B4082" s="6" t="s">
        <v>46</v>
      </c>
      <c r="R4082"/>
      <c r="S4082"/>
    </row>
    <row r="4083" spans="2:19" x14ac:dyDescent="0.25">
      <c r="B4083" s="6" t="s">
        <v>46</v>
      </c>
      <c r="R4083"/>
      <c r="S4083"/>
    </row>
    <row r="4084" spans="2:19" x14ac:dyDescent="0.25">
      <c r="B4084" s="6" t="s">
        <v>46</v>
      </c>
      <c r="R4084"/>
      <c r="S4084"/>
    </row>
    <row r="4085" spans="2:19" x14ac:dyDescent="0.25">
      <c r="B4085" s="6" t="s">
        <v>46</v>
      </c>
      <c r="R4085"/>
      <c r="S4085"/>
    </row>
    <row r="4086" spans="2:19" x14ac:dyDescent="0.25">
      <c r="B4086" s="6" t="s">
        <v>46</v>
      </c>
      <c r="R4086"/>
      <c r="S4086"/>
    </row>
    <row r="4087" spans="2:19" x14ac:dyDescent="0.25">
      <c r="B4087" s="6" t="s">
        <v>46</v>
      </c>
      <c r="R4087"/>
      <c r="S4087"/>
    </row>
    <row r="4088" spans="2:19" x14ac:dyDescent="0.25">
      <c r="B4088" s="6" t="s">
        <v>46</v>
      </c>
      <c r="R4088"/>
      <c r="S4088"/>
    </row>
    <row r="4089" spans="2:19" x14ac:dyDescent="0.25">
      <c r="B4089" s="6" t="s">
        <v>46</v>
      </c>
      <c r="R4089"/>
      <c r="S4089"/>
    </row>
    <row r="4090" spans="2:19" x14ac:dyDescent="0.25">
      <c r="B4090" s="6" t="s">
        <v>46</v>
      </c>
      <c r="R4090"/>
      <c r="S4090"/>
    </row>
    <row r="4091" spans="2:19" x14ac:dyDescent="0.25">
      <c r="B4091" s="6" t="s">
        <v>46</v>
      </c>
      <c r="R4091"/>
      <c r="S4091"/>
    </row>
    <row r="4092" spans="2:19" x14ac:dyDescent="0.25">
      <c r="B4092" s="6" t="s">
        <v>46</v>
      </c>
      <c r="R4092"/>
      <c r="S4092"/>
    </row>
    <row r="4093" spans="2:19" x14ac:dyDescent="0.25">
      <c r="B4093" s="6" t="s">
        <v>46</v>
      </c>
      <c r="R4093"/>
      <c r="S4093"/>
    </row>
    <row r="4094" spans="2:19" x14ac:dyDescent="0.25">
      <c r="B4094" s="6" t="s">
        <v>46</v>
      </c>
      <c r="R4094"/>
      <c r="S4094"/>
    </row>
    <row r="4095" spans="2:19" x14ac:dyDescent="0.25">
      <c r="B4095" s="6" t="s">
        <v>46</v>
      </c>
      <c r="R4095"/>
      <c r="S4095"/>
    </row>
    <row r="4096" spans="2:19" x14ac:dyDescent="0.25">
      <c r="B4096" s="6" t="s">
        <v>46</v>
      </c>
      <c r="R4096"/>
      <c r="S4096"/>
    </row>
    <row r="4097" spans="2:19" x14ac:dyDescent="0.25">
      <c r="B4097" s="6" t="s">
        <v>46</v>
      </c>
      <c r="R4097"/>
      <c r="S4097"/>
    </row>
    <row r="4098" spans="2:19" x14ac:dyDescent="0.25">
      <c r="B4098" s="6" t="s">
        <v>46</v>
      </c>
      <c r="R4098"/>
      <c r="S4098"/>
    </row>
    <row r="4099" spans="2:19" x14ac:dyDescent="0.25">
      <c r="B4099" s="6" t="s">
        <v>46</v>
      </c>
      <c r="R4099"/>
      <c r="S4099"/>
    </row>
    <row r="4100" spans="2:19" x14ac:dyDescent="0.25">
      <c r="B4100" s="6" t="s">
        <v>46</v>
      </c>
      <c r="R4100"/>
      <c r="S4100"/>
    </row>
    <row r="4101" spans="2:19" x14ac:dyDescent="0.25">
      <c r="B4101" s="6" t="s">
        <v>46</v>
      </c>
      <c r="R4101"/>
      <c r="S4101"/>
    </row>
    <row r="4102" spans="2:19" x14ac:dyDescent="0.25">
      <c r="B4102" s="6" t="s">
        <v>46</v>
      </c>
      <c r="R4102"/>
      <c r="S4102"/>
    </row>
    <row r="4103" spans="2:19" x14ac:dyDescent="0.25">
      <c r="B4103" s="6" t="s">
        <v>46</v>
      </c>
      <c r="R4103"/>
      <c r="S4103"/>
    </row>
    <row r="4104" spans="2:19" x14ac:dyDescent="0.25">
      <c r="B4104" s="6" t="s">
        <v>46</v>
      </c>
      <c r="R4104"/>
      <c r="S4104"/>
    </row>
    <row r="4105" spans="2:19" x14ac:dyDescent="0.25">
      <c r="B4105" s="6" t="s">
        <v>46</v>
      </c>
      <c r="R4105"/>
      <c r="S4105"/>
    </row>
    <row r="4106" spans="2:19" x14ac:dyDescent="0.25">
      <c r="B4106" s="6" t="s">
        <v>46</v>
      </c>
      <c r="R4106"/>
      <c r="S4106"/>
    </row>
    <row r="4107" spans="2:19" x14ac:dyDescent="0.25">
      <c r="B4107" s="6" t="s">
        <v>46</v>
      </c>
      <c r="R4107"/>
      <c r="S4107"/>
    </row>
    <row r="4108" spans="2:19" x14ac:dyDescent="0.25">
      <c r="B4108" s="6" t="s">
        <v>46</v>
      </c>
      <c r="R4108"/>
      <c r="S4108"/>
    </row>
    <row r="4109" spans="2:19" x14ac:dyDescent="0.25">
      <c r="B4109" s="6" t="s">
        <v>46</v>
      </c>
      <c r="R4109"/>
      <c r="S4109"/>
    </row>
    <row r="4110" spans="2:19" x14ac:dyDescent="0.25">
      <c r="B4110" s="6" t="s">
        <v>46</v>
      </c>
      <c r="R4110"/>
      <c r="S4110"/>
    </row>
    <row r="4111" spans="2:19" x14ac:dyDescent="0.25">
      <c r="B4111" s="6" t="s">
        <v>46</v>
      </c>
      <c r="R4111"/>
      <c r="S4111"/>
    </row>
    <row r="4112" spans="2:19" x14ac:dyDescent="0.25">
      <c r="B4112" s="6" t="s">
        <v>46</v>
      </c>
      <c r="R4112"/>
      <c r="S4112"/>
    </row>
    <row r="4113" spans="2:19" x14ac:dyDescent="0.25">
      <c r="B4113" s="6" t="s">
        <v>46</v>
      </c>
      <c r="R4113"/>
      <c r="S4113"/>
    </row>
    <row r="4114" spans="2:19" x14ac:dyDescent="0.25">
      <c r="B4114" s="6" t="s">
        <v>46</v>
      </c>
      <c r="R4114"/>
      <c r="S4114"/>
    </row>
    <row r="4115" spans="2:19" x14ac:dyDescent="0.25">
      <c r="B4115" s="6" t="s">
        <v>46</v>
      </c>
      <c r="R4115"/>
      <c r="S4115"/>
    </row>
    <row r="4116" spans="2:19" x14ac:dyDescent="0.25">
      <c r="B4116" s="6" t="s">
        <v>46</v>
      </c>
      <c r="R4116"/>
      <c r="S4116"/>
    </row>
    <row r="4117" spans="2:19" x14ac:dyDescent="0.25">
      <c r="B4117" s="6" t="s">
        <v>46</v>
      </c>
      <c r="R4117"/>
      <c r="S4117"/>
    </row>
    <row r="4118" spans="2:19" x14ac:dyDescent="0.25">
      <c r="B4118" s="6" t="s">
        <v>46</v>
      </c>
      <c r="R4118"/>
      <c r="S4118"/>
    </row>
    <row r="4119" spans="2:19" x14ac:dyDescent="0.25">
      <c r="B4119" s="6" t="s">
        <v>46</v>
      </c>
      <c r="R4119"/>
      <c r="S4119"/>
    </row>
    <row r="4120" spans="2:19" x14ac:dyDescent="0.25">
      <c r="B4120" s="6" t="s">
        <v>46</v>
      </c>
      <c r="R4120"/>
      <c r="S4120"/>
    </row>
    <row r="4121" spans="2:19" x14ac:dyDescent="0.25">
      <c r="B4121" s="6" t="s">
        <v>46</v>
      </c>
      <c r="R4121"/>
      <c r="S4121"/>
    </row>
    <row r="4122" spans="2:19" x14ac:dyDescent="0.25">
      <c r="B4122" s="6" t="s">
        <v>46</v>
      </c>
      <c r="R4122"/>
      <c r="S4122"/>
    </row>
    <row r="4123" spans="2:19" x14ac:dyDescent="0.25">
      <c r="B4123" s="6" t="s">
        <v>46</v>
      </c>
      <c r="R4123"/>
      <c r="S4123"/>
    </row>
    <row r="4124" spans="2:19" x14ac:dyDescent="0.25">
      <c r="B4124" s="6" t="s">
        <v>46</v>
      </c>
      <c r="R4124"/>
      <c r="S4124"/>
    </row>
    <row r="4125" spans="2:19" x14ac:dyDescent="0.25">
      <c r="B4125" s="6" t="s">
        <v>46</v>
      </c>
      <c r="R4125"/>
      <c r="S4125"/>
    </row>
    <row r="4126" spans="2:19" x14ac:dyDescent="0.25">
      <c r="B4126" s="6" t="s">
        <v>46</v>
      </c>
      <c r="R4126"/>
      <c r="S4126"/>
    </row>
    <row r="4127" spans="2:19" x14ac:dyDescent="0.25">
      <c r="B4127" s="6" t="s">
        <v>46</v>
      </c>
      <c r="R4127"/>
      <c r="S4127"/>
    </row>
    <row r="4128" spans="2:19" x14ac:dyDescent="0.25">
      <c r="B4128" s="6" t="s">
        <v>46</v>
      </c>
      <c r="R4128"/>
      <c r="S4128"/>
    </row>
    <row r="4129" spans="2:19" x14ac:dyDescent="0.25">
      <c r="B4129" s="6" t="s">
        <v>46</v>
      </c>
      <c r="R4129"/>
      <c r="S4129"/>
    </row>
    <row r="4130" spans="2:19" x14ac:dyDescent="0.25">
      <c r="B4130" s="6" t="s">
        <v>46</v>
      </c>
      <c r="R4130"/>
      <c r="S4130"/>
    </row>
    <row r="4131" spans="2:19" x14ac:dyDescent="0.25">
      <c r="B4131" s="6" t="s">
        <v>46</v>
      </c>
      <c r="R4131"/>
      <c r="S4131"/>
    </row>
    <row r="4132" spans="2:19" x14ac:dyDescent="0.25">
      <c r="B4132" s="6" t="s">
        <v>46</v>
      </c>
      <c r="R4132"/>
      <c r="S4132"/>
    </row>
    <row r="4133" spans="2:19" x14ac:dyDescent="0.25">
      <c r="B4133" s="6" t="s">
        <v>46</v>
      </c>
      <c r="R4133"/>
      <c r="S4133"/>
    </row>
    <row r="4134" spans="2:19" x14ac:dyDescent="0.25">
      <c r="B4134" s="6" t="s">
        <v>46</v>
      </c>
      <c r="R4134"/>
      <c r="S4134"/>
    </row>
    <row r="4135" spans="2:19" x14ac:dyDescent="0.25">
      <c r="B4135" s="6" t="s">
        <v>46</v>
      </c>
      <c r="R4135"/>
      <c r="S4135"/>
    </row>
    <row r="4136" spans="2:19" x14ac:dyDescent="0.25">
      <c r="B4136" s="6" t="s">
        <v>46</v>
      </c>
      <c r="R4136"/>
      <c r="S4136"/>
    </row>
    <row r="4137" spans="2:19" x14ac:dyDescent="0.25">
      <c r="B4137" s="6" t="s">
        <v>46</v>
      </c>
      <c r="R4137"/>
      <c r="S4137"/>
    </row>
    <row r="4138" spans="2:19" x14ac:dyDescent="0.25">
      <c r="B4138" s="6" t="s">
        <v>46</v>
      </c>
      <c r="R4138"/>
      <c r="S4138"/>
    </row>
    <row r="4139" spans="2:19" x14ac:dyDescent="0.25">
      <c r="B4139" s="6" t="s">
        <v>46</v>
      </c>
      <c r="R4139"/>
      <c r="S4139"/>
    </row>
    <row r="4140" spans="2:19" x14ac:dyDescent="0.25">
      <c r="B4140" s="6" t="s">
        <v>46</v>
      </c>
      <c r="R4140"/>
      <c r="S4140"/>
    </row>
    <row r="4141" spans="2:19" x14ac:dyDescent="0.25">
      <c r="B4141" s="6" t="s">
        <v>46</v>
      </c>
      <c r="R4141"/>
      <c r="S4141"/>
    </row>
    <row r="4142" spans="2:19" x14ac:dyDescent="0.25">
      <c r="B4142" s="6" t="s">
        <v>46</v>
      </c>
      <c r="R4142"/>
      <c r="S4142"/>
    </row>
    <row r="4143" spans="2:19" x14ac:dyDescent="0.25">
      <c r="B4143" s="6" t="s">
        <v>46</v>
      </c>
      <c r="R4143"/>
      <c r="S4143"/>
    </row>
    <row r="4144" spans="2:19" x14ac:dyDescent="0.25">
      <c r="B4144" s="6" t="s">
        <v>46</v>
      </c>
      <c r="R4144"/>
      <c r="S4144"/>
    </row>
    <row r="4145" spans="2:19" x14ac:dyDescent="0.25">
      <c r="B4145" s="6" t="s">
        <v>46</v>
      </c>
      <c r="R4145"/>
      <c r="S4145"/>
    </row>
    <row r="4146" spans="2:19" x14ac:dyDescent="0.25">
      <c r="B4146" s="6" t="s">
        <v>46</v>
      </c>
      <c r="R4146"/>
      <c r="S4146"/>
    </row>
    <row r="4147" spans="2:19" x14ac:dyDescent="0.25">
      <c r="B4147" s="6" t="s">
        <v>46</v>
      </c>
      <c r="R4147"/>
      <c r="S4147"/>
    </row>
    <row r="4148" spans="2:19" x14ac:dyDescent="0.25">
      <c r="B4148" s="6" t="s">
        <v>46</v>
      </c>
      <c r="R4148"/>
      <c r="S4148"/>
    </row>
    <row r="4149" spans="2:19" x14ac:dyDescent="0.25">
      <c r="B4149" s="6" t="s">
        <v>46</v>
      </c>
      <c r="R4149"/>
      <c r="S4149"/>
    </row>
    <row r="4150" spans="2:19" x14ac:dyDescent="0.25">
      <c r="B4150" s="6" t="s">
        <v>46</v>
      </c>
      <c r="R4150"/>
      <c r="S4150"/>
    </row>
    <row r="4151" spans="2:19" x14ac:dyDescent="0.25">
      <c r="B4151" s="6" t="s">
        <v>46</v>
      </c>
      <c r="R4151"/>
      <c r="S4151"/>
    </row>
    <row r="4152" spans="2:19" x14ac:dyDescent="0.25">
      <c r="B4152" s="6" t="s">
        <v>46</v>
      </c>
      <c r="R4152"/>
      <c r="S4152"/>
    </row>
    <row r="4153" spans="2:19" x14ac:dyDescent="0.25">
      <c r="B4153" s="6" t="s">
        <v>46</v>
      </c>
      <c r="R4153"/>
      <c r="S4153"/>
    </row>
    <row r="4154" spans="2:19" x14ac:dyDescent="0.25">
      <c r="B4154" s="6" t="s">
        <v>46</v>
      </c>
      <c r="R4154"/>
      <c r="S4154"/>
    </row>
    <row r="4155" spans="2:19" x14ac:dyDescent="0.25">
      <c r="B4155" s="6" t="s">
        <v>46</v>
      </c>
      <c r="R4155"/>
      <c r="S4155"/>
    </row>
    <row r="4156" spans="2:19" x14ac:dyDescent="0.25">
      <c r="B4156" s="6" t="s">
        <v>46</v>
      </c>
      <c r="R4156"/>
      <c r="S4156"/>
    </row>
    <row r="4157" spans="2:19" x14ac:dyDescent="0.25">
      <c r="B4157" s="6" t="s">
        <v>46</v>
      </c>
      <c r="R4157"/>
      <c r="S4157"/>
    </row>
    <row r="4158" spans="2:19" x14ac:dyDescent="0.25">
      <c r="B4158" s="6" t="s">
        <v>46</v>
      </c>
      <c r="R4158"/>
      <c r="S4158"/>
    </row>
    <row r="4159" spans="2:19" x14ac:dyDescent="0.25">
      <c r="B4159" s="6" t="s">
        <v>46</v>
      </c>
      <c r="R4159"/>
      <c r="S4159"/>
    </row>
    <row r="4160" spans="2:19" x14ac:dyDescent="0.25">
      <c r="B4160" s="6" t="s">
        <v>46</v>
      </c>
      <c r="R4160"/>
      <c r="S4160"/>
    </row>
    <row r="4161" spans="2:19" x14ac:dyDescent="0.25">
      <c r="B4161" s="6" t="s">
        <v>46</v>
      </c>
      <c r="R4161"/>
      <c r="S4161"/>
    </row>
    <row r="4162" spans="2:19" x14ac:dyDescent="0.25">
      <c r="B4162" s="6" t="s">
        <v>46</v>
      </c>
      <c r="R4162"/>
      <c r="S4162"/>
    </row>
    <row r="4163" spans="2:19" x14ac:dyDescent="0.25">
      <c r="B4163" s="6" t="s">
        <v>46</v>
      </c>
      <c r="R4163"/>
      <c r="S4163"/>
    </row>
    <row r="4164" spans="2:19" x14ac:dyDescent="0.25">
      <c r="B4164" s="6" t="s">
        <v>46</v>
      </c>
      <c r="R4164"/>
      <c r="S4164"/>
    </row>
    <row r="4165" spans="2:19" x14ac:dyDescent="0.25">
      <c r="B4165" s="6" t="s">
        <v>46</v>
      </c>
      <c r="R4165"/>
      <c r="S4165"/>
    </row>
    <row r="4166" spans="2:19" x14ac:dyDescent="0.25">
      <c r="B4166" s="6" t="s">
        <v>46</v>
      </c>
      <c r="R4166"/>
      <c r="S4166"/>
    </row>
    <row r="4167" spans="2:19" x14ac:dyDescent="0.25">
      <c r="B4167" s="6" t="s">
        <v>46</v>
      </c>
      <c r="R4167"/>
      <c r="S4167"/>
    </row>
    <row r="4168" spans="2:19" x14ac:dyDescent="0.25">
      <c r="B4168" s="6" t="s">
        <v>46</v>
      </c>
      <c r="R4168"/>
      <c r="S4168"/>
    </row>
    <row r="4169" spans="2:19" x14ac:dyDescent="0.25">
      <c r="B4169" s="6" t="s">
        <v>46</v>
      </c>
      <c r="R4169"/>
      <c r="S4169"/>
    </row>
    <row r="4170" spans="2:19" x14ac:dyDescent="0.25">
      <c r="B4170" s="6" t="s">
        <v>46</v>
      </c>
      <c r="R4170"/>
      <c r="S4170"/>
    </row>
    <row r="4171" spans="2:19" x14ac:dyDescent="0.25">
      <c r="B4171" s="6" t="s">
        <v>46</v>
      </c>
      <c r="R4171"/>
      <c r="S4171"/>
    </row>
    <row r="4172" spans="2:19" x14ac:dyDescent="0.25">
      <c r="B4172" s="6" t="s">
        <v>46</v>
      </c>
      <c r="R4172"/>
      <c r="S4172"/>
    </row>
    <row r="4173" spans="2:19" x14ac:dyDescent="0.25">
      <c r="B4173" s="6" t="s">
        <v>46</v>
      </c>
      <c r="R4173"/>
      <c r="S4173"/>
    </row>
    <row r="4174" spans="2:19" x14ac:dyDescent="0.25">
      <c r="B4174" s="6" t="s">
        <v>46</v>
      </c>
      <c r="R4174"/>
      <c r="S4174"/>
    </row>
    <row r="4175" spans="2:19" x14ac:dyDescent="0.25">
      <c r="B4175" s="6" t="s">
        <v>46</v>
      </c>
      <c r="R4175"/>
      <c r="S4175"/>
    </row>
    <row r="4176" spans="2:19" x14ac:dyDescent="0.25">
      <c r="B4176" s="6" t="s">
        <v>46</v>
      </c>
      <c r="R4176"/>
      <c r="S4176"/>
    </row>
    <row r="4177" spans="2:19" x14ac:dyDescent="0.25">
      <c r="B4177" s="6" t="s">
        <v>46</v>
      </c>
      <c r="R4177"/>
      <c r="S4177"/>
    </row>
    <row r="4178" spans="2:19" x14ac:dyDescent="0.25">
      <c r="B4178" s="6" t="s">
        <v>46</v>
      </c>
      <c r="R4178"/>
      <c r="S4178"/>
    </row>
    <row r="4179" spans="2:19" x14ac:dyDescent="0.25">
      <c r="B4179" s="6" t="s">
        <v>46</v>
      </c>
      <c r="R4179"/>
      <c r="S4179"/>
    </row>
    <row r="4180" spans="2:19" x14ac:dyDescent="0.25">
      <c r="B4180" s="6" t="s">
        <v>46</v>
      </c>
      <c r="R4180"/>
      <c r="S4180"/>
    </row>
    <row r="4181" spans="2:19" x14ac:dyDescent="0.25">
      <c r="B4181" s="6" t="s">
        <v>46</v>
      </c>
      <c r="R4181"/>
      <c r="S4181"/>
    </row>
    <row r="4182" spans="2:19" x14ac:dyDescent="0.25">
      <c r="B4182" s="6" t="s">
        <v>46</v>
      </c>
      <c r="R4182"/>
      <c r="S4182"/>
    </row>
    <row r="4183" spans="2:19" x14ac:dyDescent="0.25">
      <c r="B4183" s="6" t="s">
        <v>46</v>
      </c>
      <c r="R4183"/>
      <c r="S4183"/>
    </row>
    <row r="4184" spans="2:19" x14ac:dyDescent="0.25">
      <c r="B4184" s="6" t="s">
        <v>46</v>
      </c>
      <c r="R4184"/>
      <c r="S4184"/>
    </row>
    <row r="4185" spans="2:19" x14ac:dyDescent="0.25">
      <c r="B4185" s="6" t="s">
        <v>46</v>
      </c>
      <c r="R4185"/>
      <c r="S4185"/>
    </row>
    <row r="4186" spans="2:19" x14ac:dyDescent="0.25">
      <c r="B4186" s="6" t="s">
        <v>46</v>
      </c>
      <c r="R4186"/>
      <c r="S4186"/>
    </row>
    <row r="4187" spans="2:19" x14ac:dyDescent="0.25">
      <c r="B4187" s="6" t="s">
        <v>46</v>
      </c>
      <c r="R4187"/>
      <c r="S4187"/>
    </row>
    <row r="4188" spans="2:19" x14ac:dyDescent="0.25">
      <c r="B4188" s="6" t="s">
        <v>46</v>
      </c>
      <c r="R4188"/>
      <c r="S4188"/>
    </row>
    <row r="4189" spans="2:19" x14ac:dyDescent="0.25">
      <c r="B4189" s="6" t="s">
        <v>46</v>
      </c>
      <c r="R4189"/>
      <c r="S4189"/>
    </row>
    <row r="4190" spans="2:19" x14ac:dyDescent="0.25">
      <c r="B4190" s="6" t="s">
        <v>46</v>
      </c>
      <c r="R4190"/>
      <c r="S4190"/>
    </row>
    <row r="4191" spans="2:19" x14ac:dyDescent="0.25">
      <c r="B4191" s="6" t="s">
        <v>46</v>
      </c>
      <c r="R4191"/>
      <c r="S4191"/>
    </row>
    <row r="4192" spans="2:19" x14ac:dyDescent="0.25">
      <c r="B4192" s="6" t="s">
        <v>46</v>
      </c>
      <c r="R4192"/>
      <c r="S4192"/>
    </row>
    <row r="4193" spans="2:19" x14ac:dyDescent="0.25">
      <c r="B4193" s="6" t="s">
        <v>46</v>
      </c>
      <c r="R4193"/>
      <c r="S4193"/>
    </row>
    <row r="4194" spans="2:19" x14ac:dyDescent="0.25">
      <c r="B4194" s="6" t="s">
        <v>46</v>
      </c>
      <c r="R4194"/>
      <c r="S4194"/>
    </row>
    <row r="4195" spans="2:19" x14ac:dyDescent="0.25">
      <c r="B4195" s="6" t="s">
        <v>46</v>
      </c>
      <c r="R4195"/>
      <c r="S4195"/>
    </row>
    <row r="4196" spans="2:19" x14ac:dyDescent="0.25">
      <c r="B4196" s="6" t="s">
        <v>46</v>
      </c>
      <c r="R4196"/>
      <c r="S4196"/>
    </row>
    <row r="4197" spans="2:19" x14ac:dyDescent="0.25">
      <c r="B4197" s="6" t="s">
        <v>46</v>
      </c>
      <c r="R4197"/>
      <c r="S4197"/>
    </row>
    <row r="4198" spans="2:19" x14ac:dyDescent="0.25">
      <c r="B4198" s="6" t="s">
        <v>46</v>
      </c>
      <c r="R4198"/>
      <c r="S4198"/>
    </row>
    <row r="4199" spans="2:19" x14ac:dyDescent="0.25">
      <c r="B4199" s="6" t="s">
        <v>46</v>
      </c>
      <c r="R4199"/>
      <c r="S4199"/>
    </row>
    <row r="4200" spans="2:19" x14ac:dyDescent="0.25">
      <c r="B4200" s="6" t="s">
        <v>46</v>
      </c>
      <c r="R4200"/>
      <c r="S4200"/>
    </row>
    <row r="4201" spans="2:19" x14ac:dyDescent="0.25">
      <c r="B4201" s="6" t="s">
        <v>46</v>
      </c>
      <c r="R4201"/>
      <c r="S4201"/>
    </row>
    <row r="4202" spans="2:19" x14ac:dyDescent="0.25">
      <c r="B4202" s="6" t="s">
        <v>46</v>
      </c>
      <c r="R4202"/>
      <c r="S4202"/>
    </row>
    <row r="4203" spans="2:19" x14ac:dyDescent="0.25">
      <c r="B4203" s="6" t="s">
        <v>46</v>
      </c>
      <c r="R4203"/>
      <c r="S4203"/>
    </row>
    <row r="4204" spans="2:19" x14ac:dyDescent="0.25">
      <c r="B4204" s="6" t="s">
        <v>46</v>
      </c>
      <c r="R4204"/>
      <c r="S4204"/>
    </row>
    <row r="4205" spans="2:19" x14ac:dyDescent="0.25">
      <c r="B4205" s="6" t="s">
        <v>46</v>
      </c>
      <c r="R4205"/>
      <c r="S4205"/>
    </row>
    <row r="4206" spans="2:19" x14ac:dyDescent="0.25">
      <c r="B4206" s="6" t="s">
        <v>46</v>
      </c>
      <c r="R4206"/>
      <c r="S4206"/>
    </row>
    <row r="4207" spans="2:19" x14ac:dyDescent="0.25">
      <c r="B4207" s="6" t="s">
        <v>46</v>
      </c>
      <c r="R4207"/>
      <c r="S4207"/>
    </row>
    <row r="4208" spans="2:19" x14ac:dyDescent="0.25">
      <c r="B4208" s="6" t="s">
        <v>46</v>
      </c>
      <c r="R4208"/>
      <c r="S4208"/>
    </row>
    <row r="4209" spans="2:19" x14ac:dyDescent="0.25">
      <c r="B4209" s="6" t="s">
        <v>46</v>
      </c>
      <c r="R4209"/>
      <c r="S4209"/>
    </row>
    <row r="4210" spans="2:19" x14ac:dyDescent="0.25">
      <c r="B4210" s="6" t="s">
        <v>46</v>
      </c>
      <c r="R4210"/>
      <c r="S4210"/>
    </row>
    <row r="4211" spans="2:19" x14ac:dyDescent="0.25">
      <c r="B4211" s="6" t="s">
        <v>46</v>
      </c>
      <c r="R4211"/>
      <c r="S4211"/>
    </row>
    <row r="4212" spans="2:19" x14ac:dyDescent="0.25">
      <c r="B4212" s="6" t="s">
        <v>46</v>
      </c>
      <c r="R4212"/>
      <c r="S4212"/>
    </row>
    <row r="4213" spans="2:19" x14ac:dyDescent="0.25">
      <c r="B4213" s="6" t="s">
        <v>46</v>
      </c>
      <c r="R4213"/>
      <c r="S4213"/>
    </row>
    <row r="4214" spans="2:19" x14ac:dyDescent="0.25">
      <c r="B4214" s="6" t="s">
        <v>46</v>
      </c>
      <c r="R4214"/>
      <c r="S4214"/>
    </row>
    <row r="4215" spans="2:19" x14ac:dyDescent="0.25">
      <c r="B4215" s="6" t="s">
        <v>46</v>
      </c>
      <c r="R4215"/>
      <c r="S4215"/>
    </row>
    <row r="4216" spans="2:19" x14ac:dyDescent="0.25">
      <c r="B4216" s="6" t="s">
        <v>46</v>
      </c>
      <c r="R4216"/>
      <c r="S4216"/>
    </row>
    <row r="4217" spans="2:19" x14ac:dyDescent="0.25">
      <c r="B4217" s="6" t="s">
        <v>46</v>
      </c>
      <c r="R4217"/>
      <c r="S4217"/>
    </row>
    <row r="4218" spans="2:19" x14ac:dyDescent="0.25">
      <c r="B4218" s="6" t="s">
        <v>46</v>
      </c>
      <c r="R4218"/>
      <c r="S4218"/>
    </row>
    <row r="4219" spans="2:19" x14ac:dyDescent="0.25">
      <c r="B4219" s="6" t="s">
        <v>46</v>
      </c>
      <c r="R4219"/>
      <c r="S4219"/>
    </row>
    <row r="4220" spans="2:19" x14ac:dyDescent="0.25">
      <c r="B4220" s="6" t="s">
        <v>46</v>
      </c>
      <c r="R4220"/>
      <c r="S4220"/>
    </row>
    <row r="4221" spans="2:19" x14ac:dyDescent="0.25">
      <c r="B4221" s="6" t="s">
        <v>46</v>
      </c>
      <c r="R4221"/>
      <c r="S4221"/>
    </row>
    <row r="4222" spans="2:19" x14ac:dyDescent="0.25">
      <c r="B4222" s="6" t="s">
        <v>46</v>
      </c>
      <c r="R4222"/>
      <c r="S4222"/>
    </row>
    <row r="4223" spans="2:19" x14ac:dyDescent="0.25">
      <c r="B4223" s="6" t="s">
        <v>46</v>
      </c>
      <c r="R4223"/>
      <c r="S4223"/>
    </row>
    <row r="4224" spans="2:19" x14ac:dyDescent="0.25">
      <c r="B4224" s="6" t="s">
        <v>46</v>
      </c>
      <c r="R4224"/>
      <c r="S4224"/>
    </row>
    <row r="4225" spans="2:19" x14ac:dyDescent="0.25">
      <c r="B4225" s="6" t="s">
        <v>46</v>
      </c>
      <c r="R4225"/>
      <c r="S4225"/>
    </row>
    <row r="4226" spans="2:19" x14ac:dyDescent="0.25">
      <c r="B4226" s="6" t="s">
        <v>46</v>
      </c>
      <c r="R4226"/>
      <c r="S4226"/>
    </row>
    <row r="4227" spans="2:19" x14ac:dyDescent="0.25">
      <c r="B4227" s="6" t="s">
        <v>46</v>
      </c>
      <c r="R4227"/>
      <c r="S4227"/>
    </row>
    <row r="4228" spans="2:19" x14ac:dyDescent="0.25">
      <c r="B4228" s="6" t="s">
        <v>46</v>
      </c>
      <c r="R4228"/>
      <c r="S4228"/>
    </row>
    <row r="4229" spans="2:19" x14ac:dyDescent="0.25">
      <c r="B4229" s="6" t="s">
        <v>46</v>
      </c>
      <c r="R4229"/>
      <c r="S4229"/>
    </row>
    <row r="4230" spans="2:19" x14ac:dyDescent="0.25">
      <c r="B4230" s="6" t="s">
        <v>46</v>
      </c>
      <c r="R4230"/>
      <c r="S4230"/>
    </row>
    <row r="4231" spans="2:19" x14ac:dyDescent="0.25">
      <c r="B4231" s="6" t="s">
        <v>46</v>
      </c>
      <c r="R4231"/>
      <c r="S4231"/>
    </row>
    <row r="4232" spans="2:19" x14ac:dyDescent="0.25">
      <c r="B4232" s="6" t="s">
        <v>46</v>
      </c>
      <c r="R4232"/>
      <c r="S4232"/>
    </row>
    <row r="4233" spans="2:19" x14ac:dyDescent="0.25">
      <c r="B4233" s="6" t="s">
        <v>46</v>
      </c>
      <c r="R4233"/>
      <c r="S4233"/>
    </row>
    <row r="4234" spans="2:19" x14ac:dyDescent="0.25">
      <c r="B4234" s="6" t="s">
        <v>46</v>
      </c>
      <c r="R4234"/>
      <c r="S4234"/>
    </row>
    <row r="4235" spans="2:19" x14ac:dyDescent="0.25">
      <c r="B4235" s="6" t="s">
        <v>46</v>
      </c>
      <c r="R4235"/>
      <c r="S4235"/>
    </row>
    <row r="4236" spans="2:19" x14ac:dyDescent="0.25">
      <c r="B4236" s="6" t="s">
        <v>46</v>
      </c>
      <c r="R4236"/>
      <c r="S4236"/>
    </row>
    <row r="4237" spans="2:19" x14ac:dyDescent="0.25">
      <c r="B4237" s="6" t="s">
        <v>46</v>
      </c>
      <c r="R4237"/>
      <c r="S4237"/>
    </row>
    <row r="4238" spans="2:19" x14ac:dyDescent="0.25">
      <c r="B4238" s="6" t="s">
        <v>46</v>
      </c>
      <c r="R4238"/>
      <c r="S4238"/>
    </row>
    <row r="4239" spans="2:19" x14ac:dyDescent="0.25">
      <c r="B4239" s="6" t="s">
        <v>46</v>
      </c>
      <c r="R4239"/>
      <c r="S4239"/>
    </row>
    <row r="4240" spans="2:19" x14ac:dyDescent="0.25">
      <c r="B4240" s="6" t="s">
        <v>46</v>
      </c>
      <c r="R4240"/>
      <c r="S4240"/>
    </row>
    <row r="4241" spans="2:19" x14ac:dyDescent="0.25">
      <c r="B4241" s="6" t="s">
        <v>46</v>
      </c>
      <c r="R4241"/>
      <c r="S4241"/>
    </row>
    <row r="4242" spans="2:19" x14ac:dyDescent="0.25">
      <c r="B4242" s="6" t="s">
        <v>46</v>
      </c>
      <c r="R4242"/>
      <c r="S4242"/>
    </row>
    <row r="4243" spans="2:19" x14ac:dyDescent="0.25">
      <c r="B4243" s="6" t="s">
        <v>46</v>
      </c>
      <c r="R4243"/>
      <c r="S4243"/>
    </row>
    <row r="4244" spans="2:19" x14ac:dyDescent="0.25">
      <c r="B4244" s="6" t="s">
        <v>46</v>
      </c>
      <c r="R4244"/>
      <c r="S4244"/>
    </row>
    <row r="4245" spans="2:19" x14ac:dyDescent="0.25">
      <c r="B4245" s="6" t="s">
        <v>46</v>
      </c>
      <c r="R4245"/>
      <c r="S4245"/>
    </row>
    <row r="4246" spans="2:19" x14ac:dyDescent="0.25">
      <c r="B4246" s="6" t="s">
        <v>46</v>
      </c>
      <c r="R4246"/>
      <c r="S4246"/>
    </row>
    <row r="4247" spans="2:19" x14ac:dyDescent="0.25">
      <c r="B4247" s="6" t="s">
        <v>46</v>
      </c>
      <c r="R4247"/>
      <c r="S4247"/>
    </row>
    <row r="4248" spans="2:19" x14ac:dyDescent="0.25">
      <c r="B4248" s="6" t="s">
        <v>46</v>
      </c>
      <c r="R4248"/>
      <c r="S4248"/>
    </row>
    <row r="4249" spans="2:19" x14ac:dyDescent="0.25">
      <c r="B4249" s="6" t="s">
        <v>46</v>
      </c>
      <c r="R4249"/>
      <c r="S4249"/>
    </row>
    <row r="4250" spans="2:19" x14ac:dyDescent="0.25">
      <c r="B4250" s="6" t="s">
        <v>46</v>
      </c>
      <c r="R4250"/>
      <c r="S4250"/>
    </row>
    <row r="4251" spans="2:19" x14ac:dyDescent="0.25">
      <c r="B4251" s="6" t="s">
        <v>46</v>
      </c>
      <c r="R4251"/>
      <c r="S4251"/>
    </row>
    <row r="4252" spans="2:19" x14ac:dyDescent="0.25">
      <c r="B4252" s="6" t="s">
        <v>46</v>
      </c>
      <c r="R4252"/>
      <c r="S4252"/>
    </row>
    <row r="4253" spans="2:19" x14ac:dyDescent="0.25">
      <c r="B4253" s="6" t="s">
        <v>46</v>
      </c>
      <c r="R4253"/>
      <c r="S4253"/>
    </row>
    <row r="4254" spans="2:19" x14ac:dyDescent="0.25">
      <c r="B4254" s="6" t="s">
        <v>46</v>
      </c>
      <c r="R4254"/>
      <c r="S4254"/>
    </row>
    <row r="4255" spans="2:19" x14ac:dyDescent="0.25">
      <c r="B4255" s="6" t="s">
        <v>46</v>
      </c>
      <c r="R4255"/>
      <c r="S4255"/>
    </row>
    <row r="4256" spans="2:19" x14ac:dyDescent="0.25">
      <c r="B4256" s="6" t="s">
        <v>46</v>
      </c>
      <c r="R4256"/>
      <c r="S4256"/>
    </row>
    <row r="4257" spans="2:19" x14ac:dyDescent="0.25">
      <c r="B4257" s="6" t="s">
        <v>46</v>
      </c>
      <c r="R4257"/>
      <c r="S4257"/>
    </row>
    <row r="4258" spans="2:19" x14ac:dyDescent="0.25">
      <c r="B4258" s="6" t="s">
        <v>46</v>
      </c>
      <c r="R4258"/>
      <c r="S4258"/>
    </row>
    <row r="4259" spans="2:19" x14ac:dyDescent="0.25">
      <c r="B4259" s="6" t="s">
        <v>46</v>
      </c>
      <c r="R4259"/>
      <c r="S4259"/>
    </row>
    <row r="4260" spans="2:19" x14ac:dyDescent="0.25">
      <c r="B4260" s="6" t="s">
        <v>46</v>
      </c>
      <c r="R4260"/>
      <c r="S4260"/>
    </row>
    <row r="4261" spans="2:19" x14ac:dyDescent="0.25">
      <c r="B4261" s="6" t="s">
        <v>46</v>
      </c>
      <c r="R4261"/>
      <c r="S4261"/>
    </row>
    <row r="4262" spans="2:19" x14ac:dyDescent="0.25">
      <c r="B4262" s="6" t="s">
        <v>46</v>
      </c>
      <c r="R4262"/>
      <c r="S4262"/>
    </row>
    <row r="4263" spans="2:19" x14ac:dyDescent="0.25">
      <c r="B4263" s="6" t="s">
        <v>46</v>
      </c>
      <c r="R4263"/>
      <c r="S4263"/>
    </row>
    <row r="4264" spans="2:19" x14ac:dyDescent="0.25">
      <c r="B4264" s="6" t="s">
        <v>46</v>
      </c>
      <c r="R4264"/>
      <c r="S4264"/>
    </row>
    <row r="4265" spans="2:19" x14ac:dyDescent="0.25">
      <c r="B4265" s="6" t="s">
        <v>46</v>
      </c>
      <c r="R4265"/>
      <c r="S4265"/>
    </row>
    <row r="4266" spans="2:19" x14ac:dyDescent="0.25">
      <c r="B4266" s="6" t="s">
        <v>46</v>
      </c>
      <c r="R4266"/>
      <c r="S4266"/>
    </row>
    <row r="4267" spans="2:19" x14ac:dyDescent="0.25">
      <c r="B4267" s="6" t="s">
        <v>46</v>
      </c>
      <c r="R4267"/>
      <c r="S4267"/>
    </row>
    <row r="4268" spans="2:19" x14ac:dyDescent="0.25">
      <c r="B4268" s="6" t="s">
        <v>46</v>
      </c>
      <c r="R4268"/>
      <c r="S4268"/>
    </row>
    <row r="4269" spans="2:19" x14ac:dyDescent="0.25">
      <c r="B4269" s="6" t="s">
        <v>46</v>
      </c>
      <c r="R4269"/>
      <c r="S4269"/>
    </row>
    <row r="4270" spans="2:19" x14ac:dyDescent="0.25">
      <c r="B4270" s="6" t="s">
        <v>46</v>
      </c>
      <c r="R4270"/>
      <c r="S4270"/>
    </row>
    <row r="4271" spans="2:19" x14ac:dyDescent="0.25">
      <c r="B4271" s="6" t="s">
        <v>46</v>
      </c>
      <c r="R4271"/>
      <c r="S4271"/>
    </row>
    <row r="4272" spans="2:19" x14ac:dyDescent="0.25">
      <c r="B4272" s="6" t="s">
        <v>46</v>
      </c>
      <c r="R4272"/>
      <c r="S4272"/>
    </row>
    <row r="4273" spans="2:19" x14ac:dyDescent="0.25">
      <c r="B4273" s="6" t="s">
        <v>46</v>
      </c>
      <c r="R4273"/>
      <c r="S4273"/>
    </row>
    <row r="4274" spans="2:19" x14ac:dyDescent="0.25">
      <c r="B4274" s="6" t="s">
        <v>46</v>
      </c>
      <c r="R4274"/>
      <c r="S4274"/>
    </row>
    <row r="4275" spans="2:19" x14ac:dyDescent="0.25">
      <c r="B4275" s="6" t="s">
        <v>46</v>
      </c>
      <c r="R4275"/>
      <c r="S4275"/>
    </row>
    <row r="4276" spans="2:19" x14ac:dyDescent="0.25">
      <c r="B4276" s="6" t="s">
        <v>46</v>
      </c>
      <c r="R4276"/>
      <c r="S4276"/>
    </row>
    <row r="4277" spans="2:19" x14ac:dyDescent="0.25">
      <c r="B4277" s="6" t="s">
        <v>46</v>
      </c>
      <c r="R4277"/>
      <c r="S4277"/>
    </row>
    <row r="4278" spans="2:19" x14ac:dyDescent="0.25">
      <c r="B4278" s="6" t="s">
        <v>46</v>
      </c>
      <c r="R4278"/>
      <c r="S4278"/>
    </row>
    <row r="4279" spans="2:19" x14ac:dyDescent="0.25">
      <c r="B4279" s="6" t="s">
        <v>46</v>
      </c>
      <c r="R4279"/>
      <c r="S4279"/>
    </row>
    <row r="4280" spans="2:19" x14ac:dyDescent="0.25">
      <c r="B4280" s="6" t="s">
        <v>46</v>
      </c>
      <c r="R4280"/>
      <c r="S4280"/>
    </row>
    <row r="4281" spans="2:19" x14ac:dyDescent="0.25">
      <c r="B4281" s="6" t="s">
        <v>46</v>
      </c>
      <c r="R4281"/>
      <c r="S4281"/>
    </row>
    <row r="4282" spans="2:19" x14ac:dyDescent="0.25">
      <c r="B4282" s="6" t="s">
        <v>46</v>
      </c>
      <c r="R4282"/>
      <c r="S4282"/>
    </row>
    <row r="4283" spans="2:19" x14ac:dyDescent="0.25">
      <c r="B4283" s="6" t="s">
        <v>46</v>
      </c>
      <c r="R4283"/>
      <c r="S4283"/>
    </row>
    <row r="4284" spans="2:19" x14ac:dyDescent="0.25">
      <c r="B4284" s="6" t="s">
        <v>46</v>
      </c>
      <c r="R4284"/>
      <c r="S4284"/>
    </row>
    <row r="4285" spans="2:19" x14ac:dyDescent="0.25">
      <c r="B4285" s="6" t="s">
        <v>46</v>
      </c>
      <c r="R4285"/>
      <c r="S4285"/>
    </row>
    <row r="4286" spans="2:19" x14ac:dyDescent="0.25">
      <c r="B4286" s="6" t="s">
        <v>46</v>
      </c>
      <c r="R4286"/>
      <c r="S4286"/>
    </row>
    <row r="4287" spans="2:19" x14ac:dyDescent="0.25">
      <c r="B4287" s="6" t="s">
        <v>46</v>
      </c>
      <c r="R4287"/>
      <c r="S4287"/>
    </row>
    <row r="4288" spans="2:19" x14ac:dyDescent="0.25">
      <c r="B4288" s="6" t="s">
        <v>46</v>
      </c>
      <c r="R4288"/>
      <c r="S4288"/>
    </row>
    <row r="4289" spans="2:19" x14ac:dyDescent="0.25">
      <c r="B4289" s="6" t="s">
        <v>46</v>
      </c>
      <c r="R4289"/>
      <c r="S4289"/>
    </row>
    <row r="4290" spans="2:19" x14ac:dyDescent="0.25">
      <c r="B4290" s="6" t="s">
        <v>46</v>
      </c>
      <c r="R4290"/>
      <c r="S4290"/>
    </row>
    <row r="4291" spans="2:19" x14ac:dyDescent="0.25">
      <c r="B4291" s="6" t="s">
        <v>46</v>
      </c>
      <c r="R4291"/>
      <c r="S4291"/>
    </row>
    <row r="4292" spans="2:19" x14ac:dyDescent="0.25">
      <c r="B4292" s="6" t="s">
        <v>46</v>
      </c>
      <c r="R4292"/>
      <c r="S4292"/>
    </row>
    <row r="4293" spans="2:19" x14ac:dyDescent="0.25">
      <c r="B4293" s="6" t="s">
        <v>46</v>
      </c>
      <c r="R4293"/>
      <c r="S4293"/>
    </row>
    <row r="4294" spans="2:19" x14ac:dyDescent="0.25">
      <c r="B4294" s="6" t="s">
        <v>46</v>
      </c>
      <c r="R4294"/>
      <c r="S4294"/>
    </row>
    <row r="4295" spans="2:19" x14ac:dyDescent="0.25">
      <c r="B4295" s="6" t="s">
        <v>46</v>
      </c>
      <c r="R4295"/>
      <c r="S4295"/>
    </row>
    <row r="4296" spans="2:19" x14ac:dyDescent="0.25">
      <c r="B4296" s="6" t="s">
        <v>46</v>
      </c>
      <c r="R4296"/>
      <c r="S4296"/>
    </row>
    <row r="4297" spans="2:19" x14ac:dyDescent="0.25">
      <c r="B4297" s="6" t="s">
        <v>46</v>
      </c>
      <c r="R4297"/>
      <c r="S4297"/>
    </row>
    <row r="4298" spans="2:19" x14ac:dyDescent="0.25">
      <c r="B4298" s="6" t="s">
        <v>46</v>
      </c>
      <c r="R4298"/>
      <c r="S4298"/>
    </row>
    <row r="4299" spans="2:19" x14ac:dyDescent="0.25">
      <c r="B4299" s="6" t="s">
        <v>46</v>
      </c>
      <c r="R4299"/>
      <c r="S4299"/>
    </row>
    <row r="4300" spans="2:19" x14ac:dyDescent="0.25">
      <c r="B4300" s="6" t="s">
        <v>46</v>
      </c>
      <c r="R4300"/>
      <c r="S4300"/>
    </row>
    <row r="4301" spans="2:19" x14ac:dyDescent="0.25">
      <c r="B4301" s="6" t="s">
        <v>46</v>
      </c>
      <c r="R4301"/>
      <c r="S4301"/>
    </row>
    <row r="4302" spans="2:19" x14ac:dyDescent="0.25">
      <c r="B4302" s="6" t="s">
        <v>46</v>
      </c>
      <c r="R4302"/>
      <c r="S4302"/>
    </row>
    <row r="4303" spans="2:19" x14ac:dyDescent="0.25">
      <c r="B4303" s="6" t="s">
        <v>46</v>
      </c>
      <c r="R4303"/>
      <c r="S4303"/>
    </row>
    <row r="4304" spans="2:19" x14ac:dyDescent="0.25">
      <c r="B4304" s="6" t="s">
        <v>46</v>
      </c>
      <c r="R4304"/>
      <c r="S4304"/>
    </row>
    <row r="4305" spans="2:19" x14ac:dyDescent="0.25">
      <c r="B4305" s="6" t="s">
        <v>46</v>
      </c>
      <c r="R4305"/>
      <c r="S4305"/>
    </row>
    <row r="4306" spans="2:19" x14ac:dyDescent="0.25">
      <c r="B4306" s="6" t="s">
        <v>46</v>
      </c>
      <c r="R4306"/>
      <c r="S4306"/>
    </row>
    <row r="4307" spans="2:19" x14ac:dyDescent="0.25">
      <c r="B4307" s="6" t="s">
        <v>46</v>
      </c>
      <c r="R4307"/>
      <c r="S4307"/>
    </row>
    <row r="4308" spans="2:19" x14ac:dyDescent="0.25">
      <c r="B4308" s="6" t="s">
        <v>46</v>
      </c>
      <c r="R4308"/>
      <c r="S4308"/>
    </row>
    <row r="4309" spans="2:19" x14ac:dyDescent="0.25">
      <c r="B4309" s="6" t="s">
        <v>46</v>
      </c>
      <c r="R4309"/>
      <c r="S4309"/>
    </row>
    <row r="4310" spans="2:19" x14ac:dyDescent="0.25">
      <c r="B4310" s="6" t="s">
        <v>46</v>
      </c>
      <c r="R4310"/>
      <c r="S4310"/>
    </row>
    <row r="4311" spans="2:19" x14ac:dyDescent="0.25">
      <c r="B4311" s="6" t="s">
        <v>46</v>
      </c>
      <c r="R4311"/>
      <c r="S4311"/>
    </row>
    <row r="4312" spans="2:19" x14ac:dyDescent="0.25">
      <c r="B4312" s="6" t="s">
        <v>46</v>
      </c>
      <c r="R4312"/>
      <c r="S4312"/>
    </row>
    <row r="4313" spans="2:19" x14ac:dyDescent="0.25">
      <c r="B4313" s="6" t="s">
        <v>46</v>
      </c>
      <c r="R4313"/>
      <c r="S4313"/>
    </row>
    <row r="4314" spans="2:19" x14ac:dyDescent="0.25">
      <c r="B4314" s="6" t="s">
        <v>46</v>
      </c>
      <c r="R4314"/>
      <c r="S4314"/>
    </row>
    <row r="4315" spans="2:19" x14ac:dyDescent="0.25">
      <c r="B4315" s="6" t="s">
        <v>46</v>
      </c>
      <c r="R4315"/>
      <c r="S4315"/>
    </row>
    <row r="4316" spans="2:19" x14ac:dyDescent="0.25">
      <c r="B4316" s="6" t="s">
        <v>46</v>
      </c>
      <c r="R4316"/>
      <c r="S4316"/>
    </row>
    <row r="4317" spans="2:19" x14ac:dyDescent="0.25">
      <c r="B4317" s="6" t="s">
        <v>46</v>
      </c>
      <c r="R4317"/>
      <c r="S4317"/>
    </row>
    <row r="4318" spans="2:19" x14ac:dyDescent="0.25">
      <c r="B4318" s="6" t="s">
        <v>46</v>
      </c>
      <c r="R4318"/>
      <c r="S4318"/>
    </row>
    <row r="4319" spans="2:19" x14ac:dyDescent="0.25">
      <c r="B4319" s="6" t="s">
        <v>46</v>
      </c>
      <c r="R4319"/>
      <c r="S4319"/>
    </row>
    <row r="4320" spans="2:19" x14ac:dyDescent="0.25">
      <c r="B4320" s="6" t="s">
        <v>46</v>
      </c>
      <c r="R4320"/>
      <c r="S4320"/>
    </row>
    <row r="4321" spans="2:19" x14ac:dyDescent="0.25">
      <c r="B4321" s="6" t="s">
        <v>46</v>
      </c>
      <c r="R4321"/>
      <c r="S4321"/>
    </row>
    <row r="4322" spans="2:19" x14ac:dyDescent="0.25">
      <c r="B4322" s="6" t="s">
        <v>46</v>
      </c>
      <c r="R4322"/>
      <c r="S4322"/>
    </row>
    <row r="4323" spans="2:19" x14ac:dyDescent="0.25">
      <c r="B4323" s="6" t="s">
        <v>46</v>
      </c>
      <c r="R4323"/>
      <c r="S4323"/>
    </row>
    <row r="4324" spans="2:19" x14ac:dyDescent="0.25">
      <c r="B4324" s="6" t="s">
        <v>46</v>
      </c>
      <c r="R4324"/>
      <c r="S4324"/>
    </row>
    <row r="4325" spans="2:19" x14ac:dyDescent="0.25">
      <c r="B4325" s="6" t="s">
        <v>46</v>
      </c>
      <c r="R4325"/>
      <c r="S4325"/>
    </row>
    <row r="4326" spans="2:19" x14ac:dyDescent="0.25">
      <c r="B4326" s="6" t="s">
        <v>46</v>
      </c>
      <c r="R4326"/>
      <c r="S4326"/>
    </row>
    <row r="4327" spans="2:19" x14ac:dyDescent="0.25">
      <c r="B4327" s="6" t="s">
        <v>46</v>
      </c>
      <c r="R4327"/>
      <c r="S4327"/>
    </row>
    <row r="4328" spans="2:19" x14ac:dyDescent="0.25">
      <c r="B4328" s="6" t="s">
        <v>46</v>
      </c>
      <c r="R4328"/>
      <c r="S4328"/>
    </row>
    <row r="4329" spans="2:19" x14ac:dyDescent="0.25">
      <c r="B4329" s="6" t="s">
        <v>46</v>
      </c>
      <c r="R4329"/>
      <c r="S4329"/>
    </row>
    <row r="4330" spans="2:19" x14ac:dyDescent="0.25">
      <c r="B4330" s="6" t="s">
        <v>46</v>
      </c>
      <c r="R4330"/>
      <c r="S4330"/>
    </row>
    <row r="4331" spans="2:19" x14ac:dyDescent="0.25">
      <c r="B4331" s="6" t="s">
        <v>46</v>
      </c>
      <c r="R4331"/>
      <c r="S4331"/>
    </row>
    <row r="4332" spans="2:19" x14ac:dyDescent="0.25">
      <c r="B4332" s="6" t="s">
        <v>46</v>
      </c>
      <c r="R4332"/>
      <c r="S4332"/>
    </row>
    <row r="4333" spans="2:19" x14ac:dyDescent="0.25">
      <c r="B4333" s="6" t="s">
        <v>46</v>
      </c>
      <c r="R4333"/>
      <c r="S4333"/>
    </row>
    <row r="4334" spans="2:19" x14ac:dyDescent="0.25">
      <c r="B4334" s="6" t="s">
        <v>46</v>
      </c>
      <c r="R4334"/>
      <c r="S4334"/>
    </row>
    <row r="4335" spans="2:19" x14ac:dyDescent="0.25">
      <c r="B4335" s="6" t="s">
        <v>46</v>
      </c>
      <c r="R4335"/>
      <c r="S4335"/>
    </row>
    <row r="4336" spans="2:19" x14ac:dyDescent="0.25">
      <c r="B4336" s="6" t="s">
        <v>46</v>
      </c>
      <c r="R4336"/>
      <c r="S4336"/>
    </row>
    <row r="4337" spans="2:19" x14ac:dyDescent="0.25">
      <c r="B4337" s="6" t="s">
        <v>46</v>
      </c>
      <c r="R4337"/>
      <c r="S4337"/>
    </row>
    <row r="4338" spans="2:19" x14ac:dyDescent="0.25">
      <c r="B4338" s="6" t="s">
        <v>46</v>
      </c>
      <c r="R4338"/>
      <c r="S4338"/>
    </row>
    <row r="4339" spans="2:19" x14ac:dyDescent="0.25">
      <c r="B4339" s="6" t="s">
        <v>46</v>
      </c>
      <c r="R4339"/>
      <c r="S4339"/>
    </row>
    <row r="4340" spans="2:19" x14ac:dyDescent="0.25">
      <c r="B4340" s="6" t="s">
        <v>46</v>
      </c>
      <c r="R4340"/>
      <c r="S4340"/>
    </row>
    <row r="4341" spans="2:19" x14ac:dyDescent="0.25">
      <c r="B4341" s="6" t="s">
        <v>46</v>
      </c>
      <c r="R4341"/>
      <c r="S4341"/>
    </row>
    <row r="4342" spans="2:19" x14ac:dyDescent="0.25">
      <c r="B4342" s="6" t="s">
        <v>46</v>
      </c>
      <c r="R4342"/>
      <c r="S4342"/>
    </row>
    <row r="4343" spans="2:19" x14ac:dyDescent="0.25">
      <c r="B4343" s="6" t="s">
        <v>46</v>
      </c>
      <c r="R4343"/>
      <c r="S4343"/>
    </row>
    <row r="4344" spans="2:19" x14ac:dyDescent="0.25">
      <c r="B4344" s="6" t="s">
        <v>46</v>
      </c>
      <c r="R4344"/>
      <c r="S4344"/>
    </row>
    <row r="4345" spans="2:19" x14ac:dyDescent="0.25">
      <c r="B4345" s="6" t="s">
        <v>46</v>
      </c>
      <c r="R4345"/>
      <c r="S4345"/>
    </row>
    <row r="4346" spans="2:19" x14ac:dyDescent="0.25">
      <c r="B4346" s="6" t="s">
        <v>46</v>
      </c>
      <c r="R4346"/>
      <c r="S4346"/>
    </row>
    <row r="4347" spans="2:19" x14ac:dyDescent="0.25">
      <c r="B4347" s="6" t="s">
        <v>46</v>
      </c>
      <c r="R4347"/>
      <c r="S4347"/>
    </row>
    <row r="4348" spans="2:19" x14ac:dyDescent="0.25">
      <c r="B4348" s="6" t="s">
        <v>46</v>
      </c>
      <c r="R4348"/>
      <c r="S4348"/>
    </row>
    <row r="4349" spans="2:19" x14ac:dyDescent="0.25">
      <c r="B4349" s="6" t="s">
        <v>46</v>
      </c>
      <c r="R4349"/>
      <c r="S4349"/>
    </row>
    <row r="4350" spans="2:19" x14ac:dyDescent="0.25">
      <c r="B4350" s="6" t="s">
        <v>46</v>
      </c>
      <c r="R4350"/>
      <c r="S4350"/>
    </row>
    <row r="4351" spans="2:19" x14ac:dyDescent="0.25">
      <c r="B4351" s="6" t="s">
        <v>46</v>
      </c>
      <c r="R4351"/>
      <c r="S4351"/>
    </row>
    <row r="4352" spans="2:19" x14ac:dyDescent="0.25">
      <c r="B4352" s="6" t="s">
        <v>46</v>
      </c>
      <c r="R4352"/>
      <c r="S4352"/>
    </row>
    <row r="4353" spans="2:19" x14ac:dyDescent="0.25">
      <c r="B4353" s="6" t="s">
        <v>46</v>
      </c>
      <c r="R4353"/>
      <c r="S4353"/>
    </row>
    <row r="4354" spans="2:19" x14ac:dyDescent="0.25">
      <c r="B4354" s="6" t="s">
        <v>46</v>
      </c>
      <c r="R4354"/>
      <c r="S4354"/>
    </row>
    <row r="4355" spans="2:19" x14ac:dyDescent="0.25">
      <c r="B4355" s="6" t="s">
        <v>46</v>
      </c>
      <c r="R4355"/>
      <c r="S4355"/>
    </row>
    <row r="4356" spans="2:19" x14ac:dyDescent="0.25">
      <c r="B4356" s="6" t="s">
        <v>46</v>
      </c>
      <c r="R4356"/>
      <c r="S4356"/>
    </row>
    <row r="4357" spans="2:19" x14ac:dyDescent="0.25">
      <c r="B4357" s="6" t="s">
        <v>46</v>
      </c>
      <c r="R4357"/>
      <c r="S4357"/>
    </row>
    <row r="4358" spans="2:19" x14ac:dyDescent="0.25">
      <c r="B4358" s="6" t="s">
        <v>46</v>
      </c>
      <c r="R4358"/>
      <c r="S4358"/>
    </row>
    <row r="4359" spans="2:19" x14ac:dyDescent="0.25">
      <c r="B4359" s="6" t="s">
        <v>46</v>
      </c>
      <c r="R4359"/>
      <c r="S4359"/>
    </row>
    <row r="4360" spans="2:19" x14ac:dyDescent="0.25">
      <c r="B4360" s="6" t="s">
        <v>46</v>
      </c>
      <c r="R4360"/>
      <c r="S4360"/>
    </row>
    <row r="4361" spans="2:19" x14ac:dyDescent="0.25">
      <c r="B4361" s="6" t="s">
        <v>46</v>
      </c>
      <c r="R4361"/>
      <c r="S4361"/>
    </row>
    <row r="4362" spans="2:19" x14ac:dyDescent="0.25">
      <c r="B4362" s="6" t="s">
        <v>46</v>
      </c>
      <c r="R4362"/>
      <c r="S4362"/>
    </row>
    <row r="4363" spans="2:19" x14ac:dyDescent="0.25">
      <c r="B4363" s="6" t="s">
        <v>46</v>
      </c>
      <c r="R4363"/>
      <c r="S4363"/>
    </row>
    <row r="4364" spans="2:19" x14ac:dyDescent="0.25">
      <c r="B4364" s="6" t="s">
        <v>46</v>
      </c>
      <c r="R4364"/>
      <c r="S4364"/>
    </row>
    <row r="4365" spans="2:19" x14ac:dyDescent="0.25">
      <c r="B4365" s="6" t="s">
        <v>46</v>
      </c>
      <c r="R4365"/>
      <c r="S4365"/>
    </row>
    <row r="4366" spans="2:19" x14ac:dyDescent="0.25">
      <c r="B4366" s="6" t="s">
        <v>46</v>
      </c>
      <c r="R4366"/>
      <c r="S4366"/>
    </row>
    <row r="4367" spans="2:19" x14ac:dyDescent="0.25">
      <c r="B4367" s="6" t="s">
        <v>46</v>
      </c>
      <c r="R4367"/>
      <c r="S4367"/>
    </row>
    <row r="4368" spans="2:19" x14ac:dyDescent="0.25">
      <c r="B4368" s="6" t="s">
        <v>46</v>
      </c>
      <c r="R4368"/>
      <c r="S4368"/>
    </row>
    <row r="4369" spans="2:19" x14ac:dyDescent="0.25">
      <c r="B4369" s="6" t="s">
        <v>46</v>
      </c>
      <c r="R4369"/>
      <c r="S4369"/>
    </row>
    <row r="4370" spans="2:19" x14ac:dyDescent="0.25">
      <c r="B4370" s="6" t="s">
        <v>46</v>
      </c>
      <c r="R4370"/>
      <c r="S4370"/>
    </row>
    <row r="4371" spans="2:19" x14ac:dyDescent="0.25">
      <c r="B4371" s="6" t="s">
        <v>46</v>
      </c>
      <c r="R4371"/>
      <c r="S4371"/>
    </row>
    <row r="4372" spans="2:19" x14ac:dyDescent="0.25">
      <c r="B4372" s="6" t="s">
        <v>46</v>
      </c>
      <c r="R4372"/>
      <c r="S4372"/>
    </row>
    <row r="4373" spans="2:19" x14ac:dyDescent="0.25">
      <c r="B4373" s="6" t="s">
        <v>46</v>
      </c>
      <c r="R4373"/>
      <c r="S4373"/>
    </row>
    <row r="4374" spans="2:19" x14ac:dyDescent="0.25">
      <c r="B4374" s="6" t="s">
        <v>46</v>
      </c>
      <c r="R4374"/>
      <c r="S4374"/>
    </row>
    <row r="4375" spans="2:19" x14ac:dyDescent="0.25">
      <c r="B4375" s="6" t="s">
        <v>46</v>
      </c>
      <c r="R4375"/>
      <c r="S4375"/>
    </row>
    <row r="4376" spans="2:19" x14ac:dyDescent="0.25">
      <c r="B4376" s="6" t="s">
        <v>46</v>
      </c>
      <c r="R4376"/>
      <c r="S4376"/>
    </row>
    <row r="4377" spans="2:19" x14ac:dyDescent="0.25">
      <c r="B4377" s="6" t="s">
        <v>46</v>
      </c>
      <c r="R4377"/>
      <c r="S4377"/>
    </row>
    <row r="4378" spans="2:19" x14ac:dyDescent="0.25">
      <c r="B4378" s="6" t="s">
        <v>46</v>
      </c>
      <c r="R4378"/>
      <c r="S4378"/>
    </row>
    <row r="4379" spans="2:19" x14ac:dyDescent="0.25">
      <c r="B4379" s="6" t="s">
        <v>46</v>
      </c>
      <c r="R4379"/>
      <c r="S4379"/>
    </row>
    <row r="4380" spans="2:19" x14ac:dyDescent="0.25">
      <c r="B4380" s="6" t="s">
        <v>46</v>
      </c>
      <c r="R4380"/>
      <c r="S4380"/>
    </row>
    <row r="4381" spans="2:19" x14ac:dyDescent="0.25">
      <c r="B4381" s="6" t="s">
        <v>46</v>
      </c>
      <c r="R4381"/>
      <c r="S4381"/>
    </row>
    <row r="4382" spans="2:19" x14ac:dyDescent="0.25">
      <c r="B4382" s="6" t="s">
        <v>46</v>
      </c>
      <c r="R4382"/>
      <c r="S4382"/>
    </row>
    <row r="4383" spans="2:19" x14ac:dyDescent="0.25">
      <c r="B4383" s="6" t="s">
        <v>46</v>
      </c>
      <c r="R4383"/>
      <c r="S4383"/>
    </row>
    <row r="4384" spans="2:19" x14ac:dyDescent="0.25">
      <c r="B4384" s="6" t="s">
        <v>46</v>
      </c>
      <c r="R4384"/>
      <c r="S4384"/>
    </row>
    <row r="4385" spans="2:19" x14ac:dyDescent="0.25">
      <c r="B4385" s="6" t="s">
        <v>46</v>
      </c>
      <c r="R4385"/>
      <c r="S4385"/>
    </row>
    <row r="4386" spans="2:19" x14ac:dyDescent="0.25">
      <c r="B4386" s="6" t="s">
        <v>46</v>
      </c>
      <c r="R4386"/>
      <c r="S4386"/>
    </row>
    <row r="4387" spans="2:19" x14ac:dyDescent="0.25">
      <c r="B4387" s="6" t="s">
        <v>46</v>
      </c>
      <c r="R4387"/>
      <c r="S4387"/>
    </row>
    <row r="4388" spans="2:19" x14ac:dyDescent="0.25">
      <c r="B4388" s="6" t="s">
        <v>46</v>
      </c>
      <c r="R4388"/>
      <c r="S4388"/>
    </row>
    <row r="4389" spans="2:19" x14ac:dyDescent="0.25">
      <c r="B4389" s="6" t="s">
        <v>46</v>
      </c>
      <c r="R4389"/>
      <c r="S4389"/>
    </row>
    <row r="4390" spans="2:19" x14ac:dyDescent="0.25">
      <c r="B4390" s="6" t="s">
        <v>46</v>
      </c>
      <c r="R4390"/>
      <c r="S4390"/>
    </row>
    <row r="4391" spans="2:19" x14ac:dyDescent="0.25">
      <c r="B4391" s="6" t="s">
        <v>46</v>
      </c>
      <c r="R4391"/>
      <c r="S4391"/>
    </row>
    <row r="4392" spans="2:19" x14ac:dyDescent="0.25">
      <c r="B4392" s="6" t="s">
        <v>46</v>
      </c>
      <c r="R4392"/>
      <c r="S4392"/>
    </row>
    <row r="4393" spans="2:19" x14ac:dyDescent="0.25">
      <c r="B4393" s="6" t="s">
        <v>46</v>
      </c>
      <c r="R4393"/>
      <c r="S4393"/>
    </row>
    <row r="4394" spans="2:19" x14ac:dyDescent="0.25">
      <c r="B4394" s="6" t="s">
        <v>46</v>
      </c>
      <c r="R4394"/>
      <c r="S4394"/>
    </row>
    <row r="4395" spans="2:19" x14ac:dyDescent="0.25">
      <c r="B4395" s="6" t="s">
        <v>46</v>
      </c>
      <c r="R4395"/>
      <c r="S4395"/>
    </row>
    <row r="4396" spans="2:19" x14ac:dyDescent="0.25">
      <c r="B4396" s="6" t="s">
        <v>46</v>
      </c>
      <c r="R4396"/>
      <c r="S4396"/>
    </row>
    <row r="4397" spans="2:19" x14ac:dyDescent="0.25">
      <c r="B4397" s="6" t="s">
        <v>46</v>
      </c>
      <c r="R4397"/>
      <c r="S4397"/>
    </row>
    <row r="4398" spans="2:19" x14ac:dyDescent="0.25">
      <c r="B4398" s="6" t="s">
        <v>46</v>
      </c>
      <c r="R4398"/>
      <c r="S4398"/>
    </row>
    <row r="4399" spans="2:19" x14ac:dyDescent="0.25">
      <c r="B4399" s="6" t="s">
        <v>46</v>
      </c>
      <c r="R4399"/>
      <c r="S4399"/>
    </row>
    <row r="4400" spans="2:19" x14ac:dyDescent="0.25">
      <c r="B4400" s="6" t="s">
        <v>46</v>
      </c>
      <c r="R4400"/>
      <c r="S4400"/>
    </row>
    <row r="4401" spans="2:19" x14ac:dyDescent="0.25">
      <c r="B4401" s="6" t="s">
        <v>46</v>
      </c>
      <c r="R4401"/>
      <c r="S4401"/>
    </row>
    <row r="4402" spans="2:19" x14ac:dyDescent="0.25">
      <c r="B4402" s="6" t="s">
        <v>46</v>
      </c>
      <c r="R4402"/>
      <c r="S4402"/>
    </row>
    <row r="4403" spans="2:19" x14ac:dyDescent="0.25">
      <c r="B4403" s="6" t="s">
        <v>46</v>
      </c>
      <c r="R4403"/>
      <c r="S4403"/>
    </row>
    <row r="4404" spans="2:19" x14ac:dyDescent="0.25">
      <c r="B4404" s="6" t="s">
        <v>46</v>
      </c>
      <c r="R4404"/>
      <c r="S4404"/>
    </row>
    <row r="4405" spans="2:19" x14ac:dyDescent="0.25">
      <c r="B4405" s="6" t="s">
        <v>46</v>
      </c>
      <c r="R4405"/>
      <c r="S4405"/>
    </row>
    <row r="4406" spans="2:19" x14ac:dyDescent="0.25">
      <c r="B4406" s="6" t="s">
        <v>46</v>
      </c>
      <c r="R4406"/>
      <c r="S4406"/>
    </row>
    <row r="4407" spans="2:19" x14ac:dyDescent="0.25">
      <c r="B4407" s="6" t="s">
        <v>46</v>
      </c>
      <c r="R4407"/>
      <c r="S4407"/>
    </row>
    <row r="4408" spans="2:19" x14ac:dyDescent="0.25">
      <c r="B4408" s="6" t="s">
        <v>46</v>
      </c>
      <c r="R4408"/>
      <c r="S4408"/>
    </row>
    <row r="4409" spans="2:19" x14ac:dyDescent="0.25">
      <c r="B4409" s="6" t="s">
        <v>46</v>
      </c>
      <c r="R4409"/>
      <c r="S4409"/>
    </row>
    <row r="4410" spans="2:19" x14ac:dyDescent="0.25">
      <c r="B4410" s="6" t="s">
        <v>46</v>
      </c>
      <c r="R4410"/>
      <c r="S4410"/>
    </row>
    <row r="4411" spans="2:19" x14ac:dyDescent="0.25">
      <c r="B4411" s="6" t="s">
        <v>46</v>
      </c>
      <c r="R4411"/>
      <c r="S4411"/>
    </row>
    <row r="4412" spans="2:19" x14ac:dyDescent="0.25">
      <c r="B4412" s="6" t="s">
        <v>46</v>
      </c>
      <c r="R4412"/>
      <c r="S4412"/>
    </row>
    <row r="4413" spans="2:19" x14ac:dyDescent="0.25">
      <c r="B4413" s="6" t="s">
        <v>46</v>
      </c>
      <c r="R4413"/>
      <c r="S4413"/>
    </row>
    <row r="4414" spans="2:19" x14ac:dyDescent="0.25">
      <c r="B4414" s="6" t="s">
        <v>46</v>
      </c>
      <c r="R4414"/>
      <c r="S4414"/>
    </row>
    <row r="4415" spans="2:19" x14ac:dyDescent="0.25">
      <c r="B4415" s="6" t="s">
        <v>46</v>
      </c>
      <c r="R4415"/>
      <c r="S4415"/>
    </row>
    <row r="4416" spans="2:19" x14ac:dyDescent="0.25">
      <c r="B4416" s="6" t="s">
        <v>46</v>
      </c>
      <c r="R4416"/>
      <c r="S4416"/>
    </row>
    <row r="4417" spans="2:19" x14ac:dyDescent="0.25">
      <c r="B4417" s="6" t="s">
        <v>46</v>
      </c>
      <c r="R4417"/>
      <c r="S4417"/>
    </row>
    <row r="4418" spans="2:19" x14ac:dyDescent="0.25">
      <c r="B4418" s="6" t="s">
        <v>46</v>
      </c>
      <c r="R4418"/>
      <c r="S4418"/>
    </row>
    <row r="4419" spans="2:19" x14ac:dyDescent="0.25">
      <c r="B4419" s="6" t="s">
        <v>46</v>
      </c>
      <c r="R4419"/>
      <c r="S4419"/>
    </row>
    <row r="4420" spans="2:19" x14ac:dyDescent="0.25">
      <c r="B4420" s="6" t="s">
        <v>46</v>
      </c>
      <c r="R4420"/>
      <c r="S4420"/>
    </row>
    <row r="4421" spans="2:19" x14ac:dyDescent="0.25">
      <c r="B4421" s="6" t="s">
        <v>46</v>
      </c>
      <c r="R4421"/>
      <c r="S4421"/>
    </row>
    <row r="4422" spans="2:19" x14ac:dyDescent="0.25">
      <c r="B4422" s="6" t="s">
        <v>46</v>
      </c>
      <c r="R4422"/>
      <c r="S4422"/>
    </row>
    <row r="4423" spans="2:19" x14ac:dyDescent="0.25">
      <c r="B4423" s="6" t="s">
        <v>46</v>
      </c>
      <c r="R4423"/>
      <c r="S4423"/>
    </row>
    <row r="4424" spans="2:19" x14ac:dyDescent="0.25">
      <c r="B4424" s="6" t="s">
        <v>46</v>
      </c>
      <c r="R4424"/>
      <c r="S4424"/>
    </row>
    <row r="4425" spans="2:19" x14ac:dyDescent="0.25">
      <c r="B4425" s="6" t="s">
        <v>46</v>
      </c>
      <c r="R4425"/>
      <c r="S4425"/>
    </row>
    <row r="4426" spans="2:19" x14ac:dyDescent="0.25">
      <c r="B4426" s="6" t="s">
        <v>46</v>
      </c>
      <c r="R4426"/>
      <c r="S4426"/>
    </row>
    <row r="4427" spans="2:19" x14ac:dyDescent="0.25">
      <c r="B4427" s="6" t="s">
        <v>46</v>
      </c>
      <c r="R4427"/>
      <c r="S4427"/>
    </row>
    <row r="4428" spans="2:19" x14ac:dyDescent="0.25">
      <c r="B4428" s="6" t="s">
        <v>46</v>
      </c>
      <c r="R4428"/>
      <c r="S4428"/>
    </row>
    <row r="4429" spans="2:19" x14ac:dyDescent="0.25">
      <c r="B4429" s="6" t="s">
        <v>46</v>
      </c>
      <c r="R4429"/>
      <c r="S4429"/>
    </row>
    <row r="4430" spans="2:19" x14ac:dyDescent="0.25">
      <c r="B4430" s="6" t="s">
        <v>46</v>
      </c>
      <c r="R4430"/>
      <c r="S4430"/>
    </row>
    <row r="4431" spans="2:19" x14ac:dyDescent="0.25">
      <c r="B4431" s="6" t="s">
        <v>46</v>
      </c>
      <c r="R4431"/>
      <c r="S4431"/>
    </row>
    <row r="4432" spans="2:19" x14ac:dyDescent="0.25">
      <c r="B4432" s="6" t="s">
        <v>46</v>
      </c>
      <c r="R4432"/>
      <c r="S4432"/>
    </row>
    <row r="4433" spans="2:19" x14ac:dyDescent="0.25">
      <c r="B4433" s="6" t="s">
        <v>46</v>
      </c>
      <c r="R4433"/>
      <c r="S4433"/>
    </row>
    <row r="4434" spans="2:19" x14ac:dyDescent="0.25">
      <c r="B4434" s="6" t="s">
        <v>46</v>
      </c>
      <c r="R4434"/>
      <c r="S4434"/>
    </row>
    <row r="4435" spans="2:19" x14ac:dyDescent="0.25">
      <c r="B4435" s="6" t="s">
        <v>46</v>
      </c>
      <c r="R4435"/>
      <c r="S4435"/>
    </row>
    <row r="4436" spans="2:19" x14ac:dyDescent="0.25">
      <c r="B4436" s="6" t="s">
        <v>46</v>
      </c>
      <c r="R4436"/>
      <c r="S4436"/>
    </row>
    <row r="4437" spans="2:19" x14ac:dyDescent="0.25">
      <c r="B4437" s="6" t="s">
        <v>46</v>
      </c>
      <c r="R4437"/>
      <c r="S4437"/>
    </row>
    <row r="4438" spans="2:19" x14ac:dyDescent="0.25">
      <c r="B4438" s="6" t="s">
        <v>46</v>
      </c>
      <c r="R4438"/>
      <c r="S4438"/>
    </row>
    <row r="4439" spans="2:19" x14ac:dyDescent="0.25">
      <c r="B4439" s="6" t="s">
        <v>46</v>
      </c>
      <c r="R4439"/>
      <c r="S4439"/>
    </row>
    <row r="4440" spans="2:19" x14ac:dyDescent="0.25">
      <c r="B4440" s="6" t="s">
        <v>46</v>
      </c>
      <c r="R4440"/>
      <c r="S4440"/>
    </row>
    <row r="4441" spans="2:19" x14ac:dyDescent="0.25">
      <c r="B4441" s="6" t="s">
        <v>46</v>
      </c>
      <c r="R4441"/>
      <c r="S4441"/>
    </row>
    <row r="4442" spans="2:19" x14ac:dyDescent="0.25">
      <c r="B4442" s="6" t="s">
        <v>46</v>
      </c>
      <c r="R4442"/>
      <c r="S4442"/>
    </row>
    <row r="4443" spans="2:19" x14ac:dyDescent="0.25">
      <c r="B4443" s="6" t="s">
        <v>46</v>
      </c>
      <c r="R4443"/>
      <c r="S4443"/>
    </row>
    <row r="4444" spans="2:19" x14ac:dyDescent="0.25">
      <c r="B4444" s="6" t="s">
        <v>46</v>
      </c>
      <c r="R4444"/>
      <c r="S4444"/>
    </row>
    <row r="4445" spans="2:19" x14ac:dyDescent="0.25">
      <c r="B4445" s="6" t="s">
        <v>46</v>
      </c>
      <c r="R4445"/>
      <c r="S4445"/>
    </row>
    <row r="4446" spans="2:19" x14ac:dyDescent="0.25">
      <c r="B4446" s="6" t="s">
        <v>46</v>
      </c>
      <c r="R4446"/>
      <c r="S4446"/>
    </row>
    <row r="4447" spans="2:19" x14ac:dyDescent="0.25">
      <c r="B4447" s="6" t="s">
        <v>46</v>
      </c>
      <c r="R4447"/>
      <c r="S4447"/>
    </row>
    <row r="4448" spans="2:19" x14ac:dyDescent="0.25">
      <c r="B4448" s="6" t="s">
        <v>46</v>
      </c>
      <c r="R4448"/>
      <c r="S4448"/>
    </row>
    <row r="4449" spans="2:19" x14ac:dyDescent="0.25">
      <c r="B4449" s="6" t="s">
        <v>46</v>
      </c>
      <c r="R4449"/>
      <c r="S4449"/>
    </row>
    <row r="4450" spans="2:19" x14ac:dyDescent="0.25">
      <c r="B4450" s="6" t="s">
        <v>46</v>
      </c>
      <c r="R4450"/>
      <c r="S4450"/>
    </row>
    <row r="4451" spans="2:19" x14ac:dyDescent="0.25">
      <c r="B4451" s="6" t="s">
        <v>46</v>
      </c>
      <c r="R4451"/>
      <c r="S4451"/>
    </row>
    <row r="4452" spans="2:19" x14ac:dyDescent="0.25">
      <c r="B4452" s="6" t="s">
        <v>46</v>
      </c>
      <c r="R4452"/>
      <c r="S4452"/>
    </row>
    <row r="4453" spans="2:19" x14ac:dyDescent="0.25">
      <c r="B4453" s="6" t="s">
        <v>46</v>
      </c>
      <c r="R4453"/>
      <c r="S4453"/>
    </row>
    <row r="4454" spans="2:19" x14ac:dyDescent="0.25">
      <c r="B4454" s="6" t="s">
        <v>46</v>
      </c>
      <c r="R4454"/>
      <c r="S4454"/>
    </row>
    <row r="4455" spans="2:19" x14ac:dyDescent="0.25">
      <c r="B4455" s="6" t="s">
        <v>46</v>
      </c>
      <c r="R4455"/>
      <c r="S4455"/>
    </row>
    <row r="4456" spans="2:19" x14ac:dyDescent="0.25">
      <c r="B4456" s="6" t="s">
        <v>46</v>
      </c>
      <c r="R4456"/>
      <c r="S4456"/>
    </row>
    <row r="4457" spans="2:19" x14ac:dyDescent="0.25">
      <c r="B4457" s="6" t="s">
        <v>46</v>
      </c>
      <c r="R4457"/>
      <c r="S4457"/>
    </row>
    <row r="4458" spans="2:19" x14ac:dyDescent="0.25">
      <c r="B4458" s="6" t="s">
        <v>46</v>
      </c>
      <c r="R4458"/>
      <c r="S4458"/>
    </row>
    <row r="4459" spans="2:19" x14ac:dyDescent="0.25">
      <c r="B4459" s="6" t="s">
        <v>46</v>
      </c>
      <c r="R4459"/>
      <c r="S4459"/>
    </row>
    <row r="4460" spans="2:19" x14ac:dyDescent="0.25">
      <c r="B4460" s="6" t="s">
        <v>46</v>
      </c>
      <c r="R4460"/>
      <c r="S4460"/>
    </row>
    <row r="4461" spans="2:19" x14ac:dyDescent="0.25">
      <c r="B4461" s="6" t="s">
        <v>46</v>
      </c>
      <c r="R4461"/>
      <c r="S4461"/>
    </row>
    <row r="4462" spans="2:19" x14ac:dyDescent="0.25">
      <c r="B4462" s="6" t="s">
        <v>46</v>
      </c>
      <c r="R4462"/>
      <c r="S4462"/>
    </row>
    <row r="4463" spans="2:19" x14ac:dyDescent="0.25">
      <c r="B4463" s="6" t="s">
        <v>46</v>
      </c>
      <c r="R4463"/>
      <c r="S4463"/>
    </row>
    <row r="4464" spans="2:19" x14ac:dyDescent="0.25">
      <c r="B4464" s="6" t="s">
        <v>46</v>
      </c>
      <c r="R4464"/>
      <c r="S4464"/>
    </row>
    <row r="4465" spans="2:19" x14ac:dyDescent="0.25">
      <c r="B4465" s="6" t="s">
        <v>46</v>
      </c>
      <c r="R4465"/>
      <c r="S4465"/>
    </row>
    <row r="4466" spans="2:19" x14ac:dyDescent="0.25">
      <c r="B4466" s="6" t="s">
        <v>46</v>
      </c>
      <c r="R4466"/>
      <c r="S4466"/>
    </row>
    <row r="4467" spans="2:19" x14ac:dyDescent="0.25">
      <c r="B4467" s="6" t="s">
        <v>46</v>
      </c>
      <c r="R4467"/>
      <c r="S4467"/>
    </row>
    <row r="4468" spans="2:19" x14ac:dyDescent="0.25">
      <c r="B4468" s="6" t="s">
        <v>46</v>
      </c>
      <c r="R4468"/>
      <c r="S4468"/>
    </row>
    <row r="4469" spans="2:19" x14ac:dyDescent="0.25">
      <c r="B4469" s="6" t="s">
        <v>46</v>
      </c>
      <c r="R4469"/>
      <c r="S4469"/>
    </row>
    <row r="4470" spans="2:19" x14ac:dyDescent="0.25">
      <c r="B4470" s="6" t="s">
        <v>46</v>
      </c>
      <c r="R4470"/>
      <c r="S4470"/>
    </row>
    <row r="4471" spans="2:19" x14ac:dyDescent="0.25">
      <c r="B4471" s="6" t="s">
        <v>46</v>
      </c>
      <c r="R4471"/>
      <c r="S4471"/>
    </row>
    <row r="4472" spans="2:19" x14ac:dyDescent="0.25">
      <c r="B4472" s="6" t="s">
        <v>46</v>
      </c>
      <c r="R4472"/>
      <c r="S4472"/>
    </row>
    <row r="4473" spans="2:19" x14ac:dyDescent="0.25">
      <c r="B4473" s="6" t="s">
        <v>46</v>
      </c>
      <c r="R4473"/>
      <c r="S4473"/>
    </row>
    <row r="4474" spans="2:19" x14ac:dyDescent="0.25">
      <c r="B4474" s="6" t="s">
        <v>46</v>
      </c>
      <c r="R4474"/>
      <c r="S4474"/>
    </row>
    <row r="4475" spans="2:19" x14ac:dyDescent="0.25">
      <c r="B4475" s="6" t="s">
        <v>46</v>
      </c>
      <c r="R4475"/>
      <c r="S4475"/>
    </row>
    <row r="4476" spans="2:19" x14ac:dyDescent="0.25">
      <c r="B4476" s="6" t="s">
        <v>46</v>
      </c>
      <c r="R4476"/>
      <c r="S4476"/>
    </row>
    <row r="4477" spans="2:19" x14ac:dyDescent="0.25">
      <c r="B4477" s="6" t="s">
        <v>46</v>
      </c>
      <c r="R4477"/>
      <c r="S4477"/>
    </row>
    <row r="4478" spans="2:19" x14ac:dyDescent="0.25">
      <c r="B4478" s="6" t="s">
        <v>46</v>
      </c>
      <c r="R4478"/>
      <c r="S4478"/>
    </row>
    <row r="4479" spans="2:19" x14ac:dyDescent="0.25">
      <c r="B4479" s="6" t="s">
        <v>46</v>
      </c>
      <c r="R4479"/>
      <c r="S4479"/>
    </row>
    <row r="4480" spans="2:19" x14ac:dyDescent="0.25">
      <c r="B4480" s="6" t="s">
        <v>46</v>
      </c>
      <c r="R4480"/>
      <c r="S4480"/>
    </row>
    <row r="4481" spans="2:19" x14ac:dyDescent="0.25">
      <c r="B4481" s="6" t="s">
        <v>46</v>
      </c>
      <c r="R4481"/>
      <c r="S4481"/>
    </row>
    <row r="4482" spans="2:19" x14ac:dyDescent="0.25">
      <c r="B4482" s="6" t="s">
        <v>46</v>
      </c>
      <c r="R4482"/>
      <c r="S4482"/>
    </row>
    <row r="4483" spans="2:19" x14ac:dyDescent="0.25">
      <c r="B4483" s="6" t="s">
        <v>46</v>
      </c>
      <c r="R4483"/>
      <c r="S4483"/>
    </row>
    <row r="4484" spans="2:19" x14ac:dyDescent="0.25">
      <c r="B4484" s="6" t="s">
        <v>46</v>
      </c>
      <c r="R4484"/>
      <c r="S4484"/>
    </row>
    <row r="4485" spans="2:19" x14ac:dyDescent="0.25">
      <c r="B4485" s="6" t="s">
        <v>46</v>
      </c>
      <c r="R4485"/>
      <c r="S4485"/>
    </row>
    <row r="4486" spans="2:19" x14ac:dyDescent="0.25">
      <c r="B4486" s="6" t="s">
        <v>46</v>
      </c>
      <c r="R4486"/>
      <c r="S4486"/>
    </row>
    <row r="4487" spans="2:19" x14ac:dyDescent="0.25">
      <c r="B4487" s="6" t="s">
        <v>46</v>
      </c>
      <c r="R4487"/>
      <c r="S4487"/>
    </row>
    <row r="4488" spans="2:19" x14ac:dyDescent="0.25">
      <c r="B4488" s="6" t="s">
        <v>46</v>
      </c>
      <c r="R4488"/>
      <c r="S4488"/>
    </row>
    <row r="4489" spans="2:19" x14ac:dyDescent="0.25">
      <c r="B4489" s="6" t="s">
        <v>46</v>
      </c>
      <c r="R4489"/>
      <c r="S4489"/>
    </row>
    <row r="4490" spans="2:19" x14ac:dyDescent="0.25">
      <c r="B4490" s="6" t="s">
        <v>46</v>
      </c>
      <c r="R4490"/>
      <c r="S4490"/>
    </row>
    <row r="4491" spans="2:19" x14ac:dyDescent="0.25">
      <c r="B4491" s="6" t="s">
        <v>46</v>
      </c>
      <c r="R4491"/>
      <c r="S4491"/>
    </row>
    <row r="4492" spans="2:19" x14ac:dyDescent="0.25">
      <c r="B4492" s="6" t="s">
        <v>46</v>
      </c>
      <c r="R4492"/>
      <c r="S4492"/>
    </row>
    <row r="4493" spans="2:19" x14ac:dyDescent="0.25">
      <c r="B4493" s="6" t="s">
        <v>46</v>
      </c>
      <c r="R4493"/>
      <c r="S4493"/>
    </row>
    <row r="4494" spans="2:19" x14ac:dyDescent="0.25">
      <c r="B4494" s="6" t="s">
        <v>46</v>
      </c>
      <c r="R4494"/>
      <c r="S4494"/>
    </row>
    <row r="4495" spans="2:19" x14ac:dyDescent="0.25">
      <c r="B4495" s="6" t="s">
        <v>46</v>
      </c>
      <c r="R4495"/>
      <c r="S4495"/>
    </row>
    <row r="4496" spans="2:19" x14ac:dyDescent="0.25">
      <c r="B4496" s="6" t="s">
        <v>46</v>
      </c>
      <c r="R4496"/>
      <c r="S4496"/>
    </row>
    <row r="4497" spans="2:19" x14ac:dyDescent="0.25">
      <c r="B4497" s="6" t="s">
        <v>46</v>
      </c>
      <c r="R4497"/>
      <c r="S4497"/>
    </row>
    <row r="4498" spans="2:19" x14ac:dyDescent="0.25">
      <c r="B4498" s="6" t="s">
        <v>46</v>
      </c>
      <c r="R4498"/>
      <c r="S4498"/>
    </row>
    <row r="4499" spans="2:19" x14ac:dyDescent="0.25">
      <c r="B4499" s="6" t="s">
        <v>46</v>
      </c>
      <c r="R4499"/>
      <c r="S4499"/>
    </row>
    <row r="4500" spans="2:19" x14ac:dyDescent="0.25">
      <c r="B4500" s="6" t="s">
        <v>46</v>
      </c>
      <c r="R4500"/>
      <c r="S4500"/>
    </row>
    <row r="4501" spans="2:19" x14ac:dyDescent="0.25">
      <c r="B4501" s="6" t="s">
        <v>46</v>
      </c>
      <c r="R4501"/>
      <c r="S4501"/>
    </row>
    <row r="4502" spans="2:19" x14ac:dyDescent="0.25">
      <c r="B4502" s="6" t="s">
        <v>46</v>
      </c>
      <c r="R4502"/>
      <c r="S4502"/>
    </row>
    <row r="4503" spans="2:19" x14ac:dyDescent="0.25">
      <c r="B4503" s="6" t="s">
        <v>46</v>
      </c>
      <c r="R4503"/>
      <c r="S4503"/>
    </row>
    <row r="4504" spans="2:19" x14ac:dyDescent="0.25">
      <c r="B4504" s="6" t="s">
        <v>46</v>
      </c>
      <c r="R4504"/>
      <c r="S4504"/>
    </row>
    <row r="4505" spans="2:19" x14ac:dyDescent="0.25">
      <c r="B4505" s="6" t="s">
        <v>46</v>
      </c>
      <c r="R4505"/>
      <c r="S4505"/>
    </row>
    <row r="4506" spans="2:19" x14ac:dyDescent="0.25">
      <c r="B4506" s="6" t="s">
        <v>46</v>
      </c>
      <c r="R4506"/>
      <c r="S4506"/>
    </row>
    <row r="4507" spans="2:19" x14ac:dyDescent="0.25">
      <c r="B4507" s="6" t="s">
        <v>46</v>
      </c>
      <c r="R4507"/>
      <c r="S4507"/>
    </row>
    <row r="4508" spans="2:19" x14ac:dyDescent="0.25">
      <c r="B4508" s="6" t="s">
        <v>46</v>
      </c>
      <c r="R4508"/>
      <c r="S4508"/>
    </row>
    <row r="4509" spans="2:19" x14ac:dyDescent="0.25">
      <c r="B4509" s="6" t="s">
        <v>46</v>
      </c>
      <c r="R4509"/>
      <c r="S4509"/>
    </row>
    <row r="4510" spans="2:19" x14ac:dyDescent="0.25">
      <c r="B4510" s="6" t="s">
        <v>46</v>
      </c>
      <c r="R4510"/>
      <c r="S4510"/>
    </row>
    <row r="4511" spans="2:19" x14ac:dyDescent="0.25">
      <c r="B4511" s="6" t="s">
        <v>46</v>
      </c>
      <c r="R4511"/>
      <c r="S4511"/>
    </row>
    <row r="4512" spans="2:19" x14ac:dyDescent="0.25">
      <c r="B4512" s="6" t="s">
        <v>46</v>
      </c>
      <c r="R4512"/>
      <c r="S4512"/>
    </row>
    <row r="4513" spans="2:19" x14ac:dyDescent="0.25">
      <c r="B4513" s="6" t="s">
        <v>46</v>
      </c>
      <c r="R4513"/>
      <c r="S4513"/>
    </row>
    <row r="4514" spans="2:19" x14ac:dyDescent="0.25">
      <c r="B4514" s="6" t="s">
        <v>46</v>
      </c>
      <c r="R4514"/>
      <c r="S4514"/>
    </row>
    <row r="4515" spans="2:19" x14ac:dyDescent="0.25">
      <c r="B4515" s="6" t="s">
        <v>46</v>
      </c>
      <c r="R4515"/>
      <c r="S4515"/>
    </row>
    <row r="4516" spans="2:19" x14ac:dyDescent="0.25">
      <c r="B4516" s="6" t="s">
        <v>46</v>
      </c>
      <c r="R4516"/>
      <c r="S4516"/>
    </row>
    <row r="4517" spans="2:19" x14ac:dyDescent="0.25">
      <c r="B4517" s="6" t="s">
        <v>46</v>
      </c>
      <c r="R4517"/>
      <c r="S4517"/>
    </row>
    <row r="4518" spans="2:19" x14ac:dyDescent="0.25">
      <c r="B4518" s="6" t="s">
        <v>46</v>
      </c>
      <c r="R4518"/>
      <c r="S4518"/>
    </row>
    <row r="4519" spans="2:19" x14ac:dyDescent="0.25">
      <c r="B4519" s="6" t="s">
        <v>46</v>
      </c>
      <c r="R4519"/>
      <c r="S4519"/>
    </row>
    <row r="4520" spans="2:19" x14ac:dyDescent="0.25">
      <c r="B4520" s="6" t="s">
        <v>46</v>
      </c>
      <c r="R4520"/>
      <c r="S4520"/>
    </row>
    <row r="4521" spans="2:19" x14ac:dyDescent="0.25">
      <c r="B4521" s="6" t="s">
        <v>46</v>
      </c>
      <c r="R4521"/>
      <c r="S4521"/>
    </row>
    <row r="4522" spans="2:19" x14ac:dyDescent="0.25">
      <c r="B4522" s="6" t="s">
        <v>46</v>
      </c>
      <c r="R4522"/>
      <c r="S4522"/>
    </row>
    <row r="4523" spans="2:19" x14ac:dyDescent="0.25">
      <c r="B4523" s="6" t="s">
        <v>46</v>
      </c>
      <c r="R4523"/>
      <c r="S4523"/>
    </row>
    <row r="4524" spans="2:19" x14ac:dyDescent="0.25">
      <c r="B4524" s="6" t="s">
        <v>46</v>
      </c>
      <c r="R4524"/>
      <c r="S4524"/>
    </row>
    <row r="4525" spans="2:19" x14ac:dyDescent="0.25">
      <c r="B4525" s="6" t="s">
        <v>46</v>
      </c>
      <c r="R4525"/>
      <c r="S4525"/>
    </row>
    <row r="4526" spans="2:19" x14ac:dyDescent="0.25">
      <c r="B4526" s="6" t="s">
        <v>46</v>
      </c>
      <c r="R4526"/>
      <c r="S4526"/>
    </row>
    <row r="4527" spans="2:19" x14ac:dyDescent="0.25">
      <c r="B4527" s="6" t="s">
        <v>46</v>
      </c>
      <c r="R4527"/>
      <c r="S4527"/>
    </row>
    <row r="4528" spans="2:19" x14ac:dyDescent="0.25">
      <c r="B4528" s="6" t="s">
        <v>46</v>
      </c>
      <c r="R4528"/>
      <c r="S4528"/>
    </row>
    <row r="4529" spans="2:19" x14ac:dyDescent="0.25">
      <c r="B4529" s="6" t="s">
        <v>46</v>
      </c>
      <c r="R4529"/>
      <c r="S4529"/>
    </row>
    <row r="4530" spans="2:19" x14ac:dyDescent="0.25">
      <c r="B4530" s="6" t="s">
        <v>46</v>
      </c>
      <c r="R4530"/>
      <c r="S4530"/>
    </row>
    <row r="4531" spans="2:19" x14ac:dyDescent="0.25">
      <c r="B4531" s="6" t="s">
        <v>46</v>
      </c>
      <c r="R4531"/>
      <c r="S4531"/>
    </row>
    <row r="4532" spans="2:19" x14ac:dyDescent="0.25">
      <c r="B4532" s="6" t="s">
        <v>46</v>
      </c>
      <c r="R4532"/>
      <c r="S4532"/>
    </row>
    <row r="4533" spans="2:19" x14ac:dyDescent="0.25">
      <c r="B4533" s="6" t="s">
        <v>46</v>
      </c>
      <c r="R4533"/>
      <c r="S4533"/>
    </row>
    <row r="4534" spans="2:19" x14ac:dyDescent="0.25">
      <c r="B4534" s="6" t="s">
        <v>46</v>
      </c>
      <c r="R4534"/>
      <c r="S4534"/>
    </row>
    <row r="4535" spans="2:19" x14ac:dyDescent="0.25">
      <c r="B4535" s="6" t="s">
        <v>46</v>
      </c>
      <c r="R4535"/>
      <c r="S4535"/>
    </row>
    <row r="4536" spans="2:19" x14ac:dyDescent="0.25">
      <c r="B4536" s="6" t="s">
        <v>46</v>
      </c>
      <c r="R4536"/>
      <c r="S4536"/>
    </row>
    <row r="4537" spans="2:19" x14ac:dyDescent="0.25">
      <c r="B4537" s="6" t="s">
        <v>46</v>
      </c>
      <c r="R4537"/>
      <c r="S4537"/>
    </row>
    <row r="4538" spans="2:19" x14ac:dyDescent="0.25">
      <c r="B4538" s="6" t="s">
        <v>46</v>
      </c>
      <c r="R4538"/>
      <c r="S4538"/>
    </row>
    <row r="4539" spans="2:19" x14ac:dyDescent="0.25">
      <c r="B4539" s="6" t="s">
        <v>46</v>
      </c>
      <c r="R4539"/>
      <c r="S4539"/>
    </row>
    <row r="4540" spans="2:19" x14ac:dyDescent="0.25">
      <c r="B4540" s="6" t="s">
        <v>46</v>
      </c>
      <c r="R4540"/>
      <c r="S4540"/>
    </row>
    <row r="4541" spans="2:19" x14ac:dyDescent="0.25">
      <c r="B4541" s="6" t="s">
        <v>46</v>
      </c>
      <c r="R4541"/>
      <c r="S4541"/>
    </row>
    <row r="4542" spans="2:19" x14ac:dyDescent="0.25">
      <c r="B4542" s="6" t="s">
        <v>46</v>
      </c>
      <c r="R4542"/>
      <c r="S4542"/>
    </row>
    <row r="4543" spans="2:19" x14ac:dyDescent="0.25">
      <c r="B4543" s="6" t="s">
        <v>46</v>
      </c>
      <c r="R4543"/>
      <c r="S4543"/>
    </row>
    <row r="4544" spans="2:19" x14ac:dyDescent="0.25">
      <c r="B4544" s="6" t="s">
        <v>46</v>
      </c>
      <c r="R4544"/>
      <c r="S4544"/>
    </row>
    <row r="4545" spans="2:19" x14ac:dyDescent="0.25">
      <c r="B4545" s="6" t="s">
        <v>46</v>
      </c>
      <c r="R4545"/>
      <c r="S4545"/>
    </row>
    <row r="4546" spans="2:19" x14ac:dyDescent="0.25">
      <c r="B4546" s="6" t="s">
        <v>46</v>
      </c>
      <c r="R4546"/>
      <c r="S4546"/>
    </row>
    <row r="4547" spans="2:19" x14ac:dyDescent="0.25">
      <c r="B4547" s="6" t="s">
        <v>46</v>
      </c>
      <c r="R4547"/>
      <c r="S4547"/>
    </row>
    <row r="4548" spans="2:19" x14ac:dyDescent="0.25">
      <c r="B4548" s="6" t="s">
        <v>46</v>
      </c>
      <c r="R4548"/>
      <c r="S4548"/>
    </row>
    <row r="4549" spans="2:19" x14ac:dyDescent="0.25">
      <c r="B4549" s="6" t="s">
        <v>46</v>
      </c>
      <c r="R4549"/>
      <c r="S4549"/>
    </row>
    <row r="4550" spans="2:19" x14ac:dyDescent="0.25">
      <c r="B4550" s="6" t="s">
        <v>46</v>
      </c>
      <c r="R4550"/>
      <c r="S4550"/>
    </row>
    <row r="4551" spans="2:19" x14ac:dyDescent="0.25">
      <c r="B4551" s="6" t="s">
        <v>46</v>
      </c>
      <c r="R4551"/>
      <c r="S4551"/>
    </row>
    <row r="4552" spans="2:19" x14ac:dyDescent="0.25">
      <c r="B4552" s="6" t="s">
        <v>46</v>
      </c>
      <c r="R4552"/>
      <c r="S4552"/>
    </row>
    <row r="4553" spans="2:19" x14ac:dyDescent="0.25">
      <c r="B4553" s="6" t="s">
        <v>46</v>
      </c>
      <c r="R4553"/>
      <c r="S4553"/>
    </row>
    <row r="4554" spans="2:19" x14ac:dyDescent="0.25">
      <c r="B4554" s="6" t="s">
        <v>46</v>
      </c>
      <c r="R4554"/>
      <c r="S4554"/>
    </row>
    <row r="4555" spans="2:19" x14ac:dyDescent="0.25">
      <c r="B4555" s="6" t="s">
        <v>46</v>
      </c>
      <c r="R4555"/>
      <c r="S4555"/>
    </row>
    <row r="4556" spans="2:19" x14ac:dyDescent="0.25">
      <c r="B4556" s="6" t="s">
        <v>46</v>
      </c>
      <c r="R4556"/>
      <c r="S4556"/>
    </row>
    <row r="4557" spans="2:19" x14ac:dyDescent="0.25">
      <c r="B4557" s="6" t="s">
        <v>46</v>
      </c>
      <c r="R4557"/>
      <c r="S4557"/>
    </row>
    <row r="4558" spans="2:19" x14ac:dyDescent="0.25">
      <c r="B4558" s="6" t="s">
        <v>46</v>
      </c>
      <c r="R4558"/>
      <c r="S4558"/>
    </row>
    <row r="4559" spans="2:19" x14ac:dyDescent="0.25">
      <c r="B4559" s="6" t="s">
        <v>46</v>
      </c>
      <c r="R4559"/>
      <c r="S4559"/>
    </row>
    <row r="4560" spans="2:19" x14ac:dyDescent="0.25">
      <c r="B4560" s="6" t="s">
        <v>46</v>
      </c>
      <c r="R4560"/>
      <c r="S4560"/>
    </row>
    <row r="4561" spans="2:19" x14ac:dyDescent="0.25">
      <c r="B4561" s="6" t="s">
        <v>46</v>
      </c>
      <c r="R4561"/>
      <c r="S4561"/>
    </row>
    <row r="4562" spans="2:19" x14ac:dyDescent="0.25">
      <c r="B4562" s="6" t="s">
        <v>46</v>
      </c>
      <c r="R4562"/>
      <c r="S4562"/>
    </row>
    <row r="4563" spans="2:19" x14ac:dyDescent="0.25">
      <c r="B4563" s="6" t="s">
        <v>46</v>
      </c>
      <c r="R4563"/>
      <c r="S4563"/>
    </row>
    <row r="4564" spans="2:19" x14ac:dyDescent="0.25">
      <c r="B4564" s="6" t="s">
        <v>46</v>
      </c>
      <c r="R4564"/>
      <c r="S4564"/>
    </row>
    <row r="4565" spans="2:19" x14ac:dyDescent="0.25">
      <c r="B4565" s="6" t="s">
        <v>46</v>
      </c>
      <c r="R4565"/>
      <c r="S4565"/>
    </row>
    <row r="4566" spans="2:19" x14ac:dyDescent="0.25">
      <c r="B4566" s="6" t="s">
        <v>46</v>
      </c>
      <c r="R4566"/>
      <c r="S4566"/>
    </row>
    <row r="4567" spans="2:19" x14ac:dyDescent="0.25">
      <c r="B4567" s="6" t="s">
        <v>46</v>
      </c>
      <c r="R4567"/>
      <c r="S4567"/>
    </row>
    <row r="4568" spans="2:19" x14ac:dyDescent="0.25">
      <c r="B4568" s="6" t="s">
        <v>46</v>
      </c>
      <c r="R4568"/>
      <c r="S4568"/>
    </row>
    <row r="4569" spans="2:19" x14ac:dyDescent="0.25">
      <c r="B4569" s="6" t="s">
        <v>46</v>
      </c>
      <c r="R4569"/>
      <c r="S4569"/>
    </row>
    <row r="4570" spans="2:19" x14ac:dyDescent="0.25">
      <c r="B4570" s="6" t="s">
        <v>46</v>
      </c>
      <c r="R4570"/>
      <c r="S4570"/>
    </row>
    <row r="4571" spans="2:19" x14ac:dyDescent="0.25">
      <c r="B4571" s="6" t="s">
        <v>46</v>
      </c>
      <c r="R4571"/>
      <c r="S4571"/>
    </row>
    <row r="4572" spans="2:19" x14ac:dyDescent="0.25">
      <c r="B4572" s="6" t="s">
        <v>46</v>
      </c>
      <c r="R4572"/>
      <c r="S4572"/>
    </row>
    <row r="4573" spans="2:19" x14ac:dyDescent="0.25">
      <c r="B4573" s="6" t="s">
        <v>46</v>
      </c>
      <c r="R4573"/>
      <c r="S4573"/>
    </row>
    <row r="4574" spans="2:19" x14ac:dyDescent="0.25">
      <c r="B4574" s="6" t="s">
        <v>46</v>
      </c>
      <c r="R4574"/>
      <c r="S4574"/>
    </row>
    <row r="4575" spans="2:19" x14ac:dyDescent="0.25">
      <c r="B4575" s="6" t="s">
        <v>46</v>
      </c>
      <c r="R4575"/>
      <c r="S4575"/>
    </row>
    <row r="4576" spans="2:19" x14ac:dyDescent="0.25">
      <c r="B4576" s="6" t="s">
        <v>46</v>
      </c>
      <c r="R4576"/>
      <c r="S4576"/>
    </row>
    <row r="4577" spans="2:19" x14ac:dyDescent="0.25">
      <c r="B4577" s="6" t="s">
        <v>46</v>
      </c>
      <c r="R4577"/>
      <c r="S4577"/>
    </row>
    <row r="4578" spans="2:19" x14ac:dyDescent="0.25">
      <c r="B4578" s="6" t="s">
        <v>46</v>
      </c>
      <c r="R4578"/>
      <c r="S4578"/>
    </row>
    <row r="4579" spans="2:19" x14ac:dyDescent="0.25">
      <c r="B4579" s="6" t="s">
        <v>46</v>
      </c>
      <c r="R4579"/>
      <c r="S4579"/>
    </row>
    <row r="4580" spans="2:19" x14ac:dyDescent="0.25">
      <c r="B4580" s="6" t="s">
        <v>46</v>
      </c>
      <c r="R4580"/>
      <c r="S4580"/>
    </row>
    <row r="4581" spans="2:19" x14ac:dyDescent="0.25">
      <c r="B4581" s="6" t="s">
        <v>46</v>
      </c>
      <c r="R4581"/>
      <c r="S4581"/>
    </row>
    <row r="4582" spans="2:19" x14ac:dyDescent="0.25">
      <c r="B4582" s="6" t="s">
        <v>46</v>
      </c>
      <c r="R4582"/>
      <c r="S4582"/>
    </row>
    <row r="4583" spans="2:19" x14ac:dyDescent="0.25">
      <c r="B4583" s="6" t="s">
        <v>46</v>
      </c>
      <c r="R4583"/>
      <c r="S4583"/>
    </row>
    <row r="4584" spans="2:19" x14ac:dyDescent="0.25">
      <c r="B4584" s="6" t="s">
        <v>46</v>
      </c>
      <c r="R4584"/>
      <c r="S4584"/>
    </row>
    <row r="4585" spans="2:19" x14ac:dyDescent="0.25">
      <c r="B4585" s="6" t="s">
        <v>46</v>
      </c>
      <c r="R4585"/>
      <c r="S4585"/>
    </row>
    <row r="4586" spans="2:19" x14ac:dyDescent="0.25">
      <c r="B4586" s="6" t="s">
        <v>46</v>
      </c>
      <c r="R4586"/>
      <c r="S4586"/>
    </row>
    <row r="4587" spans="2:19" x14ac:dyDescent="0.25">
      <c r="B4587" s="6" t="s">
        <v>46</v>
      </c>
      <c r="R4587"/>
      <c r="S4587"/>
    </row>
    <row r="4588" spans="2:19" x14ac:dyDescent="0.25">
      <c r="B4588" s="6" t="s">
        <v>46</v>
      </c>
      <c r="R4588"/>
      <c r="S4588"/>
    </row>
    <row r="4589" spans="2:19" x14ac:dyDescent="0.25">
      <c r="B4589" s="6" t="s">
        <v>46</v>
      </c>
      <c r="R4589"/>
      <c r="S4589"/>
    </row>
    <row r="4590" spans="2:19" x14ac:dyDescent="0.25">
      <c r="B4590" s="6" t="s">
        <v>46</v>
      </c>
      <c r="R4590"/>
      <c r="S4590"/>
    </row>
    <row r="4591" spans="2:19" x14ac:dyDescent="0.25">
      <c r="B4591" s="6" t="s">
        <v>46</v>
      </c>
      <c r="R4591"/>
      <c r="S4591"/>
    </row>
    <row r="4592" spans="2:19" x14ac:dyDescent="0.25">
      <c r="B4592" s="6" t="s">
        <v>46</v>
      </c>
      <c r="R4592"/>
      <c r="S4592"/>
    </row>
    <row r="4593" spans="2:19" x14ac:dyDescent="0.25">
      <c r="B4593" s="6" t="s">
        <v>46</v>
      </c>
      <c r="R4593"/>
      <c r="S4593"/>
    </row>
    <row r="4594" spans="2:19" x14ac:dyDescent="0.25">
      <c r="B4594" s="6" t="s">
        <v>46</v>
      </c>
      <c r="R4594"/>
      <c r="S4594"/>
    </row>
    <row r="4595" spans="2:19" x14ac:dyDescent="0.25">
      <c r="B4595" s="6" t="s">
        <v>46</v>
      </c>
      <c r="R4595"/>
      <c r="S4595"/>
    </row>
    <row r="4596" spans="2:19" x14ac:dyDescent="0.25">
      <c r="B4596" s="6" t="s">
        <v>46</v>
      </c>
      <c r="R4596"/>
      <c r="S4596"/>
    </row>
    <row r="4597" spans="2:19" x14ac:dyDescent="0.25">
      <c r="B4597" s="6" t="s">
        <v>46</v>
      </c>
      <c r="R4597"/>
      <c r="S4597"/>
    </row>
    <row r="4598" spans="2:19" x14ac:dyDescent="0.25">
      <c r="B4598" s="6" t="s">
        <v>46</v>
      </c>
      <c r="R4598"/>
      <c r="S4598"/>
    </row>
    <row r="4599" spans="2:19" x14ac:dyDescent="0.25">
      <c r="B4599" s="6" t="s">
        <v>46</v>
      </c>
      <c r="R4599"/>
      <c r="S4599"/>
    </row>
    <row r="4600" spans="2:19" x14ac:dyDescent="0.25">
      <c r="B4600" s="6" t="s">
        <v>46</v>
      </c>
      <c r="R4600"/>
      <c r="S4600"/>
    </row>
    <row r="4601" spans="2:19" x14ac:dyDescent="0.25">
      <c r="B4601" s="6" t="s">
        <v>46</v>
      </c>
      <c r="R4601"/>
      <c r="S4601"/>
    </row>
    <row r="4602" spans="2:19" x14ac:dyDescent="0.25">
      <c r="B4602" s="6" t="s">
        <v>46</v>
      </c>
      <c r="R4602"/>
      <c r="S4602"/>
    </row>
    <row r="4603" spans="2:19" x14ac:dyDescent="0.25">
      <c r="B4603" s="6" t="s">
        <v>46</v>
      </c>
      <c r="R4603"/>
      <c r="S4603"/>
    </row>
    <row r="4604" spans="2:19" x14ac:dyDescent="0.25">
      <c r="B4604" s="6" t="s">
        <v>46</v>
      </c>
      <c r="R4604"/>
      <c r="S4604"/>
    </row>
    <row r="4605" spans="2:19" x14ac:dyDescent="0.25">
      <c r="B4605" s="6" t="s">
        <v>46</v>
      </c>
      <c r="R4605"/>
      <c r="S4605"/>
    </row>
    <row r="4606" spans="2:19" x14ac:dyDescent="0.25">
      <c r="B4606" s="6" t="s">
        <v>46</v>
      </c>
      <c r="R4606"/>
      <c r="S4606"/>
    </row>
    <row r="4607" spans="2:19" x14ac:dyDescent="0.25">
      <c r="B4607" s="6" t="s">
        <v>46</v>
      </c>
      <c r="R4607"/>
      <c r="S4607"/>
    </row>
    <row r="4608" spans="2:19" x14ac:dyDescent="0.25">
      <c r="B4608" s="6" t="s">
        <v>46</v>
      </c>
      <c r="R4608"/>
      <c r="S4608"/>
    </row>
    <row r="4609" spans="2:19" x14ac:dyDescent="0.25">
      <c r="B4609" s="6" t="s">
        <v>46</v>
      </c>
      <c r="R4609"/>
      <c r="S4609"/>
    </row>
    <row r="4610" spans="2:19" x14ac:dyDescent="0.25">
      <c r="B4610" s="6" t="s">
        <v>46</v>
      </c>
      <c r="R4610"/>
      <c r="S4610"/>
    </row>
    <row r="4611" spans="2:19" x14ac:dyDescent="0.25">
      <c r="B4611" s="6" t="s">
        <v>46</v>
      </c>
      <c r="R4611"/>
      <c r="S4611"/>
    </row>
    <row r="4612" spans="2:19" x14ac:dyDescent="0.25">
      <c r="B4612" s="6" t="s">
        <v>46</v>
      </c>
      <c r="R4612"/>
      <c r="S4612"/>
    </row>
    <row r="4613" spans="2:19" x14ac:dyDescent="0.25">
      <c r="B4613" s="6" t="s">
        <v>46</v>
      </c>
      <c r="R4613"/>
      <c r="S4613"/>
    </row>
    <row r="4614" spans="2:19" x14ac:dyDescent="0.25">
      <c r="B4614" s="6" t="s">
        <v>46</v>
      </c>
      <c r="R4614"/>
      <c r="S4614"/>
    </row>
    <row r="4615" spans="2:19" x14ac:dyDescent="0.25">
      <c r="B4615" s="6" t="s">
        <v>46</v>
      </c>
      <c r="R4615"/>
      <c r="S4615"/>
    </row>
    <row r="4616" spans="2:19" x14ac:dyDescent="0.25">
      <c r="B4616" s="6" t="s">
        <v>46</v>
      </c>
      <c r="R4616"/>
      <c r="S4616"/>
    </row>
    <row r="4617" spans="2:19" x14ac:dyDescent="0.25">
      <c r="B4617" s="6" t="s">
        <v>46</v>
      </c>
      <c r="R4617"/>
      <c r="S4617"/>
    </row>
    <row r="4618" spans="2:19" x14ac:dyDescent="0.25">
      <c r="B4618" s="6" t="s">
        <v>46</v>
      </c>
      <c r="R4618"/>
      <c r="S4618"/>
    </row>
    <row r="4619" spans="2:19" x14ac:dyDescent="0.25">
      <c r="B4619" s="6" t="s">
        <v>46</v>
      </c>
      <c r="R4619"/>
      <c r="S4619"/>
    </row>
    <row r="4620" spans="2:19" x14ac:dyDescent="0.25">
      <c r="B4620" s="6" t="s">
        <v>46</v>
      </c>
      <c r="R4620"/>
      <c r="S4620"/>
    </row>
    <row r="4621" spans="2:19" x14ac:dyDescent="0.25">
      <c r="B4621" s="6" t="s">
        <v>46</v>
      </c>
      <c r="R4621"/>
      <c r="S4621"/>
    </row>
    <row r="4622" spans="2:19" x14ac:dyDescent="0.25">
      <c r="B4622" s="6" t="s">
        <v>46</v>
      </c>
      <c r="R4622"/>
      <c r="S4622"/>
    </row>
    <row r="4623" spans="2:19" x14ac:dyDescent="0.25">
      <c r="B4623" s="6" t="s">
        <v>46</v>
      </c>
      <c r="R4623"/>
      <c r="S4623"/>
    </row>
    <row r="4624" spans="2:19" x14ac:dyDescent="0.25">
      <c r="B4624" s="6" t="s">
        <v>46</v>
      </c>
      <c r="R4624"/>
      <c r="S4624"/>
    </row>
    <row r="4625" spans="2:19" x14ac:dyDescent="0.25">
      <c r="B4625" s="6" t="s">
        <v>46</v>
      </c>
      <c r="R4625"/>
      <c r="S4625"/>
    </row>
    <row r="4626" spans="2:19" x14ac:dyDescent="0.25">
      <c r="B4626" s="6" t="s">
        <v>46</v>
      </c>
      <c r="R4626"/>
      <c r="S4626"/>
    </row>
    <row r="4627" spans="2:19" x14ac:dyDescent="0.25">
      <c r="B4627" s="6" t="s">
        <v>46</v>
      </c>
      <c r="R4627"/>
      <c r="S4627"/>
    </row>
    <row r="4628" spans="2:19" x14ac:dyDescent="0.25">
      <c r="B4628" s="6" t="s">
        <v>46</v>
      </c>
      <c r="R4628"/>
      <c r="S4628"/>
    </row>
    <row r="4629" spans="2:19" x14ac:dyDescent="0.25">
      <c r="B4629" s="6" t="s">
        <v>46</v>
      </c>
      <c r="R4629"/>
      <c r="S4629"/>
    </row>
    <row r="4630" spans="2:19" x14ac:dyDescent="0.25">
      <c r="B4630" s="6" t="s">
        <v>46</v>
      </c>
      <c r="R4630"/>
      <c r="S4630"/>
    </row>
    <row r="4631" spans="2:19" x14ac:dyDescent="0.25">
      <c r="B4631" s="6" t="s">
        <v>46</v>
      </c>
      <c r="R4631"/>
      <c r="S4631"/>
    </row>
    <row r="4632" spans="2:19" x14ac:dyDescent="0.25">
      <c r="B4632" s="6" t="s">
        <v>46</v>
      </c>
      <c r="R4632"/>
      <c r="S4632"/>
    </row>
    <row r="4633" spans="2:19" x14ac:dyDescent="0.25">
      <c r="B4633" s="6" t="s">
        <v>46</v>
      </c>
      <c r="R4633"/>
      <c r="S4633"/>
    </row>
    <row r="4634" spans="2:19" x14ac:dyDescent="0.25">
      <c r="B4634" s="6" t="s">
        <v>46</v>
      </c>
      <c r="R4634"/>
      <c r="S4634"/>
    </row>
    <row r="4635" spans="2:19" x14ac:dyDescent="0.25">
      <c r="B4635" s="6" t="s">
        <v>46</v>
      </c>
      <c r="R4635"/>
      <c r="S4635"/>
    </row>
    <row r="4636" spans="2:19" x14ac:dyDescent="0.25">
      <c r="B4636" s="6" t="s">
        <v>46</v>
      </c>
      <c r="R4636"/>
      <c r="S4636"/>
    </row>
    <row r="4637" spans="2:19" x14ac:dyDescent="0.25">
      <c r="B4637" s="6" t="s">
        <v>46</v>
      </c>
      <c r="R4637"/>
      <c r="S4637"/>
    </row>
    <row r="4638" spans="2:19" x14ac:dyDescent="0.25">
      <c r="B4638" s="6" t="s">
        <v>46</v>
      </c>
      <c r="R4638"/>
      <c r="S4638"/>
    </row>
    <row r="4639" spans="2:19" x14ac:dyDescent="0.25">
      <c r="B4639" s="6" t="s">
        <v>46</v>
      </c>
      <c r="R4639"/>
      <c r="S4639"/>
    </row>
    <row r="4640" spans="2:19" x14ac:dyDescent="0.25">
      <c r="B4640" s="6" t="s">
        <v>46</v>
      </c>
      <c r="R4640"/>
      <c r="S4640"/>
    </row>
    <row r="4641" spans="2:19" x14ac:dyDescent="0.25">
      <c r="B4641" s="6" t="s">
        <v>46</v>
      </c>
      <c r="R4641"/>
      <c r="S4641"/>
    </row>
    <row r="4642" spans="2:19" x14ac:dyDescent="0.25">
      <c r="B4642" s="6" t="s">
        <v>46</v>
      </c>
      <c r="R4642"/>
      <c r="S4642"/>
    </row>
    <row r="4643" spans="2:19" x14ac:dyDescent="0.25">
      <c r="B4643" s="6" t="s">
        <v>46</v>
      </c>
      <c r="R4643"/>
      <c r="S4643"/>
    </row>
    <row r="4644" spans="2:19" x14ac:dyDescent="0.25">
      <c r="B4644" s="6" t="s">
        <v>46</v>
      </c>
      <c r="R4644"/>
      <c r="S4644"/>
    </row>
    <row r="4645" spans="2:19" x14ac:dyDescent="0.25">
      <c r="B4645" s="6" t="s">
        <v>46</v>
      </c>
      <c r="R4645"/>
      <c r="S4645"/>
    </row>
    <row r="4646" spans="2:19" x14ac:dyDescent="0.25">
      <c r="B4646" s="6" t="s">
        <v>46</v>
      </c>
      <c r="R4646"/>
      <c r="S4646"/>
    </row>
    <row r="4647" spans="2:19" x14ac:dyDescent="0.25">
      <c r="B4647" s="6" t="s">
        <v>46</v>
      </c>
      <c r="R4647"/>
      <c r="S4647"/>
    </row>
    <row r="4648" spans="2:19" x14ac:dyDescent="0.25">
      <c r="B4648" s="6" t="s">
        <v>46</v>
      </c>
      <c r="R4648"/>
      <c r="S4648"/>
    </row>
    <row r="4649" spans="2:19" x14ac:dyDescent="0.25">
      <c r="B4649" s="6" t="s">
        <v>46</v>
      </c>
      <c r="R4649"/>
      <c r="S4649"/>
    </row>
    <row r="4650" spans="2:19" x14ac:dyDescent="0.25">
      <c r="B4650" s="6" t="s">
        <v>46</v>
      </c>
      <c r="R4650"/>
      <c r="S4650"/>
    </row>
    <row r="4651" spans="2:19" x14ac:dyDescent="0.25">
      <c r="B4651" s="6" t="s">
        <v>46</v>
      </c>
      <c r="R4651"/>
      <c r="S4651"/>
    </row>
    <row r="4652" spans="2:19" x14ac:dyDescent="0.25">
      <c r="B4652" s="6" t="s">
        <v>46</v>
      </c>
      <c r="R4652"/>
      <c r="S4652"/>
    </row>
    <row r="4653" spans="2:19" x14ac:dyDescent="0.25">
      <c r="B4653" s="6" t="s">
        <v>46</v>
      </c>
      <c r="R4653"/>
      <c r="S4653"/>
    </row>
    <row r="4654" spans="2:19" x14ac:dyDescent="0.25">
      <c r="B4654" s="6" t="s">
        <v>46</v>
      </c>
      <c r="R4654"/>
      <c r="S4654"/>
    </row>
    <row r="4655" spans="2:19" x14ac:dyDescent="0.25">
      <c r="B4655" s="6" t="s">
        <v>46</v>
      </c>
      <c r="R4655"/>
      <c r="S4655"/>
    </row>
    <row r="4656" spans="2:19" x14ac:dyDescent="0.25">
      <c r="B4656" s="6" t="s">
        <v>46</v>
      </c>
      <c r="R4656"/>
      <c r="S4656"/>
    </row>
    <row r="4657" spans="2:19" x14ac:dyDescent="0.25">
      <c r="B4657" s="6" t="s">
        <v>46</v>
      </c>
      <c r="R4657"/>
      <c r="S4657"/>
    </row>
    <row r="4658" spans="2:19" x14ac:dyDescent="0.25">
      <c r="B4658" s="6" t="s">
        <v>46</v>
      </c>
      <c r="R4658"/>
      <c r="S4658"/>
    </row>
    <row r="4659" spans="2:19" x14ac:dyDescent="0.25">
      <c r="B4659" s="6" t="s">
        <v>46</v>
      </c>
      <c r="R4659"/>
      <c r="S4659"/>
    </row>
    <row r="4660" spans="2:19" x14ac:dyDescent="0.25">
      <c r="B4660" s="6" t="s">
        <v>46</v>
      </c>
      <c r="R4660"/>
      <c r="S4660"/>
    </row>
    <row r="4661" spans="2:19" x14ac:dyDescent="0.25">
      <c r="B4661" s="6" t="s">
        <v>46</v>
      </c>
      <c r="R4661"/>
      <c r="S4661"/>
    </row>
    <row r="4662" spans="2:19" x14ac:dyDescent="0.25">
      <c r="B4662" s="6" t="s">
        <v>46</v>
      </c>
      <c r="R4662"/>
      <c r="S4662"/>
    </row>
    <row r="4663" spans="2:19" x14ac:dyDescent="0.25">
      <c r="B4663" s="6" t="s">
        <v>46</v>
      </c>
      <c r="R4663"/>
      <c r="S4663"/>
    </row>
    <row r="4664" spans="2:19" x14ac:dyDescent="0.25">
      <c r="B4664" s="6" t="s">
        <v>46</v>
      </c>
      <c r="R4664"/>
      <c r="S4664"/>
    </row>
    <row r="4665" spans="2:19" x14ac:dyDescent="0.25">
      <c r="B4665" s="6" t="s">
        <v>46</v>
      </c>
      <c r="R4665"/>
      <c r="S4665"/>
    </row>
    <row r="4666" spans="2:19" x14ac:dyDescent="0.25">
      <c r="B4666" s="6" t="s">
        <v>46</v>
      </c>
      <c r="R4666"/>
      <c r="S4666"/>
    </row>
    <row r="4667" spans="2:19" x14ac:dyDescent="0.25">
      <c r="B4667" s="6" t="s">
        <v>46</v>
      </c>
      <c r="R4667"/>
      <c r="S4667"/>
    </row>
    <row r="4668" spans="2:19" x14ac:dyDescent="0.25">
      <c r="B4668" s="6" t="s">
        <v>46</v>
      </c>
      <c r="R4668"/>
      <c r="S4668"/>
    </row>
    <row r="4669" spans="2:19" x14ac:dyDescent="0.25">
      <c r="B4669" s="6" t="s">
        <v>46</v>
      </c>
      <c r="R4669"/>
      <c r="S4669"/>
    </row>
    <row r="4670" spans="2:19" x14ac:dyDescent="0.25">
      <c r="B4670" s="6" t="s">
        <v>46</v>
      </c>
      <c r="R4670"/>
      <c r="S4670"/>
    </row>
    <row r="4671" spans="2:19" x14ac:dyDescent="0.25">
      <c r="B4671" s="6" t="s">
        <v>46</v>
      </c>
      <c r="R4671"/>
      <c r="S4671"/>
    </row>
    <row r="4672" spans="2:19" x14ac:dyDescent="0.25">
      <c r="B4672" s="6" t="s">
        <v>46</v>
      </c>
      <c r="R4672"/>
      <c r="S4672"/>
    </row>
    <row r="4673" spans="2:19" x14ac:dyDescent="0.25">
      <c r="B4673" s="6" t="s">
        <v>46</v>
      </c>
      <c r="R4673"/>
      <c r="S4673"/>
    </row>
    <row r="4674" spans="2:19" x14ac:dyDescent="0.25">
      <c r="B4674" s="6" t="s">
        <v>46</v>
      </c>
      <c r="R4674"/>
      <c r="S4674"/>
    </row>
    <row r="4675" spans="2:19" x14ac:dyDescent="0.25">
      <c r="B4675" s="6" t="s">
        <v>46</v>
      </c>
      <c r="R4675"/>
      <c r="S4675"/>
    </row>
    <row r="4676" spans="2:19" x14ac:dyDescent="0.25">
      <c r="B4676" s="6" t="s">
        <v>46</v>
      </c>
      <c r="R4676"/>
      <c r="S4676"/>
    </row>
    <row r="4677" spans="2:19" x14ac:dyDescent="0.25">
      <c r="B4677" s="6" t="s">
        <v>46</v>
      </c>
      <c r="R4677"/>
      <c r="S4677"/>
    </row>
    <row r="4678" spans="2:19" x14ac:dyDescent="0.25">
      <c r="B4678" s="6" t="s">
        <v>46</v>
      </c>
      <c r="R4678"/>
      <c r="S4678"/>
    </row>
    <row r="4679" spans="2:19" x14ac:dyDescent="0.25">
      <c r="B4679" s="6" t="s">
        <v>46</v>
      </c>
      <c r="R4679"/>
      <c r="S4679"/>
    </row>
    <row r="4680" spans="2:19" x14ac:dyDescent="0.25">
      <c r="B4680" s="6" t="s">
        <v>46</v>
      </c>
      <c r="R4680"/>
      <c r="S4680"/>
    </row>
    <row r="4681" spans="2:19" x14ac:dyDescent="0.25">
      <c r="B4681" s="6" t="s">
        <v>46</v>
      </c>
      <c r="R4681"/>
      <c r="S4681"/>
    </row>
    <row r="4682" spans="2:19" x14ac:dyDescent="0.25">
      <c r="B4682" s="6" t="s">
        <v>46</v>
      </c>
      <c r="R4682"/>
      <c r="S4682"/>
    </row>
    <row r="4683" spans="2:19" x14ac:dyDescent="0.25">
      <c r="B4683" s="6" t="s">
        <v>46</v>
      </c>
      <c r="R4683"/>
      <c r="S4683"/>
    </row>
    <row r="4684" spans="2:19" x14ac:dyDescent="0.25">
      <c r="B4684" s="6" t="s">
        <v>46</v>
      </c>
      <c r="R4684"/>
      <c r="S4684"/>
    </row>
    <row r="4685" spans="2:19" x14ac:dyDescent="0.25">
      <c r="B4685" s="6" t="s">
        <v>46</v>
      </c>
      <c r="R4685"/>
      <c r="S4685"/>
    </row>
    <row r="4686" spans="2:19" x14ac:dyDescent="0.25">
      <c r="B4686" s="6" t="s">
        <v>46</v>
      </c>
      <c r="R4686"/>
      <c r="S4686"/>
    </row>
    <row r="4687" spans="2:19" x14ac:dyDescent="0.25">
      <c r="B4687" s="6" t="s">
        <v>46</v>
      </c>
      <c r="R4687"/>
      <c r="S4687"/>
    </row>
    <row r="4688" spans="2:19" x14ac:dyDescent="0.25">
      <c r="B4688" s="6" t="s">
        <v>46</v>
      </c>
      <c r="R4688"/>
      <c r="S4688"/>
    </row>
    <row r="4689" spans="2:19" x14ac:dyDescent="0.25">
      <c r="B4689" s="6" t="s">
        <v>46</v>
      </c>
      <c r="R4689"/>
      <c r="S4689"/>
    </row>
    <row r="4690" spans="2:19" x14ac:dyDescent="0.25">
      <c r="B4690" s="6" t="s">
        <v>46</v>
      </c>
      <c r="R4690"/>
      <c r="S4690"/>
    </row>
    <row r="4691" spans="2:19" x14ac:dyDescent="0.25">
      <c r="B4691" s="6" t="s">
        <v>46</v>
      </c>
      <c r="R4691"/>
      <c r="S4691"/>
    </row>
    <row r="4692" spans="2:19" x14ac:dyDescent="0.25">
      <c r="B4692" s="6" t="s">
        <v>46</v>
      </c>
      <c r="R4692"/>
      <c r="S4692"/>
    </row>
    <row r="4693" spans="2:19" x14ac:dyDescent="0.25">
      <c r="B4693" s="6" t="s">
        <v>46</v>
      </c>
      <c r="R4693"/>
      <c r="S4693"/>
    </row>
    <row r="4694" spans="2:19" x14ac:dyDescent="0.25">
      <c r="B4694" s="6" t="s">
        <v>46</v>
      </c>
      <c r="R4694"/>
      <c r="S4694"/>
    </row>
    <row r="4695" spans="2:19" x14ac:dyDescent="0.25">
      <c r="B4695" s="6" t="s">
        <v>46</v>
      </c>
      <c r="R4695"/>
      <c r="S4695"/>
    </row>
    <row r="4696" spans="2:19" x14ac:dyDescent="0.25">
      <c r="B4696" s="6" t="s">
        <v>46</v>
      </c>
      <c r="R4696"/>
      <c r="S4696"/>
    </row>
    <row r="4697" spans="2:19" x14ac:dyDescent="0.25">
      <c r="B4697" s="6" t="s">
        <v>46</v>
      </c>
      <c r="R4697"/>
      <c r="S4697"/>
    </row>
    <row r="4698" spans="2:19" x14ac:dyDescent="0.25">
      <c r="B4698" s="6" t="s">
        <v>46</v>
      </c>
      <c r="R4698"/>
      <c r="S4698"/>
    </row>
    <row r="4699" spans="2:19" x14ac:dyDescent="0.25">
      <c r="B4699" s="6" t="s">
        <v>46</v>
      </c>
      <c r="R4699"/>
      <c r="S4699"/>
    </row>
    <row r="4700" spans="2:19" x14ac:dyDescent="0.25">
      <c r="B4700" s="6" t="s">
        <v>46</v>
      </c>
      <c r="R4700"/>
      <c r="S4700"/>
    </row>
    <row r="4701" spans="2:19" x14ac:dyDescent="0.25">
      <c r="B4701" s="6" t="s">
        <v>46</v>
      </c>
      <c r="R4701"/>
      <c r="S4701"/>
    </row>
    <row r="4702" spans="2:19" x14ac:dyDescent="0.25">
      <c r="B4702" s="6" t="s">
        <v>46</v>
      </c>
      <c r="R4702"/>
      <c r="S4702"/>
    </row>
    <row r="4703" spans="2:19" x14ac:dyDescent="0.25">
      <c r="B4703" s="6" t="s">
        <v>46</v>
      </c>
      <c r="R4703"/>
      <c r="S4703"/>
    </row>
    <row r="4704" spans="2:19" x14ac:dyDescent="0.25">
      <c r="B4704" s="6" t="s">
        <v>46</v>
      </c>
      <c r="R4704"/>
      <c r="S4704"/>
    </row>
    <row r="4705" spans="2:19" x14ac:dyDescent="0.25">
      <c r="B4705" s="6" t="s">
        <v>46</v>
      </c>
      <c r="R4705"/>
      <c r="S4705"/>
    </row>
    <row r="4706" spans="2:19" x14ac:dyDescent="0.25">
      <c r="B4706" s="6" t="s">
        <v>46</v>
      </c>
      <c r="R4706"/>
      <c r="S4706"/>
    </row>
    <row r="4707" spans="2:19" x14ac:dyDescent="0.25">
      <c r="B4707" s="6" t="s">
        <v>46</v>
      </c>
      <c r="R4707"/>
      <c r="S4707"/>
    </row>
    <row r="4708" spans="2:19" x14ac:dyDescent="0.25">
      <c r="B4708" s="6" t="s">
        <v>46</v>
      </c>
      <c r="R4708"/>
      <c r="S4708"/>
    </row>
    <row r="4709" spans="2:19" x14ac:dyDescent="0.25">
      <c r="B4709" s="6" t="s">
        <v>46</v>
      </c>
      <c r="R4709"/>
      <c r="S4709"/>
    </row>
    <row r="4710" spans="2:19" x14ac:dyDescent="0.25">
      <c r="B4710" s="6" t="s">
        <v>46</v>
      </c>
      <c r="R4710"/>
      <c r="S4710"/>
    </row>
    <row r="4711" spans="2:19" x14ac:dyDescent="0.25">
      <c r="B4711" s="6" t="s">
        <v>46</v>
      </c>
      <c r="R4711"/>
      <c r="S4711"/>
    </row>
    <row r="4712" spans="2:19" x14ac:dyDescent="0.25">
      <c r="B4712" s="6" t="s">
        <v>46</v>
      </c>
      <c r="R4712"/>
      <c r="S4712"/>
    </row>
    <row r="4713" spans="2:19" x14ac:dyDescent="0.25">
      <c r="B4713" s="6" t="s">
        <v>46</v>
      </c>
      <c r="R4713"/>
      <c r="S4713"/>
    </row>
    <row r="4714" spans="2:19" x14ac:dyDescent="0.25">
      <c r="B4714" s="6" t="s">
        <v>46</v>
      </c>
      <c r="R4714"/>
      <c r="S4714"/>
    </row>
    <row r="4715" spans="2:19" x14ac:dyDescent="0.25">
      <c r="B4715" s="6" t="s">
        <v>46</v>
      </c>
      <c r="R4715"/>
      <c r="S4715"/>
    </row>
    <row r="4716" spans="2:19" x14ac:dyDescent="0.25">
      <c r="B4716" s="6" t="s">
        <v>46</v>
      </c>
      <c r="R4716"/>
      <c r="S4716"/>
    </row>
    <row r="4717" spans="2:19" x14ac:dyDescent="0.25">
      <c r="B4717" s="6" t="s">
        <v>46</v>
      </c>
      <c r="R4717"/>
      <c r="S4717"/>
    </row>
    <row r="4718" spans="2:19" x14ac:dyDescent="0.25">
      <c r="B4718" s="6" t="s">
        <v>46</v>
      </c>
      <c r="R4718"/>
      <c r="S4718"/>
    </row>
    <row r="4719" spans="2:19" x14ac:dyDescent="0.25">
      <c r="B4719" s="6" t="s">
        <v>46</v>
      </c>
      <c r="R4719"/>
      <c r="S4719"/>
    </row>
    <row r="4720" spans="2:19" x14ac:dyDescent="0.25">
      <c r="B4720" s="6" t="s">
        <v>46</v>
      </c>
      <c r="R4720"/>
      <c r="S4720"/>
    </row>
    <row r="4721" spans="2:19" x14ac:dyDescent="0.25">
      <c r="B4721" s="6" t="s">
        <v>46</v>
      </c>
      <c r="R4721"/>
      <c r="S4721"/>
    </row>
    <row r="4722" spans="2:19" x14ac:dyDescent="0.25">
      <c r="B4722" s="6" t="s">
        <v>46</v>
      </c>
      <c r="R4722"/>
      <c r="S4722"/>
    </row>
    <row r="4723" spans="2:19" x14ac:dyDescent="0.25">
      <c r="B4723" s="6" t="s">
        <v>46</v>
      </c>
      <c r="R4723"/>
      <c r="S4723"/>
    </row>
    <row r="4724" spans="2:19" x14ac:dyDescent="0.25">
      <c r="B4724" s="6" t="s">
        <v>46</v>
      </c>
      <c r="R4724"/>
      <c r="S4724"/>
    </row>
    <row r="4725" spans="2:19" x14ac:dyDescent="0.25">
      <c r="B4725" s="6" t="s">
        <v>46</v>
      </c>
      <c r="R4725"/>
      <c r="S4725"/>
    </row>
    <row r="4726" spans="2:19" x14ac:dyDescent="0.25">
      <c r="B4726" s="6" t="s">
        <v>46</v>
      </c>
      <c r="R4726"/>
      <c r="S4726"/>
    </row>
    <row r="4727" spans="2:19" x14ac:dyDescent="0.25">
      <c r="B4727" s="6" t="s">
        <v>46</v>
      </c>
      <c r="R4727"/>
      <c r="S4727"/>
    </row>
    <row r="4728" spans="2:19" x14ac:dyDescent="0.25">
      <c r="B4728" s="6" t="s">
        <v>46</v>
      </c>
      <c r="R4728"/>
      <c r="S4728"/>
    </row>
    <row r="4729" spans="2:19" x14ac:dyDescent="0.25">
      <c r="B4729" s="6" t="s">
        <v>46</v>
      </c>
      <c r="R4729"/>
      <c r="S4729"/>
    </row>
    <row r="4730" spans="2:19" x14ac:dyDescent="0.25">
      <c r="B4730" s="6" t="s">
        <v>46</v>
      </c>
      <c r="R4730"/>
      <c r="S4730"/>
    </row>
    <row r="4731" spans="2:19" x14ac:dyDescent="0.25">
      <c r="B4731" s="6" t="s">
        <v>46</v>
      </c>
      <c r="R4731"/>
      <c r="S4731"/>
    </row>
    <row r="4732" spans="2:19" x14ac:dyDescent="0.25">
      <c r="B4732" s="6" t="s">
        <v>46</v>
      </c>
      <c r="R4732"/>
      <c r="S4732"/>
    </row>
    <row r="4733" spans="2:19" x14ac:dyDescent="0.25">
      <c r="B4733" s="6" t="s">
        <v>46</v>
      </c>
      <c r="R4733"/>
      <c r="S4733"/>
    </row>
    <row r="4734" spans="2:19" x14ac:dyDescent="0.25">
      <c r="B4734" s="6" t="s">
        <v>46</v>
      </c>
      <c r="R4734"/>
      <c r="S4734"/>
    </row>
    <row r="4735" spans="2:19" x14ac:dyDescent="0.25">
      <c r="B4735" s="6" t="s">
        <v>46</v>
      </c>
      <c r="R4735"/>
      <c r="S4735"/>
    </row>
    <row r="4736" spans="2:19" x14ac:dyDescent="0.25">
      <c r="B4736" s="6" t="s">
        <v>46</v>
      </c>
      <c r="R4736"/>
      <c r="S4736"/>
    </row>
    <row r="4737" spans="2:19" x14ac:dyDescent="0.25">
      <c r="B4737" s="6" t="s">
        <v>46</v>
      </c>
      <c r="R4737"/>
      <c r="S4737"/>
    </row>
    <row r="4738" spans="2:19" x14ac:dyDescent="0.25">
      <c r="B4738" s="6" t="s">
        <v>46</v>
      </c>
      <c r="R4738"/>
      <c r="S4738"/>
    </row>
    <row r="4739" spans="2:19" x14ac:dyDescent="0.25">
      <c r="B4739" s="6" t="s">
        <v>46</v>
      </c>
      <c r="R4739"/>
      <c r="S4739"/>
    </row>
    <row r="4740" spans="2:19" x14ac:dyDescent="0.25">
      <c r="B4740" s="6" t="s">
        <v>46</v>
      </c>
      <c r="R4740"/>
      <c r="S4740"/>
    </row>
    <row r="4741" spans="2:19" x14ac:dyDescent="0.25">
      <c r="B4741" s="6" t="s">
        <v>46</v>
      </c>
      <c r="R4741"/>
      <c r="S4741"/>
    </row>
    <row r="4742" spans="2:19" x14ac:dyDescent="0.25">
      <c r="B4742" s="6" t="s">
        <v>46</v>
      </c>
      <c r="R4742"/>
      <c r="S4742"/>
    </row>
    <row r="4743" spans="2:19" x14ac:dyDescent="0.25">
      <c r="B4743" s="6" t="s">
        <v>46</v>
      </c>
      <c r="R4743"/>
      <c r="S4743"/>
    </row>
    <row r="4744" spans="2:19" x14ac:dyDescent="0.25">
      <c r="B4744" s="6" t="s">
        <v>46</v>
      </c>
      <c r="R4744"/>
      <c r="S4744"/>
    </row>
    <row r="4745" spans="2:19" x14ac:dyDescent="0.25">
      <c r="B4745" s="6" t="s">
        <v>46</v>
      </c>
      <c r="R4745"/>
      <c r="S4745"/>
    </row>
    <row r="4746" spans="2:19" x14ac:dyDescent="0.25">
      <c r="B4746" s="6" t="s">
        <v>46</v>
      </c>
      <c r="R4746"/>
      <c r="S4746"/>
    </row>
    <row r="4747" spans="2:19" x14ac:dyDescent="0.25">
      <c r="B4747" s="6" t="s">
        <v>46</v>
      </c>
      <c r="R4747"/>
      <c r="S4747"/>
    </row>
    <row r="4748" spans="2:19" x14ac:dyDescent="0.25">
      <c r="B4748" s="6" t="s">
        <v>46</v>
      </c>
      <c r="R4748"/>
      <c r="S4748"/>
    </row>
    <row r="4749" spans="2:19" x14ac:dyDescent="0.25">
      <c r="B4749" s="6" t="s">
        <v>46</v>
      </c>
      <c r="R4749"/>
      <c r="S4749"/>
    </row>
    <row r="4750" spans="2:19" x14ac:dyDescent="0.25">
      <c r="B4750" s="6" t="s">
        <v>46</v>
      </c>
      <c r="R4750"/>
      <c r="S4750"/>
    </row>
    <row r="4751" spans="2:19" x14ac:dyDescent="0.25">
      <c r="B4751" s="6" t="s">
        <v>46</v>
      </c>
      <c r="R4751"/>
      <c r="S4751"/>
    </row>
    <row r="4752" spans="2:19" x14ac:dyDescent="0.25">
      <c r="B4752" s="6" t="s">
        <v>46</v>
      </c>
      <c r="R4752"/>
      <c r="S4752"/>
    </row>
    <row r="4753" spans="2:19" x14ac:dyDescent="0.25">
      <c r="B4753" s="6" t="s">
        <v>46</v>
      </c>
      <c r="R4753"/>
      <c r="S4753"/>
    </row>
    <row r="4754" spans="2:19" x14ac:dyDescent="0.25">
      <c r="B4754" s="6" t="s">
        <v>46</v>
      </c>
      <c r="R4754"/>
      <c r="S4754"/>
    </row>
    <row r="4755" spans="2:19" x14ac:dyDescent="0.25">
      <c r="B4755" s="6" t="s">
        <v>46</v>
      </c>
      <c r="R4755"/>
      <c r="S4755"/>
    </row>
    <row r="4756" spans="2:19" x14ac:dyDescent="0.25">
      <c r="B4756" s="6" t="s">
        <v>46</v>
      </c>
      <c r="R4756"/>
      <c r="S4756"/>
    </row>
    <row r="4757" spans="2:19" x14ac:dyDescent="0.25">
      <c r="B4757" s="6" t="s">
        <v>46</v>
      </c>
      <c r="R4757"/>
      <c r="S4757"/>
    </row>
    <row r="4758" spans="2:19" x14ac:dyDescent="0.25">
      <c r="B4758" s="6" t="s">
        <v>46</v>
      </c>
      <c r="R4758"/>
      <c r="S4758"/>
    </row>
    <row r="4759" spans="2:19" x14ac:dyDescent="0.25">
      <c r="B4759" s="6" t="s">
        <v>46</v>
      </c>
      <c r="R4759"/>
      <c r="S4759"/>
    </row>
    <row r="4760" spans="2:19" x14ac:dyDescent="0.25">
      <c r="B4760" s="6" t="s">
        <v>46</v>
      </c>
      <c r="R4760"/>
      <c r="S4760"/>
    </row>
    <row r="4761" spans="2:19" x14ac:dyDescent="0.25">
      <c r="B4761" s="6" t="s">
        <v>46</v>
      </c>
      <c r="R4761"/>
      <c r="S4761"/>
    </row>
    <row r="4762" spans="2:19" x14ac:dyDescent="0.25">
      <c r="B4762" s="6" t="s">
        <v>46</v>
      </c>
      <c r="R4762"/>
      <c r="S4762"/>
    </row>
    <row r="4763" spans="2:19" x14ac:dyDescent="0.25">
      <c r="B4763" s="6" t="s">
        <v>46</v>
      </c>
      <c r="R4763"/>
      <c r="S4763"/>
    </row>
    <row r="4764" spans="2:19" x14ac:dyDescent="0.25">
      <c r="B4764" s="6" t="s">
        <v>46</v>
      </c>
      <c r="R4764"/>
      <c r="S4764"/>
    </row>
    <row r="4765" spans="2:19" x14ac:dyDescent="0.25">
      <c r="B4765" s="6" t="s">
        <v>46</v>
      </c>
      <c r="R4765"/>
      <c r="S4765"/>
    </row>
    <row r="4766" spans="2:19" x14ac:dyDescent="0.25">
      <c r="B4766" s="6" t="s">
        <v>46</v>
      </c>
      <c r="R4766"/>
      <c r="S4766"/>
    </row>
    <row r="4767" spans="2:19" x14ac:dyDescent="0.25">
      <c r="B4767" s="6" t="s">
        <v>46</v>
      </c>
      <c r="R4767"/>
      <c r="S4767"/>
    </row>
    <row r="4768" spans="2:19" x14ac:dyDescent="0.25">
      <c r="B4768" s="6" t="s">
        <v>46</v>
      </c>
      <c r="R4768"/>
      <c r="S4768"/>
    </row>
    <row r="4769" spans="2:19" x14ac:dyDescent="0.25">
      <c r="B4769" s="6" t="s">
        <v>46</v>
      </c>
      <c r="R4769"/>
      <c r="S4769"/>
    </row>
    <row r="4770" spans="2:19" x14ac:dyDescent="0.25">
      <c r="B4770" s="6" t="s">
        <v>46</v>
      </c>
      <c r="R4770"/>
      <c r="S4770"/>
    </row>
    <row r="4771" spans="2:19" x14ac:dyDescent="0.25">
      <c r="B4771" s="6" t="s">
        <v>46</v>
      </c>
      <c r="R4771"/>
      <c r="S4771"/>
    </row>
    <row r="4772" spans="2:19" x14ac:dyDescent="0.25">
      <c r="B4772" s="6" t="s">
        <v>46</v>
      </c>
      <c r="R4772"/>
      <c r="S4772"/>
    </row>
    <row r="4773" spans="2:19" x14ac:dyDescent="0.25">
      <c r="B4773" s="6" t="s">
        <v>46</v>
      </c>
      <c r="R4773"/>
      <c r="S4773"/>
    </row>
    <row r="4774" spans="2:19" x14ac:dyDescent="0.25">
      <c r="B4774" s="6" t="s">
        <v>46</v>
      </c>
      <c r="R4774"/>
      <c r="S4774"/>
    </row>
    <row r="4775" spans="2:19" x14ac:dyDescent="0.25">
      <c r="B4775" s="6" t="s">
        <v>46</v>
      </c>
      <c r="R4775"/>
      <c r="S4775"/>
    </row>
    <row r="4776" spans="2:19" x14ac:dyDescent="0.25">
      <c r="B4776" s="6" t="s">
        <v>46</v>
      </c>
      <c r="R4776"/>
      <c r="S4776"/>
    </row>
    <row r="4777" spans="2:19" x14ac:dyDescent="0.25">
      <c r="B4777" s="6" t="s">
        <v>46</v>
      </c>
      <c r="R4777"/>
      <c r="S4777"/>
    </row>
    <row r="4778" spans="2:19" x14ac:dyDescent="0.25">
      <c r="B4778" s="6" t="s">
        <v>46</v>
      </c>
      <c r="R4778"/>
      <c r="S4778"/>
    </row>
    <row r="4779" spans="2:19" x14ac:dyDescent="0.25">
      <c r="B4779" s="6" t="s">
        <v>46</v>
      </c>
      <c r="R4779"/>
      <c r="S4779"/>
    </row>
    <row r="4780" spans="2:19" x14ac:dyDescent="0.25">
      <c r="B4780" s="6" t="s">
        <v>46</v>
      </c>
      <c r="R4780"/>
      <c r="S4780"/>
    </row>
    <row r="4781" spans="2:19" x14ac:dyDescent="0.25">
      <c r="B4781" s="6" t="s">
        <v>46</v>
      </c>
      <c r="R4781"/>
      <c r="S4781"/>
    </row>
    <row r="4782" spans="2:19" x14ac:dyDescent="0.25">
      <c r="B4782" s="6" t="s">
        <v>46</v>
      </c>
      <c r="R4782"/>
      <c r="S4782"/>
    </row>
    <row r="4783" spans="2:19" x14ac:dyDescent="0.25">
      <c r="B4783" s="6" t="s">
        <v>46</v>
      </c>
      <c r="R4783"/>
      <c r="S4783"/>
    </row>
    <row r="4784" spans="2:19" x14ac:dyDescent="0.25">
      <c r="B4784" s="6" t="s">
        <v>46</v>
      </c>
      <c r="R4784"/>
      <c r="S4784"/>
    </row>
    <row r="4785" spans="2:19" x14ac:dyDescent="0.25">
      <c r="B4785" s="6" t="s">
        <v>46</v>
      </c>
      <c r="R4785"/>
      <c r="S4785"/>
    </row>
    <row r="4786" spans="2:19" x14ac:dyDescent="0.25">
      <c r="B4786" s="6" t="s">
        <v>46</v>
      </c>
      <c r="R4786"/>
      <c r="S4786"/>
    </row>
    <row r="4787" spans="2:19" x14ac:dyDescent="0.25">
      <c r="B4787" s="6" t="s">
        <v>46</v>
      </c>
      <c r="R4787"/>
      <c r="S4787"/>
    </row>
    <row r="4788" spans="2:19" x14ac:dyDescent="0.25">
      <c r="B4788" s="6" t="s">
        <v>46</v>
      </c>
      <c r="R4788"/>
      <c r="S4788"/>
    </row>
    <row r="4789" spans="2:19" x14ac:dyDescent="0.25">
      <c r="B4789" s="6" t="s">
        <v>46</v>
      </c>
      <c r="R4789"/>
      <c r="S4789"/>
    </row>
    <row r="4790" spans="2:19" x14ac:dyDescent="0.25">
      <c r="B4790" s="6" t="s">
        <v>46</v>
      </c>
      <c r="R4790"/>
      <c r="S4790"/>
    </row>
    <row r="4791" spans="2:19" x14ac:dyDescent="0.25">
      <c r="B4791" s="6" t="s">
        <v>46</v>
      </c>
      <c r="R4791"/>
      <c r="S4791"/>
    </row>
    <row r="4792" spans="2:19" x14ac:dyDescent="0.25">
      <c r="B4792" s="6" t="s">
        <v>46</v>
      </c>
      <c r="R4792"/>
      <c r="S4792"/>
    </row>
    <row r="4793" spans="2:19" x14ac:dyDescent="0.25">
      <c r="B4793" s="6" t="s">
        <v>46</v>
      </c>
      <c r="R4793"/>
      <c r="S4793"/>
    </row>
    <row r="4794" spans="2:19" x14ac:dyDescent="0.25">
      <c r="B4794" s="6" t="s">
        <v>46</v>
      </c>
      <c r="R4794"/>
      <c r="S4794"/>
    </row>
    <row r="4795" spans="2:19" x14ac:dyDescent="0.25">
      <c r="B4795" s="6" t="s">
        <v>46</v>
      </c>
      <c r="R4795"/>
      <c r="S4795"/>
    </row>
    <row r="4796" spans="2:19" x14ac:dyDescent="0.25">
      <c r="B4796" s="6" t="s">
        <v>46</v>
      </c>
      <c r="R4796"/>
      <c r="S4796"/>
    </row>
    <row r="4797" spans="2:19" x14ac:dyDescent="0.25">
      <c r="B4797" s="6" t="s">
        <v>46</v>
      </c>
      <c r="R4797"/>
      <c r="S4797"/>
    </row>
    <row r="4798" spans="2:19" x14ac:dyDescent="0.25">
      <c r="B4798" s="6" t="s">
        <v>46</v>
      </c>
      <c r="R4798"/>
      <c r="S4798"/>
    </row>
    <row r="4799" spans="2:19" x14ac:dyDescent="0.25">
      <c r="B4799" s="6" t="s">
        <v>46</v>
      </c>
      <c r="R4799"/>
      <c r="S4799"/>
    </row>
    <row r="4800" spans="2:19" x14ac:dyDescent="0.25">
      <c r="B4800" s="6" t="s">
        <v>46</v>
      </c>
      <c r="R4800"/>
      <c r="S4800"/>
    </row>
    <row r="4801" spans="2:19" x14ac:dyDescent="0.25">
      <c r="B4801" s="6" t="s">
        <v>46</v>
      </c>
      <c r="R4801"/>
      <c r="S4801"/>
    </row>
    <row r="4802" spans="2:19" x14ac:dyDescent="0.25">
      <c r="B4802" s="6" t="s">
        <v>46</v>
      </c>
      <c r="R4802"/>
      <c r="S4802"/>
    </row>
    <row r="4803" spans="2:19" x14ac:dyDescent="0.25">
      <c r="B4803" s="6" t="s">
        <v>46</v>
      </c>
      <c r="R4803"/>
      <c r="S4803"/>
    </row>
    <row r="4804" spans="2:19" x14ac:dyDescent="0.25">
      <c r="B4804" s="6" t="s">
        <v>46</v>
      </c>
      <c r="R4804"/>
      <c r="S4804"/>
    </row>
    <row r="4805" spans="2:19" x14ac:dyDescent="0.25">
      <c r="B4805" s="6" t="s">
        <v>46</v>
      </c>
      <c r="R4805"/>
      <c r="S4805"/>
    </row>
    <row r="4806" spans="2:19" x14ac:dyDescent="0.25">
      <c r="B4806" s="6" t="s">
        <v>46</v>
      </c>
      <c r="R4806"/>
      <c r="S4806"/>
    </row>
    <row r="4807" spans="2:19" x14ac:dyDescent="0.25">
      <c r="B4807" s="6" t="s">
        <v>46</v>
      </c>
      <c r="R4807"/>
      <c r="S4807"/>
    </row>
    <row r="4808" spans="2:19" x14ac:dyDescent="0.25">
      <c r="B4808" s="6" t="s">
        <v>46</v>
      </c>
      <c r="R4808"/>
      <c r="S4808"/>
    </row>
    <row r="4809" spans="2:19" x14ac:dyDescent="0.25">
      <c r="B4809" s="6" t="s">
        <v>46</v>
      </c>
      <c r="R4809"/>
      <c r="S4809"/>
    </row>
    <row r="4810" spans="2:19" x14ac:dyDescent="0.25">
      <c r="B4810" s="6" t="s">
        <v>46</v>
      </c>
      <c r="R4810"/>
      <c r="S4810"/>
    </row>
    <row r="4811" spans="2:19" x14ac:dyDescent="0.25">
      <c r="B4811" s="6" t="s">
        <v>46</v>
      </c>
      <c r="R4811"/>
      <c r="S4811"/>
    </row>
    <row r="4812" spans="2:19" x14ac:dyDescent="0.25">
      <c r="B4812" s="6" t="s">
        <v>46</v>
      </c>
      <c r="R4812"/>
      <c r="S4812"/>
    </row>
    <row r="4813" spans="2:19" x14ac:dyDescent="0.25">
      <c r="B4813" s="6" t="s">
        <v>46</v>
      </c>
      <c r="R4813"/>
      <c r="S4813"/>
    </row>
    <row r="4814" spans="2:19" x14ac:dyDescent="0.25">
      <c r="B4814" s="6" t="s">
        <v>46</v>
      </c>
      <c r="R4814"/>
      <c r="S4814"/>
    </row>
    <row r="4815" spans="2:19" x14ac:dyDescent="0.25">
      <c r="B4815" s="6" t="s">
        <v>46</v>
      </c>
      <c r="R4815"/>
      <c r="S4815"/>
    </row>
    <row r="4816" spans="2:19" x14ac:dyDescent="0.25">
      <c r="B4816" s="6" t="s">
        <v>46</v>
      </c>
      <c r="R4816"/>
      <c r="S4816"/>
    </row>
    <row r="4817" spans="2:19" x14ac:dyDescent="0.25">
      <c r="B4817" s="6" t="s">
        <v>46</v>
      </c>
      <c r="R4817"/>
      <c r="S4817"/>
    </row>
    <row r="4818" spans="2:19" x14ac:dyDescent="0.25">
      <c r="B4818" s="6" t="s">
        <v>46</v>
      </c>
      <c r="R4818"/>
      <c r="S4818"/>
    </row>
    <row r="4819" spans="2:19" x14ac:dyDescent="0.25">
      <c r="B4819" s="6" t="s">
        <v>46</v>
      </c>
      <c r="R4819"/>
      <c r="S4819"/>
    </row>
    <row r="4820" spans="2:19" x14ac:dyDescent="0.25">
      <c r="B4820" s="6" t="s">
        <v>46</v>
      </c>
      <c r="R4820"/>
      <c r="S4820"/>
    </row>
    <row r="4821" spans="2:19" x14ac:dyDescent="0.25">
      <c r="B4821" s="6" t="s">
        <v>46</v>
      </c>
      <c r="R4821"/>
      <c r="S4821"/>
    </row>
    <row r="4822" spans="2:19" x14ac:dyDescent="0.25">
      <c r="B4822" s="6" t="s">
        <v>46</v>
      </c>
      <c r="R4822"/>
      <c r="S4822"/>
    </row>
    <row r="4823" spans="2:19" x14ac:dyDescent="0.25">
      <c r="B4823" s="6" t="s">
        <v>46</v>
      </c>
      <c r="R4823"/>
      <c r="S4823"/>
    </row>
    <row r="4824" spans="2:19" x14ac:dyDescent="0.25">
      <c r="B4824" s="6" t="s">
        <v>46</v>
      </c>
      <c r="R4824"/>
      <c r="S4824"/>
    </row>
    <row r="4825" spans="2:19" x14ac:dyDescent="0.25">
      <c r="B4825" s="6" t="s">
        <v>46</v>
      </c>
      <c r="R4825"/>
      <c r="S4825"/>
    </row>
    <row r="4826" spans="2:19" x14ac:dyDescent="0.25">
      <c r="B4826" s="6" t="s">
        <v>46</v>
      </c>
      <c r="R4826"/>
      <c r="S4826"/>
    </row>
    <row r="4827" spans="2:19" x14ac:dyDescent="0.25">
      <c r="B4827" s="6" t="s">
        <v>46</v>
      </c>
      <c r="R4827"/>
      <c r="S4827"/>
    </row>
    <row r="4828" spans="2:19" x14ac:dyDescent="0.25">
      <c r="B4828" s="6" t="s">
        <v>46</v>
      </c>
      <c r="R4828"/>
      <c r="S4828"/>
    </row>
    <row r="4829" spans="2:19" x14ac:dyDescent="0.25">
      <c r="B4829" s="6" t="s">
        <v>46</v>
      </c>
      <c r="R4829"/>
      <c r="S4829"/>
    </row>
    <row r="4830" spans="2:19" x14ac:dyDescent="0.25">
      <c r="B4830" s="6" t="s">
        <v>46</v>
      </c>
      <c r="R4830"/>
      <c r="S4830"/>
    </row>
    <row r="4831" spans="2:19" x14ac:dyDescent="0.25">
      <c r="B4831" s="6" t="s">
        <v>46</v>
      </c>
      <c r="R4831"/>
      <c r="S4831"/>
    </row>
    <row r="4832" spans="2:19" x14ac:dyDescent="0.25">
      <c r="B4832" s="6" t="s">
        <v>46</v>
      </c>
      <c r="R4832"/>
      <c r="S4832"/>
    </row>
    <row r="4833" spans="2:19" x14ac:dyDescent="0.25">
      <c r="B4833" s="6" t="s">
        <v>46</v>
      </c>
      <c r="R4833"/>
      <c r="S4833"/>
    </row>
    <row r="4834" spans="2:19" x14ac:dyDescent="0.25">
      <c r="B4834" s="6" t="s">
        <v>46</v>
      </c>
      <c r="R4834"/>
      <c r="S4834"/>
    </row>
    <row r="4835" spans="2:19" x14ac:dyDescent="0.25">
      <c r="B4835" s="6" t="s">
        <v>46</v>
      </c>
      <c r="R4835"/>
      <c r="S4835"/>
    </row>
    <row r="4836" spans="2:19" x14ac:dyDescent="0.25">
      <c r="B4836" s="6" t="s">
        <v>46</v>
      </c>
      <c r="R4836"/>
      <c r="S4836"/>
    </row>
    <row r="4837" spans="2:19" x14ac:dyDescent="0.25">
      <c r="B4837" s="6" t="s">
        <v>46</v>
      </c>
      <c r="R4837"/>
      <c r="S4837"/>
    </row>
    <row r="4838" spans="2:19" x14ac:dyDescent="0.25">
      <c r="B4838" s="6" t="s">
        <v>46</v>
      </c>
      <c r="R4838"/>
      <c r="S4838"/>
    </row>
    <row r="4839" spans="2:19" x14ac:dyDescent="0.25">
      <c r="B4839" s="6" t="s">
        <v>46</v>
      </c>
      <c r="R4839"/>
      <c r="S4839"/>
    </row>
    <row r="4840" spans="2:19" x14ac:dyDescent="0.25">
      <c r="B4840" s="6" t="s">
        <v>46</v>
      </c>
      <c r="R4840"/>
      <c r="S4840"/>
    </row>
    <row r="4841" spans="2:19" x14ac:dyDescent="0.25">
      <c r="B4841" s="6" t="s">
        <v>46</v>
      </c>
      <c r="R4841"/>
      <c r="S4841"/>
    </row>
    <row r="4842" spans="2:19" x14ac:dyDescent="0.25">
      <c r="B4842" s="6" t="s">
        <v>46</v>
      </c>
      <c r="R4842"/>
      <c r="S4842"/>
    </row>
    <row r="4843" spans="2:19" x14ac:dyDescent="0.25">
      <c r="B4843" s="6" t="s">
        <v>46</v>
      </c>
      <c r="R4843"/>
      <c r="S4843"/>
    </row>
    <row r="4844" spans="2:19" x14ac:dyDescent="0.25">
      <c r="B4844" s="6" t="s">
        <v>46</v>
      </c>
      <c r="R4844"/>
      <c r="S4844"/>
    </row>
    <row r="4845" spans="2:19" x14ac:dyDescent="0.25">
      <c r="B4845" s="6" t="s">
        <v>46</v>
      </c>
      <c r="R4845"/>
      <c r="S4845"/>
    </row>
    <row r="4846" spans="2:19" x14ac:dyDescent="0.25">
      <c r="B4846" s="6" t="s">
        <v>46</v>
      </c>
      <c r="R4846"/>
      <c r="S4846"/>
    </row>
    <row r="4847" spans="2:19" x14ac:dyDescent="0.25">
      <c r="B4847" s="6" t="s">
        <v>46</v>
      </c>
      <c r="R4847"/>
      <c r="S4847"/>
    </row>
    <row r="4848" spans="2:19" x14ac:dyDescent="0.25">
      <c r="B4848" s="6" t="s">
        <v>46</v>
      </c>
      <c r="R4848"/>
      <c r="S4848"/>
    </row>
    <row r="4849" spans="2:19" x14ac:dyDescent="0.25">
      <c r="B4849" s="6" t="s">
        <v>46</v>
      </c>
      <c r="R4849"/>
      <c r="S4849"/>
    </row>
    <row r="4850" spans="2:19" x14ac:dyDescent="0.25">
      <c r="B4850" s="6" t="s">
        <v>46</v>
      </c>
      <c r="R4850"/>
      <c r="S4850"/>
    </row>
    <row r="4851" spans="2:19" x14ac:dyDescent="0.25">
      <c r="B4851" s="6" t="s">
        <v>46</v>
      </c>
      <c r="R4851"/>
      <c r="S4851"/>
    </row>
    <row r="4852" spans="2:19" x14ac:dyDescent="0.25">
      <c r="B4852" s="6" t="s">
        <v>46</v>
      </c>
      <c r="R4852"/>
      <c r="S4852"/>
    </row>
    <row r="4853" spans="2:19" x14ac:dyDescent="0.25">
      <c r="B4853" s="6" t="s">
        <v>46</v>
      </c>
      <c r="R4853"/>
      <c r="S4853"/>
    </row>
    <row r="4854" spans="2:19" x14ac:dyDescent="0.25">
      <c r="B4854" s="6" t="s">
        <v>46</v>
      </c>
      <c r="R4854"/>
      <c r="S4854"/>
    </row>
    <row r="4855" spans="2:19" x14ac:dyDescent="0.25">
      <c r="B4855" s="6" t="s">
        <v>46</v>
      </c>
      <c r="R4855"/>
      <c r="S4855"/>
    </row>
    <row r="4856" spans="2:19" x14ac:dyDescent="0.25">
      <c r="B4856" s="6" t="s">
        <v>46</v>
      </c>
      <c r="R4856"/>
      <c r="S4856"/>
    </row>
    <row r="4857" spans="2:19" x14ac:dyDescent="0.25">
      <c r="B4857" s="6" t="s">
        <v>46</v>
      </c>
      <c r="R4857"/>
      <c r="S4857"/>
    </row>
    <row r="4858" spans="2:19" x14ac:dyDescent="0.25">
      <c r="B4858" s="6" t="s">
        <v>46</v>
      </c>
      <c r="R4858"/>
      <c r="S4858"/>
    </row>
    <row r="4859" spans="2:19" x14ac:dyDescent="0.25">
      <c r="B4859" s="6" t="s">
        <v>46</v>
      </c>
      <c r="R4859"/>
      <c r="S4859"/>
    </row>
    <row r="4860" spans="2:19" x14ac:dyDescent="0.25">
      <c r="B4860" s="6" t="s">
        <v>46</v>
      </c>
      <c r="R4860"/>
      <c r="S4860"/>
    </row>
    <row r="4861" spans="2:19" x14ac:dyDescent="0.25">
      <c r="B4861" s="6" t="s">
        <v>46</v>
      </c>
      <c r="R4861"/>
      <c r="S4861"/>
    </row>
    <row r="4862" spans="2:19" x14ac:dyDescent="0.25">
      <c r="B4862" s="6" t="s">
        <v>46</v>
      </c>
      <c r="R4862"/>
      <c r="S4862"/>
    </row>
    <row r="4863" spans="2:19" x14ac:dyDescent="0.25">
      <c r="B4863" s="6" t="s">
        <v>46</v>
      </c>
      <c r="R4863"/>
      <c r="S4863"/>
    </row>
    <row r="4864" spans="2:19" x14ac:dyDescent="0.25">
      <c r="B4864" s="6" t="s">
        <v>46</v>
      </c>
      <c r="R4864"/>
      <c r="S4864"/>
    </row>
    <row r="4865" spans="2:19" x14ac:dyDescent="0.25">
      <c r="B4865" s="6" t="s">
        <v>46</v>
      </c>
      <c r="R4865"/>
      <c r="S4865"/>
    </row>
    <row r="4866" spans="2:19" x14ac:dyDescent="0.25">
      <c r="B4866" s="6" t="s">
        <v>46</v>
      </c>
      <c r="R4866"/>
      <c r="S4866"/>
    </row>
    <row r="4867" spans="2:19" x14ac:dyDescent="0.25">
      <c r="B4867" s="6" t="s">
        <v>46</v>
      </c>
      <c r="R4867"/>
      <c r="S4867"/>
    </row>
    <row r="4868" spans="2:19" x14ac:dyDescent="0.25">
      <c r="B4868" s="6" t="s">
        <v>46</v>
      </c>
      <c r="R4868"/>
      <c r="S4868"/>
    </row>
    <row r="4869" spans="2:19" x14ac:dyDescent="0.25">
      <c r="B4869" s="6" t="s">
        <v>46</v>
      </c>
      <c r="R4869"/>
      <c r="S4869"/>
    </row>
    <row r="4870" spans="2:19" x14ac:dyDescent="0.25">
      <c r="B4870" s="6" t="s">
        <v>46</v>
      </c>
      <c r="R4870"/>
      <c r="S4870"/>
    </row>
    <row r="4871" spans="2:19" x14ac:dyDescent="0.25">
      <c r="B4871" s="6" t="s">
        <v>46</v>
      </c>
      <c r="R4871"/>
      <c r="S4871"/>
    </row>
    <row r="4872" spans="2:19" x14ac:dyDescent="0.25">
      <c r="B4872" s="6" t="s">
        <v>46</v>
      </c>
      <c r="R4872"/>
      <c r="S4872"/>
    </row>
    <row r="4873" spans="2:19" x14ac:dyDescent="0.25">
      <c r="B4873" s="6" t="s">
        <v>46</v>
      </c>
      <c r="R4873"/>
      <c r="S4873"/>
    </row>
    <row r="4874" spans="2:19" x14ac:dyDescent="0.25">
      <c r="B4874" s="6" t="s">
        <v>46</v>
      </c>
      <c r="R4874"/>
      <c r="S4874"/>
    </row>
    <row r="4875" spans="2:19" x14ac:dyDescent="0.25">
      <c r="B4875" s="6" t="s">
        <v>46</v>
      </c>
      <c r="R4875"/>
      <c r="S4875"/>
    </row>
    <row r="4876" spans="2:19" x14ac:dyDescent="0.25">
      <c r="B4876" s="6" t="s">
        <v>46</v>
      </c>
      <c r="R4876"/>
      <c r="S4876"/>
    </row>
    <row r="4877" spans="2:19" x14ac:dyDescent="0.25">
      <c r="B4877" s="6" t="s">
        <v>46</v>
      </c>
      <c r="R4877"/>
      <c r="S4877"/>
    </row>
    <row r="4878" spans="2:19" x14ac:dyDescent="0.25">
      <c r="B4878" s="6" t="s">
        <v>46</v>
      </c>
      <c r="R4878"/>
      <c r="S4878"/>
    </row>
    <row r="4879" spans="2:19" x14ac:dyDescent="0.25">
      <c r="B4879" s="6" t="s">
        <v>46</v>
      </c>
      <c r="R4879"/>
      <c r="S4879"/>
    </row>
    <row r="4880" spans="2:19" x14ac:dyDescent="0.25">
      <c r="B4880" s="6" t="s">
        <v>46</v>
      </c>
      <c r="R4880"/>
      <c r="S4880"/>
    </row>
    <row r="4881" spans="2:19" x14ac:dyDescent="0.25">
      <c r="B4881" s="6" t="s">
        <v>46</v>
      </c>
      <c r="R4881"/>
      <c r="S4881"/>
    </row>
    <row r="4882" spans="2:19" x14ac:dyDescent="0.25">
      <c r="B4882" s="6" t="s">
        <v>46</v>
      </c>
      <c r="R4882"/>
      <c r="S4882"/>
    </row>
    <row r="4883" spans="2:19" x14ac:dyDescent="0.25">
      <c r="B4883" s="6" t="s">
        <v>46</v>
      </c>
      <c r="R4883"/>
      <c r="S4883"/>
    </row>
    <row r="4884" spans="2:19" x14ac:dyDescent="0.25">
      <c r="B4884" s="6" t="s">
        <v>46</v>
      </c>
      <c r="R4884"/>
      <c r="S4884"/>
    </row>
    <row r="4885" spans="2:19" x14ac:dyDescent="0.25">
      <c r="B4885" s="6" t="s">
        <v>46</v>
      </c>
      <c r="R4885"/>
      <c r="S4885"/>
    </row>
    <row r="4886" spans="2:19" x14ac:dyDescent="0.25">
      <c r="B4886" s="6" t="s">
        <v>46</v>
      </c>
      <c r="R4886"/>
      <c r="S4886"/>
    </row>
    <row r="4887" spans="2:19" x14ac:dyDescent="0.25">
      <c r="B4887" s="6" t="s">
        <v>46</v>
      </c>
      <c r="R4887"/>
      <c r="S4887"/>
    </row>
    <row r="4888" spans="2:19" x14ac:dyDescent="0.25">
      <c r="B4888" s="6" t="s">
        <v>46</v>
      </c>
      <c r="R4888"/>
      <c r="S4888"/>
    </row>
    <row r="4889" spans="2:19" x14ac:dyDescent="0.25">
      <c r="B4889" s="6" t="s">
        <v>46</v>
      </c>
      <c r="R4889"/>
      <c r="S4889"/>
    </row>
    <row r="4890" spans="2:19" x14ac:dyDescent="0.25">
      <c r="B4890" s="6" t="s">
        <v>46</v>
      </c>
      <c r="R4890"/>
      <c r="S4890"/>
    </row>
    <row r="4891" spans="2:19" x14ac:dyDescent="0.25">
      <c r="B4891" s="6" t="s">
        <v>46</v>
      </c>
      <c r="R4891"/>
      <c r="S4891"/>
    </row>
    <row r="4892" spans="2:19" x14ac:dyDescent="0.25">
      <c r="B4892" s="6" t="s">
        <v>46</v>
      </c>
      <c r="R4892"/>
      <c r="S4892"/>
    </row>
    <row r="4893" spans="2:19" x14ac:dyDescent="0.25">
      <c r="B4893" s="6" t="s">
        <v>46</v>
      </c>
      <c r="R4893"/>
      <c r="S4893"/>
    </row>
    <row r="4894" spans="2:19" x14ac:dyDescent="0.25">
      <c r="B4894" s="6" t="s">
        <v>46</v>
      </c>
      <c r="R4894"/>
      <c r="S4894"/>
    </row>
    <row r="4895" spans="2:19" x14ac:dyDescent="0.25">
      <c r="B4895" s="6" t="s">
        <v>46</v>
      </c>
      <c r="R4895"/>
      <c r="S4895"/>
    </row>
    <row r="4896" spans="2:19" x14ac:dyDescent="0.25">
      <c r="B4896" s="6" t="s">
        <v>46</v>
      </c>
      <c r="R4896"/>
      <c r="S4896"/>
    </row>
    <row r="4897" spans="2:19" x14ac:dyDescent="0.25">
      <c r="B4897" s="6" t="s">
        <v>46</v>
      </c>
      <c r="R4897"/>
      <c r="S4897"/>
    </row>
    <row r="4898" spans="2:19" x14ac:dyDescent="0.25">
      <c r="B4898" s="6" t="s">
        <v>46</v>
      </c>
      <c r="R4898"/>
      <c r="S4898"/>
    </row>
    <row r="4899" spans="2:19" x14ac:dyDescent="0.25">
      <c r="B4899" s="6" t="s">
        <v>46</v>
      </c>
      <c r="R4899"/>
      <c r="S4899"/>
    </row>
    <row r="4900" spans="2:19" x14ac:dyDescent="0.25">
      <c r="B4900" s="6" t="s">
        <v>46</v>
      </c>
      <c r="R4900"/>
      <c r="S4900"/>
    </row>
    <row r="4901" spans="2:19" x14ac:dyDescent="0.25">
      <c r="B4901" s="6" t="s">
        <v>46</v>
      </c>
      <c r="R4901"/>
      <c r="S4901"/>
    </row>
    <row r="4902" spans="2:19" x14ac:dyDescent="0.25">
      <c r="B4902" s="6" t="s">
        <v>46</v>
      </c>
      <c r="R4902"/>
      <c r="S4902"/>
    </row>
    <row r="4903" spans="2:19" x14ac:dyDescent="0.25">
      <c r="B4903" s="6" t="s">
        <v>46</v>
      </c>
      <c r="R4903"/>
      <c r="S4903"/>
    </row>
    <row r="4904" spans="2:19" x14ac:dyDescent="0.25">
      <c r="B4904" s="6" t="s">
        <v>46</v>
      </c>
      <c r="R4904"/>
      <c r="S4904"/>
    </row>
    <row r="4905" spans="2:19" x14ac:dyDescent="0.25">
      <c r="B4905" s="6" t="s">
        <v>46</v>
      </c>
      <c r="R4905"/>
      <c r="S4905"/>
    </row>
    <row r="4906" spans="2:19" x14ac:dyDescent="0.25">
      <c r="B4906" s="6" t="s">
        <v>46</v>
      </c>
      <c r="R4906"/>
      <c r="S4906"/>
    </row>
    <row r="4907" spans="2:19" x14ac:dyDescent="0.25">
      <c r="B4907" s="6" t="s">
        <v>46</v>
      </c>
      <c r="R4907"/>
      <c r="S4907"/>
    </row>
    <row r="4908" spans="2:19" x14ac:dyDescent="0.25">
      <c r="B4908" s="6" t="s">
        <v>46</v>
      </c>
      <c r="R4908"/>
      <c r="S4908"/>
    </row>
    <row r="4909" spans="2:19" x14ac:dyDescent="0.25">
      <c r="B4909" s="6" t="s">
        <v>46</v>
      </c>
      <c r="R4909"/>
      <c r="S4909"/>
    </row>
    <row r="4910" spans="2:19" x14ac:dyDescent="0.25">
      <c r="B4910" s="6" t="s">
        <v>46</v>
      </c>
      <c r="R4910"/>
      <c r="S4910"/>
    </row>
    <row r="4911" spans="2:19" x14ac:dyDescent="0.25">
      <c r="B4911" s="6" t="s">
        <v>46</v>
      </c>
      <c r="R4911"/>
      <c r="S4911"/>
    </row>
    <row r="4912" spans="2:19" x14ac:dyDescent="0.25">
      <c r="B4912" s="6" t="s">
        <v>46</v>
      </c>
      <c r="R4912"/>
      <c r="S4912"/>
    </row>
    <row r="4913" spans="2:19" x14ac:dyDescent="0.25">
      <c r="B4913" s="6" t="s">
        <v>46</v>
      </c>
      <c r="R4913"/>
      <c r="S4913"/>
    </row>
    <row r="4914" spans="2:19" x14ac:dyDescent="0.25">
      <c r="B4914" s="6" t="s">
        <v>46</v>
      </c>
      <c r="R4914"/>
      <c r="S4914"/>
    </row>
    <row r="4915" spans="2:19" x14ac:dyDescent="0.25">
      <c r="B4915" s="6" t="s">
        <v>46</v>
      </c>
      <c r="R4915"/>
      <c r="S4915"/>
    </row>
    <row r="4916" spans="2:19" x14ac:dyDescent="0.25">
      <c r="B4916" s="6" t="s">
        <v>46</v>
      </c>
      <c r="R4916"/>
      <c r="S4916"/>
    </row>
    <row r="4917" spans="2:19" x14ac:dyDescent="0.25">
      <c r="B4917" s="6" t="s">
        <v>46</v>
      </c>
      <c r="R4917"/>
      <c r="S4917"/>
    </row>
    <row r="4918" spans="2:19" x14ac:dyDescent="0.25">
      <c r="B4918" s="6" t="s">
        <v>46</v>
      </c>
      <c r="R4918"/>
      <c r="S4918"/>
    </row>
    <row r="4919" spans="2:19" x14ac:dyDescent="0.25">
      <c r="B4919" s="6" t="s">
        <v>46</v>
      </c>
      <c r="R4919"/>
      <c r="S4919"/>
    </row>
    <row r="4920" spans="2:19" x14ac:dyDescent="0.25">
      <c r="B4920" s="6" t="s">
        <v>46</v>
      </c>
      <c r="R4920"/>
      <c r="S4920"/>
    </row>
    <row r="4921" spans="2:19" x14ac:dyDescent="0.25">
      <c r="B4921" s="6" t="s">
        <v>46</v>
      </c>
      <c r="R4921"/>
      <c r="S4921"/>
    </row>
    <row r="4922" spans="2:19" x14ac:dyDescent="0.25">
      <c r="B4922" s="6" t="s">
        <v>46</v>
      </c>
      <c r="R4922"/>
      <c r="S4922"/>
    </row>
    <row r="4923" spans="2:19" x14ac:dyDescent="0.25">
      <c r="B4923" s="6" t="s">
        <v>46</v>
      </c>
      <c r="R4923"/>
      <c r="S4923"/>
    </row>
    <row r="4924" spans="2:19" x14ac:dyDescent="0.25">
      <c r="B4924" s="6" t="s">
        <v>46</v>
      </c>
      <c r="R4924"/>
      <c r="S4924"/>
    </row>
    <row r="4925" spans="2:19" x14ac:dyDescent="0.25">
      <c r="B4925" s="6" t="s">
        <v>46</v>
      </c>
      <c r="R4925"/>
      <c r="S4925"/>
    </row>
    <row r="4926" spans="2:19" x14ac:dyDescent="0.25">
      <c r="B4926" s="6" t="s">
        <v>46</v>
      </c>
      <c r="R4926"/>
      <c r="S4926"/>
    </row>
    <row r="4927" spans="2:19" x14ac:dyDescent="0.25">
      <c r="B4927" s="6" t="s">
        <v>46</v>
      </c>
      <c r="R4927"/>
      <c r="S4927"/>
    </row>
    <row r="4928" spans="2:19" x14ac:dyDescent="0.25">
      <c r="B4928" s="6" t="s">
        <v>46</v>
      </c>
      <c r="R4928"/>
      <c r="S4928"/>
    </row>
    <row r="4929" spans="2:19" x14ac:dyDescent="0.25">
      <c r="B4929" s="6" t="s">
        <v>46</v>
      </c>
      <c r="R4929"/>
      <c r="S4929"/>
    </row>
    <row r="4930" spans="2:19" x14ac:dyDescent="0.25">
      <c r="B4930" s="6" t="s">
        <v>46</v>
      </c>
      <c r="R4930"/>
      <c r="S4930"/>
    </row>
    <row r="4931" spans="2:19" x14ac:dyDescent="0.25">
      <c r="B4931" s="6" t="s">
        <v>46</v>
      </c>
      <c r="R4931"/>
      <c r="S4931"/>
    </row>
    <row r="4932" spans="2:19" x14ac:dyDescent="0.25">
      <c r="B4932" s="6" t="s">
        <v>46</v>
      </c>
      <c r="R4932"/>
      <c r="S4932"/>
    </row>
    <row r="4933" spans="2:19" x14ac:dyDescent="0.25">
      <c r="B4933" s="6" t="s">
        <v>46</v>
      </c>
      <c r="R4933"/>
      <c r="S4933"/>
    </row>
    <row r="4934" spans="2:19" x14ac:dyDescent="0.25">
      <c r="B4934" s="6" t="s">
        <v>46</v>
      </c>
      <c r="R4934"/>
      <c r="S4934"/>
    </row>
    <row r="4935" spans="2:19" x14ac:dyDescent="0.25">
      <c r="B4935" s="6" t="s">
        <v>46</v>
      </c>
      <c r="R4935"/>
      <c r="S4935"/>
    </row>
    <row r="4936" spans="2:19" x14ac:dyDescent="0.25">
      <c r="B4936" s="6" t="s">
        <v>46</v>
      </c>
      <c r="R4936"/>
      <c r="S4936"/>
    </row>
    <row r="4937" spans="2:19" x14ac:dyDescent="0.25">
      <c r="B4937" s="6" t="s">
        <v>46</v>
      </c>
      <c r="R4937"/>
      <c r="S4937"/>
    </row>
    <row r="4938" spans="2:19" x14ac:dyDescent="0.25">
      <c r="B4938" s="6" t="s">
        <v>46</v>
      </c>
      <c r="R4938"/>
      <c r="S4938"/>
    </row>
    <row r="4939" spans="2:19" x14ac:dyDescent="0.25">
      <c r="B4939" s="6" t="s">
        <v>46</v>
      </c>
      <c r="R4939"/>
      <c r="S4939"/>
    </row>
    <row r="4940" spans="2:19" x14ac:dyDescent="0.25">
      <c r="B4940" s="6" t="s">
        <v>46</v>
      </c>
      <c r="R4940"/>
      <c r="S4940"/>
    </row>
    <row r="4941" spans="2:19" x14ac:dyDescent="0.25">
      <c r="B4941" s="6" t="s">
        <v>46</v>
      </c>
      <c r="R4941"/>
      <c r="S4941"/>
    </row>
    <row r="4942" spans="2:19" x14ac:dyDescent="0.25">
      <c r="B4942" s="6" t="s">
        <v>46</v>
      </c>
      <c r="R4942"/>
      <c r="S4942"/>
    </row>
    <row r="4943" spans="2:19" x14ac:dyDescent="0.25">
      <c r="B4943" s="6" t="s">
        <v>46</v>
      </c>
      <c r="R4943"/>
      <c r="S4943"/>
    </row>
    <row r="4944" spans="2:19" x14ac:dyDescent="0.25">
      <c r="B4944" s="6" t="s">
        <v>46</v>
      </c>
      <c r="R4944"/>
      <c r="S4944"/>
    </row>
    <row r="4945" spans="2:19" x14ac:dyDescent="0.25">
      <c r="B4945" s="6" t="s">
        <v>46</v>
      </c>
      <c r="R4945"/>
      <c r="S4945"/>
    </row>
    <row r="4946" spans="2:19" x14ac:dyDescent="0.25">
      <c r="B4946" s="6" t="s">
        <v>46</v>
      </c>
      <c r="R4946"/>
      <c r="S4946"/>
    </row>
    <row r="4947" spans="2:19" x14ac:dyDescent="0.25">
      <c r="B4947" s="6" t="s">
        <v>46</v>
      </c>
      <c r="R4947"/>
      <c r="S4947"/>
    </row>
    <row r="4948" spans="2:19" x14ac:dyDescent="0.25">
      <c r="B4948" s="6" t="s">
        <v>46</v>
      </c>
      <c r="R4948"/>
      <c r="S4948"/>
    </row>
    <row r="4949" spans="2:19" x14ac:dyDescent="0.25">
      <c r="B4949" s="6" t="s">
        <v>46</v>
      </c>
      <c r="R4949"/>
      <c r="S4949"/>
    </row>
    <row r="4950" spans="2:19" x14ac:dyDescent="0.25">
      <c r="B4950" s="6" t="s">
        <v>46</v>
      </c>
      <c r="R4950"/>
      <c r="S4950"/>
    </row>
    <row r="4951" spans="2:19" x14ac:dyDescent="0.25">
      <c r="B4951" s="6" t="s">
        <v>46</v>
      </c>
      <c r="R4951"/>
      <c r="S4951"/>
    </row>
    <row r="4952" spans="2:19" x14ac:dyDescent="0.25">
      <c r="B4952" s="6" t="s">
        <v>46</v>
      </c>
      <c r="R4952"/>
      <c r="S4952"/>
    </row>
    <row r="4953" spans="2:19" x14ac:dyDescent="0.25">
      <c r="B4953" s="6" t="s">
        <v>46</v>
      </c>
      <c r="R4953"/>
      <c r="S4953"/>
    </row>
    <row r="4954" spans="2:19" x14ac:dyDescent="0.25">
      <c r="B4954" s="6" t="s">
        <v>46</v>
      </c>
      <c r="R4954"/>
      <c r="S4954"/>
    </row>
    <row r="4955" spans="2:19" x14ac:dyDescent="0.25">
      <c r="B4955" s="6" t="s">
        <v>46</v>
      </c>
      <c r="R4955"/>
      <c r="S4955"/>
    </row>
    <row r="4956" spans="2:19" x14ac:dyDescent="0.25">
      <c r="B4956" s="6" t="s">
        <v>46</v>
      </c>
      <c r="R4956"/>
      <c r="S4956"/>
    </row>
    <row r="4957" spans="2:19" x14ac:dyDescent="0.25">
      <c r="B4957" s="6" t="s">
        <v>46</v>
      </c>
      <c r="R4957"/>
      <c r="S4957"/>
    </row>
    <row r="4958" spans="2:19" x14ac:dyDescent="0.25">
      <c r="B4958" s="6" t="s">
        <v>46</v>
      </c>
      <c r="R4958"/>
      <c r="S4958"/>
    </row>
    <row r="4959" spans="2:19" x14ac:dyDescent="0.25">
      <c r="B4959" s="6" t="s">
        <v>46</v>
      </c>
      <c r="R4959"/>
      <c r="S4959"/>
    </row>
    <row r="4960" spans="2:19" x14ac:dyDescent="0.25">
      <c r="B4960" s="6" t="s">
        <v>46</v>
      </c>
      <c r="R4960"/>
      <c r="S4960"/>
    </row>
    <row r="4961" spans="2:19" x14ac:dyDescent="0.25">
      <c r="B4961" s="6" t="s">
        <v>46</v>
      </c>
      <c r="R4961"/>
      <c r="S4961"/>
    </row>
    <row r="4962" spans="2:19" x14ac:dyDescent="0.25">
      <c r="B4962" s="6" t="s">
        <v>46</v>
      </c>
      <c r="R4962"/>
      <c r="S4962"/>
    </row>
    <row r="4963" spans="2:19" x14ac:dyDescent="0.25">
      <c r="B4963" s="6" t="s">
        <v>46</v>
      </c>
      <c r="R4963"/>
      <c r="S4963"/>
    </row>
    <row r="4964" spans="2:19" x14ac:dyDescent="0.25">
      <c r="B4964" s="6" t="s">
        <v>46</v>
      </c>
      <c r="R4964"/>
      <c r="S4964"/>
    </row>
    <row r="4965" spans="2:19" x14ac:dyDescent="0.25">
      <c r="B4965" s="6" t="s">
        <v>46</v>
      </c>
      <c r="R4965"/>
      <c r="S4965"/>
    </row>
    <row r="4966" spans="2:19" x14ac:dyDescent="0.25">
      <c r="B4966" s="6" t="s">
        <v>46</v>
      </c>
      <c r="R4966"/>
      <c r="S4966"/>
    </row>
    <row r="4967" spans="2:19" x14ac:dyDescent="0.25">
      <c r="B4967" s="6" t="s">
        <v>46</v>
      </c>
      <c r="R4967"/>
      <c r="S4967"/>
    </row>
    <row r="4968" spans="2:19" x14ac:dyDescent="0.25">
      <c r="B4968" s="6" t="s">
        <v>46</v>
      </c>
      <c r="R4968"/>
      <c r="S4968"/>
    </row>
    <row r="4969" spans="2:19" x14ac:dyDescent="0.25">
      <c r="B4969" s="6" t="s">
        <v>46</v>
      </c>
      <c r="R4969"/>
      <c r="S4969"/>
    </row>
    <row r="4970" spans="2:19" x14ac:dyDescent="0.25">
      <c r="B4970" s="6" t="s">
        <v>46</v>
      </c>
      <c r="R4970"/>
      <c r="S4970"/>
    </row>
    <row r="4971" spans="2:19" x14ac:dyDescent="0.25">
      <c r="B4971" s="6" t="s">
        <v>46</v>
      </c>
      <c r="R4971"/>
      <c r="S4971"/>
    </row>
    <row r="4972" spans="2:19" x14ac:dyDescent="0.25">
      <c r="B4972" s="6" t="s">
        <v>46</v>
      </c>
      <c r="R4972"/>
      <c r="S4972"/>
    </row>
    <row r="4973" spans="2:19" x14ac:dyDescent="0.25">
      <c r="B4973" s="6" t="s">
        <v>46</v>
      </c>
      <c r="R4973"/>
      <c r="S4973"/>
    </row>
    <row r="4974" spans="2:19" x14ac:dyDescent="0.25">
      <c r="B4974" s="6" t="s">
        <v>46</v>
      </c>
      <c r="R4974"/>
      <c r="S4974"/>
    </row>
    <row r="4975" spans="2:19" x14ac:dyDescent="0.25">
      <c r="B4975" s="6" t="s">
        <v>46</v>
      </c>
      <c r="R4975"/>
      <c r="S4975"/>
    </row>
    <row r="4976" spans="2:19" x14ac:dyDescent="0.25">
      <c r="B4976" s="6" t="s">
        <v>46</v>
      </c>
      <c r="R4976"/>
      <c r="S4976"/>
    </row>
    <row r="4977" spans="2:19" x14ac:dyDescent="0.25">
      <c r="B4977" s="6" t="s">
        <v>46</v>
      </c>
      <c r="R4977"/>
      <c r="S4977"/>
    </row>
    <row r="4978" spans="2:19" x14ac:dyDescent="0.25">
      <c r="B4978" s="6" t="s">
        <v>46</v>
      </c>
      <c r="R4978"/>
      <c r="S4978"/>
    </row>
    <row r="4979" spans="2:19" x14ac:dyDescent="0.25">
      <c r="B4979" s="6" t="s">
        <v>46</v>
      </c>
      <c r="R4979"/>
      <c r="S4979"/>
    </row>
    <row r="4980" spans="2:19" x14ac:dyDescent="0.25">
      <c r="B4980" s="6" t="s">
        <v>46</v>
      </c>
      <c r="R4980"/>
      <c r="S4980"/>
    </row>
    <row r="4981" spans="2:19" x14ac:dyDescent="0.25">
      <c r="B4981" s="6" t="s">
        <v>46</v>
      </c>
      <c r="R4981"/>
      <c r="S4981"/>
    </row>
    <row r="4982" spans="2:19" x14ac:dyDescent="0.25">
      <c r="B4982" s="6" t="s">
        <v>46</v>
      </c>
      <c r="R4982"/>
      <c r="S4982"/>
    </row>
    <row r="4983" spans="2:19" x14ac:dyDescent="0.25">
      <c r="B4983" s="6" t="s">
        <v>46</v>
      </c>
      <c r="R4983"/>
      <c r="S4983"/>
    </row>
    <row r="4984" spans="2:19" x14ac:dyDescent="0.25">
      <c r="B4984" s="6" t="s">
        <v>46</v>
      </c>
      <c r="R4984"/>
      <c r="S4984"/>
    </row>
    <row r="4985" spans="2:19" x14ac:dyDescent="0.25">
      <c r="B4985" s="6" t="s">
        <v>46</v>
      </c>
      <c r="R4985"/>
      <c r="S4985"/>
    </row>
    <row r="4986" spans="2:19" x14ac:dyDescent="0.25">
      <c r="B4986" s="6" t="s">
        <v>46</v>
      </c>
      <c r="R4986"/>
      <c r="S4986"/>
    </row>
    <row r="4987" spans="2:19" x14ac:dyDescent="0.25">
      <c r="B4987" s="6" t="s">
        <v>46</v>
      </c>
      <c r="R4987"/>
      <c r="S4987"/>
    </row>
    <row r="4988" spans="2:19" x14ac:dyDescent="0.25">
      <c r="B4988" s="6" t="s">
        <v>46</v>
      </c>
      <c r="R4988"/>
      <c r="S4988"/>
    </row>
    <row r="4989" spans="2:19" x14ac:dyDescent="0.25">
      <c r="B4989" s="6" t="s">
        <v>46</v>
      </c>
      <c r="R4989"/>
      <c r="S4989"/>
    </row>
    <row r="4990" spans="2:19" x14ac:dyDescent="0.25">
      <c r="B4990" s="6" t="s">
        <v>46</v>
      </c>
      <c r="R4990"/>
      <c r="S4990"/>
    </row>
    <row r="4991" spans="2:19" x14ac:dyDescent="0.25">
      <c r="B4991" s="6" t="s">
        <v>46</v>
      </c>
      <c r="R4991"/>
      <c r="S4991"/>
    </row>
    <row r="4992" spans="2:19" x14ac:dyDescent="0.25">
      <c r="B4992" s="6" t="s">
        <v>46</v>
      </c>
      <c r="R4992"/>
      <c r="S4992"/>
    </row>
    <row r="4993" spans="2:19" x14ac:dyDescent="0.25">
      <c r="B4993" s="6" t="s">
        <v>46</v>
      </c>
      <c r="R4993"/>
      <c r="S4993"/>
    </row>
    <row r="4994" spans="2:19" x14ac:dyDescent="0.25">
      <c r="B4994" s="6" t="s">
        <v>46</v>
      </c>
      <c r="R4994"/>
      <c r="S4994"/>
    </row>
    <row r="4995" spans="2:19" x14ac:dyDescent="0.25">
      <c r="B4995" s="6" t="s">
        <v>46</v>
      </c>
      <c r="R4995"/>
      <c r="S4995"/>
    </row>
    <row r="4996" spans="2:19" x14ac:dyDescent="0.25">
      <c r="B4996" s="6" t="s">
        <v>46</v>
      </c>
      <c r="R4996"/>
      <c r="S4996"/>
    </row>
    <row r="4997" spans="2:19" x14ac:dyDescent="0.25">
      <c r="B4997" s="6" t="s">
        <v>46</v>
      </c>
      <c r="R4997"/>
      <c r="S4997"/>
    </row>
    <row r="4998" spans="2:19" x14ac:dyDescent="0.25">
      <c r="B4998" s="6" t="s">
        <v>46</v>
      </c>
      <c r="R4998"/>
      <c r="S4998"/>
    </row>
    <row r="4999" spans="2:19" x14ac:dyDescent="0.25">
      <c r="B4999" s="6" t="s">
        <v>46</v>
      </c>
      <c r="R4999"/>
      <c r="S4999"/>
    </row>
    <row r="5000" spans="2:19" x14ac:dyDescent="0.25">
      <c r="B5000" s="6" t="s">
        <v>46</v>
      </c>
      <c r="R5000"/>
      <c r="S5000"/>
    </row>
    <row r="5001" spans="2:19" x14ac:dyDescent="0.25">
      <c r="B5001" s="6" t="s">
        <v>46</v>
      </c>
      <c r="R5001"/>
      <c r="S5001"/>
    </row>
    <row r="5002" spans="2:19" x14ac:dyDescent="0.25">
      <c r="B5002" s="6" t="s">
        <v>46</v>
      </c>
      <c r="R5002"/>
      <c r="S5002"/>
    </row>
    <row r="5003" spans="2:19" x14ac:dyDescent="0.25">
      <c r="B5003" s="6" t="s">
        <v>46</v>
      </c>
      <c r="R5003"/>
      <c r="S5003"/>
    </row>
    <row r="5004" spans="2:19" x14ac:dyDescent="0.25">
      <c r="B5004" s="6" t="s">
        <v>46</v>
      </c>
      <c r="R5004"/>
      <c r="S5004"/>
    </row>
    <row r="5005" spans="2:19" x14ac:dyDescent="0.25">
      <c r="B5005" s="6" t="s">
        <v>46</v>
      </c>
      <c r="R5005"/>
      <c r="S5005"/>
    </row>
    <row r="5006" spans="2:19" x14ac:dyDescent="0.25">
      <c r="B5006" s="6" t="s">
        <v>46</v>
      </c>
      <c r="R5006"/>
      <c r="S5006"/>
    </row>
    <row r="5007" spans="2:19" x14ac:dyDescent="0.25">
      <c r="B5007" s="6" t="s">
        <v>46</v>
      </c>
      <c r="R5007"/>
      <c r="S5007"/>
    </row>
    <row r="5008" spans="2:19" x14ac:dyDescent="0.25">
      <c r="B5008" s="6" t="s">
        <v>46</v>
      </c>
      <c r="R5008"/>
      <c r="S5008"/>
    </row>
    <row r="5009" spans="2:19" x14ac:dyDescent="0.25">
      <c r="B5009" s="6" t="s">
        <v>46</v>
      </c>
      <c r="R5009"/>
      <c r="S5009"/>
    </row>
    <row r="5010" spans="2:19" x14ac:dyDescent="0.25">
      <c r="B5010" s="6" t="s">
        <v>46</v>
      </c>
      <c r="R5010"/>
      <c r="S5010"/>
    </row>
    <row r="5011" spans="2:19" x14ac:dyDescent="0.25">
      <c r="B5011" s="6" t="s">
        <v>46</v>
      </c>
      <c r="R5011"/>
      <c r="S5011"/>
    </row>
    <row r="5012" spans="2:19" x14ac:dyDescent="0.25">
      <c r="B5012" s="6" t="s">
        <v>46</v>
      </c>
      <c r="R5012"/>
      <c r="S5012"/>
    </row>
    <row r="5013" spans="2:19" x14ac:dyDescent="0.25">
      <c r="B5013" s="6" t="s">
        <v>46</v>
      </c>
      <c r="R5013"/>
      <c r="S5013"/>
    </row>
    <row r="5014" spans="2:19" x14ac:dyDescent="0.25">
      <c r="B5014" s="6" t="s">
        <v>46</v>
      </c>
      <c r="R5014"/>
      <c r="S5014"/>
    </row>
    <row r="5015" spans="2:19" x14ac:dyDescent="0.25">
      <c r="B5015" s="6" t="s">
        <v>46</v>
      </c>
      <c r="R5015"/>
      <c r="S5015"/>
    </row>
    <row r="5016" spans="2:19" x14ac:dyDescent="0.25">
      <c r="B5016" s="6" t="s">
        <v>46</v>
      </c>
      <c r="R5016"/>
      <c r="S5016"/>
    </row>
    <row r="5017" spans="2:19" x14ac:dyDescent="0.25">
      <c r="B5017" s="6" t="s">
        <v>46</v>
      </c>
      <c r="R5017"/>
      <c r="S5017"/>
    </row>
    <row r="5018" spans="2:19" x14ac:dyDescent="0.25">
      <c r="B5018" s="6" t="s">
        <v>46</v>
      </c>
      <c r="R5018"/>
      <c r="S5018"/>
    </row>
    <row r="5019" spans="2:19" x14ac:dyDescent="0.25">
      <c r="B5019" s="6" t="s">
        <v>46</v>
      </c>
      <c r="R5019"/>
      <c r="S5019"/>
    </row>
    <row r="5020" spans="2:19" x14ac:dyDescent="0.25">
      <c r="B5020" s="6" t="s">
        <v>46</v>
      </c>
      <c r="R5020"/>
      <c r="S5020"/>
    </row>
    <row r="5021" spans="2:19" x14ac:dyDescent="0.25">
      <c r="B5021" s="6" t="s">
        <v>46</v>
      </c>
      <c r="R5021"/>
      <c r="S5021"/>
    </row>
    <row r="5022" spans="2:19" x14ac:dyDescent="0.25">
      <c r="B5022" s="6" t="s">
        <v>46</v>
      </c>
      <c r="R5022"/>
      <c r="S5022"/>
    </row>
    <row r="5023" spans="2:19" x14ac:dyDescent="0.25">
      <c r="B5023" s="6" t="s">
        <v>46</v>
      </c>
      <c r="R5023"/>
      <c r="S5023"/>
    </row>
    <row r="5024" spans="2:19" x14ac:dyDescent="0.25">
      <c r="B5024" s="6" t="s">
        <v>46</v>
      </c>
      <c r="R5024"/>
      <c r="S5024"/>
    </row>
    <row r="5025" spans="2:19" x14ac:dyDescent="0.25">
      <c r="B5025" s="6" t="s">
        <v>46</v>
      </c>
      <c r="R5025"/>
      <c r="S5025"/>
    </row>
    <row r="5026" spans="2:19" x14ac:dyDescent="0.25">
      <c r="B5026" s="6" t="s">
        <v>46</v>
      </c>
      <c r="R5026"/>
      <c r="S5026"/>
    </row>
    <row r="5027" spans="2:19" x14ac:dyDescent="0.25">
      <c r="B5027" s="6" t="s">
        <v>46</v>
      </c>
      <c r="R5027"/>
      <c r="S5027"/>
    </row>
    <row r="5028" spans="2:19" x14ac:dyDescent="0.25">
      <c r="B5028" s="6" t="s">
        <v>46</v>
      </c>
      <c r="R5028"/>
      <c r="S5028"/>
    </row>
    <row r="5029" spans="2:19" x14ac:dyDescent="0.25">
      <c r="B5029" s="6" t="s">
        <v>46</v>
      </c>
      <c r="R5029"/>
      <c r="S5029"/>
    </row>
    <row r="5030" spans="2:19" x14ac:dyDescent="0.25">
      <c r="B5030" s="6" t="s">
        <v>46</v>
      </c>
      <c r="R5030"/>
      <c r="S5030"/>
    </row>
    <row r="5031" spans="2:19" x14ac:dyDescent="0.25">
      <c r="B5031" s="6" t="s">
        <v>46</v>
      </c>
      <c r="R5031"/>
      <c r="S5031"/>
    </row>
    <row r="5032" spans="2:19" x14ac:dyDescent="0.25">
      <c r="B5032" s="6" t="s">
        <v>46</v>
      </c>
      <c r="R5032"/>
      <c r="S5032"/>
    </row>
    <row r="5033" spans="2:19" x14ac:dyDescent="0.25">
      <c r="B5033" s="6" t="s">
        <v>46</v>
      </c>
      <c r="R5033"/>
      <c r="S5033"/>
    </row>
    <row r="5034" spans="2:19" x14ac:dyDescent="0.25">
      <c r="B5034" s="6" t="s">
        <v>46</v>
      </c>
      <c r="R5034"/>
      <c r="S5034"/>
    </row>
    <row r="5035" spans="2:19" x14ac:dyDescent="0.25">
      <c r="B5035" s="6" t="s">
        <v>46</v>
      </c>
      <c r="R5035"/>
      <c r="S5035"/>
    </row>
    <row r="5036" spans="2:19" x14ac:dyDescent="0.25">
      <c r="B5036" s="6" t="s">
        <v>46</v>
      </c>
      <c r="R5036"/>
      <c r="S5036"/>
    </row>
    <row r="5037" spans="2:19" x14ac:dyDescent="0.25">
      <c r="B5037" s="6" t="s">
        <v>46</v>
      </c>
      <c r="R5037"/>
      <c r="S5037"/>
    </row>
    <row r="5038" spans="2:19" x14ac:dyDescent="0.25">
      <c r="B5038" s="6" t="s">
        <v>46</v>
      </c>
      <c r="R5038"/>
      <c r="S5038"/>
    </row>
    <row r="5039" spans="2:19" x14ac:dyDescent="0.25">
      <c r="B5039" s="6" t="s">
        <v>46</v>
      </c>
      <c r="R5039"/>
      <c r="S5039"/>
    </row>
    <row r="5040" spans="2:19" x14ac:dyDescent="0.25">
      <c r="B5040" s="6" t="s">
        <v>46</v>
      </c>
      <c r="R5040"/>
      <c r="S5040"/>
    </row>
    <row r="5041" spans="2:19" x14ac:dyDescent="0.25">
      <c r="B5041" s="6" t="s">
        <v>46</v>
      </c>
      <c r="R5041"/>
      <c r="S5041"/>
    </row>
    <row r="5042" spans="2:19" x14ac:dyDescent="0.25">
      <c r="B5042" s="6" t="s">
        <v>46</v>
      </c>
      <c r="R5042"/>
      <c r="S5042"/>
    </row>
    <row r="5043" spans="2:19" x14ac:dyDescent="0.25">
      <c r="B5043" s="6" t="s">
        <v>46</v>
      </c>
      <c r="R5043"/>
      <c r="S5043"/>
    </row>
    <row r="5044" spans="2:19" x14ac:dyDescent="0.25">
      <c r="B5044" s="6" t="s">
        <v>46</v>
      </c>
      <c r="R5044"/>
      <c r="S5044"/>
    </row>
    <row r="5045" spans="2:19" x14ac:dyDescent="0.25">
      <c r="B5045" s="6" t="s">
        <v>46</v>
      </c>
      <c r="R5045"/>
      <c r="S5045"/>
    </row>
    <row r="5046" spans="2:19" x14ac:dyDescent="0.25">
      <c r="B5046" s="6" t="s">
        <v>46</v>
      </c>
      <c r="R5046"/>
      <c r="S5046"/>
    </row>
    <row r="5047" spans="2:19" x14ac:dyDescent="0.25">
      <c r="B5047" s="6" t="s">
        <v>46</v>
      </c>
      <c r="R5047"/>
      <c r="S5047"/>
    </row>
    <row r="5048" spans="2:19" x14ac:dyDescent="0.25">
      <c r="B5048" s="6" t="s">
        <v>46</v>
      </c>
      <c r="R5048"/>
      <c r="S5048"/>
    </row>
    <row r="5049" spans="2:19" x14ac:dyDescent="0.25">
      <c r="B5049" s="6" t="s">
        <v>46</v>
      </c>
      <c r="R5049"/>
      <c r="S5049"/>
    </row>
    <row r="5050" spans="2:19" x14ac:dyDescent="0.25">
      <c r="B5050" s="6" t="s">
        <v>46</v>
      </c>
      <c r="R5050"/>
      <c r="S5050"/>
    </row>
    <row r="5051" spans="2:19" x14ac:dyDescent="0.25">
      <c r="B5051" s="6" t="s">
        <v>46</v>
      </c>
      <c r="R5051"/>
      <c r="S5051"/>
    </row>
    <row r="5052" spans="2:19" x14ac:dyDescent="0.25">
      <c r="B5052" s="6" t="s">
        <v>46</v>
      </c>
      <c r="R5052"/>
      <c r="S5052"/>
    </row>
    <row r="5053" spans="2:19" x14ac:dyDescent="0.25">
      <c r="B5053" s="6" t="s">
        <v>46</v>
      </c>
      <c r="R5053"/>
      <c r="S5053"/>
    </row>
    <row r="5054" spans="2:19" x14ac:dyDescent="0.25">
      <c r="B5054" s="6" t="s">
        <v>46</v>
      </c>
      <c r="R5054"/>
      <c r="S5054"/>
    </row>
    <row r="5055" spans="2:19" x14ac:dyDescent="0.25">
      <c r="B5055" s="6" t="s">
        <v>46</v>
      </c>
      <c r="R5055"/>
      <c r="S5055"/>
    </row>
    <row r="5056" spans="2:19" x14ac:dyDescent="0.25">
      <c r="B5056" s="6" t="s">
        <v>46</v>
      </c>
      <c r="R5056"/>
      <c r="S5056"/>
    </row>
    <row r="5057" spans="2:19" x14ac:dyDescent="0.25">
      <c r="B5057" s="6" t="s">
        <v>46</v>
      </c>
      <c r="R5057"/>
      <c r="S5057"/>
    </row>
    <row r="5058" spans="2:19" x14ac:dyDescent="0.25">
      <c r="B5058" s="6" t="s">
        <v>46</v>
      </c>
      <c r="R5058"/>
      <c r="S5058"/>
    </row>
    <row r="5059" spans="2:19" x14ac:dyDescent="0.25">
      <c r="B5059" s="6" t="s">
        <v>46</v>
      </c>
      <c r="R5059"/>
      <c r="S5059"/>
    </row>
    <row r="5060" spans="2:19" x14ac:dyDescent="0.25">
      <c r="B5060" s="6" t="s">
        <v>46</v>
      </c>
      <c r="R5060"/>
      <c r="S5060"/>
    </row>
    <row r="5061" spans="2:19" x14ac:dyDescent="0.25">
      <c r="B5061" s="6" t="s">
        <v>46</v>
      </c>
      <c r="R5061"/>
      <c r="S5061"/>
    </row>
    <row r="5062" spans="2:19" x14ac:dyDescent="0.25">
      <c r="B5062" s="6" t="s">
        <v>46</v>
      </c>
      <c r="R5062"/>
      <c r="S5062"/>
    </row>
    <row r="5063" spans="2:19" x14ac:dyDescent="0.25">
      <c r="B5063" s="6" t="s">
        <v>46</v>
      </c>
      <c r="R5063"/>
      <c r="S5063"/>
    </row>
    <row r="5064" spans="2:19" x14ac:dyDescent="0.25">
      <c r="B5064" s="6" t="s">
        <v>46</v>
      </c>
      <c r="R5064"/>
      <c r="S5064"/>
    </row>
    <row r="5065" spans="2:19" x14ac:dyDescent="0.25">
      <c r="B5065" s="6" t="s">
        <v>46</v>
      </c>
      <c r="R5065"/>
      <c r="S5065"/>
    </row>
    <row r="5066" spans="2:19" x14ac:dyDescent="0.25">
      <c r="B5066" s="6" t="s">
        <v>46</v>
      </c>
      <c r="R5066"/>
      <c r="S5066"/>
    </row>
    <row r="5067" spans="2:19" x14ac:dyDescent="0.25">
      <c r="B5067" s="6" t="s">
        <v>46</v>
      </c>
      <c r="R5067"/>
      <c r="S5067"/>
    </row>
    <row r="5068" spans="2:19" x14ac:dyDescent="0.25">
      <c r="B5068" s="6" t="s">
        <v>46</v>
      </c>
      <c r="R5068"/>
      <c r="S5068"/>
    </row>
    <row r="5069" spans="2:19" x14ac:dyDescent="0.25">
      <c r="B5069" s="6" t="s">
        <v>46</v>
      </c>
      <c r="R5069"/>
      <c r="S5069"/>
    </row>
    <row r="5070" spans="2:19" x14ac:dyDescent="0.25">
      <c r="B5070" s="6" t="s">
        <v>46</v>
      </c>
      <c r="R5070"/>
      <c r="S5070"/>
    </row>
    <row r="5071" spans="2:19" x14ac:dyDescent="0.25">
      <c r="B5071" s="6" t="s">
        <v>46</v>
      </c>
      <c r="R5071"/>
      <c r="S5071"/>
    </row>
    <row r="5072" spans="2:19" x14ac:dyDescent="0.25">
      <c r="B5072" s="6" t="s">
        <v>46</v>
      </c>
      <c r="R5072"/>
      <c r="S5072"/>
    </row>
    <row r="5073" spans="2:19" x14ac:dyDescent="0.25">
      <c r="B5073" s="6" t="s">
        <v>46</v>
      </c>
      <c r="R5073"/>
      <c r="S5073"/>
    </row>
    <row r="5074" spans="2:19" x14ac:dyDescent="0.25">
      <c r="B5074" s="6" t="s">
        <v>46</v>
      </c>
      <c r="R5074"/>
      <c r="S5074"/>
    </row>
    <row r="5075" spans="2:19" x14ac:dyDescent="0.25">
      <c r="B5075" s="6" t="s">
        <v>46</v>
      </c>
      <c r="R5075"/>
      <c r="S5075"/>
    </row>
    <row r="5076" spans="2:19" x14ac:dyDescent="0.25">
      <c r="B5076" s="6" t="s">
        <v>46</v>
      </c>
      <c r="R5076"/>
      <c r="S5076"/>
    </row>
    <row r="5077" spans="2:19" x14ac:dyDescent="0.25">
      <c r="B5077" s="6" t="s">
        <v>46</v>
      </c>
      <c r="R5077"/>
      <c r="S5077"/>
    </row>
    <row r="5078" spans="2:19" x14ac:dyDescent="0.25">
      <c r="B5078" s="6" t="s">
        <v>46</v>
      </c>
      <c r="R5078"/>
      <c r="S5078"/>
    </row>
    <row r="5079" spans="2:19" x14ac:dyDescent="0.25">
      <c r="B5079" s="6" t="s">
        <v>46</v>
      </c>
      <c r="R5079"/>
      <c r="S5079"/>
    </row>
    <row r="5080" spans="2:19" x14ac:dyDescent="0.25">
      <c r="B5080" s="6" t="s">
        <v>46</v>
      </c>
      <c r="R5080"/>
      <c r="S5080"/>
    </row>
    <row r="5081" spans="2:19" x14ac:dyDescent="0.25">
      <c r="B5081" s="6" t="s">
        <v>46</v>
      </c>
      <c r="R5081"/>
      <c r="S5081"/>
    </row>
    <row r="5082" spans="2:19" x14ac:dyDescent="0.25">
      <c r="B5082" s="6" t="s">
        <v>46</v>
      </c>
      <c r="R5082"/>
      <c r="S5082"/>
    </row>
    <row r="5083" spans="2:19" x14ac:dyDescent="0.25">
      <c r="B5083" s="6" t="s">
        <v>46</v>
      </c>
      <c r="R5083"/>
      <c r="S5083"/>
    </row>
    <row r="5084" spans="2:19" x14ac:dyDescent="0.25">
      <c r="B5084" s="6" t="s">
        <v>46</v>
      </c>
      <c r="R5084"/>
      <c r="S5084"/>
    </row>
    <row r="5085" spans="2:19" x14ac:dyDescent="0.25">
      <c r="B5085" s="6" t="s">
        <v>46</v>
      </c>
      <c r="R5085"/>
      <c r="S5085"/>
    </row>
    <row r="5086" spans="2:19" x14ac:dyDescent="0.25">
      <c r="B5086" s="6" t="s">
        <v>46</v>
      </c>
      <c r="R5086"/>
      <c r="S5086"/>
    </row>
    <row r="5087" spans="2:19" x14ac:dyDescent="0.25">
      <c r="B5087" s="6" t="s">
        <v>46</v>
      </c>
      <c r="R5087"/>
      <c r="S5087"/>
    </row>
    <row r="5088" spans="2:19" x14ac:dyDescent="0.25">
      <c r="B5088" s="6" t="s">
        <v>46</v>
      </c>
      <c r="R5088"/>
      <c r="S5088"/>
    </row>
    <row r="5089" spans="2:19" x14ac:dyDescent="0.25">
      <c r="B5089" s="6" t="s">
        <v>46</v>
      </c>
      <c r="R5089"/>
      <c r="S5089"/>
    </row>
    <row r="5090" spans="2:19" x14ac:dyDescent="0.25">
      <c r="B5090" s="6" t="s">
        <v>46</v>
      </c>
      <c r="R5090"/>
      <c r="S5090"/>
    </row>
    <row r="5091" spans="2:19" x14ac:dyDescent="0.25">
      <c r="B5091" s="6" t="s">
        <v>46</v>
      </c>
      <c r="R5091"/>
      <c r="S5091"/>
    </row>
    <row r="5092" spans="2:19" x14ac:dyDescent="0.25">
      <c r="B5092" s="6" t="s">
        <v>46</v>
      </c>
      <c r="R5092"/>
      <c r="S5092"/>
    </row>
    <row r="5093" spans="2:19" x14ac:dyDescent="0.25">
      <c r="B5093" s="6" t="s">
        <v>46</v>
      </c>
      <c r="R5093"/>
      <c r="S5093"/>
    </row>
    <row r="5094" spans="2:19" x14ac:dyDescent="0.25">
      <c r="B5094" s="6" t="s">
        <v>46</v>
      </c>
      <c r="R5094"/>
      <c r="S5094"/>
    </row>
    <row r="5095" spans="2:19" x14ac:dyDescent="0.25">
      <c r="B5095" s="6" t="s">
        <v>46</v>
      </c>
      <c r="R5095"/>
      <c r="S5095"/>
    </row>
    <row r="5096" spans="2:19" x14ac:dyDescent="0.25">
      <c r="B5096" s="6" t="s">
        <v>46</v>
      </c>
      <c r="R5096"/>
      <c r="S5096"/>
    </row>
    <row r="5097" spans="2:19" x14ac:dyDescent="0.25">
      <c r="B5097" s="6" t="s">
        <v>46</v>
      </c>
      <c r="R5097"/>
      <c r="S5097"/>
    </row>
    <row r="5098" spans="2:19" x14ac:dyDescent="0.25">
      <c r="B5098" s="6" t="s">
        <v>46</v>
      </c>
      <c r="R5098"/>
      <c r="S5098"/>
    </row>
    <row r="5099" spans="2:19" x14ac:dyDescent="0.25">
      <c r="B5099" s="6" t="s">
        <v>46</v>
      </c>
      <c r="R5099"/>
      <c r="S5099"/>
    </row>
    <row r="5100" spans="2:19" x14ac:dyDescent="0.25">
      <c r="B5100" s="6" t="s">
        <v>46</v>
      </c>
      <c r="R5100"/>
      <c r="S5100"/>
    </row>
    <row r="5101" spans="2:19" x14ac:dyDescent="0.25">
      <c r="B5101" s="6" t="s">
        <v>46</v>
      </c>
      <c r="R5101"/>
      <c r="S5101"/>
    </row>
    <row r="5102" spans="2:19" x14ac:dyDescent="0.25">
      <c r="B5102" s="6" t="s">
        <v>46</v>
      </c>
      <c r="R5102"/>
      <c r="S5102"/>
    </row>
    <row r="5103" spans="2:19" x14ac:dyDescent="0.25">
      <c r="B5103" s="6" t="s">
        <v>46</v>
      </c>
      <c r="R5103"/>
      <c r="S5103"/>
    </row>
    <row r="5104" spans="2:19" x14ac:dyDescent="0.25">
      <c r="B5104" s="6" t="s">
        <v>46</v>
      </c>
      <c r="R5104"/>
      <c r="S5104"/>
    </row>
    <row r="5105" spans="2:19" x14ac:dyDescent="0.25">
      <c r="B5105" s="6" t="s">
        <v>46</v>
      </c>
      <c r="R5105"/>
      <c r="S5105"/>
    </row>
    <row r="5106" spans="2:19" x14ac:dyDescent="0.25">
      <c r="B5106" s="6" t="s">
        <v>46</v>
      </c>
      <c r="R5106"/>
      <c r="S5106"/>
    </row>
    <row r="5107" spans="2:19" x14ac:dyDescent="0.25">
      <c r="B5107" s="6" t="s">
        <v>46</v>
      </c>
      <c r="R5107"/>
      <c r="S5107"/>
    </row>
    <row r="5108" spans="2:19" x14ac:dyDescent="0.25">
      <c r="B5108" s="6" t="s">
        <v>46</v>
      </c>
      <c r="R5108"/>
      <c r="S5108"/>
    </row>
    <row r="5109" spans="2:19" x14ac:dyDescent="0.25">
      <c r="B5109" s="6" t="s">
        <v>46</v>
      </c>
      <c r="R5109"/>
      <c r="S5109"/>
    </row>
    <row r="5110" spans="2:19" x14ac:dyDescent="0.25">
      <c r="B5110" s="6" t="s">
        <v>46</v>
      </c>
      <c r="R5110"/>
      <c r="S5110"/>
    </row>
    <row r="5111" spans="2:19" x14ac:dyDescent="0.25">
      <c r="B5111" s="6" t="s">
        <v>46</v>
      </c>
      <c r="R5111"/>
      <c r="S5111"/>
    </row>
    <row r="5112" spans="2:19" x14ac:dyDescent="0.25">
      <c r="B5112" s="6" t="s">
        <v>46</v>
      </c>
      <c r="R5112"/>
      <c r="S5112"/>
    </row>
    <row r="5113" spans="2:19" x14ac:dyDescent="0.25">
      <c r="B5113" s="6" t="s">
        <v>46</v>
      </c>
      <c r="R5113"/>
      <c r="S5113"/>
    </row>
    <row r="5114" spans="2:19" x14ac:dyDescent="0.25">
      <c r="B5114" s="6" t="s">
        <v>46</v>
      </c>
      <c r="R5114"/>
      <c r="S5114"/>
    </row>
    <row r="5115" spans="2:19" x14ac:dyDescent="0.25">
      <c r="B5115" s="6" t="s">
        <v>46</v>
      </c>
      <c r="R5115"/>
      <c r="S5115"/>
    </row>
    <row r="5116" spans="2:19" x14ac:dyDescent="0.25">
      <c r="B5116" s="6" t="s">
        <v>46</v>
      </c>
      <c r="R5116"/>
      <c r="S5116"/>
    </row>
    <row r="5117" spans="2:19" x14ac:dyDescent="0.25">
      <c r="B5117" s="6" t="s">
        <v>46</v>
      </c>
      <c r="R5117"/>
      <c r="S5117"/>
    </row>
    <row r="5118" spans="2:19" x14ac:dyDescent="0.25">
      <c r="B5118" s="6" t="s">
        <v>46</v>
      </c>
      <c r="R5118"/>
      <c r="S5118"/>
    </row>
    <row r="5119" spans="2:19" x14ac:dyDescent="0.25">
      <c r="B5119" s="6" t="s">
        <v>46</v>
      </c>
      <c r="R5119"/>
      <c r="S5119"/>
    </row>
    <row r="5120" spans="2:19" x14ac:dyDescent="0.25">
      <c r="B5120" s="6" t="s">
        <v>46</v>
      </c>
      <c r="R5120"/>
      <c r="S5120"/>
    </row>
    <row r="5121" spans="2:19" x14ac:dyDescent="0.25">
      <c r="B5121" s="6" t="s">
        <v>46</v>
      </c>
      <c r="R5121"/>
      <c r="S5121"/>
    </row>
    <row r="5122" spans="2:19" x14ac:dyDescent="0.25">
      <c r="B5122" s="6" t="s">
        <v>46</v>
      </c>
      <c r="R5122"/>
      <c r="S5122"/>
    </row>
    <row r="5123" spans="2:19" x14ac:dyDescent="0.25">
      <c r="B5123" s="6" t="s">
        <v>46</v>
      </c>
      <c r="R5123"/>
      <c r="S5123"/>
    </row>
    <row r="5124" spans="2:19" x14ac:dyDescent="0.25">
      <c r="B5124" s="6" t="s">
        <v>46</v>
      </c>
      <c r="R5124"/>
      <c r="S5124"/>
    </row>
    <row r="5125" spans="2:19" x14ac:dyDescent="0.25">
      <c r="B5125" s="6" t="s">
        <v>46</v>
      </c>
      <c r="R5125"/>
      <c r="S5125"/>
    </row>
    <row r="5126" spans="2:19" x14ac:dyDescent="0.25">
      <c r="B5126" s="6" t="s">
        <v>46</v>
      </c>
      <c r="R5126"/>
      <c r="S5126"/>
    </row>
    <row r="5127" spans="2:19" x14ac:dyDescent="0.25">
      <c r="B5127" s="6" t="s">
        <v>46</v>
      </c>
      <c r="R5127"/>
      <c r="S5127"/>
    </row>
    <row r="5128" spans="2:19" x14ac:dyDescent="0.25">
      <c r="B5128" s="6" t="s">
        <v>46</v>
      </c>
      <c r="R5128"/>
      <c r="S5128"/>
    </row>
    <row r="5129" spans="2:19" x14ac:dyDescent="0.25">
      <c r="B5129" s="6" t="s">
        <v>46</v>
      </c>
      <c r="R5129"/>
      <c r="S5129"/>
    </row>
    <row r="5130" spans="2:19" x14ac:dyDescent="0.25">
      <c r="B5130" s="6" t="s">
        <v>46</v>
      </c>
      <c r="R5130"/>
      <c r="S5130"/>
    </row>
    <row r="5131" spans="2:19" x14ac:dyDescent="0.25">
      <c r="B5131" s="6" t="s">
        <v>46</v>
      </c>
      <c r="R5131"/>
      <c r="S5131"/>
    </row>
    <row r="5132" spans="2:19" x14ac:dyDescent="0.25">
      <c r="B5132" s="6" t="s">
        <v>46</v>
      </c>
      <c r="R5132"/>
      <c r="S5132"/>
    </row>
    <row r="5133" spans="2:19" x14ac:dyDescent="0.25">
      <c r="B5133" s="6" t="s">
        <v>46</v>
      </c>
      <c r="R5133"/>
      <c r="S5133"/>
    </row>
    <row r="5134" spans="2:19" x14ac:dyDescent="0.25">
      <c r="B5134" s="6" t="s">
        <v>46</v>
      </c>
      <c r="R5134"/>
      <c r="S5134"/>
    </row>
    <row r="5135" spans="2:19" x14ac:dyDescent="0.25">
      <c r="B5135" s="6" t="s">
        <v>46</v>
      </c>
      <c r="R5135"/>
      <c r="S5135"/>
    </row>
    <row r="5136" spans="2:19" x14ac:dyDescent="0.25">
      <c r="B5136" s="6" t="s">
        <v>46</v>
      </c>
      <c r="R5136"/>
      <c r="S5136"/>
    </row>
    <row r="5137" spans="2:19" x14ac:dyDescent="0.25">
      <c r="B5137" s="6" t="s">
        <v>46</v>
      </c>
      <c r="R5137"/>
      <c r="S5137"/>
    </row>
    <row r="5138" spans="2:19" x14ac:dyDescent="0.25">
      <c r="B5138" s="6" t="s">
        <v>46</v>
      </c>
      <c r="R5138"/>
      <c r="S5138"/>
    </row>
    <row r="5139" spans="2:19" x14ac:dyDescent="0.25">
      <c r="B5139" s="6" t="s">
        <v>46</v>
      </c>
      <c r="R5139"/>
      <c r="S5139"/>
    </row>
    <row r="5140" spans="2:19" x14ac:dyDescent="0.25">
      <c r="B5140" s="6" t="s">
        <v>46</v>
      </c>
      <c r="R5140"/>
      <c r="S5140"/>
    </row>
    <row r="5141" spans="2:19" x14ac:dyDescent="0.25">
      <c r="B5141" s="6" t="s">
        <v>46</v>
      </c>
      <c r="R5141"/>
      <c r="S5141"/>
    </row>
    <row r="5142" spans="2:19" x14ac:dyDescent="0.25">
      <c r="B5142" s="6" t="s">
        <v>46</v>
      </c>
      <c r="R5142"/>
      <c r="S5142"/>
    </row>
    <row r="5143" spans="2:19" x14ac:dyDescent="0.25">
      <c r="B5143" s="6" t="s">
        <v>46</v>
      </c>
      <c r="R5143"/>
      <c r="S5143"/>
    </row>
    <row r="5144" spans="2:19" x14ac:dyDescent="0.25">
      <c r="B5144" s="6" t="s">
        <v>46</v>
      </c>
      <c r="R5144"/>
      <c r="S5144"/>
    </row>
    <row r="5145" spans="2:19" x14ac:dyDescent="0.25">
      <c r="B5145" s="6" t="s">
        <v>46</v>
      </c>
      <c r="R5145"/>
      <c r="S5145"/>
    </row>
    <row r="5146" spans="2:19" x14ac:dyDescent="0.25">
      <c r="B5146" s="6" t="s">
        <v>46</v>
      </c>
      <c r="R5146"/>
      <c r="S5146"/>
    </row>
    <row r="5147" spans="2:19" x14ac:dyDescent="0.25">
      <c r="B5147" s="6" t="s">
        <v>46</v>
      </c>
      <c r="R5147"/>
      <c r="S5147"/>
    </row>
    <row r="5148" spans="2:19" x14ac:dyDescent="0.25">
      <c r="B5148" s="6" t="s">
        <v>46</v>
      </c>
      <c r="R5148"/>
      <c r="S5148"/>
    </row>
    <row r="5149" spans="2:19" x14ac:dyDescent="0.25">
      <c r="B5149" s="6" t="s">
        <v>46</v>
      </c>
      <c r="R5149"/>
      <c r="S5149"/>
    </row>
    <row r="5150" spans="2:19" x14ac:dyDescent="0.25">
      <c r="B5150" s="6" t="s">
        <v>46</v>
      </c>
      <c r="R5150"/>
      <c r="S5150"/>
    </row>
    <row r="5151" spans="2:19" x14ac:dyDescent="0.25">
      <c r="B5151" s="6" t="s">
        <v>46</v>
      </c>
      <c r="R5151"/>
      <c r="S5151"/>
    </row>
    <row r="5152" spans="2:19" x14ac:dyDescent="0.25">
      <c r="B5152" s="6" t="s">
        <v>46</v>
      </c>
      <c r="R5152"/>
      <c r="S5152"/>
    </row>
    <row r="5153" spans="2:19" x14ac:dyDescent="0.25">
      <c r="B5153" s="6" t="s">
        <v>46</v>
      </c>
      <c r="R5153"/>
      <c r="S5153"/>
    </row>
    <row r="5154" spans="2:19" x14ac:dyDescent="0.25">
      <c r="B5154" s="6" t="s">
        <v>46</v>
      </c>
      <c r="R5154"/>
      <c r="S5154"/>
    </row>
    <row r="5155" spans="2:19" x14ac:dyDescent="0.25">
      <c r="B5155" s="6" t="s">
        <v>46</v>
      </c>
      <c r="R5155"/>
      <c r="S5155"/>
    </row>
    <row r="5156" spans="2:19" x14ac:dyDescent="0.25">
      <c r="B5156" s="6" t="s">
        <v>46</v>
      </c>
      <c r="R5156"/>
      <c r="S5156"/>
    </row>
    <row r="5157" spans="2:19" x14ac:dyDescent="0.25">
      <c r="B5157" s="6" t="s">
        <v>46</v>
      </c>
      <c r="R5157"/>
      <c r="S5157"/>
    </row>
    <row r="5158" spans="2:19" x14ac:dyDescent="0.25">
      <c r="B5158" s="6" t="s">
        <v>46</v>
      </c>
      <c r="R5158"/>
      <c r="S5158"/>
    </row>
    <row r="5159" spans="2:19" x14ac:dyDescent="0.25">
      <c r="B5159" s="6" t="s">
        <v>46</v>
      </c>
      <c r="R5159"/>
      <c r="S5159"/>
    </row>
    <row r="5160" spans="2:19" x14ac:dyDescent="0.25">
      <c r="B5160" s="6" t="s">
        <v>46</v>
      </c>
      <c r="R5160"/>
      <c r="S5160"/>
    </row>
    <row r="5161" spans="2:19" x14ac:dyDescent="0.25">
      <c r="B5161" s="6" t="s">
        <v>46</v>
      </c>
      <c r="R5161"/>
      <c r="S5161"/>
    </row>
    <row r="5162" spans="2:19" x14ac:dyDescent="0.25">
      <c r="B5162" s="6" t="s">
        <v>46</v>
      </c>
      <c r="R5162"/>
      <c r="S5162"/>
    </row>
    <row r="5163" spans="2:19" x14ac:dyDescent="0.25">
      <c r="B5163" s="6" t="s">
        <v>46</v>
      </c>
      <c r="R5163"/>
      <c r="S5163"/>
    </row>
    <row r="5164" spans="2:19" x14ac:dyDescent="0.25">
      <c r="B5164" s="6" t="s">
        <v>46</v>
      </c>
      <c r="R5164"/>
      <c r="S5164"/>
    </row>
    <row r="5165" spans="2:19" x14ac:dyDescent="0.25">
      <c r="B5165" s="6" t="s">
        <v>46</v>
      </c>
      <c r="R5165"/>
      <c r="S5165"/>
    </row>
    <row r="5166" spans="2:19" x14ac:dyDescent="0.25">
      <c r="B5166" s="6" t="s">
        <v>46</v>
      </c>
      <c r="R5166"/>
      <c r="S5166"/>
    </row>
    <row r="5167" spans="2:19" x14ac:dyDescent="0.25">
      <c r="B5167" s="6" t="s">
        <v>46</v>
      </c>
      <c r="R5167"/>
      <c r="S5167"/>
    </row>
    <row r="5168" spans="2:19" x14ac:dyDescent="0.25">
      <c r="B5168" s="6" t="s">
        <v>46</v>
      </c>
      <c r="R5168"/>
      <c r="S5168"/>
    </row>
    <row r="5169" spans="2:19" x14ac:dyDescent="0.25">
      <c r="B5169" s="6" t="s">
        <v>46</v>
      </c>
      <c r="R5169"/>
      <c r="S5169"/>
    </row>
    <row r="5170" spans="2:19" x14ac:dyDescent="0.25">
      <c r="B5170" s="6" t="s">
        <v>46</v>
      </c>
      <c r="R5170"/>
      <c r="S5170"/>
    </row>
    <row r="5171" spans="2:19" x14ac:dyDescent="0.25">
      <c r="B5171" s="6" t="s">
        <v>46</v>
      </c>
      <c r="R5171"/>
      <c r="S5171"/>
    </row>
    <row r="5172" spans="2:19" x14ac:dyDescent="0.25">
      <c r="B5172" s="6" t="s">
        <v>46</v>
      </c>
      <c r="R5172"/>
      <c r="S5172"/>
    </row>
    <row r="5173" spans="2:19" x14ac:dyDescent="0.25">
      <c r="B5173" s="6" t="s">
        <v>46</v>
      </c>
      <c r="R5173"/>
      <c r="S5173"/>
    </row>
    <row r="5174" spans="2:19" x14ac:dyDescent="0.25">
      <c r="B5174" s="6" t="s">
        <v>46</v>
      </c>
      <c r="R5174"/>
      <c r="S5174"/>
    </row>
    <row r="5175" spans="2:19" x14ac:dyDescent="0.25">
      <c r="B5175" s="6" t="s">
        <v>46</v>
      </c>
      <c r="R5175"/>
      <c r="S5175"/>
    </row>
    <row r="5176" spans="2:19" x14ac:dyDescent="0.25">
      <c r="B5176" s="6" t="s">
        <v>46</v>
      </c>
      <c r="R5176"/>
      <c r="S5176"/>
    </row>
    <row r="5177" spans="2:19" x14ac:dyDescent="0.25">
      <c r="B5177" s="6" t="s">
        <v>46</v>
      </c>
      <c r="R5177"/>
      <c r="S5177"/>
    </row>
    <row r="5178" spans="2:19" x14ac:dyDescent="0.25">
      <c r="B5178" s="6" t="s">
        <v>46</v>
      </c>
      <c r="R5178"/>
      <c r="S5178"/>
    </row>
    <row r="5179" spans="2:19" x14ac:dyDescent="0.25">
      <c r="B5179" s="6" t="s">
        <v>46</v>
      </c>
      <c r="R5179"/>
      <c r="S5179"/>
    </row>
    <row r="5180" spans="2:19" x14ac:dyDescent="0.25">
      <c r="B5180" s="6" t="s">
        <v>46</v>
      </c>
      <c r="R5180"/>
      <c r="S5180"/>
    </row>
    <row r="5181" spans="2:19" x14ac:dyDescent="0.25">
      <c r="B5181" s="6" t="s">
        <v>46</v>
      </c>
      <c r="R5181"/>
      <c r="S5181"/>
    </row>
    <row r="5182" spans="2:19" x14ac:dyDescent="0.25">
      <c r="B5182" s="6" t="s">
        <v>46</v>
      </c>
      <c r="R5182"/>
      <c r="S5182"/>
    </row>
    <row r="5183" spans="2:19" x14ac:dyDescent="0.25">
      <c r="B5183" s="6" t="s">
        <v>46</v>
      </c>
      <c r="R5183"/>
      <c r="S5183"/>
    </row>
    <row r="5184" spans="2:19" x14ac:dyDescent="0.25">
      <c r="B5184" s="6" t="s">
        <v>46</v>
      </c>
      <c r="R5184"/>
      <c r="S5184"/>
    </row>
    <row r="5185" spans="2:19" x14ac:dyDescent="0.25">
      <c r="B5185" s="6" t="s">
        <v>46</v>
      </c>
      <c r="R5185"/>
      <c r="S5185"/>
    </row>
    <row r="5186" spans="2:19" x14ac:dyDescent="0.25">
      <c r="B5186" s="6" t="s">
        <v>46</v>
      </c>
      <c r="R5186"/>
      <c r="S5186"/>
    </row>
    <row r="5187" spans="2:19" x14ac:dyDescent="0.25">
      <c r="B5187" s="6" t="s">
        <v>46</v>
      </c>
      <c r="R5187"/>
      <c r="S5187"/>
    </row>
    <row r="5188" spans="2:19" x14ac:dyDescent="0.25">
      <c r="B5188" s="6" t="s">
        <v>46</v>
      </c>
      <c r="R5188"/>
      <c r="S5188"/>
    </row>
    <row r="5189" spans="2:19" x14ac:dyDescent="0.25">
      <c r="B5189" s="6" t="s">
        <v>46</v>
      </c>
      <c r="R5189"/>
      <c r="S5189"/>
    </row>
    <row r="5190" spans="2:19" x14ac:dyDescent="0.25">
      <c r="B5190" s="6" t="s">
        <v>46</v>
      </c>
      <c r="R5190"/>
      <c r="S5190"/>
    </row>
    <row r="5191" spans="2:19" x14ac:dyDescent="0.25">
      <c r="B5191" s="6" t="s">
        <v>46</v>
      </c>
      <c r="R5191"/>
      <c r="S5191"/>
    </row>
    <row r="5192" spans="2:19" x14ac:dyDescent="0.25">
      <c r="B5192" s="6" t="s">
        <v>46</v>
      </c>
      <c r="R5192"/>
      <c r="S5192"/>
    </row>
    <row r="5193" spans="2:19" x14ac:dyDescent="0.25">
      <c r="B5193" s="6" t="s">
        <v>46</v>
      </c>
      <c r="R5193"/>
      <c r="S5193"/>
    </row>
    <row r="5194" spans="2:19" x14ac:dyDescent="0.25">
      <c r="B5194" s="6" t="s">
        <v>46</v>
      </c>
      <c r="R5194"/>
      <c r="S5194"/>
    </row>
    <row r="5195" spans="2:19" x14ac:dyDescent="0.25">
      <c r="B5195" s="6" t="s">
        <v>46</v>
      </c>
      <c r="R5195"/>
      <c r="S5195"/>
    </row>
    <row r="5196" spans="2:19" x14ac:dyDescent="0.25">
      <c r="B5196" s="6" t="s">
        <v>46</v>
      </c>
      <c r="R5196"/>
      <c r="S5196"/>
    </row>
    <row r="5197" spans="2:19" x14ac:dyDescent="0.25">
      <c r="B5197" s="6" t="s">
        <v>46</v>
      </c>
      <c r="R5197"/>
      <c r="S5197"/>
    </row>
    <row r="5198" spans="2:19" x14ac:dyDescent="0.25">
      <c r="B5198" s="6" t="s">
        <v>46</v>
      </c>
      <c r="R5198"/>
      <c r="S5198"/>
    </row>
    <row r="5199" spans="2:19" x14ac:dyDescent="0.25">
      <c r="B5199" s="6" t="s">
        <v>46</v>
      </c>
      <c r="R5199"/>
      <c r="S5199"/>
    </row>
    <row r="5200" spans="2:19" x14ac:dyDescent="0.25">
      <c r="B5200" s="6" t="s">
        <v>46</v>
      </c>
      <c r="R5200"/>
      <c r="S5200"/>
    </row>
    <row r="5201" spans="2:19" x14ac:dyDescent="0.25">
      <c r="B5201" s="6" t="s">
        <v>46</v>
      </c>
      <c r="R5201"/>
      <c r="S5201"/>
    </row>
    <row r="5202" spans="2:19" x14ac:dyDescent="0.25">
      <c r="B5202" s="6" t="s">
        <v>46</v>
      </c>
      <c r="R5202"/>
      <c r="S5202"/>
    </row>
    <row r="5203" spans="2:19" x14ac:dyDescent="0.25">
      <c r="B5203" s="6" t="s">
        <v>46</v>
      </c>
      <c r="R5203"/>
      <c r="S5203"/>
    </row>
    <row r="5204" spans="2:19" x14ac:dyDescent="0.25">
      <c r="B5204" s="6" t="s">
        <v>46</v>
      </c>
      <c r="R5204"/>
      <c r="S5204"/>
    </row>
    <row r="5205" spans="2:19" x14ac:dyDescent="0.25">
      <c r="B5205" s="6" t="s">
        <v>46</v>
      </c>
      <c r="R5205"/>
      <c r="S5205"/>
    </row>
    <row r="5206" spans="2:19" x14ac:dyDescent="0.25">
      <c r="B5206" s="6" t="s">
        <v>46</v>
      </c>
      <c r="R5206"/>
      <c r="S5206"/>
    </row>
    <row r="5207" spans="2:19" x14ac:dyDescent="0.25">
      <c r="B5207" s="6" t="s">
        <v>46</v>
      </c>
      <c r="R5207"/>
      <c r="S5207"/>
    </row>
    <row r="5208" spans="2:19" x14ac:dyDescent="0.25">
      <c r="B5208" s="6" t="s">
        <v>46</v>
      </c>
      <c r="R5208"/>
      <c r="S5208"/>
    </row>
    <row r="5209" spans="2:19" x14ac:dyDescent="0.25">
      <c r="B5209" s="6" t="s">
        <v>46</v>
      </c>
      <c r="R5209"/>
      <c r="S5209"/>
    </row>
    <row r="5210" spans="2:19" x14ac:dyDescent="0.25">
      <c r="B5210" s="6" t="s">
        <v>46</v>
      </c>
      <c r="R5210"/>
      <c r="S5210"/>
    </row>
    <row r="5211" spans="2:19" x14ac:dyDescent="0.25">
      <c r="B5211" s="6" t="s">
        <v>46</v>
      </c>
      <c r="R5211"/>
      <c r="S5211"/>
    </row>
    <row r="5212" spans="2:19" x14ac:dyDescent="0.25">
      <c r="B5212" s="6" t="s">
        <v>46</v>
      </c>
      <c r="R5212"/>
      <c r="S5212"/>
    </row>
    <row r="5213" spans="2:19" x14ac:dyDescent="0.25">
      <c r="B5213" s="6" t="s">
        <v>46</v>
      </c>
      <c r="R5213"/>
      <c r="S5213"/>
    </row>
    <row r="5214" spans="2:19" x14ac:dyDescent="0.25">
      <c r="B5214" s="6" t="s">
        <v>46</v>
      </c>
      <c r="R5214"/>
      <c r="S5214"/>
    </row>
    <row r="5215" spans="2:19" x14ac:dyDescent="0.25">
      <c r="B5215" s="6" t="s">
        <v>46</v>
      </c>
      <c r="R5215"/>
      <c r="S5215"/>
    </row>
    <row r="5216" spans="2:19" x14ac:dyDescent="0.25">
      <c r="B5216" s="6" t="s">
        <v>46</v>
      </c>
      <c r="R5216"/>
      <c r="S5216"/>
    </row>
    <row r="5217" spans="2:19" x14ac:dyDescent="0.25">
      <c r="B5217" s="6" t="s">
        <v>46</v>
      </c>
      <c r="R5217"/>
      <c r="S5217"/>
    </row>
    <row r="5218" spans="2:19" x14ac:dyDescent="0.25">
      <c r="B5218" s="6" t="s">
        <v>46</v>
      </c>
      <c r="R5218"/>
      <c r="S5218"/>
    </row>
    <row r="5219" spans="2:19" x14ac:dyDescent="0.25">
      <c r="B5219" s="6" t="s">
        <v>46</v>
      </c>
      <c r="R5219"/>
      <c r="S5219"/>
    </row>
    <row r="5220" spans="2:19" x14ac:dyDescent="0.25">
      <c r="B5220" s="6" t="s">
        <v>46</v>
      </c>
      <c r="R5220"/>
      <c r="S5220"/>
    </row>
    <row r="5221" spans="2:19" x14ac:dyDescent="0.25">
      <c r="B5221" s="6" t="s">
        <v>46</v>
      </c>
      <c r="R5221"/>
      <c r="S5221"/>
    </row>
    <row r="5222" spans="2:19" x14ac:dyDescent="0.25">
      <c r="B5222" s="6" t="s">
        <v>46</v>
      </c>
      <c r="R5222"/>
      <c r="S5222"/>
    </row>
    <row r="5223" spans="2:19" x14ac:dyDescent="0.25">
      <c r="B5223" s="6" t="s">
        <v>46</v>
      </c>
      <c r="R5223"/>
      <c r="S5223"/>
    </row>
    <row r="5224" spans="2:19" x14ac:dyDescent="0.25">
      <c r="B5224" s="6" t="s">
        <v>46</v>
      </c>
      <c r="R5224"/>
      <c r="S5224"/>
    </row>
    <row r="5225" spans="2:19" x14ac:dyDescent="0.25">
      <c r="B5225" s="6" t="s">
        <v>46</v>
      </c>
      <c r="R5225"/>
      <c r="S5225"/>
    </row>
    <row r="5226" spans="2:19" x14ac:dyDescent="0.25">
      <c r="B5226" s="6" t="s">
        <v>46</v>
      </c>
      <c r="R5226"/>
      <c r="S5226"/>
    </row>
    <row r="5227" spans="2:19" x14ac:dyDescent="0.25">
      <c r="B5227" s="6" t="s">
        <v>46</v>
      </c>
      <c r="R5227"/>
      <c r="S5227"/>
    </row>
    <row r="5228" spans="2:19" x14ac:dyDescent="0.25">
      <c r="B5228" s="6" t="s">
        <v>46</v>
      </c>
      <c r="R5228"/>
      <c r="S5228"/>
    </row>
    <row r="5229" spans="2:19" x14ac:dyDescent="0.25">
      <c r="B5229" s="6" t="s">
        <v>46</v>
      </c>
      <c r="R5229"/>
      <c r="S5229"/>
    </row>
    <row r="5230" spans="2:19" x14ac:dyDescent="0.25">
      <c r="B5230" s="6" t="s">
        <v>46</v>
      </c>
      <c r="R5230"/>
      <c r="S5230"/>
    </row>
    <row r="5231" spans="2:19" x14ac:dyDescent="0.25">
      <c r="B5231" s="6" t="s">
        <v>46</v>
      </c>
      <c r="R5231"/>
      <c r="S5231"/>
    </row>
    <row r="5232" spans="2:19" x14ac:dyDescent="0.25">
      <c r="B5232" s="6" t="s">
        <v>46</v>
      </c>
      <c r="R5232"/>
      <c r="S5232"/>
    </row>
    <row r="5233" spans="2:19" x14ac:dyDescent="0.25">
      <c r="B5233" s="6" t="s">
        <v>46</v>
      </c>
      <c r="R5233"/>
      <c r="S5233"/>
    </row>
    <row r="5234" spans="2:19" x14ac:dyDescent="0.25">
      <c r="B5234" s="6" t="s">
        <v>46</v>
      </c>
      <c r="R5234"/>
      <c r="S5234"/>
    </row>
    <row r="5235" spans="2:19" x14ac:dyDescent="0.25">
      <c r="B5235" s="6" t="s">
        <v>46</v>
      </c>
      <c r="R5235"/>
      <c r="S5235"/>
    </row>
    <row r="5236" spans="2:19" x14ac:dyDescent="0.25">
      <c r="B5236" s="6" t="s">
        <v>46</v>
      </c>
      <c r="R5236"/>
      <c r="S5236"/>
    </row>
    <row r="5237" spans="2:19" x14ac:dyDescent="0.25">
      <c r="B5237" s="6" t="s">
        <v>46</v>
      </c>
      <c r="R5237"/>
      <c r="S5237"/>
    </row>
    <row r="5238" spans="2:19" x14ac:dyDescent="0.25">
      <c r="B5238" s="6" t="s">
        <v>46</v>
      </c>
      <c r="R5238"/>
      <c r="S5238"/>
    </row>
    <row r="5239" spans="2:19" x14ac:dyDescent="0.25">
      <c r="B5239" s="6" t="s">
        <v>46</v>
      </c>
      <c r="R5239"/>
      <c r="S5239"/>
    </row>
    <row r="5240" spans="2:19" x14ac:dyDescent="0.25">
      <c r="B5240" s="6" t="s">
        <v>46</v>
      </c>
      <c r="R5240"/>
      <c r="S5240"/>
    </row>
    <row r="5241" spans="2:19" x14ac:dyDescent="0.25">
      <c r="B5241" s="6" t="s">
        <v>46</v>
      </c>
      <c r="R5241"/>
      <c r="S5241"/>
    </row>
    <row r="5242" spans="2:19" x14ac:dyDescent="0.25">
      <c r="B5242" s="6" t="s">
        <v>46</v>
      </c>
      <c r="R5242"/>
      <c r="S5242"/>
    </row>
    <row r="5243" spans="2:19" x14ac:dyDescent="0.25">
      <c r="B5243" s="6" t="s">
        <v>46</v>
      </c>
      <c r="R5243"/>
      <c r="S5243"/>
    </row>
    <row r="5244" spans="2:19" x14ac:dyDescent="0.25">
      <c r="B5244" s="6" t="s">
        <v>46</v>
      </c>
      <c r="R5244"/>
      <c r="S5244"/>
    </row>
    <row r="5245" spans="2:19" x14ac:dyDescent="0.25">
      <c r="B5245" s="6" t="s">
        <v>46</v>
      </c>
      <c r="R5245"/>
      <c r="S5245"/>
    </row>
    <row r="5246" spans="2:19" x14ac:dyDescent="0.25">
      <c r="B5246" s="6" t="s">
        <v>46</v>
      </c>
      <c r="R5246"/>
      <c r="S5246"/>
    </row>
    <row r="5247" spans="2:19" x14ac:dyDescent="0.25">
      <c r="B5247" s="6" t="s">
        <v>46</v>
      </c>
      <c r="R5247"/>
      <c r="S5247"/>
    </row>
    <row r="5248" spans="2:19" x14ac:dyDescent="0.25">
      <c r="B5248" s="6" t="s">
        <v>46</v>
      </c>
      <c r="R5248"/>
      <c r="S5248"/>
    </row>
    <row r="5249" spans="2:19" x14ac:dyDescent="0.25">
      <c r="B5249" s="6" t="s">
        <v>46</v>
      </c>
      <c r="R5249"/>
      <c r="S5249"/>
    </row>
    <row r="5250" spans="2:19" x14ac:dyDescent="0.25">
      <c r="B5250" s="6" t="s">
        <v>46</v>
      </c>
      <c r="R5250"/>
      <c r="S5250"/>
    </row>
    <row r="5251" spans="2:19" x14ac:dyDescent="0.25">
      <c r="B5251" s="6" t="s">
        <v>46</v>
      </c>
      <c r="R5251"/>
      <c r="S5251"/>
    </row>
    <row r="5252" spans="2:19" x14ac:dyDescent="0.25">
      <c r="B5252" s="6" t="s">
        <v>46</v>
      </c>
      <c r="R5252"/>
      <c r="S5252"/>
    </row>
    <row r="5253" spans="2:19" x14ac:dyDescent="0.25">
      <c r="B5253" s="6" t="s">
        <v>46</v>
      </c>
      <c r="R5253"/>
      <c r="S5253"/>
    </row>
    <row r="5254" spans="2:19" x14ac:dyDescent="0.25">
      <c r="B5254" s="6" t="s">
        <v>46</v>
      </c>
      <c r="R5254"/>
      <c r="S5254"/>
    </row>
    <row r="5255" spans="2:19" x14ac:dyDescent="0.25">
      <c r="B5255" s="6" t="s">
        <v>46</v>
      </c>
      <c r="R5255"/>
      <c r="S5255"/>
    </row>
    <row r="5256" spans="2:19" x14ac:dyDescent="0.25">
      <c r="B5256" s="6" t="s">
        <v>46</v>
      </c>
      <c r="R5256"/>
      <c r="S5256"/>
    </row>
    <row r="5257" spans="2:19" x14ac:dyDescent="0.25">
      <c r="B5257" s="6" t="s">
        <v>46</v>
      </c>
      <c r="R5257"/>
      <c r="S5257"/>
    </row>
    <row r="5258" spans="2:19" x14ac:dyDescent="0.25">
      <c r="B5258" s="6" t="s">
        <v>46</v>
      </c>
      <c r="R5258"/>
      <c r="S5258"/>
    </row>
    <row r="5259" spans="2:19" x14ac:dyDescent="0.25">
      <c r="B5259" s="6" t="s">
        <v>46</v>
      </c>
      <c r="R5259"/>
      <c r="S5259"/>
    </row>
    <row r="5260" spans="2:19" x14ac:dyDescent="0.25">
      <c r="B5260" s="6" t="s">
        <v>46</v>
      </c>
      <c r="R5260"/>
      <c r="S5260"/>
    </row>
    <row r="5261" spans="2:19" x14ac:dyDescent="0.25">
      <c r="B5261" s="6" t="s">
        <v>46</v>
      </c>
      <c r="R5261"/>
      <c r="S5261"/>
    </row>
    <row r="5262" spans="2:19" x14ac:dyDescent="0.25">
      <c r="B5262" s="6" t="s">
        <v>46</v>
      </c>
      <c r="R5262"/>
      <c r="S5262"/>
    </row>
    <row r="5263" spans="2:19" x14ac:dyDescent="0.25">
      <c r="B5263" s="6" t="s">
        <v>46</v>
      </c>
      <c r="R5263"/>
      <c r="S5263"/>
    </row>
    <row r="5264" spans="2:19" x14ac:dyDescent="0.25">
      <c r="B5264" s="6" t="s">
        <v>46</v>
      </c>
      <c r="R5264"/>
      <c r="S5264"/>
    </row>
    <row r="5265" spans="2:19" x14ac:dyDescent="0.25">
      <c r="B5265" s="6" t="s">
        <v>46</v>
      </c>
      <c r="R5265"/>
      <c r="S5265"/>
    </row>
    <row r="5266" spans="2:19" x14ac:dyDescent="0.25">
      <c r="B5266" s="6" t="s">
        <v>46</v>
      </c>
      <c r="R5266"/>
      <c r="S5266"/>
    </row>
    <row r="5267" spans="2:19" x14ac:dyDescent="0.25">
      <c r="B5267" s="6" t="s">
        <v>46</v>
      </c>
      <c r="R5267"/>
      <c r="S5267"/>
    </row>
    <row r="5268" spans="2:19" x14ac:dyDescent="0.25">
      <c r="B5268" s="6" t="s">
        <v>46</v>
      </c>
      <c r="R5268"/>
      <c r="S5268"/>
    </row>
    <row r="5269" spans="2:19" x14ac:dyDescent="0.25">
      <c r="B5269" s="6" t="s">
        <v>46</v>
      </c>
      <c r="R5269"/>
      <c r="S5269"/>
    </row>
    <row r="5270" spans="2:19" x14ac:dyDescent="0.25">
      <c r="B5270" s="6" t="s">
        <v>46</v>
      </c>
      <c r="R5270"/>
      <c r="S5270"/>
    </row>
    <row r="5271" spans="2:19" x14ac:dyDescent="0.25">
      <c r="B5271" s="6" t="s">
        <v>46</v>
      </c>
      <c r="R5271"/>
      <c r="S5271"/>
    </row>
    <row r="5272" spans="2:19" x14ac:dyDescent="0.25">
      <c r="B5272" s="6" t="s">
        <v>46</v>
      </c>
      <c r="R5272"/>
      <c r="S5272"/>
    </row>
    <row r="5273" spans="2:19" x14ac:dyDescent="0.25">
      <c r="B5273" s="6" t="s">
        <v>46</v>
      </c>
      <c r="R5273"/>
      <c r="S5273"/>
    </row>
    <row r="5274" spans="2:19" x14ac:dyDescent="0.25">
      <c r="B5274" s="6" t="s">
        <v>46</v>
      </c>
      <c r="R5274"/>
      <c r="S5274"/>
    </row>
    <row r="5275" spans="2:19" x14ac:dyDescent="0.25">
      <c r="B5275" s="6" t="s">
        <v>46</v>
      </c>
      <c r="R5275"/>
      <c r="S5275"/>
    </row>
    <row r="5276" spans="2:19" x14ac:dyDescent="0.25">
      <c r="B5276" s="6" t="s">
        <v>46</v>
      </c>
      <c r="R5276"/>
      <c r="S5276"/>
    </row>
    <row r="5277" spans="2:19" x14ac:dyDescent="0.25">
      <c r="B5277" s="6" t="s">
        <v>46</v>
      </c>
      <c r="R5277"/>
      <c r="S5277"/>
    </row>
    <row r="5278" spans="2:19" x14ac:dyDescent="0.25">
      <c r="B5278" s="6" t="s">
        <v>46</v>
      </c>
      <c r="R5278"/>
      <c r="S5278"/>
    </row>
    <row r="5279" spans="2:19" x14ac:dyDescent="0.25">
      <c r="B5279" s="6" t="s">
        <v>46</v>
      </c>
      <c r="R5279"/>
      <c r="S5279"/>
    </row>
    <row r="5280" spans="2:19" x14ac:dyDescent="0.25">
      <c r="B5280" s="6" t="s">
        <v>46</v>
      </c>
      <c r="R5280"/>
      <c r="S5280"/>
    </row>
    <row r="5281" spans="2:19" x14ac:dyDescent="0.25">
      <c r="B5281" s="6" t="s">
        <v>46</v>
      </c>
      <c r="R5281"/>
      <c r="S5281"/>
    </row>
    <row r="5282" spans="2:19" x14ac:dyDescent="0.25">
      <c r="B5282" s="6" t="s">
        <v>46</v>
      </c>
      <c r="R5282"/>
      <c r="S5282"/>
    </row>
    <row r="5283" spans="2:19" x14ac:dyDescent="0.25">
      <c r="B5283" s="6" t="s">
        <v>46</v>
      </c>
      <c r="R5283"/>
      <c r="S5283"/>
    </row>
    <row r="5284" spans="2:19" x14ac:dyDescent="0.25">
      <c r="B5284" s="6" t="s">
        <v>46</v>
      </c>
      <c r="R5284"/>
      <c r="S5284"/>
    </row>
    <row r="5285" spans="2:19" x14ac:dyDescent="0.25">
      <c r="B5285" s="6" t="s">
        <v>46</v>
      </c>
      <c r="R5285"/>
      <c r="S5285"/>
    </row>
    <row r="5286" spans="2:19" x14ac:dyDescent="0.25">
      <c r="B5286" s="6" t="s">
        <v>46</v>
      </c>
      <c r="R5286"/>
      <c r="S5286"/>
    </row>
    <row r="5287" spans="2:19" x14ac:dyDescent="0.25">
      <c r="B5287" s="6" t="s">
        <v>46</v>
      </c>
      <c r="R5287"/>
      <c r="S5287"/>
    </row>
    <row r="5288" spans="2:19" x14ac:dyDescent="0.25">
      <c r="B5288" s="6" t="s">
        <v>46</v>
      </c>
      <c r="R5288"/>
      <c r="S5288"/>
    </row>
    <row r="5289" spans="2:19" x14ac:dyDescent="0.25">
      <c r="B5289" s="6" t="s">
        <v>46</v>
      </c>
      <c r="R5289"/>
      <c r="S5289"/>
    </row>
    <row r="5290" spans="2:19" x14ac:dyDescent="0.25">
      <c r="B5290" s="6" t="s">
        <v>46</v>
      </c>
      <c r="R5290"/>
      <c r="S5290"/>
    </row>
    <row r="5291" spans="2:19" x14ac:dyDescent="0.25">
      <c r="B5291" s="6" t="s">
        <v>46</v>
      </c>
      <c r="R5291"/>
      <c r="S5291"/>
    </row>
    <row r="5292" spans="2:19" x14ac:dyDescent="0.25">
      <c r="B5292" s="6" t="s">
        <v>46</v>
      </c>
      <c r="R5292"/>
      <c r="S5292"/>
    </row>
    <row r="5293" spans="2:19" x14ac:dyDescent="0.25">
      <c r="B5293" s="6" t="s">
        <v>46</v>
      </c>
      <c r="R5293"/>
      <c r="S5293"/>
    </row>
    <row r="5294" spans="2:19" x14ac:dyDescent="0.25">
      <c r="B5294" s="6" t="s">
        <v>46</v>
      </c>
      <c r="R5294"/>
      <c r="S5294"/>
    </row>
    <row r="5295" spans="2:19" x14ac:dyDescent="0.25">
      <c r="B5295" s="6" t="s">
        <v>46</v>
      </c>
      <c r="R5295"/>
      <c r="S5295"/>
    </row>
    <row r="5296" spans="2:19" x14ac:dyDescent="0.25">
      <c r="B5296" s="6" t="s">
        <v>46</v>
      </c>
      <c r="R5296"/>
      <c r="S5296"/>
    </row>
    <row r="5297" spans="2:19" x14ac:dyDescent="0.25">
      <c r="B5297" s="6" t="s">
        <v>46</v>
      </c>
      <c r="R5297"/>
      <c r="S5297"/>
    </row>
    <row r="5298" spans="2:19" x14ac:dyDescent="0.25">
      <c r="B5298" s="6" t="s">
        <v>46</v>
      </c>
      <c r="R5298"/>
      <c r="S5298"/>
    </row>
    <row r="5299" spans="2:19" x14ac:dyDescent="0.25">
      <c r="B5299" s="6" t="s">
        <v>46</v>
      </c>
      <c r="R5299"/>
      <c r="S5299"/>
    </row>
    <row r="5300" spans="2:19" x14ac:dyDescent="0.25">
      <c r="B5300" s="6" t="s">
        <v>46</v>
      </c>
      <c r="R5300"/>
      <c r="S5300"/>
    </row>
    <row r="5301" spans="2:19" x14ac:dyDescent="0.25">
      <c r="B5301" s="6" t="s">
        <v>46</v>
      </c>
      <c r="R5301"/>
      <c r="S5301"/>
    </row>
    <row r="5302" spans="2:19" x14ac:dyDescent="0.25">
      <c r="B5302" s="6" t="s">
        <v>46</v>
      </c>
      <c r="R5302"/>
      <c r="S5302"/>
    </row>
    <row r="5303" spans="2:19" x14ac:dyDescent="0.25">
      <c r="B5303" s="6" t="s">
        <v>46</v>
      </c>
      <c r="R5303"/>
      <c r="S5303"/>
    </row>
    <row r="5304" spans="2:19" x14ac:dyDescent="0.25">
      <c r="B5304" s="6" t="s">
        <v>46</v>
      </c>
      <c r="R5304"/>
      <c r="S5304"/>
    </row>
    <row r="5305" spans="2:19" x14ac:dyDescent="0.25">
      <c r="B5305" s="6" t="s">
        <v>46</v>
      </c>
      <c r="R5305"/>
      <c r="S5305"/>
    </row>
    <row r="5306" spans="2:19" x14ac:dyDescent="0.25">
      <c r="B5306" s="6" t="s">
        <v>46</v>
      </c>
      <c r="R5306"/>
      <c r="S5306"/>
    </row>
    <row r="5307" spans="2:19" x14ac:dyDescent="0.25">
      <c r="B5307" s="6" t="s">
        <v>46</v>
      </c>
      <c r="R5307"/>
      <c r="S5307"/>
    </row>
    <row r="5308" spans="2:19" x14ac:dyDescent="0.25">
      <c r="B5308" s="6" t="s">
        <v>46</v>
      </c>
      <c r="R5308"/>
      <c r="S5308"/>
    </row>
    <row r="5309" spans="2:19" x14ac:dyDescent="0.25">
      <c r="B5309" s="6" t="s">
        <v>46</v>
      </c>
      <c r="R5309"/>
      <c r="S5309"/>
    </row>
    <row r="5310" spans="2:19" x14ac:dyDescent="0.25">
      <c r="B5310" s="6" t="s">
        <v>46</v>
      </c>
      <c r="R5310"/>
      <c r="S5310"/>
    </row>
    <row r="5311" spans="2:19" x14ac:dyDescent="0.25">
      <c r="B5311" s="6" t="s">
        <v>46</v>
      </c>
      <c r="R5311"/>
      <c r="S5311"/>
    </row>
    <row r="5312" spans="2:19" x14ac:dyDescent="0.25">
      <c r="B5312" s="6" t="s">
        <v>46</v>
      </c>
      <c r="R5312"/>
      <c r="S5312"/>
    </row>
    <row r="5313" spans="2:19" x14ac:dyDescent="0.25">
      <c r="B5313" s="6" t="s">
        <v>46</v>
      </c>
      <c r="R5313"/>
      <c r="S5313"/>
    </row>
    <row r="5314" spans="2:19" x14ac:dyDescent="0.25">
      <c r="B5314" s="6" t="s">
        <v>46</v>
      </c>
      <c r="R5314"/>
      <c r="S5314"/>
    </row>
    <row r="5315" spans="2:19" x14ac:dyDescent="0.25">
      <c r="B5315" s="6" t="s">
        <v>46</v>
      </c>
      <c r="R5315"/>
      <c r="S5315"/>
    </row>
    <row r="5316" spans="2:19" x14ac:dyDescent="0.25">
      <c r="B5316" s="6" t="s">
        <v>46</v>
      </c>
      <c r="R5316"/>
      <c r="S5316"/>
    </row>
    <row r="5317" spans="2:19" x14ac:dyDescent="0.25">
      <c r="B5317" s="6" t="s">
        <v>46</v>
      </c>
      <c r="R5317"/>
      <c r="S5317"/>
    </row>
    <row r="5318" spans="2:19" x14ac:dyDescent="0.25">
      <c r="B5318" s="6" t="s">
        <v>46</v>
      </c>
      <c r="R5318"/>
      <c r="S5318"/>
    </row>
    <row r="5319" spans="2:19" x14ac:dyDescent="0.25">
      <c r="B5319" s="6" t="s">
        <v>46</v>
      </c>
      <c r="R5319"/>
      <c r="S5319"/>
    </row>
    <row r="5320" spans="2:19" x14ac:dyDescent="0.25">
      <c r="B5320" s="6" t="s">
        <v>46</v>
      </c>
      <c r="R5320"/>
      <c r="S5320"/>
    </row>
    <row r="5321" spans="2:19" x14ac:dyDescent="0.25">
      <c r="B5321" s="6" t="s">
        <v>46</v>
      </c>
      <c r="R5321"/>
      <c r="S5321"/>
    </row>
    <row r="5322" spans="2:19" x14ac:dyDescent="0.25">
      <c r="B5322" s="6" t="s">
        <v>46</v>
      </c>
      <c r="R5322"/>
      <c r="S5322"/>
    </row>
    <row r="5323" spans="2:19" x14ac:dyDescent="0.25">
      <c r="B5323" s="6" t="s">
        <v>46</v>
      </c>
      <c r="R5323"/>
      <c r="S5323"/>
    </row>
    <row r="5324" spans="2:19" x14ac:dyDescent="0.25">
      <c r="B5324" s="6" t="s">
        <v>46</v>
      </c>
      <c r="R5324"/>
      <c r="S5324"/>
    </row>
    <row r="5325" spans="2:19" x14ac:dyDescent="0.25">
      <c r="B5325" s="6" t="s">
        <v>46</v>
      </c>
      <c r="R5325"/>
      <c r="S5325"/>
    </row>
    <row r="5326" spans="2:19" x14ac:dyDescent="0.25">
      <c r="B5326" s="6" t="s">
        <v>46</v>
      </c>
      <c r="R5326"/>
      <c r="S5326"/>
    </row>
    <row r="5327" spans="2:19" x14ac:dyDescent="0.25">
      <c r="B5327" s="6" t="s">
        <v>46</v>
      </c>
      <c r="R5327"/>
      <c r="S5327"/>
    </row>
    <row r="5328" spans="2:19" x14ac:dyDescent="0.25">
      <c r="B5328" s="6" t="s">
        <v>46</v>
      </c>
      <c r="R5328"/>
      <c r="S5328"/>
    </row>
    <row r="5329" spans="2:19" x14ac:dyDescent="0.25">
      <c r="B5329" s="6" t="s">
        <v>46</v>
      </c>
      <c r="R5329"/>
      <c r="S5329"/>
    </row>
    <row r="5330" spans="2:19" x14ac:dyDescent="0.25">
      <c r="B5330" s="6" t="s">
        <v>46</v>
      </c>
      <c r="R5330"/>
      <c r="S5330"/>
    </row>
    <row r="5331" spans="2:19" x14ac:dyDescent="0.25">
      <c r="B5331" s="6" t="s">
        <v>46</v>
      </c>
      <c r="R5331"/>
      <c r="S5331"/>
    </row>
    <row r="5332" spans="2:19" x14ac:dyDescent="0.25">
      <c r="B5332" s="6" t="s">
        <v>46</v>
      </c>
      <c r="R5332"/>
      <c r="S5332"/>
    </row>
    <row r="5333" spans="2:19" x14ac:dyDescent="0.25">
      <c r="B5333" s="6" t="s">
        <v>46</v>
      </c>
      <c r="R5333"/>
      <c r="S5333"/>
    </row>
    <row r="5334" spans="2:19" x14ac:dyDescent="0.25">
      <c r="B5334" s="6" t="s">
        <v>46</v>
      </c>
      <c r="R5334"/>
      <c r="S5334"/>
    </row>
    <row r="5335" spans="2:19" x14ac:dyDescent="0.25">
      <c r="B5335" s="6" t="s">
        <v>46</v>
      </c>
      <c r="R5335"/>
      <c r="S5335"/>
    </row>
    <row r="5336" spans="2:19" x14ac:dyDescent="0.25">
      <c r="B5336" s="6" t="s">
        <v>46</v>
      </c>
      <c r="R5336"/>
      <c r="S5336"/>
    </row>
    <row r="5337" spans="2:19" x14ac:dyDescent="0.25">
      <c r="B5337" s="6" t="s">
        <v>46</v>
      </c>
      <c r="R5337"/>
      <c r="S5337"/>
    </row>
    <row r="5338" spans="2:19" x14ac:dyDescent="0.25">
      <c r="B5338" s="6" t="s">
        <v>46</v>
      </c>
      <c r="R5338"/>
      <c r="S5338"/>
    </row>
    <row r="5339" spans="2:19" x14ac:dyDescent="0.25">
      <c r="B5339" s="6" t="s">
        <v>46</v>
      </c>
      <c r="R5339"/>
      <c r="S5339"/>
    </row>
    <row r="5340" spans="2:19" x14ac:dyDescent="0.25">
      <c r="B5340" s="6" t="s">
        <v>46</v>
      </c>
      <c r="R5340"/>
      <c r="S5340"/>
    </row>
    <row r="5341" spans="2:19" x14ac:dyDescent="0.25">
      <c r="B5341" s="6" t="s">
        <v>46</v>
      </c>
      <c r="R5341"/>
      <c r="S5341"/>
    </row>
    <row r="5342" spans="2:19" x14ac:dyDescent="0.25">
      <c r="B5342" s="6" t="s">
        <v>46</v>
      </c>
      <c r="R5342"/>
      <c r="S5342"/>
    </row>
    <row r="5343" spans="2:19" x14ac:dyDescent="0.25">
      <c r="B5343" s="6" t="s">
        <v>46</v>
      </c>
      <c r="R5343"/>
      <c r="S5343"/>
    </row>
    <row r="5344" spans="2:19" x14ac:dyDescent="0.25">
      <c r="B5344" s="6" t="s">
        <v>46</v>
      </c>
      <c r="R5344"/>
      <c r="S5344"/>
    </row>
    <row r="5345" spans="2:19" x14ac:dyDescent="0.25">
      <c r="B5345" s="6" t="s">
        <v>46</v>
      </c>
      <c r="R5345"/>
      <c r="S5345"/>
    </row>
    <row r="5346" spans="2:19" x14ac:dyDescent="0.25">
      <c r="B5346" s="6" t="s">
        <v>46</v>
      </c>
      <c r="R5346"/>
      <c r="S5346"/>
    </row>
    <row r="5347" spans="2:19" x14ac:dyDescent="0.25">
      <c r="B5347" s="6" t="s">
        <v>46</v>
      </c>
      <c r="R5347"/>
      <c r="S5347"/>
    </row>
    <row r="5348" spans="2:19" x14ac:dyDescent="0.25">
      <c r="B5348" s="6" t="s">
        <v>46</v>
      </c>
      <c r="R5348"/>
      <c r="S5348"/>
    </row>
    <row r="5349" spans="2:19" x14ac:dyDescent="0.25">
      <c r="B5349" s="6" t="s">
        <v>46</v>
      </c>
      <c r="R5349"/>
      <c r="S5349"/>
    </row>
    <row r="5350" spans="2:19" x14ac:dyDescent="0.25">
      <c r="B5350" s="6" t="s">
        <v>46</v>
      </c>
      <c r="R5350"/>
      <c r="S5350"/>
    </row>
    <row r="5351" spans="2:19" x14ac:dyDescent="0.25">
      <c r="B5351" s="6" t="s">
        <v>46</v>
      </c>
      <c r="R5351"/>
      <c r="S5351"/>
    </row>
    <row r="5352" spans="2:19" x14ac:dyDescent="0.25">
      <c r="B5352" s="6" t="s">
        <v>46</v>
      </c>
      <c r="R5352"/>
      <c r="S5352"/>
    </row>
    <row r="5353" spans="2:19" x14ac:dyDescent="0.25">
      <c r="B5353" s="6" t="s">
        <v>46</v>
      </c>
      <c r="R5353"/>
      <c r="S5353"/>
    </row>
    <row r="5354" spans="2:19" x14ac:dyDescent="0.25">
      <c r="B5354" s="6" t="s">
        <v>46</v>
      </c>
      <c r="R5354"/>
      <c r="S5354"/>
    </row>
    <row r="5355" spans="2:19" x14ac:dyDescent="0.25">
      <c r="B5355" s="6" t="s">
        <v>46</v>
      </c>
      <c r="R5355"/>
      <c r="S5355"/>
    </row>
    <row r="5356" spans="2:19" x14ac:dyDescent="0.25">
      <c r="B5356" s="6" t="s">
        <v>46</v>
      </c>
      <c r="R5356"/>
      <c r="S5356"/>
    </row>
    <row r="5357" spans="2:19" x14ac:dyDescent="0.25">
      <c r="B5357" s="6" t="s">
        <v>46</v>
      </c>
      <c r="R5357"/>
      <c r="S5357"/>
    </row>
    <row r="5358" spans="2:19" x14ac:dyDescent="0.25">
      <c r="B5358" s="6" t="s">
        <v>46</v>
      </c>
      <c r="R5358"/>
      <c r="S5358"/>
    </row>
    <row r="5359" spans="2:19" x14ac:dyDescent="0.25">
      <c r="B5359" s="6" t="s">
        <v>46</v>
      </c>
      <c r="R5359"/>
      <c r="S5359"/>
    </row>
    <row r="5360" spans="2:19" x14ac:dyDescent="0.25">
      <c r="B5360" s="6" t="s">
        <v>46</v>
      </c>
      <c r="R5360"/>
      <c r="S5360"/>
    </row>
    <row r="5361" spans="2:19" x14ac:dyDescent="0.25">
      <c r="B5361" s="6" t="s">
        <v>46</v>
      </c>
      <c r="R5361"/>
      <c r="S5361"/>
    </row>
    <row r="5362" spans="2:19" x14ac:dyDescent="0.25">
      <c r="B5362" s="6" t="s">
        <v>46</v>
      </c>
      <c r="R5362"/>
      <c r="S5362"/>
    </row>
    <row r="5363" spans="2:19" x14ac:dyDescent="0.25">
      <c r="B5363" s="6" t="s">
        <v>46</v>
      </c>
      <c r="R5363"/>
      <c r="S5363"/>
    </row>
    <row r="5364" spans="2:19" x14ac:dyDescent="0.25">
      <c r="B5364" s="6" t="s">
        <v>46</v>
      </c>
      <c r="R5364"/>
      <c r="S5364"/>
    </row>
    <row r="5365" spans="2:19" x14ac:dyDescent="0.25">
      <c r="B5365" s="6" t="s">
        <v>46</v>
      </c>
      <c r="R5365"/>
      <c r="S5365"/>
    </row>
    <row r="5366" spans="2:19" x14ac:dyDescent="0.25">
      <c r="B5366" s="6" t="s">
        <v>46</v>
      </c>
      <c r="R5366"/>
      <c r="S5366"/>
    </row>
    <row r="5367" spans="2:19" x14ac:dyDescent="0.25">
      <c r="B5367" s="6" t="s">
        <v>46</v>
      </c>
      <c r="R5367"/>
      <c r="S5367"/>
    </row>
    <row r="5368" spans="2:19" x14ac:dyDescent="0.25">
      <c r="B5368" s="6" t="s">
        <v>46</v>
      </c>
      <c r="R5368"/>
      <c r="S5368"/>
    </row>
    <row r="5369" spans="2:19" x14ac:dyDescent="0.25">
      <c r="B5369" s="6" t="s">
        <v>46</v>
      </c>
      <c r="R5369"/>
      <c r="S5369"/>
    </row>
    <row r="5370" spans="2:19" x14ac:dyDescent="0.25">
      <c r="B5370" s="6" t="s">
        <v>46</v>
      </c>
      <c r="R5370"/>
      <c r="S5370"/>
    </row>
    <row r="5371" spans="2:19" x14ac:dyDescent="0.25">
      <c r="B5371" s="6" t="s">
        <v>46</v>
      </c>
      <c r="R5371"/>
      <c r="S5371"/>
    </row>
    <row r="5372" spans="2:19" x14ac:dyDescent="0.25">
      <c r="B5372" s="6" t="s">
        <v>46</v>
      </c>
      <c r="R5372"/>
      <c r="S5372"/>
    </row>
    <row r="5373" spans="2:19" x14ac:dyDescent="0.25">
      <c r="B5373" s="6" t="s">
        <v>46</v>
      </c>
      <c r="R5373"/>
      <c r="S5373"/>
    </row>
    <row r="5374" spans="2:19" x14ac:dyDescent="0.25">
      <c r="B5374" s="6" t="s">
        <v>46</v>
      </c>
      <c r="R5374"/>
      <c r="S5374"/>
    </row>
    <row r="5375" spans="2:19" x14ac:dyDescent="0.25">
      <c r="B5375" s="6" t="s">
        <v>46</v>
      </c>
      <c r="R5375"/>
      <c r="S5375"/>
    </row>
    <row r="5376" spans="2:19" x14ac:dyDescent="0.25">
      <c r="B5376" s="6" t="s">
        <v>46</v>
      </c>
      <c r="R5376"/>
      <c r="S5376"/>
    </row>
    <row r="5377" spans="2:19" x14ac:dyDescent="0.25">
      <c r="B5377" s="6" t="s">
        <v>46</v>
      </c>
      <c r="R5377"/>
      <c r="S5377"/>
    </row>
    <row r="5378" spans="2:19" x14ac:dyDescent="0.25">
      <c r="B5378" s="6" t="s">
        <v>46</v>
      </c>
      <c r="R5378"/>
      <c r="S5378"/>
    </row>
    <row r="5379" spans="2:19" x14ac:dyDescent="0.25">
      <c r="B5379" s="6" t="s">
        <v>46</v>
      </c>
      <c r="R5379"/>
      <c r="S5379"/>
    </row>
    <row r="5380" spans="2:19" x14ac:dyDescent="0.25">
      <c r="B5380" s="6" t="s">
        <v>46</v>
      </c>
      <c r="R5380"/>
      <c r="S5380"/>
    </row>
    <row r="5381" spans="2:19" x14ac:dyDescent="0.25">
      <c r="B5381" s="6" t="s">
        <v>46</v>
      </c>
      <c r="R5381"/>
      <c r="S5381"/>
    </row>
    <row r="5382" spans="2:19" x14ac:dyDescent="0.25">
      <c r="B5382" s="6" t="s">
        <v>46</v>
      </c>
      <c r="R5382"/>
      <c r="S5382"/>
    </row>
    <row r="5383" spans="2:19" x14ac:dyDescent="0.25">
      <c r="B5383" s="6" t="s">
        <v>46</v>
      </c>
      <c r="R5383"/>
      <c r="S5383"/>
    </row>
    <row r="5384" spans="2:19" x14ac:dyDescent="0.25">
      <c r="B5384" s="6" t="s">
        <v>46</v>
      </c>
      <c r="R5384"/>
      <c r="S5384"/>
    </row>
    <row r="5385" spans="2:19" x14ac:dyDescent="0.25">
      <c r="B5385" s="6" t="s">
        <v>46</v>
      </c>
      <c r="R5385"/>
      <c r="S5385"/>
    </row>
    <row r="5386" spans="2:19" x14ac:dyDescent="0.25">
      <c r="B5386" s="6" t="s">
        <v>46</v>
      </c>
      <c r="R5386"/>
      <c r="S5386"/>
    </row>
    <row r="5387" spans="2:19" x14ac:dyDescent="0.25">
      <c r="B5387" s="6" t="s">
        <v>46</v>
      </c>
      <c r="R5387"/>
      <c r="S5387"/>
    </row>
    <row r="5388" spans="2:19" x14ac:dyDescent="0.25">
      <c r="B5388" s="6" t="s">
        <v>46</v>
      </c>
      <c r="R5388"/>
      <c r="S5388"/>
    </row>
    <row r="5389" spans="2:19" x14ac:dyDescent="0.25">
      <c r="B5389" s="6" t="s">
        <v>46</v>
      </c>
      <c r="R5389"/>
      <c r="S5389"/>
    </row>
    <row r="5390" spans="2:19" x14ac:dyDescent="0.25">
      <c r="B5390" s="6" t="s">
        <v>46</v>
      </c>
      <c r="R5390"/>
      <c r="S5390"/>
    </row>
    <row r="5391" spans="2:19" x14ac:dyDescent="0.25">
      <c r="B5391" s="6" t="s">
        <v>46</v>
      </c>
      <c r="R5391"/>
      <c r="S5391"/>
    </row>
    <row r="5392" spans="2:19" x14ac:dyDescent="0.25">
      <c r="B5392" s="6" t="s">
        <v>46</v>
      </c>
      <c r="R5392"/>
      <c r="S5392"/>
    </row>
    <row r="5393" spans="2:19" x14ac:dyDescent="0.25">
      <c r="B5393" s="6" t="s">
        <v>46</v>
      </c>
      <c r="R5393"/>
      <c r="S5393"/>
    </row>
    <row r="5394" spans="2:19" x14ac:dyDescent="0.25">
      <c r="B5394" s="6" t="s">
        <v>46</v>
      </c>
      <c r="R5394"/>
      <c r="S5394"/>
    </row>
    <row r="5395" spans="2:19" x14ac:dyDescent="0.25">
      <c r="B5395" s="6" t="s">
        <v>46</v>
      </c>
      <c r="R5395"/>
      <c r="S5395"/>
    </row>
    <row r="5396" spans="2:19" x14ac:dyDescent="0.25">
      <c r="B5396" s="6" t="s">
        <v>46</v>
      </c>
      <c r="R5396"/>
      <c r="S5396"/>
    </row>
    <row r="5397" spans="2:19" x14ac:dyDescent="0.25">
      <c r="B5397" s="6" t="s">
        <v>46</v>
      </c>
      <c r="R5397"/>
      <c r="S5397"/>
    </row>
    <row r="5398" spans="2:19" x14ac:dyDescent="0.25">
      <c r="B5398" s="6" t="s">
        <v>46</v>
      </c>
      <c r="R5398"/>
      <c r="S5398"/>
    </row>
    <row r="5399" spans="2:19" x14ac:dyDescent="0.25">
      <c r="B5399" s="6" t="s">
        <v>46</v>
      </c>
      <c r="R5399"/>
      <c r="S5399"/>
    </row>
    <row r="5400" spans="2:19" x14ac:dyDescent="0.25">
      <c r="B5400" s="6" t="s">
        <v>46</v>
      </c>
      <c r="R5400"/>
      <c r="S5400"/>
    </row>
    <row r="5401" spans="2:19" x14ac:dyDescent="0.25">
      <c r="B5401" s="6" t="s">
        <v>46</v>
      </c>
      <c r="R5401"/>
      <c r="S5401"/>
    </row>
    <row r="5402" spans="2:19" x14ac:dyDescent="0.25">
      <c r="B5402" s="6" t="s">
        <v>46</v>
      </c>
      <c r="R5402"/>
      <c r="S5402"/>
    </row>
    <row r="5403" spans="2:19" x14ac:dyDescent="0.25">
      <c r="B5403" s="6" t="s">
        <v>46</v>
      </c>
      <c r="R5403"/>
      <c r="S5403"/>
    </row>
    <row r="5404" spans="2:19" x14ac:dyDescent="0.25">
      <c r="B5404" s="6" t="s">
        <v>46</v>
      </c>
      <c r="R5404"/>
      <c r="S5404"/>
    </row>
    <row r="5405" spans="2:19" x14ac:dyDescent="0.25">
      <c r="B5405" s="6" t="s">
        <v>46</v>
      </c>
      <c r="R5405"/>
      <c r="S5405"/>
    </row>
    <row r="5406" spans="2:19" x14ac:dyDescent="0.25">
      <c r="B5406" s="6" t="s">
        <v>46</v>
      </c>
      <c r="R5406"/>
      <c r="S5406"/>
    </row>
    <row r="5407" spans="2:19" x14ac:dyDescent="0.25">
      <c r="B5407" s="6" t="s">
        <v>46</v>
      </c>
      <c r="R5407"/>
      <c r="S5407"/>
    </row>
    <row r="5408" spans="2:19" x14ac:dyDescent="0.25">
      <c r="B5408" s="6" t="s">
        <v>46</v>
      </c>
      <c r="R5408"/>
      <c r="S5408"/>
    </row>
    <row r="5409" spans="2:19" x14ac:dyDescent="0.25">
      <c r="B5409" s="6" t="s">
        <v>46</v>
      </c>
      <c r="R5409"/>
      <c r="S5409"/>
    </row>
    <row r="5410" spans="2:19" x14ac:dyDescent="0.25">
      <c r="B5410" s="6" t="s">
        <v>46</v>
      </c>
      <c r="R5410"/>
      <c r="S5410"/>
    </row>
    <row r="5411" spans="2:19" x14ac:dyDescent="0.25">
      <c r="B5411" s="6" t="s">
        <v>46</v>
      </c>
      <c r="R5411"/>
      <c r="S5411"/>
    </row>
    <row r="5412" spans="2:19" x14ac:dyDescent="0.25">
      <c r="B5412" s="6" t="s">
        <v>46</v>
      </c>
      <c r="R5412"/>
      <c r="S5412"/>
    </row>
    <row r="5413" spans="2:19" x14ac:dyDescent="0.25">
      <c r="B5413" s="6" t="s">
        <v>46</v>
      </c>
      <c r="R5413"/>
      <c r="S5413"/>
    </row>
    <row r="5414" spans="2:19" x14ac:dyDescent="0.25">
      <c r="B5414" s="6" t="s">
        <v>46</v>
      </c>
      <c r="R5414"/>
      <c r="S5414"/>
    </row>
    <row r="5415" spans="2:19" x14ac:dyDescent="0.25">
      <c r="B5415" s="6" t="s">
        <v>46</v>
      </c>
      <c r="R5415"/>
      <c r="S5415"/>
    </row>
    <row r="5416" spans="2:19" x14ac:dyDescent="0.25">
      <c r="B5416" s="6" t="s">
        <v>46</v>
      </c>
      <c r="R5416"/>
      <c r="S5416"/>
    </row>
    <row r="5417" spans="2:19" x14ac:dyDescent="0.25">
      <c r="B5417" s="6" t="s">
        <v>46</v>
      </c>
      <c r="R5417"/>
      <c r="S5417"/>
    </row>
    <row r="5418" spans="2:19" x14ac:dyDescent="0.25">
      <c r="B5418" s="6" t="s">
        <v>46</v>
      </c>
      <c r="R5418"/>
      <c r="S5418"/>
    </row>
    <row r="5419" spans="2:19" x14ac:dyDescent="0.25">
      <c r="B5419" s="6" t="s">
        <v>46</v>
      </c>
      <c r="R5419"/>
      <c r="S5419"/>
    </row>
    <row r="5420" spans="2:19" x14ac:dyDescent="0.25">
      <c r="B5420" s="6" t="s">
        <v>46</v>
      </c>
      <c r="R5420"/>
      <c r="S5420"/>
    </row>
    <row r="5421" spans="2:19" x14ac:dyDescent="0.25">
      <c r="B5421" s="6" t="s">
        <v>46</v>
      </c>
      <c r="R5421"/>
      <c r="S5421"/>
    </row>
    <row r="5422" spans="2:19" x14ac:dyDescent="0.25">
      <c r="B5422" s="6" t="s">
        <v>46</v>
      </c>
      <c r="R5422"/>
      <c r="S5422"/>
    </row>
    <row r="5423" spans="2:19" x14ac:dyDescent="0.25">
      <c r="B5423" s="6" t="s">
        <v>46</v>
      </c>
      <c r="R5423"/>
      <c r="S5423"/>
    </row>
    <row r="5424" spans="2:19" x14ac:dyDescent="0.25">
      <c r="B5424" s="6" t="s">
        <v>46</v>
      </c>
      <c r="R5424"/>
      <c r="S5424"/>
    </row>
    <row r="5425" spans="2:19" x14ac:dyDescent="0.25">
      <c r="B5425" s="6" t="s">
        <v>46</v>
      </c>
      <c r="R5425"/>
      <c r="S5425"/>
    </row>
    <row r="5426" spans="2:19" x14ac:dyDescent="0.25">
      <c r="B5426" s="6" t="s">
        <v>46</v>
      </c>
      <c r="R5426"/>
      <c r="S5426"/>
    </row>
    <row r="5427" spans="2:19" x14ac:dyDescent="0.25">
      <c r="B5427" s="6" t="s">
        <v>46</v>
      </c>
      <c r="R5427"/>
      <c r="S5427"/>
    </row>
    <row r="5428" spans="2:19" x14ac:dyDescent="0.25">
      <c r="B5428" s="6" t="s">
        <v>46</v>
      </c>
      <c r="R5428"/>
      <c r="S5428"/>
    </row>
    <row r="5429" spans="2:19" x14ac:dyDescent="0.25">
      <c r="B5429" s="6" t="s">
        <v>46</v>
      </c>
      <c r="R5429"/>
      <c r="S5429"/>
    </row>
    <row r="5430" spans="2:19" x14ac:dyDescent="0.25">
      <c r="B5430" s="6" t="s">
        <v>46</v>
      </c>
      <c r="R5430"/>
      <c r="S5430"/>
    </row>
    <row r="5431" spans="2:19" x14ac:dyDescent="0.25">
      <c r="B5431" s="6" t="s">
        <v>46</v>
      </c>
      <c r="R5431"/>
      <c r="S5431"/>
    </row>
    <row r="5432" spans="2:19" x14ac:dyDescent="0.25">
      <c r="B5432" s="6" t="s">
        <v>46</v>
      </c>
      <c r="R5432"/>
      <c r="S5432"/>
    </row>
    <row r="5433" spans="2:19" x14ac:dyDescent="0.25">
      <c r="B5433" s="6" t="s">
        <v>46</v>
      </c>
      <c r="R5433"/>
      <c r="S5433"/>
    </row>
    <row r="5434" spans="2:19" x14ac:dyDescent="0.25">
      <c r="B5434" s="6" t="s">
        <v>46</v>
      </c>
      <c r="R5434"/>
      <c r="S5434"/>
    </row>
    <row r="5435" spans="2:19" x14ac:dyDescent="0.25">
      <c r="B5435" s="6" t="s">
        <v>46</v>
      </c>
      <c r="R5435"/>
      <c r="S5435"/>
    </row>
    <row r="5436" spans="2:19" x14ac:dyDescent="0.25">
      <c r="B5436" s="6" t="s">
        <v>46</v>
      </c>
      <c r="R5436"/>
      <c r="S5436"/>
    </row>
    <row r="5437" spans="2:19" x14ac:dyDescent="0.25">
      <c r="B5437" s="6" t="s">
        <v>46</v>
      </c>
      <c r="R5437"/>
      <c r="S5437"/>
    </row>
    <row r="5438" spans="2:19" x14ac:dyDescent="0.25">
      <c r="B5438" s="6" t="s">
        <v>46</v>
      </c>
      <c r="R5438"/>
      <c r="S5438"/>
    </row>
    <row r="5439" spans="2:19" x14ac:dyDescent="0.25">
      <c r="B5439" s="6" t="s">
        <v>46</v>
      </c>
      <c r="R5439"/>
      <c r="S5439"/>
    </row>
    <row r="5440" spans="2:19" x14ac:dyDescent="0.25">
      <c r="B5440" s="6" t="s">
        <v>46</v>
      </c>
      <c r="R5440"/>
      <c r="S5440"/>
    </row>
    <row r="5441" spans="2:19" x14ac:dyDescent="0.25">
      <c r="B5441" s="6" t="s">
        <v>46</v>
      </c>
      <c r="R5441"/>
      <c r="S5441"/>
    </row>
    <row r="5442" spans="2:19" x14ac:dyDescent="0.25">
      <c r="B5442" s="6" t="s">
        <v>46</v>
      </c>
      <c r="R5442"/>
      <c r="S5442"/>
    </row>
    <row r="5443" spans="2:19" x14ac:dyDescent="0.25">
      <c r="B5443" s="6" t="s">
        <v>46</v>
      </c>
      <c r="R5443"/>
      <c r="S5443"/>
    </row>
    <row r="5444" spans="2:19" x14ac:dyDescent="0.25">
      <c r="B5444" s="6" t="s">
        <v>46</v>
      </c>
      <c r="R5444"/>
      <c r="S5444"/>
    </row>
    <row r="5445" spans="2:19" x14ac:dyDescent="0.25">
      <c r="B5445" s="6" t="s">
        <v>46</v>
      </c>
      <c r="R5445"/>
      <c r="S5445"/>
    </row>
    <row r="5446" spans="2:19" x14ac:dyDescent="0.25">
      <c r="B5446" s="6" t="s">
        <v>46</v>
      </c>
      <c r="R5446"/>
      <c r="S5446"/>
    </row>
    <row r="5447" spans="2:19" x14ac:dyDescent="0.25">
      <c r="B5447" s="6" t="s">
        <v>46</v>
      </c>
      <c r="R5447"/>
      <c r="S5447"/>
    </row>
    <row r="5448" spans="2:19" x14ac:dyDescent="0.25">
      <c r="B5448" s="6" t="s">
        <v>46</v>
      </c>
      <c r="R5448"/>
      <c r="S5448"/>
    </row>
    <row r="5449" spans="2:19" x14ac:dyDescent="0.25">
      <c r="B5449" s="6" t="s">
        <v>46</v>
      </c>
      <c r="R5449"/>
      <c r="S5449"/>
    </row>
    <row r="5450" spans="2:19" x14ac:dyDescent="0.25">
      <c r="B5450" s="6" t="s">
        <v>46</v>
      </c>
      <c r="R5450"/>
      <c r="S5450"/>
    </row>
    <row r="5451" spans="2:19" x14ac:dyDescent="0.25">
      <c r="B5451" s="6" t="s">
        <v>46</v>
      </c>
      <c r="R5451"/>
      <c r="S5451"/>
    </row>
    <row r="5452" spans="2:19" x14ac:dyDescent="0.25">
      <c r="B5452" s="6" t="s">
        <v>46</v>
      </c>
      <c r="R5452"/>
      <c r="S5452"/>
    </row>
    <row r="5453" spans="2:19" x14ac:dyDescent="0.25">
      <c r="B5453" s="6" t="s">
        <v>46</v>
      </c>
      <c r="R5453"/>
      <c r="S5453"/>
    </row>
    <row r="5454" spans="2:19" x14ac:dyDescent="0.25">
      <c r="B5454" s="6" t="s">
        <v>46</v>
      </c>
      <c r="R5454"/>
      <c r="S5454"/>
    </row>
    <row r="5455" spans="2:19" x14ac:dyDescent="0.25">
      <c r="B5455" s="6" t="s">
        <v>46</v>
      </c>
      <c r="R5455"/>
      <c r="S5455"/>
    </row>
    <row r="5456" spans="2:19" x14ac:dyDescent="0.25">
      <c r="B5456" s="6" t="s">
        <v>46</v>
      </c>
      <c r="R5456"/>
      <c r="S5456"/>
    </row>
    <row r="5457" spans="2:19" x14ac:dyDescent="0.25">
      <c r="B5457" s="6" t="s">
        <v>46</v>
      </c>
      <c r="R5457"/>
      <c r="S5457"/>
    </row>
    <row r="5458" spans="2:19" x14ac:dyDescent="0.25">
      <c r="B5458" s="6" t="s">
        <v>46</v>
      </c>
      <c r="R5458"/>
      <c r="S5458"/>
    </row>
    <row r="5459" spans="2:19" x14ac:dyDescent="0.25">
      <c r="B5459" s="6" t="s">
        <v>46</v>
      </c>
      <c r="R5459"/>
      <c r="S5459"/>
    </row>
    <row r="5460" spans="2:19" x14ac:dyDescent="0.25">
      <c r="B5460" s="6" t="s">
        <v>46</v>
      </c>
      <c r="R5460"/>
      <c r="S5460"/>
    </row>
    <row r="5461" spans="2:19" x14ac:dyDescent="0.25">
      <c r="B5461" s="6" t="s">
        <v>46</v>
      </c>
      <c r="R5461"/>
      <c r="S5461"/>
    </row>
    <row r="5462" spans="2:19" x14ac:dyDescent="0.25">
      <c r="B5462" s="6" t="s">
        <v>46</v>
      </c>
      <c r="R5462"/>
      <c r="S5462"/>
    </row>
    <row r="5463" spans="2:19" x14ac:dyDescent="0.25">
      <c r="B5463" s="6" t="s">
        <v>46</v>
      </c>
      <c r="R5463"/>
      <c r="S5463"/>
    </row>
    <row r="5464" spans="2:19" x14ac:dyDescent="0.25">
      <c r="B5464" s="6" t="s">
        <v>46</v>
      </c>
      <c r="R5464"/>
      <c r="S5464"/>
    </row>
    <row r="5465" spans="2:19" x14ac:dyDescent="0.25">
      <c r="B5465" s="6" t="s">
        <v>46</v>
      </c>
      <c r="R5465"/>
      <c r="S5465"/>
    </row>
    <row r="5466" spans="2:19" x14ac:dyDescent="0.25">
      <c r="B5466" s="6" t="s">
        <v>46</v>
      </c>
      <c r="R5466"/>
      <c r="S5466"/>
    </row>
    <row r="5467" spans="2:19" x14ac:dyDescent="0.25">
      <c r="B5467" s="6" t="s">
        <v>46</v>
      </c>
      <c r="R5467"/>
      <c r="S5467"/>
    </row>
    <row r="5468" spans="2:19" x14ac:dyDescent="0.25">
      <c r="B5468" s="6" t="s">
        <v>46</v>
      </c>
      <c r="R5468"/>
      <c r="S5468"/>
    </row>
    <row r="5469" spans="2:19" x14ac:dyDescent="0.25">
      <c r="B5469" s="6" t="s">
        <v>46</v>
      </c>
      <c r="R5469"/>
      <c r="S5469"/>
    </row>
    <row r="5470" spans="2:19" x14ac:dyDescent="0.25">
      <c r="B5470" s="6" t="s">
        <v>46</v>
      </c>
      <c r="R5470"/>
      <c r="S5470"/>
    </row>
    <row r="5471" spans="2:19" x14ac:dyDescent="0.25">
      <c r="B5471" s="6" t="s">
        <v>46</v>
      </c>
      <c r="R5471"/>
      <c r="S5471"/>
    </row>
    <row r="5472" spans="2:19" x14ac:dyDescent="0.25">
      <c r="B5472" s="6" t="s">
        <v>46</v>
      </c>
      <c r="R5472"/>
      <c r="S5472"/>
    </row>
    <row r="5473" spans="2:19" x14ac:dyDescent="0.25">
      <c r="B5473" s="6" t="s">
        <v>46</v>
      </c>
      <c r="R5473"/>
      <c r="S5473"/>
    </row>
    <row r="5474" spans="2:19" x14ac:dyDescent="0.25">
      <c r="B5474" s="6" t="s">
        <v>46</v>
      </c>
      <c r="R5474"/>
      <c r="S5474"/>
    </row>
    <row r="5475" spans="2:19" x14ac:dyDescent="0.25">
      <c r="B5475" s="6" t="s">
        <v>46</v>
      </c>
      <c r="R5475"/>
      <c r="S5475"/>
    </row>
    <row r="5476" spans="2:19" x14ac:dyDescent="0.25">
      <c r="B5476" s="6" t="s">
        <v>46</v>
      </c>
      <c r="R5476"/>
      <c r="S5476"/>
    </row>
    <row r="5477" spans="2:19" x14ac:dyDescent="0.25">
      <c r="B5477" s="6" t="s">
        <v>46</v>
      </c>
      <c r="R5477"/>
      <c r="S5477"/>
    </row>
    <row r="5478" spans="2:19" x14ac:dyDescent="0.25">
      <c r="B5478" s="6" t="s">
        <v>46</v>
      </c>
      <c r="R5478"/>
      <c r="S5478"/>
    </row>
    <row r="5479" spans="2:19" x14ac:dyDescent="0.25">
      <c r="B5479" s="6" t="s">
        <v>46</v>
      </c>
      <c r="R5479"/>
      <c r="S5479"/>
    </row>
    <row r="5480" spans="2:19" x14ac:dyDescent="0.25">
      <c r="B5480" s="6" t="s">
        <v>46</v>
      </c>
      <c r="R5480"/>
      <c r="S5480"/>
    </row>
    <row r="5481" spans="2:19" x14ac:dyDescent="0.25">
      <c r="B5481" s="6" t="s">
        <v>46</v>
      </c>
      <c r="R5481"/>
      <c r="S5481"/>
    </row>
    <row r="5482" spans="2:19" x14ac:dyDescent="0.25">
      <c r="B5482" s="6" t="s">
        <v>46</v>
      </c>
      <c r="R5482"/>
      <c r="S5482"/>
    </row>
    <row r="5483" spans="2:19" x14ac:dyDescent="0.25">
      <c r="B5483" s="6" t="s">
        <v>46</v>
      </c>
      <c r="R5483"/>
      <c r="S5483"/>
    </row>
    <row r="5484" spans="2:19" x14ac:dyDescent="0.25">
      <c r="B5484" s="6" t="s">
        <v>46</v>
      </c>
      <c r="R5484"/>
      <c r="S5484"/>
    </row>
    <row r="5485" spans="2:19" x14ac:dyDescent="0.25">
      <c r="B5485" s="6" t="s">
        <v>46</v>
      </c>
      <c r="R5485"/>
      <c r="S5485"/>
    </row>
    <row r="5486" spans="2:19" x14ac:dyDescent="0.25">
      <c r="B5486" s="6" t="s">
        <v>46</v>
      </c>
      <c r="R5486"/>
      <c r="S5486"/>
    </row>
    <row r="5487" spans="2:19" x14ac:dyDescent="0.25">
      <c r="B5487" s="6" t="s">
        <v>46</v>
      </c>
      <c r="R5487"/>
      <c r="S5487"/>
    </row>
    <row r="5488" spans="2:19" x14ac:dyDescent="0.25">
      <c r="B5488" s="6" t="s">
        <v>46</v>
      </c>
      <c r="R5488"/>
      <c r="S5488"/>
    </row>
    <row r="5489" spans="2:19" x14ac:dyDescent="0.25">
      <c r="B5489" s="6" t="s">
        <v>46</v>
      </c>
      <c r="R5489"/>
      <c r="S5489"/>
    </row>
    <row r="5490" spans="2:19" x14ac:dyDescent="0.25">
      <c r="B5490" s="6" t="s">
        <v>46</v>
      </c>
      <c r="R5490"/>
      <c r="S5490"/>
    </row>
    <row r="5491" spans="2:19" x14ac:dyDescent="0.25">
      <c r="B5491" s="6" t="s">
        <v>46</v>
      </c>
      <c r="R5491"/>
      <c r="S5491"/>
    </row>
    <row r="5492" spans="2:19" x14ac:dyDescent="0.25">
      <c r="B5492" s="6" t="s">
        <v>46</v>
      </c>
      <c r="R5492"/>
      <c r="S5492"/>
    </row>
    <row r="5493" spans="2:19" x14ac:dyDescent="0.25">
      <c r="B5493" s="6" t="s">
        <v>46</v>
      </c>
      <c r="R5493"/>
      <c r="S5493"/>
    </row>
    <row r="5494" spans="2:19" x14ac:dyDescent="0.25">
      <c r="B5494" s="6" t="s">
        <v>46</v>
      </c>
      <c r="R5494"/>
      <c r="S5494"/>
    </row>
    <row r="5495" spans="2:19" x14ac:dyDescent="0.25">
      <c r="B5495" s="6" t="s">
        <v>46</v>
      </c>
      <c r="R5495"/>
      <c r="S5495"/>
    </row>
    <row r="5496" spans="2:19" x14ac:dyDescent="0.25">
      <c r="B5496" s="6" t="s">
        <v>46</v>
      </c>
      <c r="R5496"/>
      <c r="S5496"/>
    </row>
    <row r="5497" spans="2:19" x14ac:dyDescent="0.25">
      <c r="B5497" s="6" t="s">
        <v>46</v>
      </c>
      <c r="R5497"/>
      <c r="S5497"/>
    </row>
    <row r="5498" spans="2:19" x14ac:dyDescent="0.25">
      <c r="B5498" s="6" t="s">
        <v>46</v>
      </c>
      <c r="R5498"/>
      <c r="S5498"/>
    </row>
    <row r="5499" spans="2:19" x14ac:dyDescent="0.25">
      <c r="B5499" s="6" t="s">
        <v>46</v>
      </c>
      <c r="R5499"/>
      <c r="S5499"/>
    </row>
    <row r="5500" spans="2:19" x14ac:dyDescent="0.25">
      <c r="B5500" s="6" t="s">
        <v>46</v>
      </c>
      <c r="R5500"/>
      <c r="S5500"/>
    </row>
    <row r="5501" spans="2:19" x14ac:dyDescent="0.25">
      <c r="B5501" s="6" t="s">
        <v>46</v>
      </c>
      <c r="R5501"/>
      <c r="S5501"/>
    </row>
    <row r="5502" spans="2:19" x14ac:dyDescent="0.25">
      <c r="B5502" s="6" t="s">
        <v>46</v>
      </c>
      <c r="R5502"/>
      <c r="S5502"/>
    </row>
    <row r="5503" spans="2:19" x14ac:dyDescent="0.25">
      <c r="B5503" s="6" t="s">
        <v>46</v>
      </c>
      <c r="R5503"/>
      <c r="S5503"/>
    </row>
    <row r="5504" spans="2:19" x14ac:dyDescent="0.25">
      <c r="B5504" s="6" t="s">
        <v>46</v>
      </c>
      <c r="R5504"/>
      <c r="S5504"/>
    </row>
    <row r="5505" spans="2:19" x14ac:dyDescent="0.25">
      <c r="B5505" s="6" t="s">
        <v>46</v>
      </c>
      <c r="R5505"/>
      <c r="S5505"/>
    </row>
    <row r="5506" spans="2:19" x14ac:dyDescent="0.25">
      <c r="B5506" s="6" t="s">
        <v>46</v>
      </c>
      <c r="R5506"/>
      <c r="S5506"/>
    </row>
    <row r="5507" spans="2:19" x14ac:dyDescent="0.25">
      <c r="B5507" s="6" t="s">
        <v>46</v>
      </c>
      <c r="R5507"/>
      <c r="S5507"/>
    </row>
    <row r="5508" spans="2:19" x14ac:dyDescent="0.25">
      <c r="B5508" s="6" t="s">
        <v>46</v>
      </c>
      <c r="R5508"/>
      <c r="S5508"/>
    </row>
    <row r="5509" spans="2:19" x14ac:dyDescent="0.25">
      <c r="B5509" s="6" t="s">
        <v>46</v>
      </c>
      <c r="R5509"/>
      <c r="S5509"/>
    </row>
    <row r="5510" spans="2:19" x14ac:dyDescent="0.25">
      <c r="B5510" s="6" t="s">
        <v>46</v>
      </c>
      <c r="R5510"/>
      <c r="S5510"/>
    </row>
    <row r="5511" spans="2:19" x14ac:dyDescent="0.25">
      <c r="B5511" s="6" t="s">
        <v>46</v>
      </c>
      <c r="R5511"/>
      <c r="S5511"/>
    </row>
    <row r="5512" spans="2:19" x14ac:dyDescent="0.25">
      <c r="B5512" s="6" t="s">
        <v>46</v>
      </c>
      <c r="R5512"/>
      <c r="S5512"/>
    </row>
    <row r="5513" spans="2:19" x14ac:dyDescent="0.25">
      <c r="B5513" s="6" t="s">
        <v>46</v>
      </c>
      <c r="R5513"/>
      <c r="S5513"/>
    </row>
    <row r="5514" spans="2:19" x14ac:dyDescent="0.25">
      <c r="B5514" s="6" t="s">
        <v>46</v>
      </c>
      <c r="R5514"/>
      <c r="S5514"/>
    </row>
    <row r="5515" spans="2:19" x14ac:dyDescent="0.25">
      <c r="B5515" s="6" t="s">
        <v>46</v>
      </c>
      <c r="R5515"/>
      <c r="S5515"/>
    </row>
    <row r="5516" spans="2:19" x14ac:dyDescent="0.25">
      <c r="B5516" s="6" t="s">
        <v>46</v>
      </c>
      <c r="R5516"/>
      <c r="S5516"/>
    </row>
    <row r="5517" spans="2:19" x14ac:dyDescent="0.25">
      <c r="B5517" s="6" t="s">
        <v>46</v>
      </c>
      <c r="R5517"/>
      <c r="S5517"/>
    </row>
    <row r="5518" spans="2:19" x14ac:dyDescent="0.25">
      <c r="B5518" s="6" t="s">
        <v>46</v>
      </c>
      <c r="R5518"/>
      <c r="S5518"/>
    </row>
    <row r="5519" spans="2:19" x14ac:dyDescent="0.25">
      <c r="B5519" s="6" t="s">
        <v>46</v>
      </c>
      <c r="R5519"/>
      <c r="S5519"/>
    </row>
    <row r="5520" spans="2:19" x14ac:dyDescent="0.25">
      <c r="B5520" s="6" t="s">
        <v>46</v>
      </c>
      <c r="R5520"/>
      <c r="S5520"/>
    </row>
    <row r="5521" spans="2:19" x14ac:dyDescent="0.25">
      <c r="B5521" s="6" t="s">
        <v>46</v>
      </c>
      <c r="R5521"/>
      <c r="S5521"/>
    </row>
    <row r="5522" spans="2:19" x14ac:dyDescent="0.25">
      <c r="B5522" s="6" t="s">
        <v>46</v>
      </c>
      <c r="R5522"/>
      <c r="S5522"/>
    </row>
    <row r="5523" spans="2:19" x14ac:dyDescent="0.25">
      <c r="B5523" s="6" t="s">
        <v>46</v>
      </c>
      <c r="R5523"/>
      <c r="S5523"/>
    </row>
    <row r="5524" spans="2:19" x14ac:dyDescent="0.25">
      <c r="B5524" s="6" t="s">
        <v>46</v>
      </c>
      <c r="R5524"/>
      <c r="S5524"/>
    </row>
    <row r="5525" spans="2:19" x14ac:dyDescent="0.25">
      <c r="B5525" s="6" t="s">
        <v>46</v>
      </c>
      <c r="R5525"/>
      <c r="S5525"/>
    </row>
    <row r="5526" spans="2:19" x14ac:dyDescent="0.25">
      <c r="B5526" s="6" t="s">
        <v>46</v>
      </c>
      <c r="R5526"/>
      <c r="S5526"/>
    </row>
    <row r="5527" spans="2:19" x14ac:dyDescent="0.25">
      <c r="B5527" s="6" t="s">
        <v>46</v>
      </c>
      <c r="R5527"/>
      <c r="S5527"/>
    </row>
    <row r="5528" spans="2:19" x14ac:dyDescent="0.25">
      <c r="B5528" s="6" t="s">
        <v>46</v>
      </c>
      <c r="R5528"/>
      <c r="S5528"/>
    </row>
    <row r="5529" spans="2:19" x14ac:dyDescent="0.25">
      <c r="B5529" s="6" t="s">
        <v>46</v>
      </c>
      <c r="R5529"/>
      <c r="S5529"/>
    </row>
    <row r="5530" spans="2:19" x14ac:dyDescent="0.25">
      <c r="B5530" s="6" t="s">
        <v>46</v>
      </c>
      <c r="R5530"/>
      <c r="S5530"/>
    </row>
    <row r="5531" spans="2:19" x14ac:dyDescent="0.25">
      <c r="B5531" s="6" t="s">
        <v>46</v>
      </c>
      <c r="R5531"/>
      <c r="S5531"/>
    </row>
    <row r="5532" spans="2:19" x14ac:dyDescent="0.25">
      <c r="B5532" s="6" t="s">
        <v>46</v>
      </c>
      <c r="R5532"/>
      <c r="S5532"/>
    </row>
    <row r="5533" spans="2:19" x14ac:dyDescent="0.25">
      <c r="B5533" s="6" t="s">
        <v>46</v>
      </c>
      <c r="R5533"/>
      <c r="S5533"/>
    </row>
    <row r="5534" spans="2:19" x14ac:dyDescent="0.25">
      <c r="B5534" s="6" t="s">
        <v>46</v>
      </c>
      <c r="R5534"/>
      <c r="S5534"/>
    </row>
    <row r="5535" spans="2:19" x14ac:dyDescent="0.25">
      <c r="B5535" s="6" t="s">
        <v>46</v>
      </c>
      <c r="R5535"/>
      <c r="S5535"/>
    </row>
    <row r="5536" spans="2:19" x14ac:dyDescent="0.25">
      <c r="B5536" s="6" t="s">
        <v>46</v>
      </c>
      <c r="R5536"/>
      <c r="S5536"/>
    </row>
    <row r="5537" spans="2:19" x14ac:dyDescent="0.25">
      <c r="B5537" s="6" t="s">
        <v>46</v>
      </c>
      <c r="R5537"/>
      <c r="S5537"/>
    </row>
    <row r="5538" spans="2:19" x14ac:dyDescent="0.25">
      <c r="B5538" s="6" t="s">
        <v>46</v>
      </c>
      <c r="R5538"/>
      <c r="S5538"/>
    </row>
    <row r="5539" spans="2:19" x14ac:dyDescent="0.25">
      <c r="B5539" s="6" t="s">
        <v>46</v>
      </c>
      <c r="R5539"/>
      <c r="S5539"/>
    </row>
    <row r="5540" spans="2:19" x14ac:dyDescent="0.25">
      <c r="B5540" s="6" t="s">
        <v>46</v>
      </c>
      <c r="R5540"/>
      <c r="S5540"/>
    </row>
    <row r="5541" spans="2:19" x14ac:dyDescent="0.25">
      <c r="B5541" s="6" t="s">
        <v>46</v>
      </c>
      <c r="R5541"/>
      <c r="S5541"/>
    </row>
    <row r="5542" spans="2:19" x14ac:dyDescent="0.25">
      <c r="B5542" s="6" t="s">
        <v>46</v>
      </c>
      <c r="R5542"/>
      <c r="S5542"/>
    </row>
    <row r="5543" spans="2:19" x14ac:dyDescent="0.25">
      <c r="B5543" s="6" t="s">
        <v>46</v>
      </c>
      <c r="R5543"/>
      <c r="S5543"/>
    </row>
    <row r="5544" spans="2:19" x14ac:dyDescent="0.25">
      <c r="B5544" s="6" t="s">
        <v>46</v>
      </c>
      <c r="R5544"/>
      <c r="S5544"/>
    </row>
    <row r="5545" spans="2:19" x14ac:dyDescent="0.25">
      <c r="B5545" s="6" t="s">
        <v>46</v>
      </c>
      <c r="R5545"/>
      <c r="S5545"/>
    </row>
    <row r="5546" spans="2:19" x14ac:dyDescent="0.25">
      <c r="B5546" s="6" t="s">
        <v>46</v>
      </c>
      <c r="R5546"/>
      <c r="S5546"/>
    </row>
    <row r="5547" spans="2:19" x14ac:dyDescent="0.25">
      <c r="B5547" s="6" t="s">
        <v>46</v>
      </c>
      <c r="R5547"/>
      <c r="S5547"/>
    </row>
    <row r="5548" spans="2:19" x14ac:dyDescent="0.25">
      <c r="B5548" s="6" t="s">
        <v>46</v>
      </c>
      <c r="R5548"/>
      <c r="S5548"/>
    </row>
    <row r="5549" spans="2:19" x14ac:dyDescent="0.25">
      <c r="B5549" s="6" t="s">
        <v>46</v>
      </c>
      <c r="R5549"/>
      <c r="S5549"/>
    </row>
    <row r="5550" spans="2:19" x14ac:dyDescent="0.25">
      <c r="B5550" s="6" t="s">
        <v>46</v>
      </c>
      <c r="R5550"/>
      <c r="S5550"/>
    </row>
    <row r="5551" spans="2:19" x14ac:dyDescent="0.25">
      <c r="B5551" s="6" t="s">
        <v>46</v>
      </c>
      <c r="R5551"/>
      <c r="S5551"/>
    </row>
    <row r="5552" spans="2:19" x14ac:dyDescent="0.25">
      <c r="B5552" s="6" t="s">
        <v>46</v>
      </c>
      <c r="R5552"/>
      <c r="S5552"/>
    </row>
    <row r="5553" spans="2:19" x14ac:dyDescent="0.25">
      <c r="B5553" s="6" t="s">
        <v>46</v>
      </c>
      <c r="R5553"/>
      <c r="S5553"/>
    </row>
    <row r="5554" spans="2:19" x14ac:dyDescent="0.25">
      <c r="B5554" s="6" t="s">
        <v>46</v>
      </c>
      <c r="R5554"/>
      <c r="S5554"/>
    </row>
    <row r="5555" spans="2:19" x14ac:dyDescent="0.25">
      <c r="B5555" s="6" t="s">
        <v>46</v>
      </c>
      <c r="R5555"/>
      <c r="S5555"/>
    </row>
    <row r="5556" spans="2:19" x14ac:dyDescent="0.25">
      <c r="B5556" s="6" t="s">
        <v>46</v>
      </c>
      <c r="R5556"/>
      <c r="S5556"/>
    </row>
    <row r="5557" spans="2:19" x14ac:dyDescent="0.25">
      <c r="B5557" s="6" t="s">
        <v>46</v>
      </c>
      <c r="R5557"/>
      <c r="S5557"/>
    </row>
    <row r="5558" spans="2:19" x14ac:dyDescent="0.25">
      <c r="B5558" s="6" t="s">
        <v>46</v>
      </c>
      <c r="R5558"/>
      <c r="S5558"/>
    </row>
    <row r="5559" spans="2:19" x14ac:dyDescent="0.25">
      <c r="B5559" s="6" t="s">
        <v>46</v>
      </c>
      <c r="R5559"/>
      <c r="S5559"/>
    </row>
    <row r="5560" spans="2:19" x14ac:dyDescent="0.25">
      <c r="B5560" s="6" t="s">
        <v>46</v>
      </c>
      <c r="R5560"/>
      <c r="S5560"/>
    </row>
    <row r="5561" spans="2:19" x14ac:dyDescent="0.25">
      <c r="B5561" s="6" t="s">
        <v>46</v>
      </c>
      <c r="R5561"/>
      <c r="S5561"/>
    </row>
    <row r="5562" spans="2:19" x14ac:dyDescent="0.25">
      <c r="B5562" s="6" t="s">
        <v>46</v>
      </c>
      <c r="R5562"/>
      <c r="S5562"/>
    </row>
    <row r="5563" spans="2:19" x14ac:dyDescent="0.25">
      <c r="B5563" s="6" t="s">
        <v>46</v>
      </c>
      <c r="R5563"/>
      <c r="S5563"/>
    </row>
    <row r="5564" spans="2:19" x14ac:dyDescent="0.25">
      <c r="B5564" s="6" t="s">
        <v>46</v>
      </c>
      <c r="R5564"/>
      <c r="S5564"/>
    </row>
    <row r="5565" spans="2:19" x14ac:dyDescent="0.25">
      <c r="B5565" s="6" t="s">
        <v>46</v>
      </c>
      <c r="R5565"/>
      <c r="S5565"/>
    </row>
    <row r="5566" spans="2:19" x14ac:dyDescent="0.25">
      <c r="B5566" s="6" t="s">
        <v>46</v>
      </c>
      <c r="R5566"/>
      <c r="S5566"/>
    </row>
    <row r="5567" spans="2:19" x14ac:dyDescent="0.25">
      <c r="B5567" s="6" t="s">
        <v>46</v>
      </c>
      <c r="R5567"/>
      <c r="S5567"/>
    </row>
    <row r="5568" spans="2:19" x14ac:dyDescent="0.25">
      <c r="B5568" s="6" t="s">
        <v>46</v>
      </c>
      <c r="R5568"/>
      <c r="S5568"/>
    </row>
    <row r="5569" spans="2:19" x14ac:dyDescent="0.25">
      <c r="B5569" s="6" t="s">
        <v>46</v>
      </c>
      <c r="R5569"/>
      <c r="S5569"/>
    </row>
    <row r="5570" spans="2:19" x14ac:dyDescent="0.25">
      <c r="B5570" s="6" t="s">
        <v>46</v>
      </c>
      <c r="R5570"/>
      <c r="S5570"/>
    </row>
    <row r="5571" spans="2:19" x14ac:dyDescent="0.25">
      <c r="B5571" s="6" t="s">
        <v>46</v>
      </c>
      <c r="R5571"/>
      <c r="S5571"/>
    </row>
    <row r="5572" spans="2:19" x14ac:dyDescent="0.25">
      <c r="B5572" s="6" t="s">
        <v>46</v>
      </c>
      <c r="R5572"/>
      <c r="S5572"/>
    </row>
    <row r="5573" spans="2:19" x14ac:dyDescent="0.25">
      <c r="B5573" s="6" t="s">
        <v>46</v>
      </c>
      <c r="R5573"/>
      <c r="S5573"/>
    </row>
    <row r="5574" spans="2:19" x14ac:dyDescent="0.25">
      <c r="B5574" s="6" t="s">
        <v>46</v>
      </c>
      <c r="R5574"/>
      <c r="S5574"/>
    </row>
    <row r="5575" spans="2:19" x14ac:dyDescent="0.25">
      <c r="B5575" s="6" t="s">
        <v>46</v>
      </c>
      <c r="R5575"/>
      <c r="S5575"/>
    </row>
    <row r="5576" spans="2:19" x14ac:dyDescent="0.25">
      <c r="B5576" s="6" t="s">
        <v>46</v>
      </c>
      <c r="R5576"/>
      <c r="S5576"/>
    </row>
    <row r="5577" spans="2:19" x14ac:dyDescent="0.25">
      <c r="B5577" s="6" t="s">
        <v>46</v>
      </c>
      <c r="R5577"/>
      <c r="S5577"/>
    </row>
    <row r="5578" spans="2:19" x14ac:dyDescent="0.25">
      <c r="B5578" s="6" t="s">
        <v>46</v>
      </c>
      <c r="R5578"/>
      <c r="S5578"/>
    </row>
    <row r="5579" spans="2:19" x14ac:dyDescent="0.25">
      <c r="B5579" s="6" t="s">
        <v>46</v>
      </c>
      <c r="R5579"/>
      <c r="S5579"/>
    </row>
    <row r="5580" spans="2:19" x14ac:dyDescent="0.25">
      <c r="B5580" s="6" t="s">
        <v>46</v>
      </c>
      <c r="R5580"/>
      <c r="S5580"/>
    </row>
    <row r="5581" spans="2:19" x14ac:dyDescent="0.25">
      <c r="B5581" s="6" t="s">
        <v>46</v>
      </c>
      <c r="R5581"/>
      <c r="S5581"/>
    </row>
    <row r="5582" spans="2:19" x14ac:dyDescent="0.25">
      <c r="B5582" s="6" t="s">
        <v>46</v>
      </c>
      <c r="R5582"/>
      <c r="S5582"/>
    </row>
    <row r="5583" spans="2:19" x14ac:dyDescent="0.25">
      <c r="B5583" s="6" t="s">
        <v>46</v>
      </c>
      <c r="R5583"/>
      <c r="S5583"/>
    </row>
    <row r="5584" spans="2:19" x14ac:dyDescent="0.25">
      <c r="B5584" s="6" t="s">
        <v>46</v>
      </c>
      <c r="R5584"/>
      <c r="S5584"/>
    </row>
    <row r="5585" spans="2:19" x14ac:dyDescent="0.25">
      <c r="B5585" s="6" t="s">
        <v>46</v>
      </c>
      <c r="R5585"/>
      <c r="S5585"/>
    </row>
    <row r="5586" spans="2:19" x14ac:dyDescent="0.25">
      <c r="B5586" s="6" t="s">
        <v>46</v>
      </c>
      <c r="R5586"/>
      <c r="S5586"/>
    </row>
    <row r="5587" spans="2:19" x14ac:dyDescent="0.25">
      <c r="B5587" s="6" t="s">
        <v>46</v>
      </c>
      <c r="R5587"/>
      <c r="S5587"/>
    </row>
    <row r="5588" spans="2:19" x14ac:dyDescent="0.25">
      <c r="B5588" s="6" t="s">
        <v>46</v>
      </c>
      <c r="R5588"/>
      <c r="S5588"/>
    </row>
    <row r="5589" spans="2:19" x14ac:dyDescent="0.25">
      <c r="B5589" s="6" t="s">
        <v>46</v>
      </c>
      <c r="R5589"/>
      <c r="S5589"/>
    </row>
    <row r="5590" spans="2:19" x14ac:dyDescent="0.25">
      <c r="B5590" s="6" t="s">
        <v>46</v>
      </c>
      <c r="R5590"/>
      <c r="S5590"/>
    </row>
    <row r="5591" spans="2:19" x14ac:dyDescent="0.25">
      <c r="B5591" s="6" t="s">
        <v>46</v>
      </c>
      <c r="R5591"/>
      <c r="S5591"/>
    </row>
    <row r="5592" spans="2:19" x14ac:dyDescent="0.25">
      <c r="B5592" s="6" t="s">
        <v>46</v>
      </c>
      <c r="R5592"/>
      <c r="S5592"/>
    </row>
    <row r="5593" spans="2:19" x14ac:dyDescent="0.25">
      <c r="B5593" s="6" t="s">
        <v>46</v>
      </c>
      <c r="R5593"/>
      <c r="S5593"/>
    </row>
    <row r="5594" spans="2:19" x14ac:dyDescent="0.25">
      <c r="B5594" s="6" t="s">
        <v>46</v>
      </c>
      <c r="R5594"/>
      <c r="S5594"/>
    </row>
    <row r="5595" spans="2:19" x14ac:dyDescent="0.25">
      <c r="B5595" s="6" t="s">
        <v>46</v>
      </c>
      <c r="R5595"/>
      <c r="S5595"/>
    </row>
    <row r="5596" spans="2:19" x14ac:dyDescent="0.25">
      <c r="B5596" s="6" t="s">
        <v>46</v>
      </c>
      <c r="R5596"/>
      <c r="S5596"/>
    </row>
    <row r="5597" spans="2:19" x14ac:dyDescent="0.25">
      <c r="B5597" s="6" t="s">
        <v>46</v>
      </c>
      <c r="R5597"/>
      <c r="S5597"/>
    </row>
    <row r="5598" spans="2:19" x14ac:dyDescent="0.25">
      <c r="B5598" s="6" t="s">
        <v>46</v>
      </c>
      <c r="R5598"/>
      <c r="S5598"/>
    </row>
    <row r="5599" spans="2:19" x14ac:dyDescent="0.25">
      <c r="B5599" s="6" t="s">
        <v>46</v>
      </c>
      <c r="R5599"/>
      <c r="S5599"/>
    </row>
    <row r="5600" spans="2:19" x14ac:dyDescent="0.25">
      <c r="B5600" s="6" t="s">
        <v>46</v>
      </c>
      <c r="R5600"/>
      <c r="S5600"/>
    </row>
    <row r="5601" spans="2:19" x14ac:dyDescent="0.25">
      <c r="B5601" s="6" t="s">
        <v>46</v>
      </c>
      <c r="R5601"/>
      <c r="S5601"/>
    </row>
    <row r="5602" spans="2:19" x14ac:dyDescent="0.25">
      <c r="B5602" s="6" t="s">
        <v>46</v>
      </c>
      <c r="R5602"/>
      <c r="S5602"/>
    </row>
    <row r="5603" spans="2:19" x14ac:dyDescent="0.25">
      <c r="B5603" s="6" t="s">
        <v>46</v>
      </c>
      <c r="R5603"/>
      <c r="S5603"/>
    </row>
    <row r="5604" spans="2:19" x14ac:dyDescent="0.25">
      <c r="B5604" s="6" t="s">
        <v>46</v>
      </c>
      <c r="R5604"/>
      <c r="S5604"/>
    </row>
    <row r="5605" spans="2:19" x14ac:dyDescent="0.25">
      <c r="B5605" s="6" t="s">
        <v>46</v>
      </c>
      <c r="R5605"/>
      <c r="S5605"/>
    </row>
    <row r="5606" spans="2:19" x14ac:dyDescent="0.25">
      <c r="B5606" s="6" t="s">
        <v>46</v>
      </c>
      <c r="R5606"/>
      <c r="S5606"/>
    </row>
    <row r="5607" spans="2:19" x14ac:dyDescent="0.25">
      <c r="B5607" s="6" t="s">
        <v>46</v>
      </c>
      <c r="R5607"/>
      <c r="S5607"/>
    </row>
    <row r="5608" spans="2:19" x14ac:dyDescent="0.25">
      <c r="B5608" s="6" t="s">
        <v>46</v>
      </c>
      <c r="R5608"/>
      <c r="S5608"/>
    </row>
    <row r="5609" spans="2:19" x14ac:dyDescent="0.25">
      <c r="B5609" s="6" t="s">
        <v>46</v>
      </c>
      <c r="R5609"/>
      <c r="S5609"/>
    </row>
    <row r="5610" spans="2:19" x14ac:dyDescent="0.25">
      <c r="B5610" s="6" t="s">
        <v>46</v>
      </c>
      <c r="R5610"/>
      <c r="S5610"/>
    </row>
    <row r="5611" spans="2:19" x14ac:dyDescent="0.25">
      <c r="B5611" s="6" t="s">
        <v>46</v>
      </c>
      <c r="R5611"/>
      <c r="S5611"/>
    </row>
    <row r="5612" spans="2:19" x14ac:dyDescent="0.25">
      <c r="B5612" s="6" t="s">
        <v>46</v>
      </c>
      <c r="R5612"/>
      <c r="S5612"/>
    </row>
    <row r="5613" spans="2:19" x14ac:dyDescent="0.25">
      <c r="B5613" s="6" t="s">
        <v>46</v>
      </c>
      <c r="R5613"/>
      <c r="S5613"/>
    </row>
    <row r="5614" spans="2:19" x14ac:dyDescent="0.25">
      <c r="B5614" s="6" t="s">
        <v>46</v>
      </c>
      <c r="R5614"/>
      <c r="S5614"/>
    </row>
    <row r="5615" spans="2:19" x14ac:dyDescent="0.25">
      <c r="B5615" s="6" t="s">
        <v>46</v>
      </c>
      <c r="R5615"/>
      <c r="S5615"/>
    </row>
    <row r="5616" spans="2:19" x14ac:dyDescent="0.25">
      <c r="B5616" s="6" t="s">
        <v>46</v>
      </c>
      <c r="R5616"/>
      <c r="S5616"/>
    </row>
    <row r="5617" spans="2:19" x14ac:dyDescent="0.25">
      <c r="B5617" s="6" t="s">
        <v>46</v>
      </c>
      <c r="R5617"/>
      <c r="S5617"/>
    </row>
    <row r="5618" spans="2:19" x14ac:dyDescent="0.25">
      <c r="B5618" s="6" t="s">
        <v>46</v>
      </c>
      <c r="R5618"/>
      <c r="S5618"/>
    </row>
    <row r="5619" spans="2:19" x14ac:dyDescent="0.25">
      <c r="B5619" s="6" t="s">
        <v>46</v>
      </c>
      <c r="R5619"/>
      <c r="S5619"/>
    </row>
    <row r="5620" spans="2:19" x14ac:dyDescent="0.25">
      <c r="B5620" s="6" t="s">
        <v>46</v>
      </c>
      <c r="R5620"/>
      <c r="S5620"/>
    </row>
    <row r="5621" spans="2:19" x14ac:dyDescent="0.25">
      <c r="B5621" s="6" t="s">
        <v>46</v>
      </c>
      <c r="R5621"/>
      <c r="S5621"/>
    </row>
    <row r="5622" spans="2:19" x14ac:dyDescent="0.25">
      <c r="B5622" s="6" t="s">
        <v>46</v>
      </c>
      <c r="R5622"/>
      <c r="S5622"/>
    </row>
    <row r="5623" spans="2:19" x14ac:dyDescent="0.25">
      <c r="B5623" s="6" t="s">
        <v>46</v>
      </c>
      <c r="R5623"/>
      <c r="S5623"/>
    </row>
    <row r="5624" spans="2:19" x14ac:dyDescent="0.25">
      <c r="B5624" s="6" t="s">
        <v>46</v>
      </c>
      <c r="R5624"/>
      <c r="S5624"/>
    </row>
    <row r="5625" spans="2:19" x14ac:dyDescent="0.25">
      <c r="B5625" s="6" t="s">
        <v>46</v>
      </c>
      <c r="R5625"/>
      <c r="S5625"/>
    </row>
    <row r="5626" spans="2:19" x14ac:dyDescent="0.25">
      <c r="B5626" s="6" t="s">
        <v>46</v>
      </c>
      <c r="R5626"/>
      <c r="S5626"/>
    </row>
    <row r="5627" spans="2:19" x14ac:dyDescent="0.25">
      <c r="B5627" s="6" t="s">
        <v>46</v>
      </c>
      <c r="R5627"/>
      <c r="S5627"/>
    </row>
    <row r="5628" spans="2:19" x14ac:dyDescent="0.25">
      <c r="B5628" s="6" t="s">
        <v>46</v>
      </c>
      <c r="R5628"/>
      <c r="S5628"/>
    </row>
    <row r="5629" spans="2:19" x14ac:dyDescent="0.25">
      <c r="B5629" s="6" t="s">
        <v>46</v>
      </c>
      <c r="R5629"/>
      <c r="S5629"/>
    </row>
    <row r="5630" spans="2:19" x14ac:dyDescent="0.25">
      <c r="B5630" s="6" t="s">
        <v>46</v>
      </c>
      <c r="R5630"/>
      <c r="S5630"/>
    </row>
    <row r="5631" spans="2:19" x14ac:dyDescent="0.25">
      <c r="B5631" s="6" t="s">
        <v>46</v>
      </c>
      <c r="R5631"/>
      <c r="S5631"/>
    </row>
    <row r="5632" spans="2:19" x14ac:dyDescent="0.25">
      <c r="B5632" s="6" t="s">
        <v>46</v>
      </c>
      <c r="R5632"/>
      <c r="S5632"/>
    </row>
    <row r="5633" spans="2:19" x14ac:dyDescent="0.25">
      <c r="B5633" s="6" t="s">
        <v>46</v>
      </c>
      <c r="R5633"/>
      <c r="S5633"/>
    </row>
    <row r="5634" spans="2:19" x14ac:dyDescent="0.25">
      <c r="B5634" s="6" t="s">
        <v>46</v>
      </c>
      <c r="R5634"/>
      <c r="S5634"/>
    </row>
    <row r="5635" spans="2:19" x14ac:dyDescent="0.25">
      <c r="B5635" s="6" t="s">
        <v>46</v>
      </c>
      <c r="R5635"/>
      <c r="S5635"/>
    </row>
    <row r="5636" spans="2:19" x14ac:dyDescent="0.25">
      <c r="B5636" s="6" t="s">
        <v>46</v>
      </c>
      <c r="R5636"/>
      <c r="S5636"/>
    </row>
    <row r="5637" spans="2:19" x14ac:dyDescent="0.25">
      <c r="B5637" s="6" t="s">
        <v>46</v>
      </c>
      <c r="R5637"/>
      <c r="S5637"/>
    </row>
    <row r="5638" spans="2:19" x14ac:dyDescent="0.25">
      <c r="B5638" s="6" t="s">
        <v>46</v>
      </c>
      <c r="R5638"/>
      <c r="S5638"/>
    </row>
    <row r="5639" spans="2:19" x14ac:dyDescent="0.25">
      <c r="B5639" s="6" t="s">
        <v>46</v>
      </c>
      <c r="R5639"/>
      <c r="S5639"/>
    </row>
    <row r="5640" spans="2:19" x14ac:dyDescent="0.25">
      <c r="B5640" s="6" t="s">
        <v>46</v>
      </c>
      <c r="R5640"/>
      <c r="S5640"/>
    </row>
    <row r="5641" spans="2:19" x14ac:dyDescent="0.25">
      <c r="B5641" s="6" t="s">
        <v>46</v>
      </c>
      <c r="R5641"/>
      <c r="S5641"/>
    </row>
    <row r="5642" spans="2:19" x14ac:dyDescent="0.25">
      <c r="B5642" s="6" t="s">
        <v>46</v>
      </c>
      <c r="R5642"/>
      <c r="S5642"/>
    </row>
    <row r="5643" spans="2:19" x14ac:dyDescent="0.25">
      <c r="B5643" s="6" t="s">
        <v>46</v>
      </c>
      <c r="R5643"/>
      <c r="S5643"/>
    </row>
    <row r="5644" spans="2:19" x14ac:dyDescent="0.25">
      <c r="B5644" s="6" t="s">
        <v>46</v>
      </c>
      <c r="R5644"/>
      <c r="S5644"/>
    </row>
    <row r="5645" spans="2:19" x14ac:dyDescent="0.25">
      <c r="B5645" s="6" t="s">
        <v>46</v>
      </c>
      <c r="R5645"/>
      <c r="S5645"/>
    </row>
    <row r="5646" spans="2:19" x14ac:dyDescent="0.25">
      <c r="B5646" s="6" t="s">
        <v>46</v>
      </c>
      <c r="R5646"/>
      <c r="S5646"/>
    </row>
    <row r="5647" spans="2:19" x14ac:dyDescent="0.25">
      <c r="B5647" s="6" t="s">
        <v>46</v>
      </c>
      <c r="R5647"/>
      <c r="S5647"/>
    </row>
    <row r="5648" spans="2:19" x14ac:dyDescent="0.25">
      <c r="B5648" s="6" t="s">
        <v>46</v>
      </c>
      <c r="R5648"/>
      <c r="S5648"/>
    </row>
    <row r="5649" spans="2:19" x14ac:dyDescent="0.25">
      <c r="B5649" s="6" t="s">
        <v>46</v>
      </c>
      <c r="R5649"/>
      <c r="S5649"/>
    </row>
    <row r="5650" spans="2:19" x14ac:dyDescent="0.25">
      <c r="B5650" s="6" t="s">
        <v>46</v>
      </c>
      <c r="R5650"/>
      <c r="S5650"/>
    </row>
    <row r="5651" spans="2:19" x14ac:dyDescent="0.25">
      <c r="B5651" s="6" t="s">
        <v>46</v>
      </c>
      <c r="R5651"/>
      <c r="S5651"/>
    </row>
    <row r="5652" spans="2:19" x14ac:dyDescent="0.25">
      <c r="B5652" s="6" t="s">
        <v>46</v>
      </c>
      <c r="R5652"/>
      <c r="S5652"/>
    </row>
    <row r="5653" spans="2:19" x14ac:dyDescent="0.25">
      <c r="B5653" s="6" t="s">
        <v>46</v>
      </c>
      <c r="R5653"/>
      <c r="S5653"/>
    </row>
    <row r="5654" spans="2:19" x14ac:dyDescent="0.25">
      <c r="B5654" s="6" t="s">
        <v>46</v>
      </c>
      <c r="R5654"/>
      <c r="S5654"/>
    </row>
    <row r="5655" spans="2:19" x14ac:dyDescent="0.25">
      <c r="B5655" s="6" t="s">
        <v>46</v>
      </c>
      <c r="R5655"/>
      <c r="S5655"/>
    </row>
    <row r="5656" spans="2:19" x14ac:dyDescent="0.25">
      <c r="B5656" s="6" t="s">
        <v>46</v>
      </c>
      <c r="R5656"/>
      <c r="S5656"/>
    </row>
    <row r="5657" spans="2:19" x14ac:dyDescent="0.25">
      <c r="B5657" s="6" t="s">
        <v>46</v>
      </c>
      <c r="R5657"/>
      <c r="S5657"/>
    </row>
    <row r="5658" spans="2:19" x14ac:dyDescent="0.25">
      <c r="B5658" s="6" t="s">
        <v>46</v>
      </c>
      <c r="R5658"/>
      <c r="S5658"/>
    </row>
    <row r="5659" spans="2:19" x14ac:dyDescent="0.25">
      <c r="B5659" s="6" t="s">
        <v>46</v>
      </c>
      <c r="R5659"/>
      <c r="S5659"/>
    </row>
    <row r="5660" spans="2:19" x14ac:dyDescent="0.25">
      <c r="B5660" s="6" t="s">
        <v>46</v>
      </c>
      <c r="R5660"/>
      <c r="S5660"/>
    </row>
    <row r="5661" spans="2:19" x14ac:dyDescent="0.25">
      <c r="B5661" s="6" t="s">
        <v>46</v>
      </c>
      <c r="R5661"/>
      <c r="S5661"/>
    </row>
    <row r="5662" spans="2:19" x14ac:dyDescent="0.25">
      <c r="B5662" s="6" t="s">
        <v>46</v>
      </c>
      <c r="R5662"/>
      <c r="S5662"/>
    </row>
    <row r="5663" spans="2:19" x14ac:dyDescent="0.25">
      <c r="B5663" s="6" t="s">
        <v>46</v>
      </c>
      <c r="R5663"/>
      <c r="S5663"/>
    </row>
    <row r="5664" spans="2:19" x14ac:dyDescent="0.25">
      <c r="B5664" s="6" t="s">
        <v>46</v>
      </c>
      <c r="R5664"/>
      <c r="S5664"/>
    </row>
    <row r="5665" spans="2:19" x14ac:dyDescent="0.25">
      <c r="B5665" s="6" t="s">
        <v>46</v>
      </c>
      <c r="R5665"/>
      <c r="S5665"/>
    </row>
    <row r="5666" spans="2:19" x14ac:dyDescent="0.25">
      <c r="B5666" s="6" t="s">
        <v>46</v>
      </c>
      <c r="R5666"/>
      <c r="S5666"/>
    </row>
    <row r="5667" spans="2:19" x14ac:dyDescent="0.25">
      <c r="B5667" s="6" t="s">
        <v>46</v>
      </c>
      <c r="R5667"/>
      <c r="S5667"/>
    </row>
    <row r="5668" spans="2:19" x14ac:dyDescent="0.25">
      <c r="B5668" s="6" t="s">
        <v>46</v>
      </c>
      <c r="R5668"/>
      <c r="S5668"/>
    </row>
    <row r="5669" spans="2:19" x14ac:dyDescent="0.25">
      <c r="B5669" s="6" t="s">
        <v>46</v>
      </c>
      <c r="R5669"/>
      <c r="S5669"/>
    </row>
    <row r="5670" spans="2:19" x14ac:dyDescent="0.25">
      <c r="B5670" s="6" t="s">
        <v>46</v>
      </c>
      <c r="R5670"/>
      <c r="S5670"/>
    </row>
    <row r="5671" spans="2:19" x14ac:dyDescent="0.25">
      <c r="B5671" s="6" t="s">
        <v>46</v>
      </c>
      <c r="R5671"/>
      <c r="S5671"/>
    </row>
    <row r="5672" spans="2:19" x14ac:dyDescent="0.25">
      <c r="B5672" s="6" t="s">
        <v>46</v>
      </c>
      <c r="R5672"/>
      <c r="S5672"/>
    </row>
    <row r="5673" spans="2:19" x14ac:dyDescent="0.25">
      <c r="B5673" s="6" t="s">
        <v>46</v>
      </c>
      <c r="R5673"/>
      <c r="S5673"/>
    </row>
    <row r="5674" spans="2:19" x14ac:dyDescent="0.25">
      <c r="B5674" s="6" t="s">
        <v>46</v>
      </c>
      <c r="R5674"/>
      <c r="S5674"/>
    </row>
    <row r="5675" spans="2:19" x14ac:dyDescent="0.25">
      <c r="B5675" s="6" t="s">
        <v>46</v>
      </c>
      <c r="R5675"/>
      <c r="S5675"/>
    </row>
    <row r="5676" spans="2:19" x14ac:dyDescent="0.25">
      <c r="B5676" s="6" t="s">
        <v>46</v>
      </c>
      <c r="R5676"/>
      <c r="S5676"/>
    </row>
    <row r="5677" spans="2:19" x14ac:dyDescent="0.25">
      <c r="B5677" s="6" t="s">
        <v>46</v>
      </c>
      <c r="R5677"/>
      <c r="S5677"/>
    </row>
    <row r="5678" spans="2:19" x14ac:dyDescent="0.25">
      <c r="B5678" s="6" t="s">
        <v>46</v>
      </c>
      <c r="R5678"/>
      <c r="S5678"/>
    </row>
    <row r="5679" spans="2:19" x14ac:dyDescent="0.25">
      <c r="B5679" s="6" t="s">
        <v>46</v>
      </c>
      <c r="R5679"/>
      <c r="S5679"/>
    </row>
    <row r="5680" spans="2:19" x14ac:dyDescent="0.25">
      <c r="B5680" s="6" t="s">
        <v>46</v>
      </c>
      <c r="R5680"/>
      <c r="S5680"/>
    </row>
    <row r="5681" spans="2:19" x14ac:dyDescent="0.25">
      <c r="B5681" s="6" t="s">
        <v>46</v>
      </c>
      <c r="R5681"/>
      <c r="S5681"/>
    </row>
    <row r="5682" spans="2:19" x14ac:dyDescent="0.25">
      <c r="B5682" s="6" t="s">
        <v>46</v>
      </c>
      <c r="R5682"/>
      <c r="S5682"/>
    </row>
    <row r="5683" spans="2:19" x14ac:dyDescent="0.25">
      <c r="B5683" s="6" t="s">
        <v>46</v>
      </c>
      <c r="R5683"/>
      <c r="S5683"/>
    </row>
    <row r="5684" spans="2:19" x14ac:dyDescent="0.25">
      <c r="B5684" s="6" t="s">
        <v>46</v>
      </c>
      <c r="R5684"/>
      <c r="S5684"/>
    </row>
    <row r="5685" spans="2:19" x14ac:dyDescent="0.25">
      <c r="B5685" s="6" t="s">
        <v>46</v>
      </c>
      <c r="R5685"/>
      <c r="S5685"/>
    </row>
    <row r="5686" spans="2:19" x14ac:dyDescent="0.25">
      <c r="B5686" s="6" t="s">
        <v>46</v>
      </c>
      <c r="R5686"/>
      <c r="S5686"/>
    </row>
    <row r="5687" spans="2:19" x14ac:dyDescent="0.25">
      <c r="B5687" s="6" t="s">
        <v>46</v>
      </c>
      <c r="R5687"/>
      <c r="S5687"/>
    </row>
    <row r="5688" spans="2:19" x14ac:dyDescent="0.25">
      <c r="B5688" s="6" t="s">
        <v>46</v>
      </c>
      <c r="R5688"/>
      <c r="S5688"/>
    </row>
    <row r="5689" spans="2:19" x14ac:dyDescent="0.25">
      <c r="B5689" s="6" t="s">
        <v>46</v>
      </c>
      <c r="R5689"/>
      <c r="S5689"/>
    </row>
    <row r="5690" spans="2:19" x14ac:dyDescent="0.25">
      <c r="B5690" s="6" t="s">
        <v>46</v>
      </c>
      <c r="R5690"/>
      <c r="S5690"/>
    </row>
    <row r="5691" spans="2:19" x14ac:dyDescent="0.25">
      <c r="B5691" s="6" t="s">
        <v>46</v>
      </c>
      <c r="R5691"/>
      <c r="S5691"/>
    </row>
    <row r="5692" spans="2:19" x14ac:dyDescent="0.25">
      <c r="B5692" s="6" t="s">
        <v>46</v>
      </c>
      <c r="R5692"/>
      <c r="S5692"/>
    </row>
    <row r="5693" spans="2:19" x14ac:dyDescent="0.25">
      <c r="B5693" s="6" t="s">
        <v>46</v>
      </c>
      <c r="R5693"/>
      <c r="S5693"/>
    </row>
    <row r="5694" spans="2:19" x14ac:dyDescent="0.25">
      <c r="B5694" s="6" t="s">
        <v>46</v>
      </c>
      <c r="R5694"/>
      <c r="S5694"/>
    </row>
    <row r="5695" spans="2:19" x14ac:dyDescent="0.25">
      <c r="B5695" s="6" t="s">
        <v>46</v>
      </c>
      <c r="R5695"/>
      <c r="S5695"/>
    </row>
    <row r="5696" spans="2:19" x14ac:dyDescent="0.25">
      <c r="B5696" s="6" t="s">
        <v>46</v>
      </c>
      <c r="R5696"/>
      <c r="S5696"/>
    </row>
    <row r="5697" spans="2:19" x14ac:dyDescent="0.25">
      <c r="B5697" s="6" t="s">
        <v>46</v>
      </c>
      <c r="R5697"/>
      <c r="S5697"/>
    </row>
    <row r="5698" spans="2:19" x14ac:dyDescent="0.25">
      <c r="B5698" s="6" t="s">
        <v>46</v>
      </c>
      <c r="R5698"/>
      <c r="S5698"/>
    </row>
    <row r="5699" spans="2:19" x14ac:dyDescent="0.25">
      <c r="B5699" s="6" t="s">
        <v>46</v>
      </c>
      <c r="R5699"/>
      <c r="S5699"/>
    </row>
    <row r="5700" spans="2:19" x14ac:dyDescent="0.25">
      <c r="B5700" s="6" t="s">
        <v>46</v>
      </c>
      <c r="R5700"/>
      <c r="S5700"/>
    </row>
    <row r="5701" spans="2:19" x14ac:dyDescent="0.25">
      <c r="B5701" s="6" t="s">
        <v>46</v>
      </c>
      <c r="R5701"/>
      <c r="S5701"/>
    </row>
    <row r="5702" spans="2:19" x14ac:dyDescent="0.25">
      <c r="B5702" s="6" t="s">
        <v>46</v>
      </c>
      <c r="R5702"/>
      <c r="S5702"/>
    </row>
    <row r="5703" spans="2:19" x14ac:dyDescent="0.25">
      <c r="B5703" s="6" t="s">
        <v>46</v>
      </c>
      <c r="R5703"/>
      <c r="S5703"/>
    </row>
    <row r="5704" spans="2:19" x14ac:dyDescent="0.25">
      <c r="B5704" s="6" t="s">
        <v>46</v>
      </c>
      <c r="R5704"/>
      <c r="S5704"/>
    </row>
    <row r="5705" spans="2:19" x14ac:dyDescent="0.25">
      <c r="B5705" s="6" t="s">
        <v>46</v>
      </c>
      <c r="R5705"/>
      <c r="S5705"/>
    </row>
    <row r="5706" spans="2:19" x14ac:dyDescent="0.25">
      <c r="B5706" s="6" t="s">
        <v>46</v>
      </c>
      <c r="R5706"/>
      <c r="S5706"/>
    </row>
    <row r="5707" spans="2:19" x14ac:dyDescent="0.25">
      <c r="B5707" s="6" t="s">
        <v>46</v>
      </c>
      <c r="R5707"/>
      <c r="S5707"/>
    </row>
    <row r="5708" spans="2:19" x14ac:dyDescent="0.25">
      <c r="B5708" s="6" t="s">
        <v>46</v>
      </c>
      <c r="R5708"/>
      <c r="S5708"/>
    </row>
    <row r="5709" spans="2:19" x14ac:dyDescent="0.25">
      <c r="B5709" s="6" t="s">
        <v>46</v>
      </c>
      <c r="R5709"/>
      <c r="S5709"/>
    </row>
    <row r="5710" spans="2:19" x14ac:dyDescent="0.25">
      <c r="B5710" s="6" t="s">
        <v>46</v>
      </c>
      <c r="R5710"/>
      <c r="S5710"/>
    </row>
    <row r="5711" spans="2:19" x14ac:dyDescent="0.25">
      <c r="B5711" s="6" t="s">
        <v>46</v>
      </c>
      <c r="R5711"/>
      <c r="S5711"/>
    </row>
    <row r="5712" spans="2:19" x14ac:dyDescent="0.25">
      <c r="B5712" s="6" t="s">
        <v>46</v>
      </c>
      <c r="R5712"/>
      <c r="S5712"/>
    </row>
    <row r="5713" spans="2:19" x14ac:dyDescent="0.25">
      <c r="B5713" s="6" t="s">
        <v>46</v>
      </c>
      <c r="R5713"/>
      <c r="S5713"/>
    </row>
    <row r="5714" spans="2:19" x14ac:dyDescent="0.25">
      <c r="B5714" s="6" t="s">
        <v>46</v>
      </c>
      <c r="R5714"/>
      <c r="S5714"/>
    </row>
    <row r="5715" spans="2:19" x14ac:dyDescent="0.25">
      <c r="B5715" s="6" t="s">
        <v>46</v>
      </c>
      <c r="R5715"/>
      <c r="S5715"/>
    </row>
    <row r="5716" spans="2:19" x14ac:dyDescent="0.25">
      <c r="B5716" s="6" t="s">
        <v>46</v>
      </c>
      <c r="R5716"/>
      <c r="S5716"/>
    </row>
    <row r="5717" spans="2:19" x14ac:dyDescent="0.25">
      <c r="B5717" s="6" t="s">
        <v>46</v>
      </c>
      <c r="R5717"/>
      <c r="S5717"/>
    </row>
    <row r="5718" spans="2:19" x14ac:dyDescent="0.25">
      <c r="B5718" s="6" t="s">
        <v>46</v>
      </c>
      <c r="R5718"/>
      <c r="S5718"/>
    </row>
    <row r="5719" spans="2:19" x14ac:dyDescent="0.25">
      <c r="B5719" s="6" t="s">
        <v>46</v>
      </c>
      <c r="R5719"/>
      <c r="S5719"/>
    </row>
    <row r="5720" spans="2:19" x14ac:dyDescent="0.25">
      <c r="B5720" s="6" t="s">
        <v>46</v>
      </c>
      <c r="R5720"/>
      <c r="S5720"/>
    </row>
    <row r="5721" spans="2:19" x14ac:dyDescent="0.25">
      <c r="B5721" s="6" t="s">
        <v>46</v>
      </c>
      <c r="R5721"/>
      <c r="S5721"/>
    </row>
    <row r="5722" spans="2:19" x14ac:dyDescent="0.25">
      <c r="B5722" s="6" t="s">
        <v>46</v>
      </c>
      <c r="R5722"/>
      <c r="S5722"/>
    </row>
    <row r="5723" spans="2:19" x14ac:dyDescent="0.25">
      <c r="B5723" s="6" t="s">
        <v>46</v>
      </c>
      <c r="R5723"/>
      <c r="S5723"/>
    </row>
    <row r="5724" spans="2:19" x14ac:dyDescent="0.25">
      <c r="B5724" s="6" t="s">
        <v>46</v>
      </c>
      <c r="R5724"/>
      <c r="S5724"/>
    </row>
    <row r="5725" spans="2:19" x14ac:dyDescent="0.25">
      <c r="B5725" s="6" t="s">
        <v>46</v>
      </c>
      <c r="R5725"/>
      <c r="S5725"/>
    </row>
    <row r="5726" spans="2:19" x14ac:dyDescent="0.25">
      <c r="B5726" s="6" t="s">
        <v>46</v>
      </c>
      <c r="R5726"/>
      <c r="S5726"/>
    </row>
    <row r="5727" spans="2:19" x14ac:dyDescent="0.25">
      <c r="B5727" s="6" t="s">
        <v>46</v>
      </c>
      <c r="R5727"/>
      <c r="S5727"/>
    </row>
    <row r="5728" spans="2:19" x14ac:dyDescent="0.25">
      <c r="B5728" s="6" t="s">
        <v>46</v>
      </c>
      <c r="R5728"/>
      <c r="S5728"/>
    </row>
    <row r="5729" spans="2:19" x14ac:dyDescent="0.25">
      <c r="B5729" s="6" t="s">
        <v>46</v>
      </c>
      <c r="R5729"/>
      <c r="S5729"/>
    </row>
    <row r="5730" spans="2:19" x14ac:dyDescent="0.25">
      <c r="B5730" s="6" t="s">
        <v>46</v>
      </c>
      <c r="R5730"/>
      <c r="S5730"/>
    </row>
    <row r="5731" spans="2:19" x14ac:dyDescent="0.25">
      <c r="B5731" s="6" t="s">
        <v>46</v>
      </c>
      <c r="R5731"/>
      <c r="S5731"/>
    </row>
    <row r="5732" spans="2:19" x14ac:dyDescent="0.25">
      <c r="B5732" s="6" t="s">
        <v>46</v>
      </c>
      <c r="R5732"/>
      <c r="S5732"/>
    </row>
    <row r="5733" spans="2:19" x14ac:dyDescent="0.25">
      <c r="B5733" s="6" t="s">
        <v>46</v>
      </c>
      <c r="R5733"/>
      <c r="S5733"/>
    </row>
    <row r="5734" spans="2:19" x14ac:dyDescent="0.25">
      <c r="B5734" s="6" t="s">
        <v>46</v>
      </c>
      <c r="R5734"/>
      <c r="S5734"/>
    </row>
    <row r="5735" spans="2:19" x14ac:dyDescent="0.25">
      <c r="B5735" s="6" t="s">
        <v>46</v>
      </c>
      <c r="R5735"/>
      <c r="S5735"/>
    </row>
    <row r="5736" spans="2:19" x14ac:dyDescent="0.25">
      <c r="B5736" s="6" t="s">
        <v>46</v>
      </c>
      <c r="R5736"/>
      <c r="S5736"/>
    </row>
    <row r="5737" spans="2:19" x14ac:dyDescent="0.25">
      <c r="B5737" s="6" t="s">
        <v>46</v>
      </c>
      <c r="R5737"/>
      <c r="S5737"/>
    </row>
    <row r="5738" spans="2:19" x14ac:dyDescent="0.25">
      <c r="B5738" s="6" t="s">
        <v>46</v>
      </c>
      <c r="R5738"/>
      <c r="S5738"/>
    </row>
    <row r="5739" spans="2:19" x14ac:dyDescent="0.25">
      <c r="B5739" s="6" t="s">
        <v>46</v>
      </c>
      <c r="R5739"/>
      <c r="S5739"/>
    </row>
    <row r="5740" spans="2:19" x14ac:dyDescent="0.25">
      <c r="B5740" s="6" t="s">
        <v>46</v>
      </c>
      <c r="R5740"/>
      <c r="S5740"/>
    </row>
    <row r="5741" spans="2:19" x14ac:dyDescent="0.25">
      <c r="B5741" s="6" t="s">
        <v>46</v>
      </c>
      <c r="R5741"/>
      <c r="S5741"/>
    </row>
    <row r="5742" spans="2:19" x14ac:dyDescent="0.25">
      <c r="B5742" s="6" t="s">
        <v>46</v>
      </c>
      <c r="R5742"/>
      <c r="S5742"/>
    </row>
    <row r="5743" spans="2:19" x14ac:dyDescent="0.25">
      <c r="B5743" s="6" t="s">
        <v>46</v>
      </c>
      <c r="R5743"/>
      <c r="S5743"/>
    </row>
    <row r="5744" spans="2:19" x14ac:dyDescent="0.25">
      <c r="B5744" s="6" t="s">
        <v>46</v>
      </c>
      <c r="R5744"/>
      <c r="S5744"/>
    </row>
    <row r="5745" spans="2:19" x14ac:dyDescent="0.25">
      <c r="B5745" s="6" t="s">
        <v>46</v>
      </c>
      <c r="R5745"/>
      <c r="S5745"/>
    </row>
    <row r="5746" spans="2:19" x14ac:dyDescent="0.25">
      <c r="B5746" s="6" t="s">
        <v>46</v>
      </c>
      <c r="R5746"/>
      <c r="S5746"/>
    </row>
    <row r="5747" spans="2:19" x14ac:dyDescent="0.25">
      <c r="B5747" s="6" t="s">
        <v>46</v>
      </c>
      <c r="R5747"/>
      <c r="S5747"/>
    </row>
    <row r="5748" spans="2:19" x14ac:dyDescent="0.25">
      <c r="B5748" s="6" t="s">
        <v>46</v>
      </c>
      <c r="R5748"/>
      <c r="S5748"/>
    </row>
    <row r="5749" spans="2:19" x14ac:dyDescent="0.25">
      <c r="B5749" s="6" t="s">
        <v>46</v>
      </c>
      <c r="R5749"/>
      <c r="S5749"/>
    </row>
    <row r="5750" spans="2:19" x14ac:dyDescent="0.25">
      <c r="B5750" s="6" t="s">
        <v>46</v>
      </c>
      <c r="R5750"/>
      <c r="S5750"/>
    </row>
    <row r="5751" spans="2:19" x14ac:dyDescent="0.25">
      <c r="B5751" s="6" t="s">
        <v>46</v>
      </c>
      <c r="R5751"/>
      <c r="S5751"/>
    </row>
    <row r="5752" spans="2:19" x14ac:dyDescent="0.25">
      <c r="B5752" s="6" t="s">
        <v>46</v>
      </c>
      <c r="R5752"/>
      <c r="S5752"/>
    </row>
    <row r="5753" spans="2:19" x14ac:dyDescent="0.25">
      <c r="B5753" s="6" t="s">
        <v>46</v>
      </c>
      <c r="R5753"/>
      <c r="S5753"/>
    </row>
    <row r="5754" spans="2:19" x14ac:dyDescent="0.25">
      <c r="B5754" s="6" t="s">
        <v>46</v>
      </c>
      <c r="R5754"/>
      <c r="S5754"/>
    </row>
    <row r="5755" spans="2:19" x14ac:dyDescent="0.25">
      <c r="B5755" s="6" t="s">
        <v>46</v>
      </c>
      <c r="R5755"/>
      <c r="S5755"/>
    </row>
    <row r="5756" spans="2:19" x14ac:dyDescent="0.25">
      <c r="B5756" s="6" t="s">
        <v>46</v>
      </c>
      <c r="R5756"/>
      <c r="S5756"/>
    </row>
    <row r="5757" spans="2:19" x14ac:dyDescent="0.25">
      <c r="B5757" s="6" t="s">
        <v>46</v>
      </c>
      <c r="R5757"/>
      <c r="S5757"/>
    </row>
    <row r="5758" spans="2:19" x14ac:dyDescent="0.25">
      <c r="B5758" s="6" t="s">
        <v>46</v>
      </c>
      <c r="R5758"/>
      <c r="S5758"/>
    </row>
    <row r="5759" spans="2:19" x14ac:dyDescent="0.25">
      <c r="B5759" s="6" t="s">
        <v>46</v>
      </c>
      <c r="R5759"/>
      <c r="S5759"/>
    </row>
    <row r="5760" spans="2:19" x14ac:dyDescent="0.25">
      <c r="B5760" s="6" t="s">
        <v>46</v>
      </c>
      <c r="R5760"/>
      <c r="S5760"/>
    </row>
    <row r="5761" spans="2:19" x14ac:dyDescent="0.25">
      <c r="B5761" s="6" t="s">
        <v>46</v>
      </c>
      <c r="R5761"/>
      <c r="S5761"/>
    </row>
    <row r="5762" spans="2:19" x14ac:dyDescent="0.25">
      <c r="B5762" s="6" t="s">
        <v>46</v>
      </c>
      <c r="R5762"/>
      <c r="S5762"/>
    </row>
    <row r="5763" spans="2:19" x14ac:dyDescent="0.25">
      <c r="B5763" s="6" t="s">
        <v>46</v>
      </c>
      <c r="R5763"/>
      <c r="S5763"/>
    </row>
    <row r="5764" spans="2:19" x14ac:dyDescent="0.25">
      <c r="B5764" s="6" t="s">
        <v>46</v>
      </c>
      <c r="R5764"/>
      <c r="S5764"/>
    </row>
    <row r="5765" spans="2:19" x14ac:dyDescent="0.25">
      <c r="B5765" s="6" t="s">
        <v>46</v>
      </c>
      <c r="R5765"/>
      <c r="S5765"/>
    </row>
    <row r="5766" spans="2:19" x14ac:dyDescent="0.25">
      <c r="B5766" s="6" t="s">
        <v>46</v>
      </c>
      <c r="R5766"/>
      <c r="S5766"/>
    </row>
    <row r="5767" spans="2:19" x14ac:dyDescent="0.25">
      <c r="B5767" s="6" t="s">
        <v>46</v>
      </c>
      <c r="R5767"/>
      <c r="S5767"/>
    </row>
    <row r="5768" spans="2:19" x14ac:dyDescent="0.25">
      <c r="B5768" s="6" t="s">
        <v>46</v>
      </c>
      <c r="R5768"/>
      <c r="S5768"/>
    </row>
    <row r="5769" spans="2:19" x14ac:dyDescent="0.25">
      <c r="B5769" s="6" t="s">
        <v>46</v>
      </c>
      <c r="R5769"/>
      <c r="S5769"/>
    </row>
    <row r="5770" spans="2:19" x14ac:dyDescent="0.25">
      <c r="B5770" s="6" t="s">
        <v>46</v>
      </c>
      <c r="R5770"/>
      <c r="S5770"/>
    </row>
    <row r="5771" spans="2:19" x14ac:dyDescent="0.25">
      <c r="B5771" s="6" t="s">
        <v>46</v>
      </c>
      <c r="R5771"/>
      <c r="S5771"/>
    </row>
    <row r="5772" spans="2:19" x14ac:dyDescent="0.25">
      <c r="B5772" s="6" t="s">
        <v>46</v>
      </c>
      <c r="R5772"/>
      <c r="S5772"/>
    </row>
    <row r="5773" spans="2:19" x14ac:dyDescent="0.25">
      <c r="B5773" s="6" t="s">
        <v>46</v>
      </c>
      <c r="R5773"/>
      <c r="S5773"/>
    </row>
    <row r="5774" spans="2:19" x14ac:dyDescent="0.25">
      <c r="B5774" s="6" t="s">
        <v>46</v>
      </c>
      <c r="R5774"/>
      <c r="S5774"/>
    </row>
    <row r="5775" spans="2:19" x14ac:dyDescent="0.25">
      <c r="B5775" s="6" t="s">
        <v>46</v>
      </c>
      <c r="R5775"/>
      <c r="S5775"/>
    </row>
    <row r="5776" spans="2:19" x14ac:dyDescent="0.25">
      <c r="B5776" s="6" t="s">
        <v>46</v>
      </c>
      <c r="R5776"/>
      <c r="S5776"/>
    </row>
    <row r="5777" spans="2:19" x14ac:dyDescent="0.25">
      <c r="B5777" s="6" t="s">
        <v>46</v>
      </c>
      <c r="R5777"/>
      <c r="S5777"/>
    </row>
    <row r="5778" spans="2:19" x14ac:dyDescent="0.25">
      <c r="B5778" s="6" t="s">
        <v>46</v>
      </c>
      <c r="R5778"/>
      <c r="S5778"/>
    </row>
    <row r="5779" spans="2:19" x14ac:dyDescent="0.25">
      <c r="B5779" s="6" t="s">
        <v>46</v>
      </c>
      <c r="R5779"/>
      <c r="S5779"/>
    </row>
    <row r="5780" spans="2:19" x14ac:dyDescent="0.25">
      <c r="B5780" s="6" t="s">
        <v>46</v>
      </c>
      <c r="R5780"/>
      <c r="S5780"/>
    </row>
    <row r="5781" spans="2:19" x14ac:dyDescent="0.25">
      <c r="B5781" s="6" t="s">
        <v>46</v>
      </c>
      <c r="R5781"/>
      <c r="S5781"/>
    </row>
    <row r="5782" spans="2:19" x14ac:dyDescent="0.25">
      <c r="B5782" s="6" t="s">
        <v>46</v>
      </c>
      <c r="R5782"/>
      <c r="S5782"/>
    </row>
    <row r="5783" spans="2:19" x14ac:dyDescent="0.25">
      <c r="B5783" s="6" t="s">
        <v>46</v>
      </c>
      <c r="R5783"/>
      <c r="S5783"/>
    </row>
    <row r="5784" spans="2:19" x14ac:dyDescent="0.25">
      <c r="B5784" s="6" t="s">
        <v>46</v>
      </c>
      <c r="R5784"/>
      <c r="S5784"/>
    </row>
    <row r="5785" spans="2:19" x14ac:dyDescent="0.25">
      <c r="B5785" s="6" t="s">
        <v>46</v>
      </c>
      <c r="R5785"/>
      <c r="S5785"/>
    </row>
    <row r="5786" spans="2:19" x14ac:dyDescent="0.25">
      <c r="B5786" s="6" t="s">
        <v>46</v>
      </c>
      <c r="R5786"/>
      <c r="S5786"/>
    </row>
    <row r="5787" spans="2:19" x14ac:dyDescent="0.25">
      <c r="B5787" s="6" t="s">
        <v>46</v>
      </c>
      <c r="R5787"/>
      <c r="S5787"/>
    </row>
    <row r="5788" spans="2:19" x14ac:dyDescent="0.25">
      <c r="B5788" s="6" t="s">
        <v>46</v>
      </c>
      <c r="R5788"/>
      <c r="S5788"/>
    </row>
    <row r="5789" spans="2:19" x14ac:dyDescent="0.25">
      <c r="B5789" s="6" t="s">
        <v>46</v>
      </c>
      <c r="R5789"/>
      <c r="S5789"/>
    </row>
    <row r="5790" spans="2:19" x14ac:dyDescent="0.25">
      <c r="B5790" s="6" t="s">
        <v>46</v>
      </c>
      <c r="R5790"/>
      <c r="S5790"/>
    </row>
    <row r="5791" spans="2:19" x14ac:dyDescent="0.25">
      <c r="B5791" s="6" t="s">
        <v>46</v>
      </c>
      <c r="R5791"/>
      <c r="S5791"/>
    </row>
    <row r="5792" spans="2:19" x14ac:dyDescent="0.25">
      <c r="B5792" s="6" t="s">
        <v>46</v>
      </c>
      <c r="R5792"/>
      <c r="S5792"/>
    </row>
    <row r="5793" spans="2:19" x14ac:dyDescent="0.25">
      <c r="B5793" s="6" t="s">
        <v>46</v>
      </c>
      <c r="R5793"/>
      <c r="S5793"/>
    </row>
    <row r="5794" spans="2:19" x14ac:dyDescent="0.25">
      <c r="B5794" s="6" t="s">
        <v>46</v>
      </c>
      <c r="R5794"/>
      <c r="S5794"/>
    </row>
    <row r="5795" spans="2:19" x14ac:dyDescent="0.25">
      <c r="B5795" s="6" t="s">
        <v>46</v>
      </c>
      <c r="R5795"/>
      <c r="S5795"/>
    </row>
    <row r="5796" spans="2:19" x14ac:dyDescent="0.25">
      <c r="B5796" s="6" t="s">
        <v>46</v>
      </c>
      <c r="R5796"/>
      <c r="S5796"/>
    </row>
    <row r="5797" spans="2:19" x14ac:dyDescent="0.25">
      <c r="B5797" s="6" t="s">
        <v>46</v>
      </c>
      <c r="R5797"/>
      <c r="S5797"/>
    </row>
    <row r="5798" spans="2:19" x14ac:dyDescent="0.25">
      <c r="B5798" s="6" t="s">
        <v>46</v>
      </c>
      <c r="R5798"/>
      <c r="S5798"/>
    </row>
    <row r="5799" spans="2:19" x14ac:dyDescent="0.25">
      <c r="B5799" s="6" t="s">
        <v>46</v>
      </c>
      <c r="R5799"/>
      <c r="S5799"/>
    </row>
    <row r="5800" spans="2:19" x14ac:dyDescent="0.25">
      <c r="B5800" s="6" t="s">
        <v>46</v>
      </c>
      <c r="R5800"/>
      <c r="S5800"/>
    </row>
    <row r="5801" spans="2:19" x14ac:dyDescent="0.25">
      <c r="B5801" s="6" t="s">
        <v>46</v>
      </c>
      <c r="R5801"/>
      <c r="S5801"/>
    </row>
    <row r="5802" spans="2:19" x14ac:dyDescent="0.25">
      <c r="B5802" s="6" t="s">
        <v>46</v>
      </c>
      <c r="R5802"/>
      <c r="S5802"/>
    </row>
    <row r="5803" spans="2:19" x14ac:dyDescent="0.25">
      <c r="B5803" s="6" t="s">
        <v>46</v>
      </c>
      <c r="R5803"/>
      <c r="S5803"/>
    </row>
    <row r="5804" spans="2:19" x14ac:dyDescent="0.25">
      <c r="B5804" s="6" t="s">
        <v>46</v>
      </c>
      <c r="R5804"/>
      <c r="S5804"/>
    </row>
    <row r="5805" spans="2:19" x14ac:dyDescent="0.25">
      <c r="B5805" s="6" t="s">
        <v>46</v>
      </c>
      <c r="R5805"/>
      <c r="S5805"/>
    </row>
    <row r="5806" spans="2:19" x14ac:dyDescent="0.25">
      <c r="B5806" s="6" t="s">
        <v>46</v>
      </c>
      <c r="R5806"/>
      <c r="S5806"/>
    </row>
    <row r="5807" spans="2:19" x14ac:dyDescent="0.25">
      <c r="B5807" s="6" t="s">
        <v>46</v>
      </c>
      <c r="R5807"/>
      <c r="S5807"/>
    </row>
    <row r="5808" spans="2:19" x14ac:dyDescent="0.25">
      <c r="B5808" s="6" t="s">
        <v>46</v>
      </c>
      <c r="R5808"/>
      <c r="S5808"/>
    </row>
    <row r="5809" spans="2:19" x14ac:dyDescent="0.25">
      <c r="B5809" s="6" t="s">
        <v>46</v>
      </c>
      <c r="R5809"/>
      <c r="S5809"/>
    </row>
    <row r="5810" spans="2:19" x14ac:dyDescent="0.25">
      <c r="B5810" s="6" t="s">
        <v>46</v>
      </c>
      <c r="R5810"/>
      <c r="S5810"/>
    </row>
    <row r="5811" spans="2:19" x14ac:dyDescent="0.25">
      <c r="B5811" s="6" t="s">
        <v>46</v>
      </c>
      <c r="R5811"/>
      <c r="S5811"/>
    </row>
    <row r="5812" spans="2:19" x14ac:dyDescent="0.25">
      <c r="B5812" s="6" t="s">
        <v>46</v>
      </c>
      <c r="R5812"/>
      <c r="S5812"/>
    </row>
    <row r="5813" spans="2:19" x14ac:dyDescent="0.25">
      <c r="B5813" s="6" t="s">
        <v>46</v>
      </c>
      <c r="R5813"/>
      <c r="S5813"/>
    </row>
    <row r="5814" spans="2:19" x14ac:dyDescent="0.25">
      <c r="B5814" s="6" t="s">
        <v>46</v>
      </c>
      <c r="R5814"/>
      <c r="S5814"/>
    </row>
    <row r="5815" spans="2:19" x14ac:dyDescent="0.25">
      <c r="B5815" s="6" t="s">
        <v>46</v>
      </c>
      <c r="R5815"/>
      <c r="S5815"/>
    </row>
    <row r="5816" spans="2:19" x14ac:dyDescent="0.25">
      <c r="B5816" s="6" t="s">
        <v>46</v>
      </c>
      <c r="R5816"/>
      <c r="S5816"/>
    </row>
    <row r="5817" spans="2:19" x14ac:dyDescent="0.25">
      <c r="B5817" s="6" t="s">
        <v>46</v>
      </c>
      <c r="R5817"/>
      <c r="S5817"/>
    </row>
    <row r="5818" spans="2:19" x14ac:dyDescent="0.25">
      <c r="B5818" s="6" t="s">
        <v>46</v>
      </c>
      <c r="R5818"/>
      <c r="S5818"/>
    </row>
    <row r="5819" spans="2:19" x14ac:dyDescent="0.25">
      <c r="B5819" s="6" t="s">
        <v>46</v>
      </c>
      <c r="R5819"/>
      <c r="S5819"/>
    </row>
    <row r="5820" spans="2:19" x14ac:dyDescent="0.25">
      <c r="B5820" s="6" t="s">
        <v>46</v>
      </c>
      <c r="R5820"/>
      <c r="S5820"/>
    </row>
    <row r="5821" spans="2:19" x14ac:dyDescent="0.25">
      <c r="B5821" s="6" t="s">
        <v>46</v>
      </c>
      <c r="R5821"/>
      <c r="S5821"/>
    </row>
    <row r="5822" spans="2:19" x14ac:dyDescent="0.25">
      <c r="B5822" s="6" t="s">
        <v>46</v>
      </c>
      <c r="R5822"/>
      <c r="S5822"/>
    </row>
    <row r="5823" spans="2:19" x14ac:dyDescent="0.25">
      <c r="B5823" s="6" t="s">
        <v>46</v>
      </c>
      <c r="R5823"/>
      <c r="S5823"/>
    </row>
    <row r="5824" spans="2:19" x14ac:dyDescent="0.25">
      <c r="B5824" s="6" t="s">
        <v>46</v>
      </c>
      <c r="R5824"/>
      <c r="S5824"/>
    </row>
    <row r="5825" spans="2:19" x14ac:dyDescent="0.25">
      <c r="B5825" s="6" t="s">
        <v>46</v>
      </c>
      <c r="R5825"/>
      <c r="S5825"/>
    </row>
    <row r="5826" spans="2:19" x14ac:dyDescent="0.25">
      <c r="B5826" s="6" t="s">
        <v>46</v>
      </c>
      <c r="R5826"/>
      <c r="S5826"/>
    </row>
    <row r="5827" spans="2:19" x14ac:dyDescent="0.25">
      <c r="B5827" s="6" t="s">
        <v>46</v>
      </c>
      <c r="R5827"/>
      <c r="S5827"/>
    </row>
    <row r="5828" spans="2:19" x14ac:dyDescent="0.25">
      <c r="B5828" s="6" t="s">
        <v>46</v>
      </c>
      <c r="R5828"/>
      <c r="S5828"/>
    </row>
    <row r="5829" spans="2:19" x14ac:dyDescent="0.25">
      <c r="B5829" s="6" t="s">
        <v>46</v>
      </c>
      <c r="R5829"/>
      <c r="S5829"/>
    </row>
    <row r="5830" spans="2:19" x14ac:dyDescent="0.25">
      <c r="B5830" s="6" t="s">
        <v>46</v>
      </c>
      <c r="R5830"/>
      <c r="S5830"/>
    </row>
    <row r="5831" spans="2:19" x14ac:dyDescent="0.25">
      <c r="B5831" s="6" t="s">
        <v>46</v>
      </c>
      <c r="R5831"/>
      <c r="S5831"/>
    </row>
    <row r="5832" spans="2:19" x14ac:dyDescent="0.25">
      <c r="B5832" s="6" t="s">
        <v>46</v>
      </c>
      <c r="R5832"/>
      <c r="S5832"/>
    </row>
    <row r="5833" spans="2:19" x14ac:dyDescent="0.25">
      <c r="B5833" s="6" t="s">
        <v>46</v>
      </c>
      <c r="R5833"/>
      <c r="S5833"/>
    </row>
    <row r="5834" spans="2:19" x14ac:dyDescent="0.25">
      <c r="B5834" s="6" t="s">
        <v>46</v>
      </c>
      <c r="R5834"/>
      <c r="S5834"/>
    </row>
    <row r="5835" spans="2:19" x14ac:dyDescent="0.25">
      <c r="B5835" s="6" t="s">
        <v>46</v>
      </c>
      <c r="R5835"/>
      <c r="S5835"/>
    </row>
    <row r="5836" spans="2:19" x14ac:dyDescent="0.25">
      <c r="B5836" s="6" t="s">
        <v>46</v>
      </c>
      <c r="R5836"/>
      <c r="S5836"/>
    </row>
    <row r="5837" spans="2:19" x14ac:dyDescent="0.25">
      <c r="B5837" s="6" t="s">
        <v>46</v>
      </c>
      <c r="R5837"/>
      <c r="S5837"/>
    </row>
    <row r="5838" spans="2:19" x14ac:dyDescent="0.25">
      <c r="B5838" s="6" t="s">
        <v>46</v>
      </c>
      <c r="R5838"/>
      <c r="S5838"/>
    </row>
    <row r="5839" spans="2:19" x14ac:dyDescent="0.25">
      <c r="B5839" s="6" t="s">
        <v>46</v>
      </c>
      <c r="R5839"/>
      <c r="S5839"/>
    </row>
    <row r="5840" spans="2:19" x14ac:dyDescent="0.25">
      <c r="B5840" s="6" t="s">
        <v>46</v>
      </c>
      <c r="R5840"/>
      <c r="S5840"/>
    </row>
    <row r="5841" spans="2:19" x14ac:dyDescent="0.25">
      <c r="B5841" s="6" t="s">
        <v>46</v>
      </c>
      <c r="R5841"/>
      <c r="S5841"/>
    </row>
    <row r="5842" spans="2:19" x14ac:dyDescent="0.25">
      <c r="B5842" s="6" t="s">
        <v>46</v>
      </c>
      <c r="R5842"/>
      <c r="S5842"/>
    </row>
    <row r="5843" spans="2:19" x14ac:dyDescent="0.25">
      <c r="B5843" s="6" t="s">
        <v>46</v>
      </c>
      <c r="R5843"/>
      <c r="S5843"/>
    </row>
    <row r="5844" spans="2:19" x14ac:dyDescent="0.25">
      <c r="B5844" s="6" t="s">
        <v>46</v>
      </c>
      <c r="R5844"/>
      <c r="S5844"/>
    </row>
    <row r="5845" spans="2:19" x14ac:dyDescent="0.25">
      <c r="B5845" s="6" t="s">
        <v>46</v>
      </c>
      <c r="R5845"/>
      <c r="S5845"/>
    </row>
    <row r="5846" spans="2:19" x14ac:dyDescent="0.25">
      <c r="B5846" s="6" t="s">
        <v>46</v>
      </c>
      <c r="R5846"/>
      <c r="S5846"/>
    </row>
    <row r="5847" spans="2:19" x14ac:dyDescent="0.25">
      <c r="B5847" s="6" t="s">
        <v>46</v>
      </c>
      <c r="R5847"/>
      <c r="S5847"/>
    </row>
    <row r="5848" spans="2:19" x14ac:dyDescent="0.25">
      <c r="B5848" s="6" t="s">
        <v>46</v>
      </c>
      <c r="R5848"/>
      <c r="S5848"/>
    </row>
    <row r="5849" spans="2:19" x14ac:dyDescent="0.25">
      <c r="B5849" s="6" t="s">
        <v>46</v>
      </c>
      <c r="R5849"/>
      <c r="S5849"/>
    </row>
    <row r="5850" spans="2:19" x14ac:dyDescent="0.25">
      <c r="B5850" s="6" t="s">
        <v>46</v>
      </c>
      <c r="R5850"/>
      <c r="S5850"/>
    </row>
    <row r="5851" spans="2:19" x14ac:dyDescent="0.25">
      <c r="B5851" s="6" t="s">
        <v>46</v>
      </c>
      <c r="R5851"/>
      <c r="S5851"/>
    </row>
    <row r="5852" spans="2:19" x14ac:dyDescent="0.25">
      <c r="B5852" s="6" t="s">
        <v>46</v>
      </c>
      <c r="R5852"/>
      <c r="S5852"/>
    </row>
    <row r="5853" spans="2:19" x14ac:dyDescent="0.25">
      <c r="B5853" s="6" t="s">
        <v>46</v>
      </c>
      <c r="R5853"/>
      <c r="S5853"/>
    </row>
    <row r="5854" spans="2:19" x14ac:dyDescent="0.25">
      <c r="B5854" s="6" t="s">
        <v>46</v>
      </c>
      <c r="R5854"/>
      <c r="S5854"/>
    </row>
    <row r="5855" spans="2:19" x14ac:dyDescent="0.25">
      <c r="B5855" s="6" t="s">
        <v>46</v>
      </c>
      <c r="R5855"/>
      <c r="S5855"/>
    </row>
    <row r="5856" spans="2:19" x14ac:dyDescent="0.25">
      <c r="B5856" s="6" t="s">
        <v>46</v>
      </c>
      <c r="R5856"/>
      <c r="S5856"/>
    </row>
    <row r="5857" spans="2:19" x14ac:dyDescent="0.25">
      <c r="B5857" s="6" t="s">
        <v>46</v>
      </c>
      <c r="R5857"/>
      <c r="S5857"/>
    </row>
    <row r="5858" spans="2:19" x14ac:dyDescent="0.25">
      <c r="B5858" s="6" t="s">
        <v>46</v>
      </c>
      <c r="R5858"/>
      <c r="S5858"/>
    </row>
    <row r="5859" spans="2:19" x14ac:dyDescent="0.25">
      <c r="B5859" s="6" t="s">
        <v>46</v>
      </c>
      <c r="R5859"/>
      <c r="S5859"/>
    </row>
    <row r="5860" spans="2:19" x14ac:dyDescent="0.25">
      <c r="B5860" s="6" t="s">
        <v>46</v>
      </c>
      <c r="R5860"/>
      <c r="S5860"/>
    </row>
    <row r="5861" spans="2:19" x14ac:dyDescent="0.25">
      <c r="B5861" s="6" t="s">
        <v>46</v>
      </c>
      <c r="R5861"/>
      <c r="S5861"/>
    </row>
    <row r="5862" spans="2:19" x14ac:dyDescent="0.25">
      <c r="B5862" s="6" t="s">
        <v>46</v>
      </c>
      <c r="R5862"/>
      <c r="S5862"/>
    </row>
    <row r="5863" spans="2:19" x14ac:dyDescent="0.25">
      <c r="B5863" s="6" t="s">
        <v>46</v>
      </c>
      <c r="R5863"/>
      <c r="S5863"/>
    </row>
    <row r="5864" spans="2:19" x14ac:dyDescent="0.25">
      <c r="B5864" s="6" t="s">
        <v>46</v>
      </c>
      <c r="R5864"/>
      <c r="S5864"/>
    </row>
    <row r="5865" spans="2:19" x14ac:dyDescent="0.25">
      <c r="B5865" s="6" t="s">
        <v>46</v>
      </c>
      <c r="R5865"/>
      <c r="S5865"/>
    </row>
    <row r="5866" spans="2:19" x14ac:dyDescent="0.25">
      <c r="B5866" s="6" t="s">
        <v>46</v>
      </c>
      <c r="R5866"/>
      <c r="S5866"/>
    </row>
    <row r="5867" spans="2:19" x14ac:dyDescent="0.25">
      <c r="B5867" s="6" t="s">
        <v>46</v>
      </c>
      <c r="R5867"/>
      <c r="S5867"/>
    </row>
    <row r="5868" spans="2:19" x14ac:dyDescent="0.25">
      <c r="B5868" s="6" t="s">
        <v>46</v>
      </c>
      <c r="R5868"/>
      <c r="S5868"/>
    </row>
    <row r="5869" spans="2:19" x14ac:dyDescent="0.25">
      <c r="B5869" s="6" t="s">
        <v>46</v>
      </c>
      <c r="R5869"/>
      <c r="S5869"/>
    </row>
    <row r="5870" spans="2:19" x14ac:dyDescent="0.25">
      <c r="B5870" s="6" t="s">
        <v>46</v>
      </c>
      <c r="R5870"/>
      <c r="S5870"/>
    </row>
    <row r="5871" spans="2:19" x14ac:dyDescent="0.25">
      <c r="B5871" s="6" t="s">
        <v>46</v>
      </c>
      <c r="R5871"/>
      <c r="S5871"/>
    </row>
    <row r="5872" spans="2:19" x14ac:dyDescent="0.25">
      <c r="B5872" s="6" t="s">
        <v>46</v>
      </c>
      <c r="R5872"/>
      <c r="S5872"/>
    </row>
    <row r="5873" spans="2:19" x14ac:dyDescent="0.25">
      <c r="B5873" s="6" t="s">
        <v>46</v>
      </c>
      <c r="R5873"/>
      <c r="S5873"/>
    </row>
    <row r="5874" spans="2:19" x14ac:dyDescent="0.25">
      <c r="B5874" s="6" t="s">
        <v>46</v>
      </c>
      <c r="R5874"/>
      <c r="S5874"/>
    </row>
    <row r="5875" spans="2:19" x14ac:dyDescent="0.25">
      <c r="B5875" s="6" t="s">
        <v>46</v>
      </c>
      <c r="R5875"/>
      <c r="S5875"/>
    </row>
    <row r="5876" spans="2:19" x14ac:dyDescent="0.25">
      <c r="B5876" s="6" t="s">
        <v>46</v>
      </c>
      <c r="R5876"/>
      <c r="S5876"/>
    </row>
    <row r="5877" spans="2:19" x14ac:dyDescent="0.25">
      <c r="B5877" s="6" t="s">
        <v>46</v>
      </c>
      <c r="R5877"/>
      <c r="S5877"/>
    </row>
    <row r="5878" spans="2:19" x14ac:dyDescent="0.25">
      <c r="B5878" s="6" t="s">
        <v>46</v>
      </c>
      <c r="R5878"/>
      <c r="S5878"/>
    </row>
    <row r="5879" spans="2:19" x14ac:dyDescent="0.25">
      <c r="B5879" s="6" t="s">
        <v>46</v>
      </c>
      <c r="R5879"/>
      <c r="S5879"/>
    </row>
    <row r="5880" spans="2:19" x14ac:dyDescent="0.25">
      <c r="B5880" s="6" t="s">
        <v>46</v>
      </c>
      <c r="R5880"/>
      <c r="S5880"/>
    </row>
    <row r="5881" spans="2:19" x14ac:dyDescent="0.25">
      <c r="B5881" s="6" t="s">
        <v>46</v>
      </c>
      <c r="R5881"/>
      <c r="S5881"/>
    </row>
    <row r="5882" spans="2:19" x14ac:dyDescent="0.25">
      <c r="B5882" s="6" t="s">
        <v>46</v>
      </c>
      <c r="R5882"/>
      <c r="S5882"/>
    </row>
    <row r="5883" spans="2:19" x14ac:dyDescent="0.25">
      <c r="B5883" s="6" t="s">
        <v>46</v>
      </c>
      <c r="R5883"/>
      <c r="S5883"/>
    </row>
    <row r="5884" spans="2:19" x14ac:dyDescent="0.25">
      <c r="B5884" s="6" t="s">
        <v>46</v>
      </c>
      <c r="R5884"/>
      <c r="S5884"/>
    </row>
    <row r="5885" spans="2:19" x14ac:dyDescent="0.25">
      <c r="B5885" s="6" t="s">
        <v>46</v>
      </c>
      <c r="R5885"/>
      <c r="S5885"/>
    </row>
    <row r="5886" spans="2:19" x14ac:dyDescent="0.25">
      <c r="B5886" s="6" t="s">
        <v>46</v>
      </c>
      <c r="R5886"/>
      <c r="S5886"/>
    </row>
    <row r="5887" spans="2:19" x14ac:dyDescent="0.25">
      <c r="B5887" s="6" t="s">
        <v>46</v>
      </c>
      <c r="R5887"/>
      <c r="S5887"/>
    </row>
    <row r="5888" spans="2:19" x14ac:dyDescent="0.25">
      <c r="B5888" s="6" t="s">
        <v>46</v>
      </c>
      <c r="R5888"/>
      <c r="S5888"/>
    </row>
    <row r="5889" spans="2:19" x14ac:dyDescent="0.25">
      <c r="B5889" s="6" t="s">
        <v>46</v>
      </c>
      <c r="R5889"/>
      <c r="S5889"/>
    </row>
    <row r="5890" spans="2:19" x14ac:dyDescent="0.25">
      <c r="B5890" s="6" t="s">
        <v>46</v>
      </c>
      <c r="R5890"/>
      <c r="S5890"/>
    </row>
    <row r="5891" spans="2:19" x14ac:dyDescent="0.25">
      <c r="B5891" s="6" t="s">
        <v>46</v>
      </c>
      <c r="R5891"/>
      <c r="S5891"/>
    </row>
    <row r="5892" spans="2:19" x14ac:dyDescent="0.25">
      <c r="B5892" s="6" t="s">
        <v>46</v>
      </c>
      <c r="R5892"/>
      <c r="S5892"/>
    </row>
    <row r="5893" spans="2:19" x14ac:dyDescent="0.25">
      <c r="B5893" s="6" t="s">
        <v>46</v>
      </c>
      <c r="R5893"/>
      <c r="S5893"/>
    </row>
    <row r="5894" spans="2:19" x14ac:dyDescent="0.25">
      <c r="B5894" s="6" t="s">
        <v>46</v>
      </c>
      <c r="R5894"/>
      <c r="S5894"/>
    </row>
    <row r="5895" spans="2:19" x14ac:dyDescent="0.25">
      <c r="B5895" s="6" t="s">
        <v>46</v>
      </c>
      <c r="R5895"/>
      <c r="S5895"/>
    </row>
    <row r="5896" spans="2:19" x14ac:dyDescent="0.25">
      <c r="B5896" s="6" t="s">
        <v>46</v>
      </c>
      <c r="R5896"/>
      <c r="S5896"/>
    </row>
    <row r="5897" spans="2:19" x14ac:dyDescent="0.25">
      <c r="B5897" s="6" t="s">
        <v>46</v>
      </c>
      <c r="R5897"/>
      <c r="S5897"/>
    </row>
    <row r="5898" spans="2:19" x14ac:dyDescent="0.25">
      <c r="B5898" s="6" t="s">
        <v>46</v>
      </c>
      <c r="R5898"/>
      <c r="S5898"/>
    </row>
    <row r="5899" spans="2:19" x14ac:dyDescent="0.25">
      <c r="B5899" s="6" t="s">
        <v>46</v>
      </c>
      <c r="R5899"/>
      <c r="S5899"/>
    </row>
    <row r="5900" spans="2:19" x14ac:dyDescent="0.25">
      <c r="B5900" s="6" t="s">
        <v>46</v>
      </c>
      <c r="R5900"/>
      <c r="S5900"/>
    </row>
    <row r="5901" spans="2:19" x14ac:dyDescent="0.25">
      <c r="B5901" s="6" t="s">
        <v>46</v>
      </c>
      <c r="R5901"/>
      <c r="S5901"/>
    </row>
    <row r="5902" spans="2:19" x14ac:dyDescent="0.25">
      <c r="B5902" s="6" t="s">
        <v>46</v>
      </c>
      <c r="R5902"/>
      <c r="S5902"/>
    </row>
    <row r="5903" spans="2:19" x14ac:dyDescent="0.25">
      <c r="B5903" s="6" t="s">
        <v>46</v>
      </c>
      <c r="R5903"/>
      <c r="S5903"/>
    </row>
    <row r="5904" spans="2:19" x14ac:dyDescent="0.25">
      <c r="B5904" s="6" t="s">
        <v>46</v>
      </c>
      <c r="R5904"/>
      <c r="S5904"/>
    </row>
    <row r="5905" spans="2:19" x14ac:dyDescent="0.25">
      <c r="B5905" s="6" t="s">
        <v>46</v>
      </c>
      <c r="R5905"/>
      <c r="S5905"/>
    </row>
    <row r="5906" spans="2:19" x14ac:dyDescent="0.25">
      <c r="B5906" s="6" t="s">
        <v>46</v>
      </c>
      <c r="R5906"/>
      <c r="S5906"/>
    </row>
    <row r="5907" spans="2:19" x14ac:dyDescent="0.25">
      <c r="B5907" s="6" t="s">
        <v>46</v>
      </c>
      <c r="R5907"/>
      <c r="S5907"/>
    </row>
    <row r="5908" spans="2:19" x14ac:dyDescent="0.25">
      <c r="B5908" s="6" t="s">
        <v>46</v>
      </c>
      <c r="R5908"/>
      <c r="S5908"/>
    </row>
    <row r="5909" spans="2:19" x14ac:dyDescent="0.25">
      <c r="B5909" s="6" t="s">
        <v>46</v>
      </c>
      <c r="R5909"/>
      <c r="S5909"/>
    </row>
    <row r="5910" spans="2:19" x14ac:dyDescent="0.25">
      <c r="B5910" s="6" t="s">
        <v>46</v>
      </c>
      <c r="R5910"/>
      <c r="S5910"/>
    </row>
    <row r="5911" spans="2:19" x14ac:dyDescent="0.25">
      <c r="B5911" s="6" t="s">
        <v>46</v>
      </c>
      <c r="R5911"/>
      <c r="S5911"/>
    </row>
    <row r="5912" spans="2:19" x14ac:dyDescent="0.25">
      <c r="B5912" s="6" t="s">
        <v>46</v>
      </c>
      <c r="R5912"/>
      <c r="S5912"/>
    </row>
    <row r="5913" spans="2:19" x14ac:dyDescent="0.25">
      <c r="B5913" s="6" t="s">
        <v>46</v>
      </c>
      <c r="R5913"/>
      <c r="S5913"/>
    </row>
    <row r="5914" spans="2:19" x14ac:dyDescent="0.25">
      <c r="B5914" s="6" t="s">
        <v>46</v>
      </c>
      <c r="R5914"/>
      <c r="S5914"/>
    </row>
    <row r="5915" spans="2:19" x14ac:dyDescent="0.25">
      <c r="B5915" s="6" t="s">
        <v>46</v>
      </c>
      <c r="R5915"/>
      <c r="S5915"/>
    </row>
    <row r="5916" spans="2:19" x14ac:dyDescent="0.25">
      <c r="B5916" s="6" t="s">
        <v>46</v>
      </c>
      <c r="R5916"/>
      <c r="S5916"/>
    </row>
    <row r="5917" spans="2:19" x14ac:dyDescent="0.25">
      <c r="B5917" s="6" t="s">
        <v>46</v>
      </c>
      <c r="R5917"/>
      <c r="S5917"/>
    </row>
    <row r="5918" spans="2:19" x14ac:dyDescent="0.25">
      <c r="B5918" s="6" t="s">
        <v>46</v>
      </c>
      <c r="R5918"/>
      <c r="S5918"/>
    </row>
    <row r="5919" spans="2:19" x14ac:dyDescent="0.25">
      <c r="B5919" s="6" t="s">
        <v>46</v>
      </c>
      <c r="R5919"/>
      <c r="S5919"/>
    </row>
    <row r="5920" spans="2:19" x14ac:dyDescent="0.25">
      <c r="B5920" s="6" t="s">
        <v>46</v>
      </c>
      <c r="R5920"/>
      <c r="S5920"/>
    </row>
    <row r="5921" spans="2:19" x14ac:dyDescent="0.25">
      <c r="B5921" s="6" t="s">
        <v>46</v>
      </c>
      <c r="R5921"/>
      <c r="S5921"/>
    </row>
    <row r="5922" spans="2:19" x14ac:dyDescent="0.25">
      <c r="B5922" s="6" t="s">
        <v>46</v>
      </c>
      <c r="R5922"/>
      <c r="S5922"/>
    </row>
    <row r="5923" spans="2:19" x14ac:dyDescent="0.25">
      <c r="B5923" s="6" t="s">
        <v>46</v>
      </c>
      <c r="R5923"/>
      <c r="S5923"/>
    </row>
    <row r="5924" spans="2:19" x14ac:dyDescent="0.25">
      <c r="B5924" s="6" t="s">
        <v>46</v>
      </c>
      <c r="R5924"/>
      <c r="S5924"/>
    </row>
    <row r="5925" spans="2:19" x14ac:dyDescent="0.25">
      <c r="B5925" s="6" t="s">
        <v>46</v>
      </c>
      <c r="R5925"/>
      <c r="S5925"/>
    </row>
    <row r="5926" spans="2:19" x14ac:dyDescent="0.25">
      <c r="B5926" s="6" t="s">
        <v>46</v>
      </c>
      <c r="R5926"/>
      <c r="S5926"/>
    </row>
    <row r="5927" spans="2:19" x14ac:dyDescent="0.25">
      <c r="B5927" s="6" t="s">
        <v>46</v>
      </c>
      <c r="R5927"/>
      <c r="S5927"/>
    </row>
    <row r="5928" spans="2:19" x14ac:dyDescent="0.25">
      <c r="B5928" s="6" t="s">
        <v>46</v>
      </c>
      <c r="R5928"/>
      <c r="S5928"/>
    </row>
    <row r="5929" spans="2:19" x14ac:dyDescent="0.25">
      <c r="B5929" s="6" t="s">
        <v>46</v>
      </c>
      <c r="R5929"/>
      <c r="S5929"/>
    </row>
    <row r="5930" spans="2:19" x14ac:dyDescent="0.25">
      <c r="B5930" s="6" t="s">
        <v>46</v>
      </c>
      <c r="R5930"/>
      <c r="S5930"/>
    </row>
    <row r="5931" spans="2:19" x14ac:dyDescent="0.25">
      <c r="B5931" s="6" t="s">
        <v>46</v>
      </c>
      <c r="R5931"/>
      <c r="S5931"/>
    </row>
    <row r="5932" spans="2:19" x14ac:dyDescent="0.25">
      <c r="B5932" s="6" t="s">
        <v>46</v>
      </c>
      <c r="R5932"/>
      <c r="S5932"/>
    </row>
    <row r="5933" spans="2:19" x14ac:dyDescent="0.25">
      <c r="B5933" s="6" t="s">
        <v>46</v>
      </c>
      <c r="R5933"/>
      <c r="S5933"/>
    </row>
    <row r="5934" spans="2:19" x14ac:dyDescent="0.25">
      <c r="B5934" s="6" t="s">
        <v>46</v>
      </c>
      <c r="R5934"/>
      <c r="S5934"/>
    </row>
    <row r="5935" spans="2:19" x14ac:dyDescent="0.25">
      <c r="B5935" s="6" t="s">
        <v>46</v>
      </c>
      <c r="R5935"/>
      <c r="S5935"/>
    </row>
    <row r="5936" spans="2:19" x14ac:dyDescent="0.25">
      <c r="B5936" s="6" t="s">
        <v>46</v>
      </c>
      <c r="R5936"/>
      <c r="S5936"/>
    </row>
    <row r="5937" spans="2:19" x14ac:dyDescent="0.25">
      <c r="B5937" s="6" t="s">
        <v>46</v>
      </c>
      <c r="R5937"/>
      <c r="S5937"/>
    </row>
    <row r="5938" spans="2:19" x14ac:dyDescent="0.25">
      <c r="B5938" s="6" t="s">
        <v>46</v>
      </c>
      <c r="R5938"/>
      <c r="S5938"/>
    </row>
    <row r="5939" spans="2:19" x14ac:dyDescent="0.25">
      <c r="B5939" s="6" t="s">
        <v>46</v>
      </c>
      <c r="R5939"/>
      <c r="S5939"/>
    </row>
    <row r="5940" spans="2:19" x14ac:dyDescent="0.25">
      <c r="B5940" s="6" t="s">
        <v>46</v>
      </c>
      <c r="R5940"/>
      <c r="S5940"/>
    </row>
    <row r="5941" spans="2:19" x14ac:dyDescent="0.25">
      <c r="B5941" s="6" t="s">
        <v>46</v>
      </c>
      <c r="R5941"/>
      <c r="S5941"/>
    </row>
    <row r="5942" spans="2:19" x14ac:dyDescent="0.25">
      <c r="B5942" s="6" t="s">
        <v>46</v>
      </c>
      <c r="R5942"/>
      <c r="S5942"/>
    </row>
    <row r="5943" spans="2:19" x14ac:dyDescent="0.25">
      <c r="B5943" s="6" t="s">
        <v>46</v>
      </c>
      <c r="R5943"/>
      <c r="S5943"/>
    </row>
    <row r="5944" spans="2:19" x14ac:dyDescent="0.25">
      <c r="B5944" s="6" t="s">
        <v>46</v>
      </c>
      <c r="R5944"/>
      <c r="S5944"/>
    </row>
    <row r="5945" spans="2:19" x14ac:dyDescent="0.25">
      <c r="B5945" s="6" t="s">
        <v>46</v>
      </c>
      <c r="R5945"/>
      <c r="S5945"/>
    </row>
    <row r="5946" spans="2:19" x14ac:dyDescent="0.25">
      <c r="B5946" s="6" t="s">
        <v>46</v>
      </c>
      <c r="R5946"/>
      <c r="S5946"/>
    </row>
    <row r="5947" spans="2:19" x14ac:dyDescent="0.25">
      <c r="B5947" s="6" t="s">
        <v>46</v>
      </c>
      <c r="R5947"/>
      <c r="S5947"/>
    </row>
    <row r="5948" spans="2:19" x14ac:dyDescent="0.25">
      <c r="B5948" s="6" t="s">
        <v>46</v>
      </c>
      <c r="R5948"/>
      <c r="S5948"/>
    </row>
    <row r="5949" spans="2:19" x14ac:dyDescent="0.25">
      <c r="B5949" s="6" t="s">
        <v>46</v>
      </c>
      <c r="R5949"/>
      <c r="S5949"/>
    </row>
    <row r="5950" spans="2:19" x14ac:dyDescent="0.25">
      <c r="B5950" s="6" t="s">
        <v>46</v>
      </c>
      <c r="R5950"/>
      <c r="S5950"/>
    </row>
    <row r="5951" spans="2:19" x14ac:dyDescent="0.25">
      <c r="B5951" s="6" t="s">
        <v>46</v>
      </c>
      <c r="R5951"/>
      <c r="S5951"/>
    </row>
    <row r="5952" spans="2:19" x14ac:dyDescent="0.25">
      <c r="B5952" s="6" t="s">
        <v>46</v>
      </c>
      <c r="R5952"/>
      <c r="S5952"/>
    </row>
    <row r="5953" spans="2:19" x14ac:dyDescent="0.25">
      <c r="B5953" s="6" t="s">
        <v>46</v>
      </c>
      <c r="R5953"/>
      <c r="S5953"/>
    </row>
    <row r="5954" spans="2:19" x14ac:dyDescent="0.25">
      <c r="B5954" s="6" t="s">
        <v>46</v>
      </c>
      <c r="R5954"/>
      <c r="S5954"/>
    </row>
    <row r="5955" spans="2:19" x14ac:dyDescent="0.25">
      <c r="B5955" s="6" t="s">
        <v>46</v>
      </c>
      <c r="R5955"/>
      <c r="S5955"/>
    </row>
    <row r="5956" spans="2:19" x14ac:dyDescent="0.25">
      <c r="B5956" s="6" t="s">
        <v>46</v>
      </c>
      <c r="R5956"/>
      <c r="S5956"/>
    </row>
    <row r="5957" spans="2:19" x14ac:dyDescent="0.25">
      <c r="B5957" s="6" t="s">
        <v>46</v>
      </c>
      <c r="R5957"/>
      <c r="S5957"/>
    </row>
    <row r="5958" spans="2:19" x14ac:dyDescent="0.25">
      <c r="B5958" s="6" t="s">
        <v>46</v>
      </c>
      <c r="R5958"/>
      <c r="S5958"/>
    </row>
    <row r="5959" spans="2:19" x14ac:dyDescent="0.25">
      <c r="B5959" s="6" t="s">
        <v>46</v>
      </c>
      <c r="R5959"/>
      <c r="S5959"/>
    </row>
    <row r="5960" spans="2:19" x14ac:dyDescent="0.25">
      <c r="B5960" s="6" t="s">
        <v>46</v>
      </c>
      <c r="R5960"/>
      <c r="S5960"/>
    </row>
    <row r="5961" spans="2:19" x14ac:dyDescent="0.25">
      <c r="B5961" s="6" t="s">
        <v>46</v>
      </c>
      <c r="R5961"/>
      <c r="S5961"/>
    </row>
    <row r="5962" spans="2:19" x14ac:dyDescent="0.25">
      <c r="B5962" s="6" t="s">
        <v>46</v>
      </c>
      <c r="R5962"/>
      <c r="S5962"/>
    </row>
    <row r="5963" spans="2:19" x14ac:dyDescent="0.25">
      <c r="B5963" s="6" t="s">
        <v>46</v>
      </c>
      <c r="R5963"/>
      <c r="S5963"/>
    </row>
    <row r="5964" spans="2:19" x14ac:dyDescent="0.25">
      <c r="B5964" s="6" t="s">
        <v>46</v>
      </c>
      <c r="R5964"/>
      <c r="S5964"/>
    </row>
    <row r="5965" spans="2:19" x14ac:dyDescent="0.25">
      <c r="B5965" s="6" t="s">
        <v>46</v>
      </c>
      <c r="R5965"/>
      <c r="S5965"/>
    </row>
    <row r="5966" spans="2:19" x14ac:dyDescent="0.25">
      <c r="B5966" s="6" t="s">
        <v>46</v>
      </c>
      <c r="R5966"/>
      <c r="S5966"/>
    </row>
    <row r="5967" spans="2:19" x14ac:dyDescent="0.25">
      <c r="B5967" s="6" t="s">
        <v>46</v>
      </c>
      <c r="R5967"/>
      <c r="S5967"/>
    </row>
    <row r="5968" spans="2:19" x14ac:dyDescent="0.25">
      <c r="B5968" s="6" t="s">
        <v>46</v>
      </c>
      <c r="R5968"/>
      <c r="S5968"/>
    </row>
    <row r="5969" spans="2:19" x14ac:dyDescent="0.25">
      <c r="B5969" s="6" t="s">
        <v>46</v>
      </c>
      <c r="R5969"/>
      <c r="S5969"/>
    </row>
    <row r="5970" spans="2:19" x14ac:dyDescent="0.25">
      <c r="B5970" s="6" t="s">
        <v>46</v>
      </c>
      <c r="R5970"/>
      <c r="S5970"/>
    </row>
    <row r="5971" spans="2:19" x14ac:dyDescent="0.25">
      <c r="B5971" s="6" t="s">
        <v>46</v>
      </c>
      <c r="R5971"/>
      <c r="S5971"/>
    </row>
    <row r="5972" spans="2:19" x14ac:dyDescent="0.25">
      <c r="B5972" s="6" t="s">
        <v>46</v>
      </c>
      <c r="R5972"/>
      <c r="S5972"/>
    </row>
    <row r="5973" spans="2:19" x14ac:dyDescent="0.25">
      <c r="B5973" s="6" t="s">
        <v>46</v>
      </c>
      <c r="R5973"/>
      <c r="S5973"/>
    </row>
    <row r="5974" spans="2:19" x14ac:dyDescent="0.25">
      <c r="B5974" s="6" t="s">
        <v>46</v>
      </c>
      <c r="R5974"/>
      <c r="S5974"/>
    </row>
    <row r="5975" spans="2:19" x14ac:dyDescent="0.25">
      <c r="B5975" s="6" t="s">
        <v>46</v>
      </c>
      <c r="R5975"/>
      <c r="S5975"/>
    </row>
    <row r="5976" spans="2:19" x14ac:dyDescent="0.25">
      <c r="B5976" s="6" t="s">
        <v>46</v>
      </c>
      <c r="R5976"/>
      <c r="S5976"/>
    </row>
    <row r="5977" spans="2:19" x14ac:dyDescent="0.25">
      <c r="B5977" s="6" t="s">
        <v>46</v>
      </c>
      <c r="R5977"/>
      <c r="S5977"/>
    </row>
    <row r="5978" spans="2:19" x14ac:dyDescent="0.25">
      <c r="B5978" s="6" t="s">
        <v>46</v>
      </c>
      <c r="R5978"/>
      <c r="S5978"/>
    </row>
    <row r="5979" spans="2:19" x14ac:dyDescent="0.25">
      <c r="B5979" s="6" t="s">
        <v>46</v>
      </c>
      <c r="R5979"/>
      <c r="S5979"/>
    </row>
    <row r="5980" spans="2:19" x14ac:dyDescent="0.25">
      <c r="B5980" s="6" t="s">
        <v>46</v>
      </c>
      <c r="R5980"/>
      <c r="S5980"/>
    </row>
    <row r="5981" spans="2:19" x14ac:dyDescent="0.25">
      <c r="B5981" s="6" t="s">
        <v>46</v>
      </c>
      <c r="R5981"/>
      <c r="S5981"/>
    </row>
    <row r="5982" spans="2:19" x14ac:dyDescent="0.25">
      <c r="B5982" s="6" t="s">
        <v>46</v>
      </c>
      <c r="R5982"/>
      <c r="S5982"/>
    </row>
    <row r="5983" spans="2:19" x14ac:dyDescent="0.25">
      <c r="B5983" s="6" t="s">
        <v>46</v>
      </c>
      <c r="R5983"/>
      <c r="S5983"/>
    </row>
    <row r="5984" spans="2:19" x14ac:dyDescent="0.25">
      <c r="B5984" s="6" t="s">
        <v>46</v>
      </c>
      <c r="R5984"/>
      <c r="S5984"/>
    </row>
    <row r="5985" spans="2:19" x14ac:dyDescent="0.25">
      <c r="B5985" s="6" t="s">
        <v>46</v>
      </c>
      <c r="R5985"/>
      <c r="S5985"/>
    </row>
    <row r="5986" spans="2:19" x14ac:dyDescent="0.25">
      <c r="B5986" s="6" t="s">
        <v>46</v>
      </c>
      <c r="R5986"/>
      <c r="S5986"/>
    </row>
    <row r="5987" spans="2:19" x14ac:dyDescent="0.25">
      <c r="B5987" s="6" t="s">
        <v>46</v>
      </c>
      <c r="R5987"/>
      <c r="S5987"/>
    </row>
    <row r="5988" spans="2:19" x14ac:dyDescent="0.25">
      <c r="B5988" s="6" t="s">
        <v>46</v>
      </c>
      <c r="R5988"/>
      <c r="S5988"/>
    </row>
    <row r="5989" spans="2:19" x14ac:dyDescent="0.25">
      <c r="B5989" s="6" t="s">
        <v>46</v>
      </c>
      <c r="R5989"/>
      <c r="S5989"/>
    </row>
    <row r="5990" spans="2:19" x14ac:dyDescent="0.25">
      <c r="B5990" s="6" t="s">
        <v>46</v>
      </c>
      <c r="R5990"/>
      <c r="S5990"/>
    </row>
    <row r="5991" spans="2:19" x14ac:dyDescent="0.25">
      <c r="B5991" s="6" t="s">
        <v>46</v>
      </c>
      <c r="R5991"/>
      <c r="S5991"/>
    </row>
    <row r="5992" spans="2:19" x14ac:dyDescent="0.25">
      <c r="B5992" s="6" t="s">
        <v>46</v>
      </c>
      <c r="R5992"/>
      <c r="S5992"/>
    </row>
    <row r="5993" spans="2:19" x14ac:dyDescent="0.25">
      <c r="B5993" s="6" t="s">
        <v>46</v>
      </c>
      <c r="R5993"/>
      <c r="S5993"/>
    </row>
    <row r="5994" spans="2:19" x14ac:dyDescent="0.25">
      <c r="B5994" s="6" t="s">
        <v>46</v>
      </c>
      <c r="R5994"/>
      <c r="S5994"/>
    </row>
    <row r="5995" spans="2:19" x14ac:dyDescent="0.25">
      <c r="B5995" s="6" t="s">
        <v>46</v>
      </c>
      <c r="R5995"/>
      <c r="S5995"/>
    </row>
    <row r="5996" spans="2:19" x14ac:dyDescent="0.25">
      <c r="B5996" s="6" t="s">
        <v>46</v>
      </c>
      <c r="R5996"/>
      <c r="S5996"/>
    </row>
    <row r="5997" spans="2:19" x14ac:dyDescent="0.25">
      <c r="B5997" s="6" t="s">
        <v>46</v>
      </c>
      <c r="R5997"/>
      <c r="S5997"/>
    </row>
    <row r="5998" spans="2:19" x14ac:dyDescent="0.25">
      <c r="B5998" s="6" t="s">
        <v>46</v>
      </c>
      <c r="R5998"/>
      <c r="S5998"/>
    </row>
    <row r="5999" spans="2:19" x14ac:dyDescent="0.25">
      <c r="B5999" s="6" t="s">
        <v>46</v>
      </c>
      <c r="R5999"/>
      <c r="S5999"/>
    </row>
    <row r="6000" spans="2:19" x14ac:dyDescent="0.25">
      <c r="B6000" s="6" t="s">
        <v>46</v>
      </c>
      <c r="R6000"/>
      <c r="S6000"/>
    </row>
    <row r="6001" spans="2:19" x14ac:dyDescent="0.25">
      <c r="B6001" s="6" t="s">
        <v>46</v>
      </c>
      <c r="R6001"/>
      <c r="S6001"/>
    </row>
    <row r="6002" spans="2:19" x14ac:dyDescent="0.25">
      <c r="B6002" s="6" t="s">
        <v>46</v>
      </c>
      <c r="R6002"/>
      <c r="S6002"/>
    </row>
    <row r="6003" spans="2:19" x14ac:dyDescent="0.25">
      <c r="B6003" s="6" t="s">
        <v>46</v>
      </c>
      <c r="R6003"/>
      <c r="S6003"/>
    </row>
    <row r="6004" spans="2:19" x14ac:dyDescent="0.25">
      <c r="B6004" s="6" t="s">
        <v>46</v>
      </c>
      <c r="R6004"/>
      <c r="S6004"/>
    </row>
    <row r="6005" spans="2:19" x14ac:dyDescent="0.25">
      <c r="B6005" s="6" t="s">
        <v>46</v>
      </c>
      <c r="R6005"/>
      <c r="S6005"/>
    </row>
    <row r="6006" spans="2:19" x14ac:dyDescent="0.25">
      <c r="B6006" s="6" t="s">
        <v>46</v>
      </c>
      <c r="R6006"/>
      <c r="S6006"/>
    </row>
    <row r="6007" spans="2:19" x14ac:dyDescent="0.25">
      <c r="B6007" s="6" t="s">
        <v>46</v>
      </c>
      <c r="R6007"/>
      <c r="S6007"/>
    </row>
    <row r="6008" spans="2:19" x14ac:dyDescent="0.25">
      <c r="B6008" s="6" t="s">
        <v>46</v>
      </c>
      <c r="R6008"/>
      <c r="S6008"/>
    </row>
    <row r="6009" spans="2:19" x14ac:dyDescent="0.25">
      <c r="B6009" s="6" t="s">
        <v>46</v>
      </c>
      <c r="R6009"/>
      <c r="S6009"/>
    </row>
    <row r="6010" spans="2:19" x14ac:dyDescent="0.25">
      <c r="B6010" s="6" t="s">
        <v>46</v>
      </c>
      <c r="R6010"/>
      <c r="S6010"/>
    </row>
    <row r="6011" spans="2:19" x14ac:dyDescent="0.25">
      <c r="B6011" s="6" t="s">
        <v>46</v>
      </c>
      <c r="R6011"/>
      <c r="S6011"/>
    </row>
    <row r="6012" spans="2:19" x14ac:dyDescent="0.25">
      <c r="B6012" s="6" t="s">
        <v>46</v>
      </c>
      <c r="R6012"/>
      <c r="S6012"/>
    </row>
    <row r="6013" spans="2:19" x14ac:dyDescent="0.25">
      <c r="B6013" s="6" t="s">
        <v>46</v>
      </c>
      <c r="R6013"/>
      <c r="S6013"/>
    </row>
    <row r="6014" spans="2:19" x14ac:dyDescent="0.25">
      <c r="B6014" s="6" t="s">
        <v>46</v>
      </c>
      <c r="R6014"/>
      <c r="S6014"/>
    </row>
    <row r="6015" spans="2:19" x14ac:dyDescent="0.25">
      <c r="B6015" s="6" t="s">
        <v>46</v>
      </c>
      <c r="R6015"/>
      <c r="S6015"/>
    </row>
    <row r="6016" spans="2:19" x14ac:dyDescent="0.25">
      <c r="B6016" s="6" t="s">
        <v>46</v>
      </c>
      <c r="R6016"/>
      <c r="S6016"/>
    </row>
    <row r="6017" spans="2:19" x14ac:dyDescent="0.25">
      <c r="B6017" s="6" t="s">
        <v>46</v>
      </c>
      <c r="R6017"/>
      <c r="S6017"/>
    </row>
    <row r="6018" spans="2:19" x14ac:dyDescent="0.25">
      <c r="B6018" s="6" t="s">
        <v>46</v>
      </c>
      <c r="R6018"/>
      <c r="S6018"/>
    </row>
    <row r="6019" spans="2:19" x14ac:dyDescent="0.25">
      <c r="B6019" s="6" t="s">
        <v>46</v>
      </c>
      <c r="R6019"/>
      <c r="S6019"/>
    </row>
    <row r="6020" spans="2:19" x14ac:dyDescent="0.25">
      <c r="B6020" s="6" t="s">
        <v>46</v>
      </c>
      <c r="R6020"/>
      <c r="S6020"/>
    </row>
    <row r="6021" spans="2:19" x14ac:dyDescent="0.25">
      <c r="B6021" s="6" t="s">
        <v>46</v>
      </c>
      <c r="R6021"/>
      <c r="S6021"/>
    </row>
    <row r="6022" spans="2:19" x14ac:dyDescent="0.25">
      <c r="B6022" s="6" t="s">
        <v>46</v>
      </c>
      <c r="R6022"/>
      <c r="S6022"/>
    </row>
    <row r="6023" spans="2:19" x14ac:dyDescent="0.25">
      <c r="B6023" s="6" t="s">
        <v>46</v>
      </c>
      <c r="R6023"/>
      <c r="S6023"/>
    </row>
    <row r="6024" spans="2:19" x14ac:dyDescent="0.25">
      <c r="B6024" s="6" t="s">
        <v>46</v>
      </c>
      <c r="R6024"/>
      <c r="S6024"/>
    </row>
    <row r="6025" spans="2:19" x14ac:dyDescent="0.25">
      <c r="B6025" s="6" t="s">
        <v>46</v>
      </c>
      <c r="R6025"/>
      <c r="S6025"/>
    </row>
    <row r="6026" spans="2:19" x14ac:dyDescent="0.25">
      <c r="B6026" s="6" t="s">
        <v>46</v>
      </c>
      <c r="R6026"/>
      <c r="S6026"/>
    </row>
    <row r="6027" spans="2:19" x14ac:dyDescent="0.25">
      <c r="B6027" s="6" t="s">
        <v>46</v>
      </c>
      <c r="R6027"/>
      <c r="S6027"/>
    </row>
    <row r="6028" spans="2:19" x14ac:dyDescent="0.25">
      <c r="B6028" s="6" t="s">
        <v>46</v>
      </c>
      <c r="R6028"/>
      <c r="S6028"/>
    </row>
    <row r="6029" spans="2:19" x14ac:dyDescent="0.25">
      <c r="B6029" s="6" t="s">
        <v>46</v>
      </c>
      <c r="R6029"/>
      <c r="S6029"/>
    </row>
    <row r="6030" spans="2:19" x14ac:dyDescent="0.25">
      <c r="B6030" s="6" t="s">
        <v>46</v>
      </c>
      <c r="R6030"/>
      <c r="S6030"/>
    </row>
    <row r="6031" spans="2:19" x14ac:dyDescent="0.25">
      <c r="B6031" s="6" t="s">
        <v>46</v>
      </c>
      <c r="R6031"/>
      <c r="S6031"/>
    </row>
    <row r="6032" spans="2:19" x14ac:dyDescent="0.25">
      <c r="B6032" s="6" t="s">
        <v>46</v>
      </c>
      <c r="R6032"/>
      <c r="S6032"/>
    </row>
    <row r="6033" spans="2:19" x14ac:dyDescent="0.25">
      <c r="B6033" s="6" t="s">
        <v>46</v>
      </c>
      <c r="R6033"/>
      <c r="S6033"/>
    </row>
    <row r="6034" spans="2:19" x14ac:dyDescent="0.25">
      <c r="B6034" s="6" t="s">
        <v>46</v>
      </c>
      <c r="R6034"/>
      <c r="S6034"/>
    </row>
    <row r="6035" spans="2:19" x14ac:dyDescent="0.25">
      <c r="B6035" s="6" t="s">
        <v>46</v>
      </c>
      <c r="R6035"/>
      <c r="S6035"/>
    </row>
    <row r="6036" spans="2:19" x14ac:dyDescent="0.25">
      <c r="B6036" s="6" t="s">
        <v>46</v>
      </c>
      <c r="R6036"/>
      <c r="S6036"/>
    </row>
    <row r="6037" spans="2:19" x14ac:dyDescent="0.25">
      <c r="B6037" s="6" t="s">
        <v>46</v>
      </c>
      <c r="R6037"/>
      <c r="S6037"/>
    </row>
    <row r="6038" spans="2:19" x14ac:dyDescent="0.25">
      <c r="B6038" s="6" t="s">
        <v>46</v>
      </c>
      <c r="R6038"/>
      <c r="S6038"/>
    </row>
    <row r="6039" spans="2:19" x14ac:dyDescent="0.25">
      <c r="B6039" s="6" t="s">
        <v>46</v>
      </c>
      <c r="R6039"/>
      <c r="S6039"/>
    </row>
    <row r="6040" spans="2:19" x14ac:dyDescent="0.25">
      <c r="B6040" s="6" t="s">
        <v>46</v>
      </c>
      <c r="R6040"/>
      <c r="S6040"/>
    </row>
    <row r="6041" spans="2:19" x14ac:dyDescent="0.25">
      <c r="B6041" s="6" t="s">
        <v>46</v>
      </c>
      <c r="R6041"/>
      <c r="S6041"/>
    </row>
    <row r="6042" spans="2:19" x14ac:dyDescent="0.25">
      <c r="B6042" s="6" t="s">
        <v>46</v>
      </c>
      <c r="R6042"/>
      <c r="S6042"/>
    </row>
    <row r="6043" spans="2:19" x14ac:dyDescent="0.25">
      <c r="B6043" s="6" t="s">
        <v>46</v>
      </c>
      <c r="R6043"/>
      <c r="S6043"/>
    </row>
    <row r="6044" spans="2:19" x14ac:dyDescent="0.25">
      <c r="B6044" s="6" t="s">
        <v>46</v>
      </c>
      <c r="R6044"/>
      <c r="S6044"/>
    </row>
    <row r="6045" spans="2:19" x14ac:dyDescent="0.25">
      <c r="B6045" s="6" t="s">
        <v>46</v>
      </c>
      <c r="R6045"/>
      <c r="S6045"/>
    </row>
    <row r="6046" spans="2:19" x14ac:dyDescent="0.25">
      <c r="B6046" s="6" t="s">
        <v>46</v>
      </c>
      <c r="R6046"/>
      <c r="S6046"/>
    </row>
    <row r="6047" spans="2:19" x14ac:dyDescent="0.25">
      <c r="B6047" s="6" t="s">
        <v>46</v>
      </c>
      <c r="R6047"/>
      <c r="S6047"/>
    </row>
    <row r="6048" spans="2:19" x14ac:dyDescent="0.25">
      <c r="B6048" s="6" t="s">
        <v>46</v>
      </c>
      <c r="R6048"/>
      <c r="S6048"/>
    </row>
    <row r="6049" spans="2:19" x14ac:dyDescent="0.25">
      <c r="B6049" s="6" t="s">
        <v>46</v>
      </c>
      <c r="R6049"/>
      <c r="S6049"/>
    </row>
    <row r="6050" spans="2:19" x14ac:dyDescent="0.25">
      <c r="B6050" s="6" t="s">
        <v>46</v>
      </c>
      <c r="R6050"/>
      <c r="S6050"/>
    </row>
    <row r="6051" spans="2:19" x14ac:dyDescent="0.25">
      <c r="B6051" s="6" t="s">
        <v>46</v>
      </c>
      <c r="R6051"/>
      <c r="S6051"/>
    </row>
    <row r="6052" spans="2:19" x14ac:dyDescent="0.25">
      <c r="B6052" s="6" t="s">
        <v>46</v>
      </c>
      <c r="R6052"/>
      <c r="S6052"/>
    </row>
    <row r="6053" spans="2:19" x14ac:dyDescent="0.25">
      <c r="B6053" s="6" t="s">
        <v>46</v>
      </c>
      <c r="R6053"/>
      <c r="S6053"/>
    </row>
    <row r="6054" spans="2:19" x14ac:dyDescent="0.25">
      <c r="B6054" s="6" t="s">
        <v>46</v>
      </c>
      <c r="R6054"/>
      <c r="S6054"/>
    </row>
    <row r="6055" spans="2:19" x14ac:dyDescent="0.25">
      <c r="B6055" s="6" t="s">
        <v>46</v>
      </c>
      <c r="R6055"/>
      <c r="S6055"/>
    </row>
    <row r="6056" spans="2:19" x14ac:dyDescent="0.25">
      <c r="B6056" s="6" t="s">
        <v>46</v>
      </c>
      <c r="R6056"/>
      <c r="S6056"/>
    </row>
    <row r="6057" spans="2:19" x14ac:dyDescent="0.25">
      <c r="B6057" s="6" t="s">
        <v>46</v>
      </c>
      <c r="R6057"/>
      <c r="S6057"/>
    </row>
    <row r="6058" spans="2:19" x14ac:dyDescent="0.25">
      <c r="B6058" s="6" t="s">
        <v>46</v>
      </c>
      <c r="R6058"/>
      <c r="S6058"/>
    </row>
    <row r="6059" spans="2:19" x14ac:dyDescent="0.25">
      <c r="B6059" s="6" t="s">
        <v>46</v>
      </c>
      <c r="R6059"/>
      <c r="S6059"/>
    </row>
    <row r="6060" spans="2:19" x14ac:dyDescent="0.25">
      <c r="B6060" s="6" t="s">
        <v>46</v>
      </c>
      <c r="R6060"/>
      <c r="S6060"/>
    </row>
    <row r="6061" spans="2:19" x14ac:dyDescent="0.25">
      <c r="B6061" s="6" t="s">
        <v>46</v>
      </c>
      <c r="R6061"/>
      <c r="S6061"/>
    </row>
    <row r="6062" spans="2:19" x14ac:dyDescent="0.25">
      <c r="B6062" s="6" t="s">
        <v>46</v>
      </c>
      <c r="R6062"/>
      <c r="S6062"/>
    </row>
    <row r="6063" spans="2:19" x14ac:dyDescent="0.25">
      <c r="B6063" s="6" t="s">
        <v>46</v>
      </c>
      <c r="R6063"/>
      <c r="S6063"/>
    </row>
    <row r="6064" spans="2:19" x14ac:dyDescent="0.25">
      <c r="B6064" s="6" t="s">
        <v>46</v>
      </c>
      <c r="R6064"/>
      <c r="S6064"/>
    </row>
    <row r="6065" spans="2:19" x14ac:dyDescent="0.25">
      <c r="B6065" s="6" t="s">
        <v>46</v>
      </c>
      <c r="R6065"/>
      <c r="S6065"/>
    </row>
    <row r="6066" spans="2:19" x14ac:dyDescent="0.25">
      <c r="B6066" s="6" t="s">
        <v>46</v>
      </c>
      <c r="R6066"/>
      <c r="S6066"/>
    </row>
    <row r="6067" spans="2:19" x14ac:dyDescent="0.25">
      <c r="B6067" s="6" t="s">
        <v>46</v>
      </c>
      <c r="R6067"/>
      <c r="S6067"/>
    </row>
    <row r="6068" spans="2:19" x14ac:dyDescent="0.25">
      <c r="B6068" s="6" t="s">
        <v>46</v>
      </c>
      <c r="R6068"/>
      <c r="S6068"/>
    </row>
    <row r="6069" spans="2:19" x14ac:dyDescent="0.25">
      <c r="B6069" s="6" t="s">
        <v>46</v>
      </c>
      <c r="R6069"/>
      <c r="S6069"/>
    </row>
    <row r="6070" spans="2:19" x14ac:dyDescent="0.25">
      <c r="B6070" s="6" t="s">
        <v>46</v>
      </c>
      <c r="R6070"/>
      <c r="S6070"/>
    </row>
    <row r="6071" spans="2:19" x14ac:dyDescent="0.25">
      <c r="B6071" s="6" t="s">
        <v>46</v>
      </c>
      <c r="R6071"/>
      <c r="S6071"/>
    </row>
    <row r="6072" spans="2:19" x14ac:dyDescent="0.25">
      <c r="B6072" s="6" t="s">
        <v>46</v>
      </c>
      <c r="R6072"/>
      <c r="S6072"/>
    </row>
    <row r="6073" spans="2:19" x14ac:dyDescent="0.25">
      <c r="B6073" s="6" t="s">
        <v>46</v>
      </c>
      <c r="R6073"/>
      <c r="S6073"/>
    </row>
    <row r="6074" spans="2:19" x14ac:dyDescent="0.25">
      <c r="B6074" s="6" t="s">
        <v>46</v>
      </c>
      <c r="R6074"/>
      <c r="S6074"/>
    </row>
    <row r="6075" spans="2:19" x14ac:dyDescent="0.25">
      <c r="B6075" s="6" t="s">
        <v>46</v>
      </c>
      <c r="R6075"/>
      <c r="S6075"/>
    </row>
    <row r="6076" spans="2:19" x14ac:dyDescent="0.25">
      <c r="B6076" s="6" t="s">
        <v>46</v>
      </c>
      <c r="R6076"/>
      <c r="S6076"/>
    </row>
    <row r="6077" spans="2:19" x14ac:dyDescent="0.25">
      <c r="B6077" s="6" t="s">
        <v>46</v>
      </c>
      <c r="R6077"/>
      <c r="S6077"/>
    </row>
    <row r="6078" spans="2:19" x14ac:dyDescent="0.25">
      <c r="B6078" s="6" t="s">
        <v>46</v>
      </c>
      <c r="R6078"/>
      <c r="S6078"/>
    </row>
    <row r="6079" spans="2:19" x14ac:dyDescent="0.25">
      <c r="B6079" s="6" t="s">
        <v>46</v>
      </c>
      <c r="R6079"/>
      <c r="S6079"/>
    </row>
    <row r="6080" spans="2:19" x14ac:dyDescent="0.25">
      <c r="B6080" s="6" t="s">
        <v>46</v>
      </c>
      <c r="R6080"/>
      <c r="S6080"/>
    </row>
    <row r="6081" spans="2:19" x14ac:dyDescent="0.25">
      <c r="B6081" s="6" t="s">
        <v>46</v>
      </c>
      <c r="R6081"/>
      <c r="S6081"/>
    </row>
    <row r="6082" spans="2:19" x14ac:dyDescent="0.25">
      <c r="B6082" s="6" t="s">
        <v>46</v>
      </c>
      <c r="R6082"/>
      <c r="S6082"/>
    </row>
    <row r="6083" spans="2:19" x14ac:dyDescent="0.25">
      <c r="B6083" s="6" t="s">
        <v>46</v>
      </c>
      <c r="R6083"/>
      <c r="S6083"/>
    </row>
    <row r="6084" spans="2:19" x14ac:dyDescent="0.25">
      <c r="B6084" s="6" t="s">
        <v>46</v>
      </c>
      <c r="R6084"/>
      <c r="S6084"/>
    </row>
    <row r="6085" spans="2:19" x14ac:dyDescent="0.25">
      <c r="B6085" s="6" t="s">
        <v>46</v>
      </c>
      <c r="R6085"/>
      <c r="S6085"/>
    </row>
    <row r="6086" spans="2:19" x14ac:dyDescent="0.25">
      <c r="B6086" s="6" t="s">
        <v>46</v>
      </c>
      <c r="R6086"/>
      <c r="S6086"/>
    </row>
    <row r="6087" spans="2:19" x14ac:dyDescent="0.25">
      <c r="B6087" s="6" t="s">
        <v>46</v>
      </c>
      <c r="R6087"/>
      <c r="S6087"/>
    </row>
    <row r="6088" spans="2:19" x14ac:dyDescent="0.25">
      <c r="B6088" s="6" t="s">
        <v>46</v>
      </c>
      <c r="R6088"/>
      <c r="S6088"/>
    </row>
    <row r="6089" spans="2:19" x14ac:dyDescent="0.25">
      <c r="B6089" s="6" t="s">
        <v>46</v>
      </c>
      <c r="R6089"/>
      <c r="S6089"/>
    </row>
    <row r="6090" spans="2:19" x14ac:dyDescent="0.25">
      <c r="B6090" s="6" t="s">
        <v>46</v>
      </c>
      <c r="R6090"/>
      <c r="S6090"/>
    </row>
    <row r="6091" spans="2:19" x14ac:dyDescent="0.25">
      <c r="B6091" s="6" t="s">
        <v>46</v>
      </c>
      <c r="R6091"/>
      <c r="S6091"/>
    </row>
    <row r="6092" spans="2:19" x14ac:dyDescent="0.25">
      <c r="B6092" s="6" t="s">
        <v>46</v>
      </c>
      <c r="R6092"/>
      <c r="S6092"/>
    </row>
    <row r="6093" spans="2:19" x14ac:dyDescent="0.25">
      <c r="B6093" s="6" t="s">
        <v>46</v>
      </c>
      <c r="R6093"/>
      <c r="S6093"/>
    </row>
    <row r="6094" spans="2:19" x14ac:dyDescent="0.25">
      <c r="B6094" s="6" t="s">
        <v>46</v>
      </c>
      <c r="R6094"/>
      <c r="S6094"/>
    </row>
    <row r="6095" spans="2:19" x14ac:dyDescent="0.25">
      <c r="B6095" s="6" t="s">
        <v>46</v>
      </c>
      <c r="R6095"/>
      <c r="S6095"/>
    </row>
    <row r="6096" spans="2:19" x14ac:dyDescent="0.25">
      <c r="B6096" s="6" t="s">
        <v>46</v>
      </c>
      <c r="R6096"/>
      <c r="S6096"/>
    </row>
    <row r="6097" spans="2:19" x14ac:dyDescent="0.25">
      <c r="B6097" s="6" t="s">
        <v>46</v>
      </c>
      <c r="R6097"/>
      <c r="S6097"/>
    </row>
    <row r="6098" spans="2:19" x14ac:dyDescent="0.25">
      <c r="B6098" s="6" t="s">
        <v>46</v>
      </c>
      <c r="R6098"/>
      <c r="S6098"/>
    </row>
    <row r="6099" spans="2:19" x14ac:dyDescent="0.25">
      <c r="B6099" s="6" t="s">
        <v>46</v>
      </c>
      <c r="R6099"/>
      <c r="S6099"/>
    </row>
    <row r="6100" spans="2:19" x14ac:dyDescent="0.25">
      <c r="B6100" s="6" t="s">
        <v>46</v>
      </c>
      <c r="R6100"/>
      <c r="S6100"/>
    </row>
    <row r="6101" spans="2:19" x14ac:dyDescent="0.25">
      <c r="B6101" s="6" t="s">
        <v>46</v>
      </c>
      <c r="R6101"/>
      <c r="S6101"/>
    </row>
    <row r="6102" spans="2:19" x14ac:dyDescent="0.25">
      <c r="B6102" s="6" t="s">
        <v>46</v>
      </c>
      <c r="R6102"/>
      <c r="S6102"/>
    </row>
    <row r="6103" spans="2:19" x14ac:dyDescent="0.25">
      <c r="B6103" s="6" t="s">
        <v>46</v>
      </c>
      <c r="R6103"/>
      <c r="S6103"/>
    </row>
    <row r="6104" spans="2:19" x14ac:dyDescent="0.25">
      <c r="B6104" s="6" t="s">
        <v>46</v>
      </c>
      <c r="R6104"/>
      <c r="S6104"/>
    </row>
    <row r="6105" spans="2:19" x14ac:dyDescent="0.25">
      <c r="B6105" s="6" t="s">
        <v>46</v>
      </c>
      <c r="R6105"/>
      <c r="S6105"/>
    </row>
    <row r="6106" spans="2:19" x14ac:dyDescent="0.25">
      <c r="B6106" s="6" t="s">
        <v>46</v>
      </c>
      <c r="R6106"/>
      <c r="S6106"/>
    </row>
    <row r="6107" spans="2:19" x14ac:dyDescent="0.25">
      <c r="B6107" s="6" t="s">
        <v>46</v>
      </c>
      <c r="R6107"/>
      <c r="S6107"/>
    </row>
    <row r="6108" spans="2:19" x14ac:dyDescent="0.25">
      <c r="B6108" s="6" t="s">
        <v>46</v>
      </c>
      <c r="R6108"/>
      <c r="S6108"/>
    </row>
    <row r="6109" spans="2:19" x14ac:dyDescent="0.25">
      <c r="B6109" s="6" t="s">
        <v>46</v>
      </c>
      <c r="R6109"/>
      <c r="S6109"/>
    </row>
    <row r="6110" spans="2:19" x14ac:dyDescent="0.25">
      <c r="B6110" s="6" t="s">
        <v>46</v>
      </c>
      <c r="R6110"/>
      <c r="S6110"/>
    </row>
    <row r="6111" spans="2:19" x14ac:dyDescent="0.25">
      <c r="B6111" s="6" t="s">
        <v>46</v>
      </c>
      <c r="R6111"/>
      <c r="S6111"/>
    </row>
    <row r="6112" spans="2:19" x14ac:dyDescent="0.25">
      <c r="B6112" s="6" t="s">
        <v>46</v>
      </c>
      <c r="R6112"/>
      <c r="S6112"/>
    </row>
    <row r="6113" spans="2:19" x14ac:dyDescent="0.25">
      <c r="B6113" s="6" t="s">
        <v>46</v>
      </c>
      <c r="R6113"/>
      <c r="S6113"/>
    </row>
    <row r="6114" spans="2:19" x14ac:dyDescent="0.25">
      <c r="B6114" s="6" t="s">
        <v>46</v>
      </c>
      <c r="R6114"/>
      <c r="S6114"/>
    </row>
    <row r="6115" spans="2:19" x14ac:dyDescent="0.25">
      <c r="B6115" s="6" t="s">
        <v>46</v>
      </c>
      <c r="R6115"/>
      <c r="S6115"/>
    </row>
    <row r="6116" spans="2:19" x14ac:dyDescent="0.25">
      <c r="B6116" s="6" t="s">
        <v>46</v>
      </c>
      <c r="R6116"/>
      <c r="S6116"/>
    </row>
    <row r="6117" spans="2:19" x14ac:dyDescent="0.25">
      <c r="B6117" s="6" t="s">
        <v>46</v>
      </c>
      <c r="R6117"/>
      <c r="S6117"/>
    </row>
    <row r="6118" spans="2:19" x14ac:dyDescent="0.25">
      <c r="B6118" s="6" t="s">
        <v>46</v>
      </c>
      <c r="R6118"/>
      <c r="S6118"/>
    </row>
    <row r="6119" spans="2:19" x14ac:dyDescent="0.25">
      <c r="B6119" s="6" t="s">
        <v>46</v>
      </c>
      <c r="R6119"/>
      <c r="S6119"/>
    </row>
    <row r="6120" spans="2:19" x14ac:dyDescent="0.25">
      <c r="B6120" s="6" t="s">
        <v>46</v>
      </c>
      <c r="R6120"/>
      <c r="S6120"/>
    </row>
    <row r="6121" spans="2:19" x14ac:dyDescent="0.25">
      <c r="B6121" s="6" t="s">
        <v>46</v>
      </c>
      <c r="R6121"/>
      <c r="S6121"/>
    </row>
    <row r="6122" spans="2:19" x14ac:dyDescent="0.25">
      <c r="B6122" s="6" t="s">
        <v>46</v>
      </c>
      <c r="R6122"/>
      <c r="S6122"/>
    </row>
    <row r="6123" spans="2:19" x14ac:dyDescent="0.25">
      <c r="B6123" s="6" t="s">
        <v>46</v>
      </c>
      <c r="R6123"/>
      <c r="S6123"/>
    </row>
    <row r="6124" spans="2:19" x14ac:dyDescent="0.25">
      <c r="B6124" s="6" t="s">
        <v>46</v>
      </c>
      <c r="R6124"/>
      <c r="S6124"/>
    </row>
    <row r="6125" spans="2:19" x14ac:dyDescent="0.25">
      <c r="B6125" s="6" t="s">
        <v>46</v>
      </c>
      <c r="R6125"/>
      <c r="S6125"/>
    </row>
    <row r="6126" spans="2:19" x14ac:dyDescent="0.25">
      <c r="B6126" s="6" t="s">
        <v>46</v>
      </c>
      <c r="R6126"/>
      <c r="S6126"/>
    </row>
    <row r="6127" spans="2:19" x14ac:dyDescent="0.25">
      <c r="B6127" s="6" t="s">
        <v>46</v>
      </c>
      <c r="R6127"/>
      <c r="S6127"/>
    </row>
    <row r="6128" spans="2:19" x14ac:dyDescent="0.25">
      <c r="B6128" s="6" t="s">
        <v>46</v>
      </c>
      <c r="R6128"/>
      <c r="S6128"/>
    </row>
    <row r="6129" spans="2:19" x14ac:dyDescent="0.25">
      <c r="B6129" s="6" t="s">
        <v>46</v>
      </c>
      <c r="R6129"/>
      <c r="S6129"/>
    </row>
    <row r="6130" spans="2:19" x14ac:dyDescent="0.25">
      <c r="B6130" s="6" t="s">
        <v>46</v>
      </c>
      <c r="R6130"/>
      <c r="S6130"/>
    </row>
    <row r="6131" spans="2:19" x14ac:dyDescent="0.25">
      <c r="B6131" s="6" t="s">
        <v>46</v>
      </c>
      <c r="R6131"/>
      <c r="S6131"/>
    </row>
    <row r="6132" spans="2:19" x14ac:dyDescent="0.25">
      <c r="B6132" s="6" t="s">
        <v>46</v>
      </c>
      <c r="R6132"/>
      <c r="S6132"/>
    </row>
    <row r="6133" spans="2:19" x14ac:dyDescent="0.25">
      <c r="B6133" s="6" t="s">
        <v>46</v>
      </c>
      <c r="R6133"/>
      <c r="S6133"/>
    </row>
    <row r="6134" spans="2:19" x14ac:dyDescent="0.25">
      <c r="B6134" s="6" t="s">
        <v>46</v>
      </c>
      <c r="R6134"/>
      <c r="S6134"/>
    </row>
    <row r="6135" spans="2:19" x14ac:dyDescent="0.25">
      <c r="B6135" s="6" t="s">
        <v>46</v>
      </c>
      <c r="R6135"/>
      <c r="S6135"/>
    </row>
    <row r="6136" spans="2:19" x14ac:dyDescent="0.25">
      <c r="B6136" s="6" t="s">
        <v>46</v>
      </c>
      <c r="R6136"/>
      <c r="S6136"/>
    </row>
    <row r="6137" spans="2:19" x14ac:dyDescent="0.25">
      <c r="B6137" s="6" t="s">
        <v>46</v>
      </c>
      <c r="R6137"/>
      <c r="S6137"/>
    </row>
    <row r="6138" spans="2:19" x14ac:dyDescent="0.25">
      <c r="B6138" s="6" t="s">
        <v>46</v>
      </c>
      <c r="R6138"/>
      <c r="S6138"/>
    </row>
    <row r="6139" spans="2:19" x14ac:dyDescent="0.25">
      <c r="B6139" s="6" t="s">
        <v>46</v>
      </c>
      <c r="R6139"/>
      <c r="S6139"/>
    </row>
    <row r="6140" spans="2:19" x14ac:dyDescent="0.25">
      <c r="B6140" s="6" t="s">
        <v>46</v>
      </c>
      <c r="R6140"/>
      <c r="S6140"/>
    </row>
    <row r="6141" spans="2:19" x14ac:dyDescent="0.25">
      <c r="B6141" s="6" t="s">
        <v>46</v>
      </c>
      <c r="R6141"/>
      <c r="S6141"/>
    </row>
    <row r="6142" spans="2:19" x14ac:dyDescent="0.25">
      <c r="B6142" s="6" t="s">
        <v>46</v>
      </c>
      <c r="R6142"/>
      <c r="S6142"/>
    </row>
    <row r="6143" spans="2:19" x14ac:dyDescent="0.25">
      <c r="B6143" s="6" t="s">
        <v>46</v>
      </c>
      <c r="R6143"/>
      <c r="S6143"/>
    </row>
    <row r="6144" spans="2:19" x14ac:dyDescent="0.25">
      <c r="B6144" s="6" t="s">
        <v>46</v>
      </c>
      <c r="R6144"/>
      <c r="S6144"/>
    </row>
    <row r="6145" spans="2:19" x14ac:dyDescent="0.25">
      <c r="B6145" s="6" t="s">
        <v>46</v>
      </c>
      <c r="R6145"/>
      <c r="S6145"/>
    </row>
    <row r="6146" spans="2:19" x14ac:dyDescent="0.25">
      <c r="B6146" s="6" t="s">
        <v>46</v>
      </c>
      <c r="R6146"/>
      <c r="S6146"/>
    </row>
    <row r="6147" spans="2:19" x14ac:dyDescent="0.25">
      <c r="B6147" s="6" t="s">
        <v>46</v>
      </c>
      <c r="R6147"/>
      <c r="S6147"/>
    </row>
    <row r="6148" spans="2:19" x14ac:dyDescent="0.25">
      <c r="B6148" s="6" t="s">
        <v>46</v>
      </c>
      <c r="R6148"/>
      <c r="S6148"/>
    </row>
    <row r="6149" spans="2:19" x14ac:dyDescent="0.25">
      <c r="B6149" s="6" t="s">
        <v>46</v>
      </c>
      <c r="R6149"/>
      <c r="S6149"/>
    </row>
    <row r="6150" spans="2:19" x14ac:dyDescent="0.25">
      <c r="B6150" s="6" t="s">
        <v>46</v>
      </c>
      <c r="R6150"/>
      <c r="S6150"/>
    </row>
    <row r="6151" spans="2:19" x14ac:dyDescent="0.25">
      <c r="B6151" s="6" t="s">
        <v>46</v>
      </c>
      <c r="R6151"/>
      <c r="S6151"/>
    </row>
    <row r="6152" spans="2:19" x14ac:dyDescent="0.25">
      <c r="B6152" s="6" t="s">
        <v>46</v>
      </c>
      <c r="R6152"/>
      <c r="S6152"/>
    </row>
    <row r="6153" spans="2:19" x14ac:dyDescent="0.25">
      <c r="B6153" s="6" t="s">
        <v>46</v>
      </c>
      <c r="R6153"/>
      <c r="S6153"/>
    </row>
    <row r="6154" spans="2:19" x14ac:dyDescent="0.25">
      <c r="B6154" s="6" t="s">
        <v>46</v>
      </c>
      <c r="R6154"/>
      <c r="S6154"/>
    </row>
    <row r="6155" spans="2:19" x14ac:dyDescent="0.25">
      <c r="B6155" s="6" t="s">
        <v>46</v>
      </c>
      <c r="R6155"/>
      <c r="S6155"/>
    </row>
    <row r="6156" spans="2:19" x14ac:dyDescent="0.25">
      <c r="B6156" s="6" t="s">
        <v>46</v>
      </c>
      <c r="R6156"/>
      <c r="S6156"/>
    </row>
    <row r="6157" spans="2:19" x14ac:dyDescent="0.25">
      <c r="B6157" s="6" t="s">
        <v>46</v>
      </c>
      <c r="R6157"/>
      <c r="S6157"/>
    </row>
    <row r="6158" spans="2:19" x14ac:dyDescent="0.25">
      <c r="B6158" s="6" t="s">
        <v>46</v>
      </c>
      <c r="R6158"/>
      <c r="S6158"/>
    </row>
    <row r="6159" spans="2:19" x14ac:dyDescent="0.25">
      <c r="B6159" s="6" t="s">
        <v>46</v>
      </c>
      <c r="R6159"/>
      <c r="S6159"/>
    </row>
    <row r="6160" spans="2:19" x14ac:dyDescent="0.25">
      <c r="B6160" s="6" t="s">
        <v>46</v>
      </c>
      <c r="R6160"/>
      <c r="S6160"/>
    </row>
    <row r="6161" spans="2:19" x14ac:dyDescent="0.25">
      <c r="B6161" s="6" t="s">
        <v>46</v>
      </c>
      <c r="R6161"/>
      <c r="S6161"/>
    </row>
    <row r="6162" spans="2:19" x14ac:dyDescent="0.25">
      <c r="B6162" s="6" t="s">
        <v>46</v>
      </c>
      <c r="R6162"/>
      <c r="S6162"/>
    </row>
    <row r="6163" spans="2:19" x14ac:dyDescent="0.25">
      <c r="B6163" s="6" t="s">
        <v>46</v>
      </c>
      <c r="R6163"/>
      <c r="S6163"/>
    </row>
    <row r="6164" spans="2:19" x14ac:dyDescent="0.25">
      <c r="B6164" s="6" t="s">
        <v>46</v>
      </c>
      <c r="R6164"/>
      <c r="S6164"/>
    </row>
    <row r="6165" spans="2:19" x14ac:dyDescent="0.25">
      <c r="B6165" s="6" t="s">
        <v>46</v>
      </c>
      <c r="R6165"/>
      <c r="S6165"/>
    </row>
    <row r="6166" spans="2:19" x14ac:dyDescent="0.25">
      <c r="B6166" s="6" t="s">
        <v>46</v>
      </c>
      <c r="R6166"/>
      <c r="S6166"/>
    </row>
    <row r="6167" spans="2:19" x14ac:dyDescent="0.25">
      <c r="B6167" s="6" t="s">
        <v>46</v>
      </c>
      <c r="R6167"/>
      <c r="S6167"/>
    </row>
    <row r="6168" spans="2:19" x14ac:dyDescent="0.25">
      <c r="B6168" s="6" t="s">
        <v>46</v>
      </c>
      <c r="R6168"/>
      <c r="S6168"/>
    </row>
    <row r="6169" spans="2:19" x14ac:dyDescent="0.25">
      <c r="B6169" s="6" t="s">
        <v>46</v>
      </c>
      <c r="R6169"/>
      <c r="S6169"/>
    </row>
    <row r="6170" spans="2:19" x14ac:dyDescent="0.25">
      <c r="B6170" s="6" t="s">
        <v>46</v>
      </c>
      <c r="R6170"/>
      <c r="S6170"/>
    </row>
    <row r="6171" spans="2:19" x14ac:dyDescent="0.25">
      <c r="B6171" s="6" t="s">
        <v>46</v>
      </c>
      <c r="R6171"/>
      <c r="S6171"/>
    </row>
    <row r="6172" spans="2:19" x14ac:dyDescent="0.25">
      <c r="B6172" s="6" t="s">
        <v>46</v>
      </c>
      <c r="R6172"/>
      <c r="S6172"/>
    </row>
    <row r="6173" spans="2:19" x14ac:dyDescent="0.25">
      <c r="B6173" s="6" t="s">
        <v>46</v>
      </c>
      <c r="R6173"/>
      <c r="S6173"/>
    </row>
    <row r="6174" spans="2:19" x14ac:dyDescent="0.25">
      <c r="B6174" s="6" t="s">
        <v>46</v>
      </c>
      <c r="R6174"/>
      <c r="S6174"/>
    </row>
    <row r="6175" spans="2:19" x14ac:dyDescent="0.25">
      <c r="B6175" s="6" t="s">
        <v>46</v>
      </c>
      <c r="R6175"/>
      <c r="S6175"/>
    </row>
    <row r="6176" spans="2:19" x14ac:dyDescent="0.25">
      <c r="B6176" s="6" t="s">
        <v>46</v>
      </c>
      <c r="R6176"/>
      <c r="S6176"/>
    </row>
    <row r="6177" spans="2:19" x14ac:dyDescent="0.25">
      <c r="B6177" s="6" t="s">
        <v>46</v>
      </c>
      <c r="R6177"/>
      <c r="S6177"/>
    </row>
    <row r="6178" spans="2:19" x14ac:dyDescent="0.25">
      <c r="B6178" s="6" t="s">
        <v>46</v>
      </c>
      <c r="R6178"/>
      <c r="S6178"/>
    </row>
    <row r="6179" spans="2:19" x14ac:dyDescent="0.25">
      <c r="B6179" s="6" t="s">
        <v>46</v>
      </c>
      <c r="R6179"/>
      <c r="S6179"/>
    </row>
    <row r="6180" spans="2:19" x14ac:dyDescent="0.25">
      <c r="B6180" s="6" t="s">
        <v>46</v>
      </c>
      <c r="R6180"/>
      <c r="S6180"/>
    </row>
    <row r="6181" spans="2:19" x14ac:dyDescent="0.25">
      <c r="B6181" s="6" t="s">
        <v>46</v>
      </c>
      <c r="R6181"/>
      <c r="S6181"/>
    </row>
    <row r="6182" spans="2:19" x14ac:dyDescent="0.25">
      <c r="B6182" s="6" t="s">
        <v>46</v>
      </c>
      <c r="R6182"/>
      <c r="S6182"/>
    </row>
    <row r="6183" spans="2:19" x14ac:dyDescent="0.25">
      <c r="B6183" s="6" t="s">
        <v>46</v>
      </c>
      <c r="R6183"/>
      <c r="S6183"/>
    </row>
    <row r="6184" spans="2:19" x14ac:dyDescent="0.25">
      <c r="B6184" s="6" t="s">
        <v>46</v>
      </c>
      <c r="R6184"/>
      <c r="S6184"/>
    </row>
    <row r="6185" spans="2:19" x14ac:dyDescent="0.25">
      <c r="B6185" s="6" t="s">
        <v>46</v>
      </c>
      <c r="R6185"/>
      <c r="S6185"/>
    </row>
    <row r="6186" spans="2:19" x14ac:dyDescent="0.25">
      <c r="B6186" s="6" t="s">
        <v>46</v>
      </c>
      <c r="R6186"/>
      <c r="S6186"/>
    </row>
    <row r="6187" spans="2:19" x14ac:dyDescent="0.25">
      <c r="B6187" s="6" t="s">
        <v>46</v>
      </c>
      <c r="R6187"/>
      <c r="S6187"/>
    </row>
    <row r="6188" spans="2:19" x14ac:dyDescent="0.25">
      <c r="B6188" s="6" t="s">
        <v>46</v>
      </c>
      <c r="R6188"/>
      <c r="S6188"/>
    </row>
    <row r="6189" spans="2:19" x14ac:dyDescent="0.25">
      <c r="B6189" s="6" t="s">
        <v>46</v>
      </c>
      <c r="R6189"/>
      <c r="S6189"/>
    </row>
    <row r="6190" spans="2:19" x14ac:dyDescent="0.25">
      <c r="B6190" s="6" t="s">
        <v>46</v>
      </c>
      <c r="R6190"/>
      <c r="S6190"/>
    </row>
    <row r="6191" spans="2:19" x14ac:dyDescent="0.25">
      <c r="B6191" s="6" t="s">
        <v>46</v>
      </c>
      <c r="R6191"/>
      <c r="S6191"/>
    </row>
    <row r="6192" spans="2:19" x14ac:dyDescent="0.25">
      <c r="B6192" s="6" t="s">
        <v>46</v>
      </c>
      <c r="R6192"/>
      <c r="S6192"/>
    </row>
    <row r="6193" spans="2:19" x14ac:dyDescent="0.25">
      <c r="B6193" s="6" t="s">
        <v>46</v>
      </c>
      <c r="R6193"/>
      <c r="S6193"/>
    </row>
    <row r="6194" spans="2:19" x14ac:dyDescent="0.25">
      <c r="B6194" s="6" t="s">
        <v>46</v>
      </c>
      <c r="R6194"/>
      <c r="S6194"/>
    </row>
    <row r="6195" spans="2:19" x14ac:dyDescent="0.25">
      <c r="B6195" s="6" t="s">
        <v>46</v>
      </c>
      <c r="R6195"/>
      <c r="S6195"/>
    </row>
    <row r="6196" spans="2:19" x14ac:dyDescent="0.25">
      <c r="B6196" s="6" t="s">
        <v>46</v>
      </c>
      <c r="R6196"/>
      <c r="S6196"/>
    </row>
    <row r="6197" spans="2:19" x14ac:dyDescent="0.25">
      <c r="B6197" s="6" t="s">
        <v>46</v>
      </c>
      <c r="R6197"/>
      <c r="S6197"/>
    </row>
    <row r="6198" spans="2:19" x14ac:dyDescent="0.25">
      <c r="B6198" s="6" t="s">
        <v>46</v>
      </c>
      <c r="R6198"/>
      <c r="S6198"/>
    </row>
    <row r="6199" spans="2:19" x14ac:dyDescent="0.25">
      <c r="B6199" s="6" t="s">
        <v>46</v>
      </c>
      <c r="R6199"/>
      <c r="S6199"/>
    </row>
    <row r="6200" spans="2:19" x14ac:dyDescent="0.25">
      <c r="B6200" s="6" t="s">
        <v>46</v>
      </c>
      <c r="R6200"/>
      <c r="S6200"/>
    </row>
    <row r="6201" spans="2:19" x14ac:dyDescent="0.25">
      <c r="B6201" s="6" t="s">
        <v>46</v>
      </c>
      <c r="R6201"/>
      <c r="S6201"/>
    </row>
    <row r="6202" spans="2:19" x14ac:dyDescent="0.25">
      <c r="B6202" s="6" t="s">
        <v>46</v>
      </c>
      <c r="R6202"/>
      <c r="S6202"/>
    </row>
    <row r="6203" spans="2:19" x14ac:dyDescent="0.25">
      <c r="B6203" s="6" t="s">
        <v>46</v>
      </c>
      <c r="R6203"/>
      <c r="S6203"/>
    </row>
    <row r="6204" spans="2:19" x14ac:dyDescent="0.25">
      <c r="B6204" s="6" t="s">
        <v>46</v>
      </c>
      <c r="R6204"/>
      <c r="S6204"/>
    </row>
    <row r="6205" spans="2:19" x14ac:dyDescent="0.25">
      <c r="B6205" s="6" t="s">
        <v>46</v>
      </c>
      <c r="R6205"/>
      <c r="S6205"/>
    </row>
    <row r="6206" spans="2:19" x14ac:dyDescent="0.25">
      <c r="B6206" s="6" t="s">
        <v>46</v>
      </c>
      <c r="R6206"/>
      <c r="S6206"/>
    </row>
    <row r="6207" spans="2:19" x14ac:dyDescent="0.25">
      <c r="B6207" s="6" t="s">
        <v>46</v>
      </c>
      <c r="R6207"/>
      <c r="S6207"/>
    </row>
    <row r="6208" spans="2:19" x14ac:dyDescent="0.25">
      <c r="B6208" s="6" t="s">
        <v>46</v>
      </c>
      <c r="R6208"/>
      <c r="S6208"/>
    </row>
    <row r="6209" spans="2:19" x14ac:dyDescent="0.25">
      <c r="B6209" s="6" t="s">
        <v>46</v>
      </c>
      <c r="R6209"/>
      <c r="S6209"/>
    </row>
    <row r="6210" spans="2:19" x14ac:dyDescent="0.25">
      <c r="B6210" s="6" t="s">
        <v>46</v>
      </c>
      <c r="R6210"/>
      <c r="S6210"/>
    </row>
    <row r="6211" spans="2:19" x14ac:dyDescent="0.25">
      <c r="B6211" s="6" t="s">
        <v>46</v>
      </c>
      <c r="R6211"/>
      <c r="S6211"/>
    </row>
    <row r="6212" spans="2:19" x14ac:dyDescent="0.25">
      <c r="B6212" s="6" t="s">
        <v>46</v>
      </c>
      <c r="R6212"/>
      <c r="S6212"/>
    </row>
    <row r="6213" spans="2:19" x14ac:dyDescent="0.25">
      <c r="B6213" s="6" t="s">
        <v>46</v>
      </c>
      <c r="R6213"/>
      <c r="S6213"/>
    </row>
    <row r="6214" spans="2:19" x14ac:dyDescent="0.25">
      <c r="B6214" s="6" t="s">
        <v>46</v>
      </c>
      <c r="R6214"/>
      <c r="S6214"/>
    </row>
    <row r="6215" spans="2:19" x14ac:dyDescent="0.25">
      <c r="B6215" s="6" t="s">
        <v>46</v>
      </c>
      <c r="R6215"/>
      <c r="S6215"/>
    </row>
    <row r="6216" spans="2:19" x14ac:dyDescent="0.25">
      <c r="B6216" s="6" t="s">
        <v>46</v>
      </c>
      <c r="R6216"/>
      <c r="S6216"/>
    </row>
    <row r="6217" spans="2:19" x14ac:dyDescent="0.25">
      <c r="B6217" s="6" t="s">
        <v>46</v>
      </c>
      <c r="R6217"/>
      <c r="S6217"/>
    </row>
    <row r="6218" spans="2:19" x14ac:dyDescent="0.25">
      <c r="B6218" s="6" t="s">
        <v>46</v>
      </c>
      <c r="R6218"/>
      <c r="S6218"/>
    </row>
    <row r="6219" spans="2:19" x14ac:dyDescent="0.25">
      <c r="B6219" s="6" t="s">
        <v>46</v>
      </c>
      <c r="R6219"/>
      <c r="S6219"/>
    </row>
    <row r="6220" spans="2:19" x14ac:dyDescent="0.25">
      <c r="B6220" s="6" t="s">
        <v>46</v>
      </c>
      <c r="R6220"/>
      <c r="S6220"/>
    </row>
    <row r="6221" spans="2:19" x14ac:dyDescent="0.25">
      <c r="B6221" s="6" t="s">
        <v>46</v>
      </c>
      <c r="R6221"/>
      <c r="S6221"/>
    </row>
    <row r="6222" spans="2:19" x14ac:dyDescent="0.25">
      <c r="B6222" s="6" t="s">
        <v>46</v>
      </c>
      <c r="R6222"/>
      <c r="S6222"/>
    </row>
    <row r="6223" spans="2:19" x14ac:dyDescent="0.25">
      <c r="B6223" s="6" t="s">
        <v>46</v>
      </c>
      <c r="R6223"/>
      <c r="S6223"/>
    </row>
    <row r="6224" spans="2:19" x14ac:dyDescent="0.25">
      <c r="B6224" s="6" t="s">
        <v>46</v>
      </c>
      <c r="R6224"/>
      <c r="S6224"/>
    </row>
    <row r="6225" spans="2:19" x14ac:dyDescent="0.25">
      <c r="B6225" s="6" t="s">
        <v>46</v>
      </c>
      <c r="R6225"/>
      <c r="S6225"/>
    </row>
    <row r="6226" spans="2:19" x14ac:dyDescent="0.25">
      <c r="B6226" s="6" t="s">
        <v>46</v>
      </c>
      <c r="R6226"/>
      <c r="S6226"/>
    </row>
    <row r="6227" spans="2:19" x14ac:dyDescent="0.25">
      <c r="B6227" s="6" t="s">
        <v>46</v>
      </c>
      <c r="R6227"/>
      <c r="S6227"/>
    </row>
    <row r="6228" spans="2:19" x14ac:dyDescent="0.25">
      <c r="B6228" s="6" t="s">
        <v>46</v>
      </c>
      <c r="R6228"/>
      <c r="S6228"/>
    </row>
    <row r="6229" spans="2:19" x14ac:dyDescent="0.25">
      <c r="B6229" s="6" t="s">
        <v>46</v>
      </c>
      <c r="R6229"/>
      <c r="S6229"/>
    </row>
    <row r="6230" spans="2:19" x14ac:dyDescent="0.25">
      <c r="B6230" s="6" t="s">
        <v>46</v>
      </c>
      <c r="R6230"/>
      <c r="S6230"/>
    </row>
    <row r="6231" spans="2:19" x14ac:dyDescent="0.25">
      <c r="B6231" s="6" t="s">
        <v>46</v>
      </c>
      <c r="R6231"/>
      <c r="S6231"/>
    </row>
    <row r="6232" spans="2:19" x14ac:dyDescent="0.25">
      <c r="B6232" s="6" t="s">
        <v>46</v>
      </c>
      <c r="R6232"/>
      <c r="S6232"/>
    </row>
    <row r="6233" spans="2:19" x14ac:dyDescent="0.25">
      <c r="B6233" s="6" t="s">
        <v>46</v>
      </c>
      <c r="R6233"/>
      <c r="S6233"/>
    </row>
    <row r="6234" spans="2:19" x14ac:dyDescent="0.25">
      <c r="B6234" s="6" t="s">
        <v>46</v>
      </c>
      <c r="R6234"/>
      <c r="S6234"/>
    </row>
    <row r="6235" spans="2:19" x14ac:dyDescent="0.25">
      <c r="B6235" s="6" t="s">
        <v>46</v>
      </c>
      <c r="R6235"/>
      <c r="S6235"/>
    </row>
    <row r="6236" spans="2:19" x14ac:dyDescent="0.25">
      <c r="B6236" s="6" t="s">
        <v>46</v>
      </c>
      <c r="R6236"/>
      <c r="S6236"/>
    </row>
    <row r="6237" spans="2:19" x14ac:dyDescent="0.25">
      <c r="B6237" s="6" t="s">
        <v>46</v>
      </c>
      <c r="R6237"/>
      <c r="S6237"/>
    </row>
    <row r="6238" spans="2:19" x14ac:dyDescent="0.25">
      <c r="B6238" s="6" t="s">
        <v>46</v>
      </c>
      <c r="R6238"/>
      <c r="S6238"/>
    </row>
    <row r="6239" spans="2:19" x14ac:dyDescent="0.25">
      <c r="B6239" s="6" t="s">
        <v>46</v>
      </c>
      <c r="R6239"/>
      <c r="S6239"/>
    </row>
    <row r="6240" spans="2:19" x14ac:dyDescent="0.25">
      <c r="B6240" s="6" t="s">
        <v>46</v>
      </c>
      <c r="R6240"/>
      <c r="S6240"/>
    </row>
    <row r="6241" spans="2:19" x14ac:dyDescent="0.25">
      <c r="B6241" s="6" t="s">
        <v>46</v>
      </c>
      <c r="R6241"/>
      <c r="S6241"/>
    </row>
    <row r="6242" spans="2:19" x14ac:dyDescent="0.25">
      <c r="B6242" s="6" t="s">
        <v>46</v>
      </c>
      <c r="R6242"/>
      <c r="S6242"/>
    </row>
    <row r="6243" spans="2:19" x14ac:dyDescent="0.25">
      <c r="B6243" s="6" t="s">
        <v>46</v>
      </c>
      <c r="R6243"/>
      <c r="S6243"/>
    </row>
    <row r="6244" spans="2:19" x14ac:dyDescent="0.25">
      <c r="B6244" s="6" t="s">
        <v>46</v>
      </c>
      <c r="R6244"/>
      <c r="S6244"/>
    </row>
    <row r="6245" spans="2:19" x14ac:dyDescent="0.25">
      <c r="B6245" s="6" t="s">
        <v>46</v>
      </c>
      <c r="R6245"/>
      <c r="S6245"/>
    </row>
    <row r="6246" spans="2:19" x14ac:dyDescent="0.25">
      <c r="B6246" s="6" t="s">
        <v>46</v>
      </c>
      <c r="R6246"/>
      <c r="S6246"/>
    </row>
    <row r="6247" spans="2:19" x14ac:dyDescent="0.25">
      <c r="B6247" s="6" t="s">
        <v>46</v>
      </c>
      <c r="R6247"/>
      <c r="S6247"/>
    </row>
    <row r="6248" spans="2:19" x14ac:dyDescent="0.25">
      <c r="B6248" s="6" t="s">
        <v>46</v>
      </c>
      <c r="R6248"/>
      <c r="S6248"/>
    </row>
    <row r="6249" spans="2:19" x14ac:dyDescent="0.25">
      <c r="B6249" s="6" t="s">
        <v>46</v>
      </c>
      <c r="R6249"/>
      <c r="S6249"/>
    </row>
    <row r="6250" spans="2:19" x14ac:dyDescent="0.25">
      <c r="B6250" s="6" t="s">
        <v>46</v>
      </c>
      <c r="R6250"/>
      <c r="S6250"/>
    </row>
    <row r="6251" spans="2:19" x14ac:dyDescent="0.25">
      <c r="B6251" s="6" t="s">
        <v>46</v>
      </c>
      <c r="R6251"/>
      <c r="S6251"/>
    </row>
    <row r="6252" spans="2:19" x14ac:dyDescent="0.25">
      <c r="B6252" s="6" t="s">
        <v>46</v>
      </c>
      <c r="R6252"/>
      <c r="S6252"/>
    </row>
    <row r="6253" spans="2:19" x14ac:dyDescent="0.25">
      <c r="B6253" s="6" t="s">
        <v>46</v>
      </c>
      <c r="R6253"/>
      <c r="S6253"/>
    </row>
    <row r="6254" spans="2:19" x14ac:dyDescent="0.25">
      <c r="B6254" s="6" t="s">
        <v>46</v>
      </c>
      <c r="R6254"/>
      <c r="S6254"/>
    </row>
    <row r="6255" spans="2:19" x14ac:dyDescent="0.25">
      <c r="B6255" s="6" t="s">
        <v>46</v>
      </c>
      <c r="R6255"/>
      <c r="S6255"/>
    </row>
    <row r="6256" spans="2:19" x14ac:dyDescent="0.25">
      <c r="B6256" s="6" t="s">
        <v>46</v>
      </c>
      <c r="R6256"/>
      <c r="S6256"/>
    </row>
    <row r="6257" spans="2:19" x14ac:dyDescent="0.25">
      <c r="B6257" s="6" t="s">
        <v>46</v>
      </c>
      <c r="R6257"/>
      <c r="S6257"/>
    </row>
    <row r="6258" spans="2:19" x14ac:dyDescent="0.25">
      <c r="B6258" s="6" t="s">
        <v>46</v>
      </c>
      <c r="R6258"/>
      <c r="S6258"/>
    </row>
    <row r="6259" spans="2:19" x14ac:dyDescent="0.25">
      <c r="B6259" s="6" t="s">
        <v>46</v>
      </c>
      <c r="R6259"/>
      <c r="S6259"/>
    </row>
    <row r="6260" spans="2:19" x14ac:dyDescent="0.25">
      <c r="B6260" s="6" t="s">
        <v>46</v>
      </c>
      <c r="R6260"/>
      <c r="S6260"/>
    </row>
    <row r="6261" spans="2:19" x14ac:dyDescent="0.25">
      <c r="B6261" s="6" t="s">
        <v>46</v>
      </c>
      <c r="R6261"/>
      <c r="S6261"/>
    </row>
    <row r="6262" spans="2:19" x14ac:dyDescent="0.25">
      <c r="B6262" s="6" t="s">
        <v>46</v>
      </c>
      <c r="R6262"/>
      <c r="S6262"/>
    </row>
    <row r="6263" spans="2:19" x14ac:dyDescent="0.25">
      <c r="B6263" s="6" t="s">
        <v>46</v>
      </c>
      <c r="R6263"/>
      <c r="S6263"/>
    </row>
    <row r="6264" spans="2:19" x14ac:dyDescent="0.25">
      <c r="B6264" s="6" t="s">
        <v>46</v>
      </c>
      <c r="R6264"/>
      <c r="S6264"/>
    </row>
    <row r="6265" spans="2:19" x14ac:dyDescent="0.25">
      <c r="B6265" s="6" t="s">
        <v>46</v>
      </c>
      <c r="R6265"/>
      <c r="S6265"/>
    </row>
    <row r="6266" spans="2:19" x14ac:dyDescent="0.25">
      <c r="B6266" s="6" t="s">
        <v>46</v>
      </c>
      <c r="R6266"/>
      <c r="S6266"/>
    </row>
    <row r="6267" spans="2:19" x14ac:dyDescent="0.25">
      <c r="B6267" s="6" t="s">
        <v>46</v>
      </c>
      <c r="R6267"/>
      <c r="S6267"/>
    </row>
    <row r="6268" spans="2:19" x14ac:dyDescent="0.25">
      <c r="B6268" s="6" t="s">
        <v>46</v>
      </c>
      <c r="R6268"/>
      <c r="S6268"/>
    </row>
    <row r="6269" spans="2:19" x14ac:dyDescent="0.25">
      <c r="B6269" s="6" t="s">
        <v>46</v>
      </c>
      <c r="R6269"/>
      <c r="S6269"/>
    </row>
    <row r="6270" spans="2:19" x14ac:dyDescent="0.25">
      <c r="B6270" s="6" t="s">
        <v>46</v>
      </c>
      <c r="R6270"/>
      <c r="S6270"/>
    </row>
    <row r="6271" spans="2:19" x14ac:dyDescent="0.25">
      <c r="B6271" s="6" t="s">
        <v>46</v>
      </c>
      <c r="R6271"/>
      <c r="S6271"/>
    </row>
    <row r="6272" spans="2:19" x14ac:dyDescent="0.25">
      <c r="B6272" s="6" t="s">
        <v>46</v>
      </c>
      <c r="R6272"/>
      <c r="S6272"/>
    </row>
    <row r="6273" spans="2:19" x14ac:dyDescent="0.25">
      <c r="B6273" s="6" t="s">
        <v>46</v>
      </c>
      <c r="R6273"/>
      <c r="S6273"/>
    </row>
    <row r="6274" spans="2:19" x14ac:dyDescent="0.25">
      <c r="B6274" s="6" t="s">
        <v>46</v>
      </c>
      <c r="R6274"/>
      <c r="S6274"/>
    </row>
    <row r="6275" spans="2:19" x14ac:dyDescent="0.25">
      <c r="B6275" s="6" t="s">
        <v>46</v>
      </c>
      <c r="R6275"/>
      <c r="S6275"/>
    </row>
    <row r="6276" spans="2:19" x14ac:dyDescent="0.25">
      <c r="B6276" s="6" t="s">
        <v>46</v>
      </c>
      <c r="R6276"/>
      <c r="S6276"/>
    </row>
    <row r="6277" spans="2:19" x14ac:dyDescent="0.25">
      <c r="B6277" s="6" t="s">
        <v>46</v>
      </c>
      <c r="R6277"/>
      <c r="S6277"/>
    </row>
    <row r="6278" spans="2:19" x14ac:dyDescent="0.25">
      <c r="B6278" s="6" t="s">
        <v>46</v>
      </c>
      <c r="R6278"/>
      <c r="S6278"/>
    </row>
    <row r="6279" spans="2:19" x14ac:dyDescent="0.25">
      <c r="B6279" s="6" t="s">
        <v>46</v>
      </c>
      <c r="R6279"/>
      <c r="S6279"/>
    </row>
    <row r="6280" spans="2:19" x14ac:dyDescent="0.25">
      <c r="B6280" s="6" t="s">
        <v>46</v>
      </c>
      <c r="R6280"/>
      <c r="S6280"/>
    </row>
    <row r="6281" spans="2:19" x14ac:dyDescent="0.25">
      <c r="B6281" s="6" t="s">
        <v>46</v>
      </c>
      <c r="R6281"/>
      <c r="S6281"/>
    </row>
    <row r="6282" spans="2:19" x14ac:dyDescent="0.25">
      <c r="B6282" s="6" t="s">
        <v>46</v>
      </c>
      <c r="R6282"/>
      <c r="S6282"/>
    </row>
    <row r="6283" spans="2:19" x14ac:dyDescent="0.25">
      <c r="B6283" s="6" t="s">
        <v>46</v>
      </c>
      <c r="R6283"/>
      <c r="S6283"/>
    </row>
    <row r="6284" spans="2:19" x14ac:dyDescent="0.25">
      <c r="B6284" s="6" t="s">
        <v>46</v>
      </c>
      <c r="R6284"/>
      <c r="S6284"/>
    </row>
    <row r="6285" spans="2:19" x14ac:dyDescent="0.25">
      <c r="B6285" s="6" t="s">
        <v>46</v>
      </c>
      <c r="R6285"/>
      <c r="S6285"/>
    </row>
    <row r="6286" spans="2:19" x14ac:dyDescent="0.25">
      <c r="B6286" s="6" t="s">
        <v>46</v>
      </c>
      <c r="R6286"/>
      <c r="S6286"/>
    </row>
    <row r="6287" spans="2:19" x14ac:dyDescent="0.25">
      <c r="B6287" s="6" t="s">
        <v>46</v>
      </c>
      <c r="R6287"/>
      <c r="S6287"/>
    </row>
    <row r="6288" spans="2:19" x14ac:dyDescent="0.25">
      <c r="B6288" s="6" t="s">
        <v>46</v>
      </c>
      <c r="R6288"/>
      <c r="S6288"/>
    </row>
    <row r="6289" spans="2:19" x14ac:dyDescent="0.25">
      <c r="B6289" s="6" t="s">
        <v>46</v>
      </c>
      <c r="R6289"/>
      <c r="S6289"/>
    </row>
    <row r="6290" spans="2:19" x14ac:dyDescent="0.25">
      <c r="B6290" s="6" t="s">
        <v>46</v>
      </c>
      <c r="R6290"/>
      <c r="S6290"/>
    </row>
    <row r="6291" spans="2:19" x14ac:dyDescent="0.25">
      <c r="B6291" s="6" t="s">
        <v>46</v>
      </c>
      <c r="R6291"/>
      <c r="S6291"/>
    </row>
    <row r="6292" spans="2:19" x14ac:dyDescent="0.25">
      <c r="B6292" s="6" t="s">
        <v>46</v>
      </c>
      <c r="R6292"/>
      <c r="S6292"/>
    </row>
    <row r="6293" spans="2:19" x14ac:dyDescent="0.25">
      <c r="B6293" s="6" t="s">
        <v>46</v>
      </c>
      <c r="R6293"/>
      <c r="S6293"/>
    </row>
    <row r="6294" spans="2:19" x14ac:dyDescent="0.25">
      <c r="B6294" s="6" t="s">
        <v>46</v>
      </c>
      <c r="R6294"/>
      <c r="S6294"/>
    </row>
    <row r="6295" spans="2:19" x14ac:dyDescent="0.25">
      <c r="B6295" s="6" t="s">
        <v>46</v>
      </c>
      <c r="R6295"/>
      <c r="S6295"/>
    </row>
    <row r="6296" spans="2:19" x14ac:dyDescent="0.25">
      <c r="B6296" s="6" t="s">
        <v>46</v>
      </c>
      <c r="R6296"/>
      <c r="S6296"/>
    </row>
    <row r="6297" spans="2:19" x14ac:dyDescent="0.25">
      <c r="B6297" s="6" t="s">
        <v>46</v>
      </c>
      <c r="R6297"/>
      <c r="S6297"/>
    </row>
    <row r="6298" spans="2:19" x14ac:dyDescent="0.25">
      <c r="B6298" s="6" t="s">
        <v>46</v>
      </c>
      <c r="R6298"/>
      <c r="S6298"/>
    </row>
    <row r="6299" spans="2:19" x14ac:dyDescent="0.25">
      <c r="B6299" s="6" t="s">
        <v>46</v>
      </c>
      <c r="R6299"/>
      <c r="S6299"/>
    </row>
    <row r="6300" spans="2:19" x14ac:dyDescent="0.25">
      <c r="B6300" s="6" t="s">
        <v>46</v>
      </c>
      <c r="R6300"/>
      <c r="S6300"/>
    </row>
    <row r="6301" spans="2:19" x14ac:dyDescent="0.25">
      <c r="B6301" s="6" t="s">
        <v>46</v>
      </c>
      <c r="R6301"/>
      <c r="S6301"/>
    </row>
    <row r="6302" spans="2:19" x14ac:dyDescent="0.25">
      <c r="B6302" s="6" t="s">
        <v>46</v>
      </c>
      <c r="R6302"/>
      <c r="S6302"/>
    </row>
    <row r="6303" spans="2:19" x14ac:dyDescent="0.25">
      <c r="B6303" s="6" t="s">
        <v>46</v>
      </c>
      <c r="R6303"/>
      <c r="S6303"/>
    </row>
    <row r="6304" spans="2:19" x14ac:dyDescent="0.25">
      <c r="B6304" s="6" t="s">
        <v>46</v>
      </c>
      <c r="R6304"/>
      <c r="S6304"/>
    </row>
    <row r="6305" spans="2:19" x14ac:dyDescent="0.25">
      <c r="B6305" s="6" t="s">
        <v>46</v>
      </c>
      <c r="R6305"/>
      <c r="S6305"/>
    </row>
    <row r="6306" spans="2:19" x14ac:dyDescent="0.25">
      <c r="B6306" s="6" t="s">
        <v>46</v>
      </c>
      <c r="R6306"/>
      <c r="S6306"/>
    </row>
    <row r="6307" spans="2:19" x14ac:dyDescent="0.25">
      <c r="B6307" s="6" t="s">
        <v>46</v>
      </c>
      <c r="R6307"/>
      <c r="S6307"/>
    </row>
    <row r="6308" spans="2:19" x14ac:dyDescent="0.25">
      <c r="B6308" s="6" t="s">
        <v>46</v>
      </c>
      <c r="R6308"/>
      <c r="S6308"/>
    </row>
    <row r="6309" spans="2:19" x14ac:dyDescent="0.25">
      <c r="B6309" s="6" t="s">
        <v>46</v>
      </c>
      <c r="R6309"/>
      <c r="S6309"/>
    </row>
    <row r="6310" spans="2:19" x14ac:dyDescent="0.25">
      <c r="B6310" s="6" t="s">
        <v>46</v>
      </c>
      <c r="R6310"/>
      <c r="S6310"/>
    </row>
    <row r="6311" spans="2:19" x14ac:dyDescent="0.25">
      <c r="B6311" s="6" t="s">
        <v>46</v>
      </c>
      <c r="R6311"/>
      <c r="S6311"/>
    </row>
    <row r="6312" spans="2:19" x14ac:dyDescent="0.25">
      <c r="B6312" s="6" t="s">
        <v>46</v>
      </c>
      <c r="R6312"/>
      <c r="S6312"/>
    </row>
    <row r="6313" spans="2:19" x14ac:dyDescent="0.25">
      <c r="B6313" s="6" t="s">
        <v>46</v>
      </c>
      <c r="R6313"/>
      <c r="S6313"/>
    </row>
    <row r="6314" spans="2:19" x14ac:dyDescent="0.25">
      <c r="B6314" s="6" t="s">
        <v>46</v>
      </c>
      <c r="R6314"/>
      <c r="S6314"/>
    </row>
    <row r="6315" spans="2:19" x14ac:dyDescent="0.25">
      <c r="B6315" s="6" t="s">
        <v>46</v>
      </c>
      <c r="R6315"/>
      <c r="S6315"/>
    </row>
    <row r="6316" spans="2:19" x14ac:dyDescent="0.25">
      <c r="B6316" s="6" t="s">
        <v>46</v>
      </c>
      <c r="R6316"/>
      <c r="S6316"/>
    </row>
    <row r="6317" spans="2:19" x14ac:dyDescent="0.25">
      <c r="B6317" s="6" t="s">
        <v>46</v>
      </c>
      <c r="R6317"/>
      <c r="S6317"/>
    </row>
    <row r="6318" spans="2:19" x14ac:dyDescent="0.25">
      <c r="B6318" s="6" t="s">
        <v>46</v>
      </c>
      <c r="R6318"/>
      <c r="S6318"/>
    </row>
    <row r="6319" spans="2:19" x14ac:dyDescent="0.25">
      <c r="B6319" s="6" t="s">
        <v>46</v>
      </c>
      <c r="R6319"/>
      <c r="S6319"/>
    </row>
    <row r="6320" spans="2:19" x14ac:dyDescent="0.25">
      <c r="B6320" s="6" t="s">
        <v>46</v>
      </c>
      <c r="R6320"/>
      <c r="S6320"/>
    </row>
    <row r="6321" spans="2:19" x14ac:dyDescent="0.25">
      <c r="B6321" s="6" t="s">
        <v>46</v>
      </c>
      <c r="R6321"/>
      <c r="S6321"/>
    </row>
    <row r="6322" spans="2:19" x14ac:dyDescent="0.25">
      <c r="B6322" s="6" t="s">
        <v>46</v>
      </c>
      <c r="R6322"/>
      <c r="S6322"/>
    </row>
    <row r="6323" spans="2:19" x14ac:dyDescent="0.25">
      <c r="B6323" s="6" t="s">
        <v>46</v>
      </c>
      <c r="R6323"/>
      <c r="S6323"/>
    </row>
    <row r="6324" spans="2:19" x14ac:dyDescent="0.25">
      <c r="B6324" s="6" t="s">
        <v>46</v>
      </c>
      <c r="R6324"/>
      <c r="S6324"/>
    </row>
    <row r="6325" spans="2:19" x14ac:dyDescent="0.25">
      <c r="B6325" s="6" t="s">
        <v>46</v>
      </c>
      <c r="R6325"/>
      <c r="S6325"/>
    </row>
    <row r="6326" spans="2:19" x14ac:dyDescent="0.25">
      <c r="B6326" s="6" t="s">
        <v>46</v>
      </c>
      <c r="R6326"/>
      <c r="S6326"/>
    </row>
    <row r="6327" spans="2:19" x14ac:dyDescent="0.25">
      <c r="B6327" s="6" t="s">
        <v>46</v>
      </c>
      <c r="R6327"/>
      <c r="S6327"/>
    </row>
    <row r="6328" spans="2:19" x14ac:dyDescent="0.25">
      <c r="B6328" s="6" t="s">
        <v>46</v>
      </c>
      <c r="R6328"/>
      <c r="S6328"/>
    </row>
    <row r="6329" spans="2:19" x14ac:dyDescent="0.25">
      <c r="B6329" s="6" t="s">
        <v>46</v>
      </c>
      <c r="R6329"/>
      <c r="S6329"/>
    </row>
    <row r="6330" spans="2:19" x14ac:dyDescent="0.25">
      <c r="B6330" s="6" t="s">
        <v>46</v>
      </c>
      <c r="R6330"/>
      <c r="S6330"/>
    </row>
    <row r="6331" spans="2:19" x14ac:dyDescent="0.25">
      <c r="B6331" s="6" t="s">
        <v>46</v>
      </c>
      <c r="R6331"/>
      <c r="S6331"/>
    </row>
    <row r="6332" spans="2:19" x14ac:dyDescent="0.25">
      <c r="B6332" s="6" t="s">
        <v>46</v>
      </c>
      <c r="R6332"/>
      <c r="S6332"/>
    </row>
    <row r="6333" spans="2:19" x14ac:dyDescent="0.25">
      <c r="B6333" s="6" t="s">
        <v>46</v>
      </c>
      <c r="R6333"/>
      <c r="S6333"/>
    </row>
    <row r="6334" spans="2:19" x14ac:dyDescent="0.25">
      <c r="B6334" s="6" t="s">
        <v>46</v>
      </c>
      <c r="R6334"/>
      <c r="S6334"/>
    </row>
    <row r="6335" spans="2:19" x14ac:dyDescent="0.25">
      <c r="B6335" s="6" t="s">
        <v>46</v>
      </c>
      <c r="R6335"/>
      <c r="S6335"/>
    </row>
    <row r="6336" spans="2:19" x14ac:dyDescent="0.25">
      <c r="B6336" s="6" t="s">
        <v>46</v>
      </c>
      <c r="R6336"/>
      <c r="S6336"/>
    </row>
    <row r="6337" spans="2:19" x14ac:dyDescent="0.25">
      <c r="B6337" s="6" t="s">
        <v>46</v>
      </c>
      <c r="R6337"/>
      <c r="S6337"/>
    </row>
    <row r="6338" spans="2:19" x14ac:dyDescent="0.25">
      <c r="B6338" s="6" t="s">
        <v>46</v>
      </c>
      <c r="R6338"/>
      <c r="S6338"/>
    </row>
    <row r="6339" spans="2:19" x14ac:dyDescent="0.25">
      <c r="B6339" s="6" t="s">
        <v>46</v>
      </c>
      <c r="R6339"/>
      <c r="S6339"/>
    </row>
    <row r="6340" spans="2:19" x14ac:dyDescent="0.25">
      <c r="B6340" s="6" t="s">
        <v>46</v>
      </c>
      <c r="R6340"/>
      <c r="S6340"/>
    </row>
    <row r="6341" spans="2:19" x14ac:dyDescent="0.25">
      <c r="B6341" s="6" t="s">
        <v>46</v>
      </c>
      <c r="R6341"/>
      <c r="S6341"/>
    </row>
    <row r="6342" spans="2:19" x14ac:dyDescent="0.25">
      <c r="B6342" s="6" t="s">
        <v>46</v>
      </c>
      <c r="R6342"/>
      <c r="S6342"/>
    </row>
    <row r="6343" spans="2:19" x14ac:dyDescent="0.25">
      <c r="B6343" s="6" t="s">
        <v>46</v>
      </c>
      <c r="R6343"/>
      <c r="S6343"/>
    </row>
    <row r="6344" spans="2:19" x14ac:dyDescent="0.25">
      <c r="B6344" s="6" t="s">
        <v>46</v>
      </c>
      <c r="R6344"/>
      <c r="S6344"/>
    </row>
    <row r="6345" spans="2:19" x14ac:dyDescent="0.25">
      <c r="B6345" s="6" t="s">
        <v>46</v>
      </c>
      <c r="R6345"/>
      <c r="S6345"/>
    </row>
    <row r="6346" spans="2:19" x14ac:dyDescent="0.25">
      <c r="B6346" s="6" t="s">
        <v>46</v>
      </c>
      <c r="R6346"/>
      <c r="S6346"/>
    </row>
    <row r="6347" spans="2:19" x14ac:dyDescent="0.25">
      <c r="B6347" s="6" t="s">
        <v>46</v>
      </c>
      <c r="R6347"/>
      <c r="S6347"/>
    </row>
    <row r="6348" spans="2:19" x14ac:dyDescent="0.25">
      <c r="B6348" s="6" t="s">
        <v>46</v>
      </c>
      <c r="R6348"/>
      <c r="S6348"/>
    </row>
    <row r="6349" spans="2:19" x14ac:dyDescent="0.25">
      <c r="B6349" s="6" t="s">
        <v>46</v>
      </c>
      <c r="R6349"/>
      <c r="S6349"/>
    </row>
    <row r="6350" spans="2:19" x14ac:dyDescent="0.25">
      <c r="B6350" s="6" t="s">
        <v>46</v>
      </c>
      <c r="R6350"/>
      <c r="S6350"/>
    </row>
    <row r="6351" spans="2:19" x14ac:dyDescent="0.25">
      <c r="B6351" s="6" t="s">
        <v>46</v>
      </c>
      <c r="R6351"/>
      <c r="S6351"/>
    </row>
    <row r="6352" spans="2:19" x14ac:dyDescent="0.25">
      <c r="B6352" s="6" t="s">
        <v>46</v>
      </c>
      <c r="R6352"/>
      <c r="S6352"/>
    </row>
    <row r="6353" spans="2:19" x14ac:dyDescent="0.25">
      <c r="B6353" s="6" t="s">
        <v>46</v>
      </c>
      <c r="R6353"/>
      <c r="S6353"/>
    </row>
    <row r="6354" spans="2:19" x14ac:dyDescent="0.25">
      <c r="B6354" s="6" t="s">
        <v>46</v>
      </c>
      <c r="R6354"/>
      <c r="S6354"/>
    </row>
    <row r="6355" spans="2:19" x14ac:dyDescent="0.25">
      <c r="B6355" s="6" t="s">
        <v>46</v>
      </c>
      <c r="R6355"/>
      <c r="S6355"/>
    </row>
    <row r="6356" spans="2:19" x14ac:dyDescent="0.25">
      <c r="B6356" s="6" t="s">
        <v>46</v>
      </c>
      <c r="R6356"/>
      <c r="S6356"/>
    </row>
    <row r="6357" spans="2:19" x14ac:dyDescent="0.25">
      <c r="B6357" s="6" t="s">
        <v>46</v>
      </c>
      <c r="R6357"/>
      <c r="S6357"/>
    </row>
    <row r="6358" spans="2:19" x14ac:dyDescent="0.25">
      <c r="B6358" s="6" t="s">
        <v>46</v>
      </c>
      <c r="R6358"/>
      <c r="S6358"/>
    </row>
    <row r="6359" spans="2:19" x14ac:dyDescent="0.25">
      <c r="B6359" s="6" t="s">
        <v>46</v>
      </c>
      <c r="R6359"/>
      <c r="S6359"/>
    </row>
    <row r="6360" spans="2:19" x14ac:dyDescent="0.25">
      <c r="B6360" s="6" t="s">
        <v>46</v>
      </c>
      <c r="R6360"/>
      <c r="S6360"/>
    </row>
    <row r="6361" spans="2:19" x14ac:dyDescent="0.25">
      <c r="B6361" s="6" t="s">
        <v>46</v>
      </c>
      <c r="R6361"/>
      <c r="S6361"/>
    </row>
    <row r="6362" spans="2:19" x14ac:dyDescent="0.25">
      <c r="B6362" s="6" t="s">
        <v>46</v>
      </c>
      <c r="R6362"/>
      <c r="S6362"/>
    </row>
    <row r="6363" spans="2:19" x14ac:dyDescent="0.25">
      <c r="B6363" s="6" t="s">
        <v>46</v>
      </c>
      <c r="R6363"/>
      <c r="S6363"/>
    </row>
    <row r="6364" spans="2:19" x14ac:dyDescent="0.25">
      <c r="B6364" s="6" t="s">
        <v>46</v>
      </c>
      <c r="R6364"/>
      <c r="S6364"/>
    </row>
    <row r="6365" spans="2:19" x14ac:dyDescent="0.25">
      <c r="B6365" s="6" t="s">
        <v>46</v>
      </c>
      <c r="R6365"/>
      <c r="S6365"/>
    </row>
    <row r="6366" spans="2:19" x14ac:dyDescent="0.25">
      <c r="B6366" s="6" t="s">
        <v>46</v>
      </c>
      <c r="R6366"/>
      <c r="S6366"/>
    </row>
    <row r="6367" spans="2:19" x14ac:dyDescent="0.25">
      <c r="B6367" s="6" t="s">
        <v>46</v>
      </c>
      <c r="R6367"/>
      <c r="S6367"/>
    </row>
    <row r="6368" spans="2:19" x14ac:dyDescent="0.25">
      <c r="B6368" s="6" t="s">
        <v>46</v>
      </c>
      <c r="R6368"/>
      <c r="S6368"/>
    </row>
    <row r="6369" spans="2:19" x14ac:dyDescent="0.25">
      <c r="B6369" s="6" t="s">
        <v>46</v>
      </c>
      <c r="R6369"/>
      <c r="S6369"/>
    </row>
    <row r="6370" spans="2:19" x14ac:dyDescent="0.25">
      <c r="B6370" s="6" t="s">
        <v>46</v>
      </c>
      <c r="R6370"/>
      <c r="S6370"/>
    </row>
    <row r="6371" spans="2:19" x14ac:dyDescent="0.25">
      <c r="B6371" s="6" t="s">
        <v>46</v>
      </c>
      <c r="R6371"/>
      <c r="S6371"/>
    </row>
    <row r="6372" spans="2:19" x14ac:dyDescent="0.25">
      <c r="B6372" s="6" t="s">
        <v>46</v>
      </c>
      <c r="R6372"/>
      <c r="S6372"/>
    </row>
    <row r="6373" spans="2:19" x14ac:dyDescent="0.25">
      <c r="B6373" s="6" t="s">
        <v>46</v>
      </c>
      <c r="R6373"/>
      <c r="S6373"/>
    </row>
    <row r="6374" spans="2:19" x14ac:dyDescent="0.25">
      <c r="B6374" s="6" t="s">
        <v>46</v>
      </c>
      <c r="R6374"/>
      <c r="S6374"/>
    </row>
    <row r="6375" spans="2:19" x14ac:dyDescent="0.25">
      <c r="B6375" s="6" t="s">
        <v>46</v>
      </c>
      <c r="R6375"/>
      <c r="S6375"/>
    </row>
    <row r="6376" spans="2:19" x14ac:dyDescent="0.25">
      <c r="B6376" s="6" t="s">
        <v>46</v>
      </c>
      <c r="R6376"/>
      <c r="S6376"/>
    </row>
    <row r="6377" spans="2:19" x14ac:dyDescent="0.25">
      <c r="B6377" s="6" t="s">
        <v>46</v>
      </c>
      <c r="R6377"/>
      <c r="S6377"/>
    </row>
    <row r="6378" spans="2:19" x14ac:dyDescent="0.25">
      <c r="B6378" s="6" t="s">
        <v>46</v>
      </c>
      <c r="R6378"/>
      <c r="S6378"/>
    </row>
    <row r="6379" spans="2:19" x14ac:dyDescent="0.25">
      <c r="B6379" s="6" t="s">
        <v>46</v>
      </c>
      <c r="R6379"/>
      <c r="S6379"/>
    </row>
    <row r="6380" spans="2:19" x14ac:dyDescent="0.25">
      <c r="B6380" s="6" t="s">
        <v>46</v>
      </c>
      <c r="R6380"/>
      <c r="S6380"/>
    </row>
    <row r="6381" spans="2:19" x14ac:dyDescent="0.25">
      <c r="B6381" s="6" t="s">
        <v>46</v>
      </c>
      <c r="R6381"/>
      <c r="S6381"/>
    </row>
    <row r="6382" spans="2:19" x14ac:dyDescent="0.25">
      <c r="B6382" s="6" t="s">
        <v>46</v>
      </c>
      <c r="R6382"/>
      <c r="S6382"/>
    </row>
    <row r="6383" spans="2:19" x14ac:dyDescent="0.25">
      <c r="B6383" s="6" t="s">
        <v>46</v>
      </c>
      <c r="R6383"/>
      <c r="S6383"/>
    </row>
    <row r="6384" spans="2:19" x14ac:dyDescent="0.25">
      <c r="B6384" s="6" t="s">
        <v>46</v>
      </c>
      <c r="R6384"/>
      <c r="S6384"/>
    </row>
    <row r="6385" spans="2:19" x14ac:dyDescent="0.25">
      <c r="B6385" s="6" t="s">
        <v>46</v>
      </c>
      <c r="R6385"/>
      <c r="S6385"/>
    </row>
    <row r="6386" spans="2:19" x14ac:dyDescent="0.25">
      <c r="B6386" s="6" t="s">
        <v>46</v>
      </c>
      <c r="R6386"/>
      <c r="S6386"/>
    </row>
    <row r="6387" spans="2:19" x14ac:dyDescent="0.25">
      <c r="B6387" s="6" t="s">
        <v>46</v>
      </c>
      <c r="R6387"/>
      <c r="S6387"/>
    </row>
    <row r="6388" spans="2:19" x14ac:dyDescent="0.25">
      <c r="B6388" s="6" t="s">
        <v>46</v>
      </c>
      <c r="R6388"/>
      <c r="S6388"/>
    </row>
    <row r="6389" spans="2:19" x14ac:dyDescent="0.25">
      <c r="B6389" s="6" t="s">
        <v>46</v>
      </c>
      <c r="R6389"/>
      <c r="S6389"/>
    </row>
    <row r="6390" spans="2:19" x14ac:dyDescent="0.25">
      <c r="B6390" s="6" t="s">
        <v>46</v>
      </c>
      <c r="R6390"/>
      <c r="S6390"/>
    </row>
    <row r="6391" spans="2:19" x14ac:dyDescent="0.25">
      <c r="B6391" s="6" t="s">
        <v>46</v>
      </c>
      <c r="R6391"/>
      <c r="S6391"/>
    </row>
    <row r="6392" spans="2:19" x14ac:dyDescent="0.25">
      <c r="B6392" s="6" t="s">
        <v>46</v>
      </c>
      <c r="R6392"/>
      <c r="S6392"/>
    </row>
    <row r="6393" spans="2:19" x14ac:dyDescent="0.25">
      <c r="B6393" s="6" t="s">
        <v>46</v>
      </c>
      <c r="R6393"/>
      <c r="S6393"/>
    </row>
    <row r="6394" spans="2:19" x14ac:dyDescent="0.25">
      <c r="B6394" s="6" t="s">
        <v>46</v>
      </c>
      <c r="R6394"/>
      <c r="S6394"/>
    </row>
    <row r="6395" spans="2:19" x14ac:dyDescent="0.25">
      <c r="B6395" s="6" t="s">
        <v>46</v>
      </c>
      <c r="R6395"/>
      <c r="S6395"/>
    </row>
    <row r="6396" spans="2:19" x14ac:dyDescent="0.25">
      <c r="B6396" s="6" t="s">
        <v>46</v>
      </c>
      <c r="R6396"/>
      <c r="S6396"/>
    </row>
    <row r="6397" spans="2:19" x14ac:dyDescent="0.25">
      <c r="B6397" s="6" t="s">
        <v>46</v>
      </c>
      <c r="R6397"/>
      <c r="S6397"/>
    </row>
    <row r="6398" spans="2:19" x14ac:dyDescent="0.25">
      <c r="B6398" s="6" t="s">
        <v>46</v>
      </c>
      <c r="R6398"/>
      <c r="S6398"/>
    </row>
    <row r="6399" spans="2:19" x14ac:dyDescent="0.25">
      <c r="B6399" s="6" t="s">
        <v>46</v>
      </c>
      <c r="R6399"/>
      <c r="S6399"/>
    </row>
    <row r="6400" spans="2:19" x14ac:dyDescent="0.25">
      <c r="B6400" s="6" t="s">
        <v>46</v>
      </c>
      <c r="R6400"/>
      <c r="S6400"/>
    </row>
    <row r="6401" spans="2:19" x14ac:dyDescent="0.25">
      <c r="B6401" s="6" t="s">
        <v>46</v>
      </c>
      <c r="R6401"/>
      <c r="S6401"/>
    </row>
    <row r="6402" spans="2:19" x14ac:dyDescent="0.25">
      <c r="B6402" s="6" t="s">
        <v>46</v>
      </c>
      <c r="R6402"/>
      <c r="S6402"/>
    </row>
    <row r="6403" spans="2:19" x14ac:dyDescent="0.25">
      <c r="B6403" s="6" t="s">
        <v>46</v>
      </c>
      <c r="R6403"/>
      <c r="S6403"/>
    </row>
    <row r="6404" spans="2:19" x14ac:dyDescent="0.25">
      <c r="B6404" s="6" t="s">
        <v>46</v>
      </c>
      <c r="R6404"/>
      <c r="S6404"/>
    </row>
    <row r="6405" spans="2:19" x14ac:dyDescent="0.25">
      <c r="B6405" s="6" t="s">
        <v>46</v>
      </c>
      <c r="R6405"/>
      <c r="S6405"/>
    </row>
    <row r="6406" spans="2:19" x14ac:dyDescent="0.25">
      <c r="B6406" s="6" t="s">
        <v>46</v>
      </c>
      <c r="R6406"/>
      <c r="S6406"/>
    </row>
    <row r="6407" spans="2:19" x14ac:dyDescent="0.25">
      <c r="B6407" s="6" t="s">
        <v>46</v>
      </c>
      <c r="R6407"/>
      <c r="S6407"/>
    </row>
    <row r="6408" spans="2:19" x14ac:dyDescent="0.25">
      <c r="B6408" s="6" t="s">
        <v>46</v>
      </c>
      <c r="R6408"/>
      <c r="S6408"/>
    </row>
    <row r="6409" spans="2:19" x14ac:dyDescent="0.25">
      <c r="B6409" s="6" t="s">
        <v>46</v>
      </c>
      <c r="R6409"/>
      <c r="S6409"/>
    </row>
    <row r="6410" spans="2:19" x14ac:dyDescent="0.25">
      <c r="B6410" s="6" t="s">
        <v>46</v>
      </c>
      <c r="R6410"/>
      <c r="S6410"/>
    </row>
    <row r="6411" spans="2:19" x14ac:dyDescent="0.25">
      <c r="B6411" s="6" t="s">
        <v>46</v>
      </c>
      <c r="R6411"/>
      <c r="S6411"/>
    </row>
    <row r="6412" spans="2:19" x14ac:dyDescent="0.25">
      <c r="B6412" s="6" t="s">
        <v>46</v>
      </c>
      <c r="R6412"/>
      <c r="S6412"/>
    </row>
    <row r="6413" spans="2:19" x14ac:dyDescent="0.25">
      <c r="B6413" s="6" t="s">
        <v>46</v>
      </c>
      <c r="R6413"/>
      <c r="S6413"/>
    </row>
    <row r="6414" spans="2:19" x14ac:dyDescent="0.25">
      <c r="B6414" s="6" t="s">
        <v>46</v>
      </c>
      <c r="R6414"/>
      <c r="S6414"/>
    </row>
    <row r="6415" spans="2:19" x14ac:dyDescent="0.25">
      <c r="B6415" s="6" t="s">
        <v>46</v>
      </c>
      <c r="R6415"/>
      <c r="S6415"/>
    </row>
    <row r="6416" spans="2:19" x14ac:dyDescent="0.25">
      <c r="B6416" s="6" t="s">
        <v>46</v>
      </c>
      <c r="R6416"/>
      <c r="S6416"/>
    </row>
    <row r="6417" spans="2:19" x14ac:dyDescent="0.25">
      <c r="B6417" s="6" t="s">
        <v>46</v>
      </c>
      <c r="R6417"/>
      <c r="S6417"/>
    </row>
    <row r="6418" spans="2:19" x14ac:dyDescent="0.25">
      <c r="B6418" s="6" t="s">
        <v>46</v>
      </c>
      <c r="R6418"/>
      <c r="S6418"/>
    </row>
    <row r="6419" spans="2:19" x14ac:dyDescent="0.25">
      <c r="B6419" s="6" t="s">
        <v>46</v>
      </c>
      <c r="R6419"/>
      <c r="S6419"/>
    </row>
    <row r="6420" spans="2:19" x14ac:dyDescent="0.25">
      <c r="B6420" s="6" t="s">
        <v>46</v>
      </c>
      <c r="R6420"/>
      <c r="S6420"/>
    </row>
    <row r="6421" spans="2:19" x14ac:dyDescent="0.25">
      <c r="B6421" s="6" t="s">
        <v>46</v>
      </c>
      <c r="R6421"/>
      <c r="S6421"/>
    </row>
    <row r="6422" spans="2:19" x14ac:dyDescent="0.25">
      <c r="B6422" s="6" t="s">
        <v>46</v>
      </c>
      <c r="R6422"/>
      <c r="S6422"/>
    </row>
    <row r="6423" spans="2:19" x14ac:dyDescent="0.25">
      <c r="B6423" s="6" t="s">
        <v>46</v>
      </c>
      <c r="R6423"/>
      <c r="S6423"/>
    </row>
    <row r="6424" spans="2:19" x14ac:dyDescent="0.25">
      <c r="B6424" s="6" t="s">
        <v>46</v>
      </c>
      <c r="R6424"/>
      <c r="S6424"/>
    </row>
    <row r="6425" spans="2:19" x14ac:dyDescent="0.25">
      <c r="B6425" s="6" t="s">
        <v>46</v>
      </c>
      <c r="R6425"/>
      <c r="S6425"/>
    </row>
    <row r="6426" spans="2:19" x14ac:dyDescent="0.25">
      <c r="B6426" s="6" t="s">
        <v>46</v>
      </c>
      <c r="R6426"/>
      <c r="S6426"/>
    </row>
    <row r="6427" spans="2:19" x14ac:dyDescent="0.25">
      <c r="B6427" s="6" t="s">
        <v>46</v>
      </c>
      <c r="R6427"/>
      <c r="S6427"/>
    </row>
    <row r="6428" spans="2:19" x14ac:dyDescent="0.25">
      <c r="B6428" s="6" t="s">
        <v>46</v>
      </c>
      <c r="R6428"/>
      <c r="S6428"/>
    </row>
    <row r="6429" spans="2:19" x14ac:dyDescent="0.25">
      <c r="B6429" s="6" t="s">
        <v>46</v>
      </c>
      <c r="R6429"/>
      <c r="S6429"/>
    </row>
    <row r="6430" spans="2:19" x14ac:dyDescent="0.25">
      <c r="B6430" s="6" t="s">
        <v>46</v>
      </c>
      <c r="R6430"/>
      <c r="S6430"/>
    </row>
    <row r="6431" spans="2:19" x14ac:dyDescent="0.25">
      <c r="B6431" s="6" t="s">
        <v>46</v>
      </c>
      <c r="R6431"/>
      <c r="S6431"/>
    </row>
    <row r="6432" spans="2:19" x14ac:dyDescent="0.25">
      <c r="B6432" s="6" t="s">
        <v>46</v>
      </c>
      <c r="R6432"/>
      <c r="S6432"/>
    </row>
    <row r="6433" spans="2:19" x14ac:dyDescent="0.25">
      <c r="B6433" s="6" t="s">
        <v>46</v>
      </c>
      <c r="R6433"/>
      <c r="S6433"/>
    </row>
    <row r="6434" spans="2:19" x14ac:dyDescent="0.25">
      <c r="B6434" s="6" t="s">
        <v>46</v>
      </c>
      <c r="R6434"/>
      <c r="S6434"/>
    </row>
    <row r="6435" spans="2:19" x14ac:dyDescent="0.25">
      <c r="B6435" s="6" t="s">
        <v>46</v>
      </c>
      <c r="R6435"/>
      <c r="S6435"/>
    </row>
    <row r="6436" spans="2:19" x14ac:dyDescent="0.25">
      <c r="B6436" s="6" t="s">
        <v>46</v>
      </c>
      <c r="R6436"/>
      <c r="S6436"/>
    </row>
    <row r="6437" spans="2:19" x14ac:dyDescent="0.25">
      <c r="B6437" s="6" t="s">
        <v>46</v>
      </c>
      <c r="R6437"/>
      <c r="S6437"/>
    </row>
    <row r="6438" spans="2:19" x14ac:dyDescent="0.25">
      <c r="B6438" s="6" t="s">
        <v>46</v>
      </c>
      <c r="R6438"/>
      <c r="S6438"/>
    </row>
    <row r="6439" spans="2:19" x14ac:dyDescent="0.25">
      <c r="B6439" s="6" t="s">
        <v>46</v>
      </c>
      <c r="R6439"/>
      <c r="S6439"/>
    </row>
    <row r="6440" spans="2:19" x14ac:dyDescent="0.25">
      <c r="B6440" s="6" t="s">
        <v>46</v>
      </c>
      <c r="R6440"/>
      <c r="S6440"/>
    </row>
    <row r="6441" spans="2:19" x14ac:dyDescent="0.25">
      <c r="B6441" s="6" t="s">
        <v>46</v>
      </c>
      <c r="R6441"/>
      <c r="S6441"/>
    </row>
    <row r="6442" spans="2:19" x14ac:dyDescent="0.25">
      <c r="B6442" s="6" t="s">
        <v>46</v>
      </c>
      <c r="R6442"/>
      <c r="S6442"/>
    </row>
    <row r="6443" spans="2:19" x14ac:dyDescent="0.25">
      <c r="B6443" s="6" t="s">
        <v>46</v>
      </c>
      <c r="R6443"/>
      <c r="S6443"/>
    </row>
    <row r="6444" spans="2:19" x14ac:dyDescent="0.25">
      <c r="B6444" s="6" t="s">
        <v>46</v>
      </c>
      <c r="R6444"/>
      <c r="S6444"/>
    </row>
    <row r="6445" spans="2:19" x14ac:dyDescent="0.25">
      <c r="B6445" s="6" t="s">
        <v>46</v>
      </c>
      <c r="R6445"/>
      <c r="S6445"/>
    </row>
    <row r="6446" spans="2:19" x14ac:dyDescent="0.25">
      <c r="B6446" s="6" t="s">
        <v>46</v>
      </c>
      <c r="R6446"/>
      <c r="S6446"/>
    </row>
    <row r="6447" spans="2:19" x14ac:dyDescent="0.25">
      <c r="B6447" s="6" t="s">
        <v>46</v>
      </c>
      <c r="R6447"/>
      <c r="S6447"/>
    </row>
    <row r="6448" spans="2:19" x14ac:dyDescent="0.25">
      <c r="B6448" s="6" t="s">
        <v>46</v>
      </c>
      <c r="R6448"/>
      <c r="S6448"/>
    </row>
    <row r="6449" spans="2:19" x14ac:dyDescent="0.25">
      <c r="B6449" s="6" t="s">
        <v>46</v>
      </c>
      <c r="R6449"/>
      <c r="S6449"/>
    </row>
    <row r="6450" spans="2:19" x14ac:dyDescent="0.25">
      <c r="B6450" s="6" t="s">
        <v>46</v>
      </c>
      <c r="R6450"/>
      <c r="S6450"/>
    </row>
    <row r="6451" spans="2:19" x14ac:dyDescent="0.25">
      <c r="B6451" s="6" t="s">
        <v>46</v>
      </c>
      <c r="R6451"/>
      <c r="S6451"/>
    </row>
    <row r="6452" spans="2:19" x14ac:dyDescent="0.25">
      <c r="B6452" s="6" t="s">
        <v>46</v>
      </c>
      <c r="R6452"/>
      <c r="S6452"/>
    </row>
    <row r="6453" spans="2:19" x14ac:dyDescent="0.25">
      <c r="B6453" s="6" t="s">
        <v>46</v>
      </c>
      <c r="R6453"/>
      <c r="S6453"/>
    </row>
    <row r="6454" spans="2:19" x14ac:dyDescent="0.25">
      <c r="B6454" s="6" t="s">
        <v>46</v>
      </c>
      <c r="R6454"/>
      <c r="S6454"/>
    </row>
    <row r="6455" spans="2:19" x14ac:dyDescent="0.25">
      <c r="B6455" s="6" t="s">
        <v>46</v>
      </c>
      <c r="R6455"/>
      <c r="S6455"/>
    </row>
    <row r="6456" spans="2:19" x14ac:dyDescent="0.25">
      <c r="B6456" s="6" t="s">
        <v>46</v>
      </c>
      <c r="R6456"/>
      <c r="S6456"/>
    </row>
    <row r="6457" spans="2:19" x14ac:dyDescent="0.25">
      <c r="B6457" s="6" t="s">
        <v>46</v>
      </c>
      <c r="R6457"/>
      <c r="S6457"/>
    </row>
    <row r="6458" spans="2:19" x14ac:dyDescent="0.25">
      <c r="B6458" s="6" t="s">
        <v>46</v>
      </c>
      <c r="R6458"/>
      <c r="S6458"/>
    </row>
    <row r="6459" spans="2:19" x14ac:dyDescent="0.25">
      <c r="B6459" s="6" t="s">
        <v>46</v>
      </c>
      <c r="R6459"/>
      <c r="S6459"/>
    </row>
    <row r="6460" spans="2:19" x14ac:dyDescent="0.25">
      <c r="B6460" s="6" t="s">
        <v>46</v>
      </c>
      <c r="R6460"/>
      <c r="S6460"/>
    </row>
    <row r="6461" spans="2:19" x14ac:dyDescent="0.25">
      <c r="B6461" s="6" t="s">
        <v>46</v>
      </c>
      <c r="R6461"/>
      <c r="S6461"/>
    </row>
    <row r="6462" spans="2:19" x14ac:dyDescent="0.25">
      <c r="B6462" s="6" t="s">
        <v>46</v>
      </c>
      <c r="R6462"/>
      <c r="S6462"/>
    </row>
    <row r="6463" spans="2:19" x14ac:dyDescent="0.25">
      <c r="B6463" s="6" t="s">
        <v>46</v>
      </c>
      <c r="R6463"/>
      <c r="S6463"/>
    </row>
    <row r="6464" spans="2:19" x14ac:dyDescent="0.25">
      <c r="B6464" s="6" t="s">
        <v>46</v>
      </c>
      <c r="R6464"/>
      <c r="S6464"/>
    </row>
    <row r="6465" spans="2:19" x14ac:dyDescent="0.25">
      <c r="B6465" s="6" t="s">
        <v>46</v>
      </c>
      <c r="R6465"/>
      <c r="S6465"/>
    </row>
    <row r="6466" spans="2:19" x14ac:dyDescent="0.25">
      <c r="B6466" s="6" t="s">
        <v>46</v>
      </c>
      <c r="R6466"/>
      <c r="S6466"/>
    </row>
    <row r="6467" spans="2:19" x14ac:dyDescent="0.25">
      <c r="B6467" s="6" t="s">
        <v>46</v>
      </c>
      <c r="R6467"/>
      <c r="S6467"/>
    </row>
    <row r="6468" spans="2:19" x14ac:dyDescent="0.25">
      <c r="B6468" s="6" t="s">
        <v>46</v>
      </c>
      <c r="R6468"/>
      <c r="S6468"/>
    </row>
    <row r="6469" spans="2:19" x14ac:dyDescent="0.25">
      <c r="B6469" s="6" t="s">
        <v>46</v>
      </c>
      <c r="R6469"/>
      <c r="S6469"/>
    </row>
    <row r="6470" spans="2:19" x14ac:dyDescent="0.25">
      <c r="B6470" s="6" t="s">
        <v>46</v>
      </c>
      <c r="R6470"/>
      <c r="S6470"/>
    </row>
    <row r="6471" spans="2:19" x14ac:dyDescent="0.25">
      <c r="B6471" s="6" t="s">
        <v>46</v>
      </c>
      <c r="R6471"/>
      <c r="S6471"/>
    </row>
    <row r="6472" spans="2:19" x14ac:dyDescent="0.25">
      <c r="B6472" s="6" t="s">
        <v>46</v>
      </c>
      <c r="R6472"/>
      <c r="S6472"/>
    </row>
    <row r="6473" spans="2:19" x14ac:dyDescent="0.25">
      <c r="B6473" s="6" t="s">
        <v>46</v>
      </c>
      <c r="R6473"/>
      <c r="S6473"/>
    </row>
    <row r="6474" spans="2:19" x14ac:dyDescent="0.25">
      <c r="B6474" s="6" t="s">
        <v>46</v>
      </c>
      <c r="R6474"/>
      <c r="S6474"/>
    </row>
    <row r="6475" spans="2:19" x14ac:dyDescent="0.25">
      <c r="B6475" s="6" t="s">
        <v>46</v>
      </c>
      <c r="R6475"/>
      <c r="S6475"/>
    </row>
    <row r="6476" spans="2:19" x14ac:dyDescent="0.25">
      <c r="B6476" s="6" t="s">
        <v>46</v>
      </c>
      <c r="R6476"/>
      <c r="S6476"/>
    </row>
    <row r="6477" spans="2:19" x14ac:dyDescent="0.25">
      <c r="B6477" s="6" t="s">
        <v>46</v>
      </c>
      <c r="R6477"/>
      <c r="S6477"/>
    </row>
    <row r="6478" spans="2:19" x14ac:dyDescent="0.25">
      <c r="B6478" s="6" t="s">
        <v>46</v>
      </c>
      <c r="R6478"/>
      <c r="S6478"/>
    </row>
    <row r="6479" spans="2:19" x14ac:dyDescent="0.25">
      <c r="B6479" s="6" t="s">
        <v>46</v>
      </c>
      <c r="R6479"/>
      <c r="S6479"/>
    </row>
    <row r="6480" spans="2:19" x14ac:dyDescent="0.25">
      <c r="B6480" s="6" t="s">
        <v>46</v>
      </c>
      <c r="R6480"/>
      <c r="S6480"/>
    </row>
    <row r="6481" spans="2:19" x14ac:dyDescent="0.25">
      <c r="B6481" s="6" t="s">
        <v>46</v>
      </c>
      <c r="R6481"/>
      <c r="S6481"/>
    </row>
    <row r="6482" spans="2:19" x14ac:dyDescent="0.25">
      <c r="B6482" s="6" t="s">
        <v>46</v>
      </c>
      <c r="R6482"/>
      <c r="S6482"/>
    </row>
    <row r="6483" spans="2:19" x14ac:dyDescent="0.25">
      <c r="B6483" s="6" t="s">
        <v>46</v>
      </c>
      <c r="R6483"/>
      <c r="S6483"/>
    </row>
    <row r="6484" spans="2:19" x14ac:dyDescent="0.25">
      <c r="B6484" s="6" t="s">
        <v>46</v>
      </c>
      <c r="R6484"/>
      <c r="S6484"/>
    </row>
    <row r="6485" spans="2:19" x14ac:dyDescent="0.25">
      <c r="B6485" s="6" t="s">
        <v>46</v>
      </c>
      <c r="R6485"/>
      <c r="S6485"/>
    </row>
    <row r="6486" spans="2:19" x14ac:dyDescent="0.25">
      <c r="B6486" s="6" t="s">
        <v>46</v>
      </c>
      <c r="R6486"/>
      <c r="S6486"/>
    </row>
    <row r="6487" spans="2:19" x14ac:dyDescent="0.25">
      <c r="B6487" s="6" t="s">
        <v>46</v>
      </c>
      <c r="R6487"/>
      <c r="S6487"/>
    </row>
    <row r="6488" spans="2:19" x14ac:dyDescent="0.25">
      <c r="B6488" s="6" t="s">
        <v>46</v>
      </c>
      <c r="R6488"/>
      <c r="S6488"/>
    </row>
    <row r="6489" spans="2:19" x14ac:dyDescent="0.25">
      <c r="B6489" s="6" t="s">
        <v>46</v>
      </c>
      <c r="R6489"/>
      <c r="S6489"/>
    </row>
    <row r="6490" spans="2:19" x14ac:dyDescent="0.25">
      <c r="B6490" s="6" t="s">
        <v>46</v>
      </c>
      <c r="R6490"/>
      <c r="S6490"/>
    </row>
    <row r="6491" spans="2:19" x14ac:dyDescent="0.25">
      <c r="B6491" s="6" t="s">
        <v>46</v>
      </c>
      <c r="R6491"/>
      <c r="S6491"/>
    </row>
    <row r="6492" spans="2:19" x14ac:dyDescent="0.25">
      <c r="B6492" s="6" t="s">
        <v>46</v>
      </c>
      <c r="R6492"/>
      <c r="S6492"/>
    </row>
    <row r="6493" spans="2:19" x14ac:dyDescent="0.25">
      <c r="B6493" s="6" t="s">
        <v>46</v>
      </c>
      <c r="R6493"/>
      <c r="S6493"/>
    </row>
    <row r="6494" spans="2:19" x14ac:dyDescent="0.25">
      <c r="B6494" s="6" t="s">
        <v>46</v>
      </c>
      <c r="R6494"/>
      <c r="S6494"/>
    </row>
    <row r="6495" spans="2:19" x14ac:dyDescent="0.25">
      <c r="B6495" s="6" t="s">
        <v>46</v>
      </c>
      <c r="R6495"/>
      <c r="S6495"/>
    </row>
    <row r="6496" spans="2:19" x14ac:dyDescent="0.25">
      <c r="B6496" s="6" t="s">
        <v>46</v>
      </c>
      <c r="C6496" s="2"/>
      <c r="R6496"/>
      <c r="S6496"/>
    </row>
    <row r="6497" spans="2:19" x14ac:dyDescent="0.25">
      <c r="B6497" s="6" t="s">
        <v>46</v>
      </c>
      <c r="C6497" s="2"/>
      <c r="R6497"/>
      <c r="S6497"/>
    </row>
    <row r="6498" spans="2:19" x14ac:dyDescent="0.25">
      <c r="B6498" s="6" t="s">
        <v>46</v>
      </c>
      <c r="C6498" s="2"/>
      <c r="R6498"/>
      <c r="S6498"/>
    </row>
    <row r="6499" spans="2:19" x14ac:dyDescent="0.25">
      <c r="B6499" s="6" t="s">
        <v>46</v>
      </c>
      <c r="C6499" s="2"/>
      <c r="R6499"/>
      <c r="S6499"/>
    </row>
    <row r="6500" spans="2:19" x14ac:dyDescent="0.25">
      <c r="B6500" s="6" t="s">
        <v>46</v>
      </c>
      <c r="C6500" s="2"/>
      <c r="R6500"/>
      <c r="S6500"/>
    </row>
    <row r="6501" spans="2:19" x14ac:dyDescent="0.25">
      <c r="B6501" s="6" t="s">
        <v>46</v>
      </c>
      <c r="C6501" s="2"/>
      <c r="R6501"/>
      <c r="S6501"/>
    </row>
    <row r="6502" spans="2:19" x14ac:dyDescent="0.25">
      <c r="B6502" s="6" t="s">
        <v>46</v>
      </c>
      <c r="C6502" s="2"/>
      <c r="R6502"/>
      <c r="S6502"/>
    </row>
    <row r="6503" spans="2:19" x14ac:dyDescent="0.25">
      <c r="B6503" s="6" t="s">
        <v>46</v>
      </c>
      <c r="C6503" s="2"/>
      <c r="R6503"/>
      <c r="S6503"/>
    </row>
    <row r="6504" spans="2:19" x14ac:dyDescent="0.25">
      <c r="B6504" s="6" t="s">
        <v>46</v>
      </c>
      <c r="C6504" s="2"/>
      <c r="R6504"/>
      <c r="S6504"/>
    </row>
    <row r="6505" spans="2:19" x14ac:dyDescent="0.25">
      <c r="B6505" s="6" t="s">
        <v>46</v>
      </c>
      <c r="C6505" s="2"/>
      <c r="R6505"/>
      <c r="S6505"/>
    </row>
    <row r="6506" spans="2:19" x14ac:dyDescent="0.25">
      <c r="B6506" s="6" t="s">
        <v>46</v>
      </c>
      <c r="C6506" s="2"/>
      <c r="R6506"/>
      <c r="S6506"/>
    </row>
    <row r="6507" spans="2:19" x14ac:dyDescent="0.25">
      <c r="B6507" s="6" t="s">
        <v>46</v>
      </c>
      <c r="C6507" s="2"/>
      <c r="R6507"/>
      <c r="S6507"/>
    </row>
    <row r="6508" spans="2:19" x14ac:dyDescent="0.25">
      <c r="B6508" s="6" t="s">
        <v>46</v>
      </c>
      <c r="C6508" s="2"/>
      <c r="R6508"/>
      <c r="S6508"/>
    </row>
    <row r="6509" spans="2:19" x14ac:dyDescent="0.25">
      <c r="B6509" s="6" t="s">
        <v>46</v>
      </c>
      <c r="C6509" s="2"/>
      <c r="R6509"/>
      <c r="S6509"/>
    </row>
    <row r="6510" spans="2:19" x14ac:dyDescent="0.25">
      <c r="B6510" s="6" t="s">
        <v>46</v>
      </c>
      <c r="C6510" s="2"/>
      <c r="R6510"/>
      <c r="S6510"/>
    </row>
    <row r="6511" spans="2:19" x14ac:dyDescent="0.25">
      <c r="B6511" s="6" t="s">
        <v>46</v>
      </c>
      <c r="C6511" s="2"/>
      <c r="R6511"/>
      <c r="S6511"/>
    </row>
    <row r="6512" spans="2:19" x14ac:dyDescent="0.25">
      <c r="B6512" s="6" t="s">
        <v>46</v>
      </c>
      <c r="C6512" s="2"/>
      <c r="R6512"/>
      <c r="S6512"/>
    </row>
    <row r="6513" spans="2:19" x14ac:dyDescent="0.25">
      <c r="B6513" s="6" t="s">
        <v>46</v>
      </c>
      <c r="C6513" s="2"/>
      <c r="R6513"/>
      <c r="S6513"/>
    </row>
    <row r="6514" spans="2:19" x14ac:dyDescent="0.25">
      <c r="B6514" s="6" t="s">
        <v>46</v>
      </c>
      <c r="C6514" s="2"/>
      <c r="R6514"/>
      <c r="S6514"/>
    </row>
    <row r="6515" spans="2:19" x14ac:dyDescent="0.25">
      <c r="B6515" s="6" t="s">
        <v>46</v>
      </c>
      <c r="C6515" s="2"/>
      <c r="R6515"/>
      <c r="S6515"/>
    </row>
    <row r="6516" spans="2:19" x14ac:dyDescent="0.25">
      <c r="B6516" s="6" t="s">
        <v>46</v>
      </c>
      <c r="C6516" s="2"/>
      <c r="R6516"/>
      <c r="S6516"/>
    </row>
    <row r="6517" spans="2:19" x14ac:dyDescent="0.25">
      <c r="B6517" s="6" t="s">
        <v>46</v>
      </c>
      <c r="C6517" s="2"/>
      <c r="R6517"/>
      <c r="S6517"/>
    </row>
    <row r="6518" spans="2:19" x14ac:dyDescent="0.25">
      <c r="B6518" s="6" t="s">
        <v>46</v>
      </c>
      <c r="C6518" s="2"/>
      <c r="R6518"/>
      <c r="S6518"/>
    </row>
    <row r="6519" spans="2:19" x14ac:dyDescent="0.25">
      <c r="B6519" s="6" t="s">
        <v>46</v>
      </c>
      <c r="C6519" s="2"/>
      <c r="R6519"/>
      <c r="S6519"/>
    </row>
    <row r="6520" spans="2:19" x14ac:dyDescent="0.25">
      <c r="B6520" s="6" t="s">
        <v>46</v>
      </c>
      <c r="C6520" s="2"/>
      <c r="R6520"/>
      <c r="S6520"/>
    </row>
    <row r="6521" spans="2:19" x14ac:dyDescent="0.25">
      <c r="B6521" s="6" t="s">
        <v>46</v>
      </c>
      <c r="C6521" s="2"/>
      <c r="R6521"/>
      <c r="S6521"/>
    </row>
    <row r="6522" spans="2:19" x14ac:dyDescent="0.25">
      <c r="B6522" s="6" t="s">
        <v>46</v>
      </c>
      <c r="C6522" s="2"/>
      <c r="R6522"/>
      <c r="S6522"/>
    </row>
    <row r="6523" spans="2:19" x14ac:dyDescent="0.25">
      <c r="B6523" s="6" t="s">
        <v>46</v>
      </c>
      <c r="C6523" s="2"/>
      <c r="R6523"/>
      <c r="S6523"/>
    </row>
    <row r="6524" spans="2:19" x14ac:dyDescent="0.25">
      <c r="B6524" s="6" t="s">
        <v>46</v>
      </c>
      <c r="C6524" s="2"/>
      <c r="R6524"/>
      <c r="S6524"/>
    </row>
    <row r="6525" spans="2:19" x14ac:dyDescent="0.25">
      <c r="B6525" s="6" t="s">
        <v>46</v>
      </c>
      <c r="C6525" s="2"/>
      <c r="R6525"/>
      <c r="S6525"/>
    </row>
    <row r="6526" spans="2:19" x14ac:dyDescent="0.25">
      <c r="B6526" s="6" t="s">
        <v>46</v>
      </c>
      <c r="C6526" s="2"/>
      <c r="R6526"/>
      <c r="S6526"/>
    </row>
    <row r="6527" spans="2:19" x14ac:dyDescent="0.25">
      <c r="B6527" s="6" t="s">
        <v>46</v>
      </c>
      <c r="C6527" s="2"/>
      <c r="R6527"/>
      <c r="S6527"/>
    </row>
    <row r="6528" spans="2:19" x14ac:dyDescent="0.25">
      <c r="B6528" s="6" t="s">
        <v>46</v>
      </c>
      <c r="C6528" s="2"/>
      <c r="R6528"/>
      <c r="S6528"/>
    </row>
    <row r="6529" spans="2:19" x14ac:dyDescent="0.25">
      <c r="B6529" s="6" t="s">
        <v>46</v>
      </c>
      <c r="C6529" s="2"/>
      <c r="R6529"/>
      <c r="S6529"/>
    </row>
    <row r="6530" spans="2:19" x14ac:dyDescent="0.25">
      <c r="B6530" s="6" t="s">
        <v>46</v>
      </c>
      <c r="C6530" s="2"/>
      <c r="R6530"/>
      <c r="S6530"/>
    </row>
    <row r="6531" spans="2:19" x14ac:dyDescent="0.25">
      <c r="B6531" s="6" t="s">
        <v>46</v>
      </c>
      <c r="C6531" s="2"/>
      <c r="R6531"/>
      <c r="S6531"/>
    </row>
    <row r="6532" spans="2:19" x14ac:dyDescent="0.25">
      <c r="B6532" s="6" t="s">
        <v>46</v>
      </c>
      <c r="C6532" s="2"/>
      <c r="R6532"/>
      <c r="S6532"/>
    </row>
    <row r="6533" spans="2:19" x14ac:dyDescent="0.25">
      <c r="B6533" s="6" t="s">
        <v>46</v>
      </c>
      <c r="C6533" s="2"/>
      <c r="R6533"/>
      <c r="S6533"/>
    </row>
    <row r="6534" spans="2:19" x14ac:dyDescent="0.25">
      <c r="B6534" s="6" t="s">
        <v>46</v>
      </c>
      <c r="C6534" s="2"/>
      <c r="R6534"/>
      <c r="S6534"/>
    </row>
    <row r="6535" spans="2:19" x14ac:dyDescent="0.25">
      <c r="B6535" s="6" t="s">
        <v>46</v>
      </c>
      <c r="C6535" s="2"/>
      <c r="R6535"/>
      <c r="S6535"/>
    </row>
    <row r="6536" spans="2:19" x14ac:dyDescent="0.25">
      <c r="B6536" s="6" t="s">
        <v>46</v>
      </c>
      <c r="C6536" s="2"/>
      <c r="R6536"/>
      <c r="S6536"/>
    </row>
    <row r="6537" spans="2:19" x14ac:dyDescent="0.25">
      <c r="B6537" s="6" t="s">
        <v>46</v>
      </c>
      <c r="C6537" s="2"/>
      <c r="R6537"/>
      <c r="S6537"/>
    </row>
    <row r="6538" spans="2:19" x14ac:dyDescent="0.25">
      <c r="B6538" s="6" t="s">
        <v>46</v>
      </c>
      <c r="C6538" s="2"/>
      <c r="R6538"/>
      <c r="S6538"/>
    </row>
    <row r="6539" spans="2:19" x14ac:dyDescent="0.25">
      <c r="B6539" s="6" t="s">
        <v>46</v>
      </c>
      <c r="C6539" s="2"/>
      <c r="R6539"/>
      <c r="S6539"/>
    </row>
    <row r="6540" spans="2:19" x14ac:dyDescent="0.25">
      <c r="B6540" s="6" t="s">
        <v>46</v>
      </c>
      <c r="C6540" s="2"/>
      <c r="R6540"/>
      <c r="S6540"/>
    </row>
    <row r="6541" spans="2:19" x14ac:dyDescent="0.25">
      <c r="B6541" s="6" t="s">
        <v>46</v>
      </c>
      <c r="C6541" s="2"/>
      <c r="R6541"/>
      <c r="S6541"/>
    </row>
    <row r="6542" spans="2:19" x14ac:dyDescent="0.25">
      <c r="B6542" s="6" t="s">
        <v>46</v>
      </c>
      <c r="C6542" s="2"/>
      <c r="R6542"/>
      <c r="S6542"/>
    </row>
    <row r="6543" spans="2:19" x14ac:dyDescent="0.25">
      <c r="B6543" s="6" t="s">
        <v>46</v>
      </c>
      <c r="C6543" s="2"/>
      <c r="R6543"/>
      <c r="S6543"/>
    </row>
    <row r="6544" spans="2:19" x14ac:dyDescent="0.25">
      <c r="B6544" s="6" t="s">
        <v>46</v>
      </c>
      <c r="C6544" s="2"/>
      <c r="R6544"/>
      <c r="S6544"/>
    </row>
    <row r="6545" spans="2:23" x14ac:dyDescent="0.25">
      <c r="B6545" s="6" t="s">
        <v>4842</v>
      </c>
      <c r="C6545">
        <v>117554</v>
      </c>
      <c r="D6545" t="s">
        <v>4843</v>
      </c>
      <c r="E6545" t="s">
        <v>4080</v>
      </c>
      <c r="F6545" t="s">
        <v>305</v>
      </c>
      <c r="G6545" t="s">
        <v>304</v>
      </c>
      <c r="H6545" t="s">
        <v>116</v>
      </c>
      <c r="I6545" t="s">
        <v>31</v>
      </c>
      <c r="J6545" t="s">
        <v>32</v>
      </c>
      <c r="K6545" t="s">
        <v>44</v>
      </c>
      <c r="L6545" t="s">
        <v>45</v>
      </c>
      <c r="M6545" t="s">
        <v>4844</v>
      </c>
      <c r="N6545" t="s">
        <v>4845</v>
      </c>
      <c r="P6545" t="s">
        <v>4171</v>
      </c>
      <c r="Q6545" t="s">
        <v>4846</v>
      </c>
      <c r="R6545">
        <v>43313.449236111112</v>
      </c>
      <c r="S6545">
        <v>43355.131874999999</v>
      </c>
      <c r="T6545" t="s">
        <v>4847</v>
      </c>
      <c r="U6545" t="s">
        <v>35</v>
      </c>
      <c r="V6545" t="s">
        <v>4057</v>
      </c>
      <c r="W6545" t="s">
        <v>4171</v>
      </c>
    </row>
    <row r="6546" spans="2:23" x14ac:dyDescent="0.25">
      <c r="B6546" s="6" t="s">
        <v>4842</v>
      </c>
      <c r="C6546">
        <v>117554</v>
      </c>
      <c r="D6546" t="s">
        <v>4843</v>
      </c>
      <c r="E6546" t="s">
        <v>4080</v>
      </c>
      <c r="F6546" t="s">
        <v>305</v>
      </c>
      <c r="G6546" t="s">
        <v>304</v>
      </c>
      <c r="H6546" t="s">
        <v>116</v>
      </c>
      <c r="I6546" t="s">
        <v>31</v>
      </c>
      <c r="J6546" t="s">
        <v>32</v>
      </c>
      <c r="K6546" t="s">
        <v>44</v>
      </c>
      <c r="L6546" t="s">
        <v>45</v>
      </c>
      <c r="M6546" t="s">
        <v>4844</v>
      </c>
      <c r="N6546" t="s">
        <v>4845</v>
      </c>
      <c r="P6546" t="s">
        <v>4171</v>
      </c>
      <c r="Q6546" t="s">
        <v>4846</v>
      </c>
      <c r="R6546">
        <v>43313.449236111112</v>
      </c>
      <c r="S6546">
        <v>43355.131874999999</v>
      </c>
      <c r="T6546" t="s">
        <v>4847</v>
      </c>
      <c r="U6546" t="s">
        <v>35</v>
      </c>
      <c r="V6546" t="s">
        <v>4057</v>
      </c>
      <c r="W6546" t="s">
        <v>4171</v>
      </c>
    </row>
    <row r="6547" spans="2:23" x14ac:dyDescent="0.25">
      <c r="B6547" s="6" t="s">
        <v>4842</v>
      </c>
      <c r="C6547">
        <v>117554</v>
      </c>
      <c r="D6547" t="s">
        <v>4843</v>
      </c>
      <c r="E6547" t="s">
        <v>4080</v>
      </c>
      <c r="F6547" t="s">
        <v>305</v>
      </c>
      <c r="G6547" t="s">
        <v>304</v>
      </c>
      <c r="H6547" t="s">
        <v>116</v>
      </c>
      <c r="I6547" t="s">
        <v>31</v>
      </c>
      <c r="J6547" t="s">
        <v>32</v>
      </c>
      <c r="K6547" t="s">
        <v>44</v>
      </c>
      <c r="L6547" t="s">
        <v>45</v>
      </c>
      <c r="M6547" t="s">
        <v>4844</v>
      </c>
      <c r="N6547" t="s">
        <v>4845</v>
      </c>
      <c r="P6547" t="s">
        <v>4171</v>
      </c>
      <c r="Q6547" t="s">
        <v>4846</v>
      </c>
      <c r="R6547">
        <v>43313.449236111112</v>
      </c>
      <c r="S6547">
        <v>43355.131874999999</v>
      </c>
      <c r="T6547" t="s">
        <v>4847</v>
      </c>
      <c r="U6547" t="s">
        <v>35</v>
      </c>
      <c r="V6547" t="s">
        <v>4057</v>
      </c>
      <c r="W6547" t="s">
        <v>4171</v>
      </c>
    </row>
    <row r="6548" spans="2:23" x14ac:dyDescent="0.25">
      <c r="B6548" s="6" t="s">
        <v>4842</v>
      </c>
      <c r="C6548">
        <v>117554</v>
      </c>
      <c r="D6548" t="s">
        <v>4843</v>
      </c>
      <c r="E6548" t="s">
        <v>4080</v>
      </c>
      <c r="F6548" t="s">
        <v>305</v>
      </c>
      <c r="G6548" t="s">
        <v>304</v>
      </c>
      <c r="H6548" t="s">
        <v>116</v>
      </c>
      <c r="I6548" t="s">
        <v>31</v>
      </c>
      <c r="J6548" t="s">
        <v>32</v>
      </c>
      <c r="K6548" t="s">
        <v>44</v>
      </c>
      <c r="L6548" t="s">
        <v>45</v>
      </c>
      <c r="M6548" t="s">
        <v>4844</v>
      </c>
      <c r="N6548" t="s">
        <v>4845</v>
      </c>
      <c r="P6548" t="s">
        <v>4171</v>
      </c>
      <c r="Q6548" t="s">
        <v>4846</v>
      </c>
      <c r="R6548">
        <v>43313.449236111112</v>
      </c>
      <c r="S6548">
        <v>43355.131874999999</v>
      </c>
      <c r="T6548" t="s">
        <v>4847</v>
      </c>
      <c r="U6548" t="s">
        <v>35</v>
      </c>
      <c r="V6548" t="s">
        <v>4057</v>
      </c>
      <c r="W6548" t="s">
        <v>4171</v>
      </c>
    </row>
    <row r="6549" spans="2:23" x14ac:dyDescent="0.25">
      <c r="B6549" s="6" t="s">
        <v>4842</v>
      </c>
      <c r="C6549">
        <v>117554</v>
      </c>
      <c r="D6549" t="s">
        <v>4843</v>
      </c>
      <c r="E6549" t="s">
        <v>4080</v>
      </c>
      <c r="F6549" t="s">
        <v>305</v>
      </c>
      <c r="G6549" t="s">
        <v>304</v>
      </c>
      <c r="H6549" t="s">
        <v>116</v>
      </c>
      <c r="I6549" t="s">
        <v>31</v>
      </c>
      <c r="J6549" t="s">
        <v>32</v>
      </c>
      <c r="K6549" t="s">
        <v>44</v>
      </c>
      <c r="L6549" t="s">
        <v>45</v>
      </c>
      <c r="M6549" t="s">
        <v>4844</v>
      </c>
      <c r="N6549" t="s">
        <v>4845</v>
      </c>
      <c r="P6549" t="s">
        <v>4171</v>
      </c>
      <c r="Q6549" t="s">
        <v>4846</v>
      </c>
      <c r="R6549">
        <v>43313.449236111112</v>
      </c>
      <c r="S6549">
        <v>43355.131874999999</v>
      </c>
      <c r="T6549" t="s">
        <v>4847</v>
      </c>
      <c r="U6549" t="s">
        <v>35</v>
      </c>
      <c r="V6549" t="s">
        <v>4057</v>
      </c>
      <c r="W6549" t="s">
        <v>4171</v>
      </c>
    </row>
    <row r="6550" spans="2:23" x14ac:dyDescent="0.25">
      <c r="B6550" s="6" t="s">
        <v>4842</v>
      </c>
      <c r="C6550">
        <v>117554</v>
      </c>
      <c r="D6550" t="s">
        <v>4843</v>
      </c>
      <c r="E6550" t="s">
        <v>4080</v>
      </c>
      <c r="F6550" t="s">
        <v>305</v>
      </c>
      <c r="G6550" t="s">
        <v>304</v>
      </c>
      <c r="H6550" t="s">
        <v>116</v>
      </c>
      <c r="I6550" t="s">
        <v>31</v>
      </c>
      <c r="J6550" t="s">
        <v>32</v>
      </c>
      <c r="K6550" t="s">
        <v>44</v>
      </c>
      <c r="L6550" t="s">
        <v>45</v>
      </c>
      <c r="M6550" t="s">
        <v>4844</v>
      </c>
      <c r="N6550" t="s">
        <v>4845</v>
      </c>
      <c r="P6550" t="s">
        <v>4171</v>
      </c>
      <c r="Q6550" t="s">
        <v>4846</v>
      </c>
      <c r="R6550">
        <v>43313.449236111112</v>
      </c>
      <c r="S6550">
        <v>43355.131874999999</v>
      </c>
      <c r="T6550" t="s">
        <v>4847</v>
      </c>
      <c r="U6550" t="s">
        <v>35</v>
      </c>
      <c r="V6550" t="s">
        <v>4057</v>
      </c>
      <c r="W6550" t="s">
        <v>4171</v>
      </c>
    </row>
    <row r="6551" spans="2:23" x14ac:dyDescent="0.25">
      <c r="B6551" s="6" t="s">
        <v>3826</v>
      </c>
      <c r="C6551" s="2">
        <f>HYPERLINK(URLs!B36 &amp; 43171,43171)</f>
        <v>43171</v>
      </c>
      <c r="D6551" t="s">
        <v>3827</v>
      </c>
      <c r="E6551" t="s">
        <v>2047</v>
      </c>
      <c r="F6551" t="s">
        <v>305</v>
      </c>
      <c r="G6551" t="s">
        <v>310</v>
      </c>
      <c r="H6551" t="s">
        <v>30</v>
      </c>
      <c r="I6551" t="s">
        <v>31</v>
      </c>
      <c r="J6551" t="s">
        <v>32</v>
      </c>
      <c r="K6551" t="s">
        <v>35</v>
      </c>
      <c r="L6551" t="s">
        <v>34</v>
      </c>
      <c r="M6551" t="s">
        <v>368</v>
      </c>
      <c r="N6551" t="s">
        <v>46</v>
      </c>
      <c r="P6551" t="s">
        <v>56</v>
      </c>
      <c r="Q6551" t="s">
        <v>3828</v>
      </c>
      <c r="R6551">
        <v>41781.463865740741</v>
      </c>
      <c r="S6551">
        <v>42034.641238425924</v>
      </c>
      <c r="T6551" t="s">
        <v>2387</v>
      </c>
      <c r="U6551" t="s">
        <v>35</v>
      </c>
      <c r="V6551" t="s">
        <v>35</v>
      </c>
      <c r="W6551" t="s">
        <v>4112</v>
      </c>
    </row>
    <row r="6552" spans="2:23" x14ac:dyDescent="0.25">
      <c r="B6552" s="6" t="s">
        <v>3826</v>
      </c>
      <c r="C6552" s="2">
        <f>HYPERLINK(URLs!B36 &amp; 43448,43448)</f>
        <v>43448</v>
      </c>
      <c r="D6552" t="s">
        <v>3829</v>
      </c>
      <c r="E6552" t="s">
        <v>371</v>
      </c>
      <c r="F6552" t="s">
        <v>305</v>
      </c>
      <c r="G6552" t="s">
        <v>304</v>
      </c>
      <c r="H6552" t="s">
        <v>30</v>
      </c>
      <c r="I6552" t="s">
        <v>35</v>
      </c>
      <c r="J6552" t="s">
        <v>32</v>
      </c>
      <c r="K6552" t="s">
        <v>35</v>
      </c>
      <c r="L6552" t="s">
        <v>34</v>
      </c>
      <c r="M6552" t="s">
        <v>368</v>
      </c>
      <c r="N6552" t="s">
        <v>46</v>
      </c>
      <c r="P6552" t="s">
        <v>56</v>
      </c>
      <c r="Q6552" t="s">
        <v>3828</v>
      </c>
      <c r="R6552">
        <v>41792.626550925925</v>
      </c>
      <c r="S6552">
        <v>42058.622175925928</v>
      </c>
      <c r="T6552" t="s">
        <v>2047</v>
      </c>
      <c r="U6552" t="s">
        <v>35</v>
      </c>
      <c r="V6552" t="s">
        <v>35</v>
      </c>
      <c r="W6552" t="s">
        <v>4098</v>
      </c>
    </row>
    <row r="6553" spans="2:23" x14ac:dyDescent="0.25">
      <c r="B6553" s="6" t="s">
        <v>3826</v>
      </c>
      <c r="C6553" s="2">
        <f>HYPERLINK(URLs!B36 &amp; 43449,43449)</f>
        <v>43449</v>
      </c>
      <c r="D6553" t="s">
        <v>3830</v>
      </c>
      <c r="E6553" t="s">
        <v>371</v>
      </c>
      <c r="F6553" t="s">
        <v>305</v>
      </c>
      <c r="G6553" t="s">
        <v>1621</v>
      </c>
      <c r="H6553" t="s">
        <v>30</v>
      </c>
      <c r="I6553" t="s">
        <v>35</v>
      </c>
      <c r="J6553" t="s">
        <v>32</v>
      </c>
      <c r="K6553" t="s">
        <v>35</v>
      </c>
      <c r="L6553" t="s">
        <v>34</v>
      </c>
      <c r="M6553" t="s">
        <v>368</v>
      </c>
      <c r="N6553" t="s">
        <v>46</v>
      </c>
      <c r="P6553" t="s">
        <v>56</v>
      </c>
      <c r="Q6553" t="s">
        <v>3828</v>
      </c>
      <c r="R6553">
        <v>41792.629629629628</v>
      </c>
      <c r="S6553">
        <v>42034.660196759258</v>
      </c>
      <c r="T6553" t="s">
        <v>2047</v>
      </c>
      <c r="U6553" t="s">
        <v>35</v>
      </c>
      <c r="V6553" t="s">
        <v>35</v>
      </c>
      <c r="W6553" t="s">
        <v>4134</v>
      </c>
    </row>
    <row r="6554" spans="2:23" x14ac:dyDescent="0.25">
      <c r="B6554" s="6" t="s">
        <v>3826</v>
      </c>
      <c r="C6554" s="2">
        <f>HYPERLINK(URLs!B36 &amp; 43171,43171)</f>
        <v>43171</v>
      </c>
      <c r="D6554" t="s">
        <v>3827</v>
      </c>
      <c r="E6554" t="s">
        <v>2047</v>
      </c>
      <c r="F6554" t="s">
        <v>305</v>
      </c>
      <c r="G6554" t="s">
        <v>310</v>
      </c>
      <c r="H6554" t="s">
        <v>30</v>
      </c>
      <c r="I6554" t="s">
        <v>31</v>
      </c>
      <c r="J6554" t="s">
        <v>32</v>
      </c>
      <c r="K6554" t="s">
        <v>35</v>
      </c>
      <c r="L6554" t="s">
        <v>34</v>
      </c>
      <c r="M6554" t="s">
        <v>368</v>
      </c>
      <c r="N6554" t="s">
        <v>46</v>
      </c>
      <c r="P6554" t="s">
        <v>56</v>
      </c>
      <c r="Q6554" t="s">
        <v>3828</v>
      </c>
      <c r="R6554">
        <v>41781.463865740741</v>
      </c>
      <c r="S6554">
        <v>42034.641238425924</v>
      </c>
      <c r="T6554" t="s">
        <v>2387</v>
      </c>
      <c r="U6554" t="s">
        <v>35</v>
      </c>
      <c r="V6554" t="s">
        <v>35</v>
      </c>
      <c r="W6554" t="s">
        <v>4112</v>
      </c>
    </row>
    <row r="6555" spans="2:23" x14ac:dyDescent="0.25">
      <c r="B6555" s="6" t="s">
        <v>3826</v>
      </c>
      <c r="C6555" s="2">
        <f>HYPERLINK(URLs!B36 &amp; 43448,43448)</f>
        <v>43448</v>
      </c>
      <c r="D6555" t="s">
        <v>3829</v>
      </c>
      <c r="E6555" t="s">
        <v>371</v>
      </c>
      <c r="F6555" t="s">
        <v>305</v>
      </c>
      <c r="G6555" t="s">
        <v>304</v>
      </c>
      <c r="H6555" t="s">
        <v>30</v>
      </c>
      <c r="I6555" t="s">
        <v>35</v>
      </c>
      <c r="J6555" t="s">
        <v>32</v>
      </c>
      <c r="K6555" t="s">
        <v>35</v>
      </c>
      <c r="L6555" t="s">
        <v>34</v>
      </c>
      <c r="M6555" t="s">
        <v>368</v>
      </c>
      <c r="N6555" t="s">
        <v>46</v>
      </c>
      <c r="P6555" t="s">
        <v>56</v>
      </c>
      <c r="Q6555" t="s">
        <v>3828</v>
      </c>
      <c r="R6555">
        <v>41792.626550925925</v>
      </c>
      <c r="S6555">
        <v>42058.622175925928</v>
      </c>
      <c r="T6555" t="s">
        <v>2047</v>
      </c>
      <c r="U6555" t="s">
        <v>35</v>
      </c>
      <c r="V6555" t="s">
        <v>35</v>
      </c>
      <c r="W6555" t="s">
        <v>4098</v>
      </c>
    </row>
    <row r="6556" spans="2:23" x14ac:dyDescent="0.25">
      <c r="B6556" s="6" t="s">
        <v>3826</v>
      </c>
      <c r="C6556" s="2">
        <f>HYPERLINK(URLs!B36 &amp; 43449,43449)</f>
        <v>43449</v>
      </c>
      <c r="D6556" t="s">
        <v>3830</v>
      </c>
      <c r="E6556" t="s">
        <v>371</v>
      </c>
      <c r="F6556" t="s">
        <v>305</v>
      </c>
      <c r="G6556" t="s">
        <v>1621</v>
      </c>
      <c r="H6556" t="s">
        <v>30</v>
      </c>
      <c r="I6556" t="s">
        <v>35</v>
      </c>
      <c r="J6556" t="s">
        <v>32</v>
      </c>
      <c r="K6556" t="s">
        <v>35</v>
      </c>
      <c r="L6556" t="s">
        <v>34</v>
      </c>
      <c r="M6556" t="s">
        <v>368</v>
      </c>
      <c r="N6556" t="s">
        <v>46</v>
      </c>
      <c r="P6556" t="s">
        <v>56</v>
      </c>
      <c r="Q6556" t="s">
        <v>3828</v>
      </c>
      <c r="R6556">
        <v>41792.629629629628</v>
      </c>
      <c r="S6556">
        <v>42034.660196759258</v>
      </c>
      <c r="T6556" t="s">
        <v>2047</v>
      </c>
      <c r="U6556" t="s">
        <v>35</v>
      </c>
      <c r="V6556" t="s">
        <v>35</v>
      </c>
      <c r="W6556" t="s">
        <v>4134</v>
      </c>
    </row>
    <row r="6557" spans="2:23" x14ac:dyDescent="0.25">
      <c r="B6557" s="6" t="s">
        <v>3826</v>
      </c>
      <c r="C6557" s="2">
        <f>HYPERLINK(URLs!B36 &amp; 43171,43171)</f>
        <v>43171</v>
      </c>
      <c r="D6557" t="s">
        <v>3827</v>
      </c>
      <c r="E6557" t="s">
        <v>2047</v>
      </c>
      <c r="F6557" t="s">
        <v>305</v>
      </c>
      <c r="G6557" t="s">
        <v>310</v>
      </c>
      <c r="H6557" t="s">
        <v>30</v>
      </c>
      <c r="I6557" t="s">
        <v>31</v>
      </c>
      <c r="J6557" t="s">
        <v>32</v>
      </c>
      <c r="K6557" t="s">
        <v>35</v>
      </c>
      <c r="L6557" t="s">
        <v>34</v>
      </c>
      <c r="M6557" t="s">
        <v>368</v>
      </c>
      <c r="N6557" t="s">
        <v>46</v>
      </c>
      <c r="P6557" t="s">
        <v>56</v>
      </c>
      <c r="Q6557" t="s">
        <v>3828</v>
      </c>
      <c r="R6557">
        <v>41781.463865740741</v>
      </c>
      <c r="S6557">
        <v>42034.641238425924</v>
      </c>
      <c r="T6557" t="s">
        <v>2387</v>
      </c>
      <c r="U6557" t="s">
        <v>35</v>
      </c>
      <c r="V6557" t="s">
        <v>35</v>
      </c>
      <c r="W6557" t="s">
        <v>4112</v>
      </c>
    </row>
    <row r="6558" spans="2:23" x14ac:dyDescent="0.25">
      <c r="B6558" s="6" t="s">
        <v>3826</v>
      </c>
      <c r="C6558" s="2">
        <f>HYPERLINK(URLs!B36 &amp; 43448,43448)</f>
        <v>43448</v>
      </c>
      <c r="D6558" t="s">
        <v>3829</v>
      </c>
      <c r="E6558" t="s">
        <v>371</v>
      </c>
      <c r="F6558" t="s">
        <v>305</v>
      </c>
      <c r="G6558" t="s">
        <v>304</v>
      </c>
      <c r="H6558" t="s">
        <v>30</v>
      </c>
      <c r="I6558" t="s">
        <v>35</v>
      </c>
      <c r="J6558" t="s">
        <v>32</v>
      </c>
      <c r="K6558" t="s">
        <v>35</v>
      </c>
      <c r="L6558" t="s">
        <v>34</v>
      </c>
      <c r="M6558" t="s">
        <v>368</v>
      </c>
      <c r="N6558" t="s">
        <v>46</v>
      </c>
      <c r="P6558" t="s">
        <v>56</v>
      </c>
      <c r="Q6558" t="s">
        <v>3828</v>
      </c>
      <c r="R6558">
        <v>41792.626550925925</v>
      </c>
      <c r="S6558">
        <v>42058.622175925928</v>
      </c>
      <c r="T6558" t="s">
        <v>2047</v>
      </c>
      <c r="U6558" t="s">
        <v>35</v>
      </c>
      <c r="V6558" t="s">
        <v>35</v>
      </c>
      <c r="W6558" t="s">
        <v>4098</v>
      </c>
    </row>
    <row r="6559" spans="2:23" x14ac:dyDescent="0.25">
      <c r="B6559" s="6" t="s">
        <v>3826</v>
      </c>
      <c r="C6559" s="2">
        <f>HYPERLINK(URLs!B36 &amp; 43449,43449)</f>
        <v>43449</v>
      </c>
      <c r="D6559" t="s">
        <v>3830</v>
      </c>
      <c r="E6559" t="s">
        <v>371</v>
      </c>
      <c r="F6559" t="s">
        <v>305</v>
      </c>
      <c r="G6559" t="s">
        <v>1621</v>
      </c>
      <c r="H6559" t="s">
        <v>30</v>
      </c>
      <c r="I6559" t="s">
        <v>35</v>
      </c>
      <c r="J6559" t="s">
        <v>32</v>
      </c>
      <c r="K6559" t="s">
        <v>35</v>
      </c>
      <c r="L6559" t="s">
        <v>34</v>
      </c>
      <c r="M6559" t="s">
        <v>368</v>
      </c>
      <c r="N6559" t="s">
        <v>46</v>
      </c>
      <c r="P6559" t="s">
        <v>56</v>
      </c>
      <c r="Q6559" t="s">
        <v>3828</v>
      </c>
      <c r="R6559">
        <v>41792.629629629628</v>
      </c>
      <c r="S6559">
        <v>42034.660196759258</v>
      </c>
      <c r="T6559" t="s">
        <v>2047</v>
      </c>
      <c r="U6559" t="s">
        <v>35</v>
      </c>
      <c r="V6559" t="s">
        <v>35</v>
      </c>
      <c r="W6559" t="s">
        <v>4134</v>
      </c>
    </row>
    <row r="6560" spans="2:23" x14ac:dyDescent="0.25">
      <c r="B6560" s="6" t="s">
        <v>3826</v>
      </c>
      <c r="C6560" s="2">
        <f>HYPERLINK(URLs!B36 &amp; 43171,43171)</f>
        <v>43171</v>
      </c>
      <c r="D6560" t="s">
        <v>3827</v>
      </c>
      <c r="E6560" t="s">
        <v>2047</v>
      </c>
      <c r="F6560" t="s">
        <v>305</v>
      </c>
      <c r="G6560" t="s">
        <v>310</v>
      </c>
      <c r="H6560" t="s">
        <v>30</v>
      </c>
      <c r="I6560" t="s">
        <v>31</v>
      </c>
      <c r="J6560" t="s">
        <v>32</v>
      </c>
      <c r="K6560" t="s">
        <v>35</v>
      </c>
      <c r="L6560" t="s">
        <v>34</v>
      </c>
      <c r="M6560" t="s">
        <v>368</v>
      </c>
      <c r="N6560" t="s">
        <v>46</v>
      </c>
      <c r="P6560" t="s">
        <v>56</v>
      </c>
      <c r="Q6560" t="s">
        <v>3828</v>
      </c>
      <c r="R6560">
        <v>41781.463865740741</v>
      </c>
      <c r="S6560">
        <v>42034.641238425924</v>
      </c>
      <c r="T6560" t="s">
        <v>2387</v>
      </c>
      <c r="U6560" t="s">
        <v>35</v>
      </c>
      <c r="V6560" t="s">
        <v>35</v>
      </c>
      <c r="W6560" t="s">
        <v>4112</v>
      </c>
    </row>
    <row r="6561" spans="2:23" x14ac:dyDescent="0.25">
      <c r="B6561" s="6" t="s">
        <v>3826</v>
      </c>
      <c r="C6561" s="2">
        <f>HYPERLINK(URLs!B36 &amp; 43448,43448)</f>
        <v>43448</v>
      </c>
      <c r="D6561" t="s">
        <v>3829</v>
      </c>
      <c r="E6561" t="s">
        <v>371</v>
      </c>
      <c r="F6561" t="s">
        <v>305</v>
      </c>
      <c r="G6561" t="s">
        <v>304</v>
      </c>
      <c r="H6561" t="s">
        <v>30</v>
      </c>
      <c r="I6561" t="s">
        <v>35</v>
      </c>
      <c r="J6561" t="s">
        <v>32</v>
      </c>
      <c r="K6561" t="s">
        <v>35</v>
      </c>
      <c r="L6561" t="s">
        <v>34</v>
      </c>
      <c r="M6561" t="s">
        <v>368</v>
      </c>
      <c r="N6561" t="s">
        <v>46</v>
      </c>
      <c r="P6561" t="s">
        <v>56</v>
      </c>
      <c r="Q6561" t="s">
        <v>3828</v>
      </c>
      <c r="R6561">
        <v>41792.626550925925</v>
      </c>
      <c r="S6561">
        <v>42058.622175925928</v>
      </c>
      <c r="T6561" t="s">
        <v>2047</v>
      </c>
      <c r="U6561" t="s">
        <v>35</v>
      </c>
      <c r="V6561" t="s">
        <v>35</v>
      </c>
      <c r="W6561" t="s">
        <v>4098</v>
      </c>
    </row>
    <row r="6562" spans="2:23" x14ac:dyDescent="0.25">
      <c r="B6562" s="6" t="s">
        <v>3826</v>
      </c>
      <c r="C6562" s="2">
        <f>HYPERLINK(URLs!B36 &amp; 43449,43449)</f>
        <v>43449</v>
      </c>
      <c r="D6562" t="s">
        <v>3830</v>
      </c>
      <c r="E6562" t="s">
        <v>371</v>
      </c>
      <c r="F6562" t="s">
        <v>305</v>
      </c>
      <c r="G6562" t="s">
        <v>1621</v>
      </c>
      <c r="H6562" t="s">
        <v>30</v>
      </c>
      <c r="I6562" t="s">
        <v>35</v>
      </c>
      <c r="J6562" t="s">
        <v>32</v>
      </c>
      <c r="K6562" t="s">
        <v>35</v>
      </c>
      <c r="L6562" t="s">
        <v>34</v>
      </c>
      <c r="M6562" t="s">
        <v>368</v>
      </c>
      <c r="N6562" t="s">
        <v>46</v>
      </c>
      <c r="P6562" t="s">
        <v>56</v>
      </c>
      <c r="Q6562" t="s">
        <v>3828</v>
      </c>
      <c r="R6562">
        <v>41792.629629629628</v>
      </c>
      <c r="S6562">
        <v>42034.660196759258</v>
      </c>
      <c r="T6562" t="s">
        <v>2047</v>
      </c>
      <c r="U6562" t="s">
        <v>35</v>
      </c>
      <c r="V6562" t="s">
        <v>35</v>
      </c>
      <c r="W6562" t="s">
        <v>4134</v>
      </c>
    </row>
    <row r="6563" spans="2:23" x14ac:dyDescent="0.25">
      <c r="B6563" s="6" t="s">
        <v>3826</v>
      </c>
      <c r="C6563" s="2">
        <f>HYPERLINK(URLs!B36 &amp; 43171,43171)</f>
        <v>43171</v>
      </c>
      <c r="D6563" t="s">
        <v>3827</v>
      </c>
      <c r="E6563" t="s">
        <v>2047</v>
      </c>
      <c r="F6563" t="s">
        <v>305</v>
      </c>
      <c r="G6563" t="s">
        <v>310</v>
      </c>
      <c r="H6563" t="s">
        <v>30</v>
      </c>
      <c r="I6563" t="s">
        <v>31</v>
      </c>
      <c r="J6563" t="s">
        <v>32</v>
      </c>
      <c r="K6563" t="s">
        <v>35</v>
      </c>
      <c r="L6563" t="s">
        <v>34</v>
      </c>
      <c r="M6563" t="s">
        <v>368</v>
      </c>
      <c r="N6563" t="s">
        <v>46</v>
      </c>
      <c r="P6563" t="s">
        <v>56</v>
      </c>
      <c r="Q6563" t="s">
        <v>3828</v>
      </c>
      <c r="R6563">
        <v>41781.463865740741</v>
      </c>
      <c r="S6563">
        <v>42034.641238425924</v>
      </c>
      <c r="T6563" t="s">
        <v>2387</v>
      </c>
      <c r="U6563" t="s">
        <v>35</v>
      </c>
      <c r="V6563" t="s">
        <v>35</v>
      </c>
      <c r="W6563" t="s">
        <v>4112</v>
      </c>
    </row>
    <row r="6564" spans="2:23" x14ac:dyDescent="0.25">
      <c r="B6564" s="6" t="s">
        <v>3826</v>
      </c>
      <c r="C6564" s="2">
        <f>HYPERLINK(URLs!B36 &amp; 43448,43448)</f>
        <v>43448</v>
      </c>
      <c r="D6564" t="s">
        <v>3829</v>
      </c>
      <c r="E6564" t="s">
        <v>371</v>
      </c>
      <c r="F6564" t="s">
        <v>305</v>
      </c>
      <c r="G6564" t="s">
        <v>304</v>
      </c>
      <c r="H6564" t="s">
        <v>30</v>
      </c>
      <c r="I6564" t="s">
        <v>35</v>
      </c>
      <c r="J6564" t="s">
        <v>32</v>
      </c>
      <c r="K6564" t="s">
        <v>35</v>
      </c>
      <c r="L6564" t="s">
        <v>34</v>
      </c>
      <c r="M6564" t="s">
        <v>368</v>
      </c>
      <c r="N6564" t="s">
        <v>46</v>
      </c>
      <c r="P6564" t="s">
        <v>56</v>
      </c>
      <c r="Q6564" t="s">
        <v>3828</v>
      </c>
      <c r="R6564">
        <v>41792.626550925925</v>
      </c>
      <c r="S6564">
        <v>42058.622175925928</v>
      </c>
      <c r="T6564" t="s">
        <v>2047</v>
      </c>
      <c r="U6564" t="s">
        <v>35</v>
      </c>
      <c r="V6564" t="s">
        <v>35</v>
      </c>
      <c r="W6564" t="s">
        <v>4098</v>
      </c>
    </row>
    <row r="6565" spans="2:23" x14ac:dyDescent="0.25">
      <c r="B6565" s="6" t="s">
        <v>3826</v>
      </c>
      <c r="C6565" s="2">
        <f>HYPERLINK(URLs!B36 &amp; 43449,43449)</f>
        <v>43449</v>
      </c>
      <c r="D6565" t="s">
        <v>3830</v>
      </c>
      <c r="E6565" t="s">
        <v>371</v>
      </c>
      <c r="F6565" t="s">
        <v>305</v>
      </c>
      <c r="G6565" t="s">
        <v>1621</v>
      </c>
      <c r="H6565" t="s">
        <v>30</v>
      </c>
      <c r="I6565" t="s">
        <v>35</v>
      </c>
      <c r="J6565" t="s">
        <v>32</v>
      </c>
      <c r="K6565" t="s">
        <v>35</v>
      </c>
      <c r="L6565" t="s">
        <v>34</v>
      </c>
      <c r="M6565" t="s">
        <v>368</v>
      </c>
      <c r="N6565" t="s">
        <v>46</v>
      </c>
      <c r="P6565" t="s">
        <v>56</v>
      </c>
      <c r="Q6565" t="s">
        <v>3828</v>
      </c>
      <c r="R6565">
        <v>41792.629629629628</v>
      </c>
      <c r="S6565">
        <v>42034.660196759258</v>
      </c>
      <c r="T6565" t="s">
        <v>2047</v>
      </c>
      <c r="U6565" t="s">
        <v>35</v>
      </c>
      <c r="V6565" t="s">
        <v>35</v>
      </c>
      <c r="W6565" t="s">
        <v>4134</v>
      </c>
    </row>
    <row r="6566" spans="2:23" x14ac:dyDescent="0.25">
      <c r="B6566" s="6" t="s">
        <v>3826</v>
      </c>
      <c r="C6566" s="2">
        <f>HYPERLINK(URLs!B36 &amp; 43171,43171)</f>
        <v>43171</v>
      </c>
      <c r="D6566" t="s">
        <v>3827</v>
      </c>
      <c r="E6566" t="s">
        <v>2047</v>
      </c>
      <c r="F6566" t="s">
        <v>305</v>
      </c>
      <c r="G6566" t="s">
        <v>310</v>
      </c>
      <c r="H6566" t="s">
        <v>30</v>
      </c>
      <c r="I6566" t="s">
        <v>31</v>
      </c>
      <c r="J6566" t="s">
        <v>32</v>
      </c>
      <c r="K6566" t="s">
        <v>35</v>
      </c>
      <c r="L6566" t="s">
        <v>34</v>
      </c>
      <c r="M6566" t="s">
        <v>368</v>
      </c>
      <c r="N6566" t="s">
        <v>46</v>
      </c>
      <c r="P6566" t="s">
        <v>56</v>
      </c>
      <c r="Q6566" t="s">
        <v>3828</v>
      </c>
      <c r="R6566">
        <v>41781.463865740741</v>
      </c>
      <c r="S6566">
        <v>42034.641238425924</v>
      </c>
      <c r="T6566" t="s">
        <v>2387</v>
      </c>
      <c r="U6566" t="s">
        <v>35</v>
      </c>
      <c r="V6566" t="s">
        <v>35</v>
      </c>
      <c r="W6566" t="s">
        <v>4112</v>
      </c>
    </row>
    <row r="6567" spans="2:23" x14ac:dyDescent="0.25">
      <c r="B6567" s="6" t="s">
        <v>3826</v>
      </c>
      <c r="C6567" s="2">
        <f>HYPERLINK(URLs!B36 &amp; 43448,43448)</f>
        <v>43448</v>
      </c>
      <c r="D6567" t="s">
        <v>3829</v>
      </c>
      <c r="E6567" t="s">
        <v>371</v>
      </c>
      <c r="F6567" t="s">
        <v>305</v>
      </c>
      <c r="G6567" t="s">
        <v>304</v>
      </c>
      <c r="H6567" t="s">
        <v>30</v>
      </c>
      <c r="I6567" t="s">
        <v>35</v>
      </c>
      <c r="J6567" t="s">
        <v>32</v>
      </c>
      <c r="K6567" t="s">
        <v>35</v>
      </c>
      <c r="L6567" t="s">
        <v>34</v>
      </c>
      <c r="M6567" t="s">
        <v>368</v>
      </c>
      <c r="N6567" t="s">
        <v>46</v>
      </c>
      <c r="P6567" t="s">
        <v>56</v>
      </c>
      <c r="Q6567" t="s">
        <v>3828</v>
      </c>
      <c r="R6567">
        <v>41792.626550925925</v>
      </c>
      <c r="S6567">
        <v>42058.622175925928</v>
      </c>
      <c r="T6567" t="s">
        <v>2047</v>
      </c>
      <c r="U6567" t="s">
        <v>35</v>
      </c>
      <c r="V6567" t="s">
        <v>35</v>
      </c>
      <c r="W6567" t="s">
        <v>4098</v>
      </c>
    </row>
    <row r="6568" spans="2:23" x14ac:dyDescent="0.25">
      <c r="B6568" s="6" t="s">
        <v>3826</v>
      </c>
      <c r="C6568" s="2">
        <f>HYPERLINK(URLs!B36 &amp; 43449,43449)</f>
        <v>43449</v>
      </c>
      <c r="D6568" t="s">
        <v>3830</v>
      </c>
      <c r="E6568" t="s">
        <v>371</v>
      </c>
      <c r="F6568" t="s">
        <v>305</v>
      </c>
      <c r="G6568" t="s">
        <v>1621</v>
      </c>
      <c r="H6568" t="s">
        <v>30</v>
      </c>
      <c r="I6568" t="s">
        <v>35</v>
      </c>
      <c r="J6568" t="s">
        <v>32</v>
      </c>
      <c r="K6568" t="s">
        <v>35</v>
      </c>
      <c r="L6568" t="s">
        <v>34</v>
      </c>
      <c r="M6568" t="s">
        <v>368</v>
      </c>
      <c r="N6568" t="s">
        <v>46</v>
      </c>
      <c r="P6568" t="s">
        <v>56</v>
      </c>
      <c r="Q6568" t="s">
        <v>3828</v>
      </c>
      <c r="R6568">
        <v>41792.629629629628</v>
      </c>
      <c r="S6568">
        <v>42034.660196759258</v>
      </c>
      <c r="T6568" t="s">
        <v>2047</v>
      </c>
      <c r="U6568" t="s">
        <v>35</v>
      </c>
      <c r="V6568" t="s">
        <v>35</v>
      </c>
      <c r="W6568" t="s">
        <v>4134</v>
      </c>
    </row>
    <row r="6569" spans="2:23" x14ac:dyDescent="0.25">
      <c r="B6569" s="6" t="s">
        <v>3826</v>
      </c>
      <c r="C6569" s="2">
        <f>HYPERLINK(URLs!B36 &amp; 43171,43171)</f>
        <v>43171</v>
      </c>
      <c r="D6569" t="s">
        <v>3827</v>
      </c>
      <c r="E6569" t="s">
        <v>2047</v>
      </c>
      <c r="F6569" t="s">
        <v>305</v>
      </c>
      <c r="G6569" t="s">
        <v>310</v>
      </c>
      <c r="H6569" t="s">
        <v>30</v>
      </c>
      <c r="I6569" t="s">
        <v>31</v>
      </c>
      <c r="J6569" t="s">
        <v>32</v>
      </c>
      <c r="K6569" t="s">
        <v>35</v>
      </c>
      <c r="L6569" t="s">
        <v>34</v>
      </c>
      <c r="M6569" t="s">
        <v>368</v>
      </c>
      <c r="N6569" t="s">
        <v>46</v>
      </c>
      <c r="P6569" t="s">
        <v>56</v>
      </c>
      <c r="Q6569" t="s">
        <v>3828</v>
      </c>
      <c r="R6569">
        <v>41781.463865740741</v>
      </c>
      <c r="S6569">
        <v>42034.641238425924</v>
      </c>
      <c r="T6569" t="s">
        <v>2387</v>
      </c>
      <c r="U6569" t="s">
        <v>35</v>
      </c>
      <c r="V6569" t="s">
        <v>35</v>
      </c>
      <c r="W6569" t="s">
        <v>4112</v>
      </c>
    </row>
    <row r="6570" spans="2:23" x14ac:dyDescent="0.25">
      <c r="B6570" s="6" t="s">
        <v>3826</v>
      </c>
      <c r="C6570" s="2">
        <f>HYPERLINK(URLs!B36 &amp; 43448,43448)</f>
        <v>43448</v>
      </c>
      <c r="D6570" t="s">
        <v>3829</v>
      </c>
      <c r="E6570" t="s">
        <v>371</v>
      </c>
      <c r="F6570" t="s">
        <v>305</v>
      </c>
      <c r="G6570" t="s">
        <v>304</v>
      </c>
      <c r="H6570" t="s">
        <v>30</v>
      </c>
      <c r="I6570" t="s">
        <v>35</v>
      </c>
      <c r="J6570" t="s">
        <v>32</v>
      </c>
      <c r="K6570" t="s">
        <v>35</v>
      </c>
      <c r="L6570" t="s">
        <v>34</v>
      </c>
      <c r="M6570" t="s">
        <v>368</v>
      </c>
      <c r="N6570" t="s">
        <v>46</v>
      </c>
      <c r="P6570" t="s">
        <v>56</v>
      </c>
      <c r="Q6570" t="s">
        <v>3828</v>
      </c>
      <c r="R6570">
        <v>41792.626550925925</v>
      </c>
      <c r="S6570">
        <v>42058.622175925928</v>
      </c>
      <c r="T6570" t="s">
        <v>2047</v>
      </c>
      <c r="U6570" t="s">
        <v>35</v>
      </c>
      <c r="V6570" t="s">
        <v>35</v>
      </c>
      <c r="W6570" t="s">
        <v>4098</v>
      </c>
    </row>
    <row r="6571" spans="2:23" x14ac:dyDescent="0.25">
      <c r="B6571" s="6" t="s">
        <v>3826</v>
      </c>
      <c r="C6571" s="2">
        <f>HYPERLINK(URLs!B36 &amp; 43449,43449)</f>
        <v>43449</v>
      </c>
      <c r="D6571" t="s">
        <v>3830</v>
      </c>
      <c r="E6571" t="s">
        <v>371</v>
      </c>
      <c r="F6571" t="s">
        <v>305</v>
      </c>
      <c r="G6571" t="s">
        <v>1621</v>
      </c>
      <c r="H6571" t="s">
        <v>30</v>
      </c>
      <c r="I6571" t="s">
        <v>35</v>
      </c>
      <c r="J6571" t="s">
        <v>32</v>
      </c>
      <c r="K6571" t="s">
        <v>35</v>
      </c>
      <c r="L6571" t="s">
        <v>34</v>
      </c>
      <c r="M6571" t="s">
        <v>368</v>
      </c>
      <c r="N6571" t="s">
        <v>46</v>
      </c>
      <c r="P6571" t="s">
        <v>56</v>
      </c>
      <c r="Q6571" t="s">
        <v>3828</v>
      </c>
      <c r="R6571">
        <v>41792.629629629628</v>
      </c>
      <c r="S6571">
        <v>42034.660196759258</v>
      </c>
      <c r="T6571" t="s">
        <v>2047</v>
      </c>
      <c r="U6571" t="s">
        <v>35</v>
      </c>
      <c r="V6571" t="s">
        <v>35</v>
      </c>
      <c r="W6571" t="s">
        <v>4134</v>
      </c>
    </row>
    <row r="6572" spans="2:23" x14ac:dyDescent="0.25">
      <c r="B6572" s="6" t="s">
        <v>3826</v>
      </c>
      <c r="C6572" s="2">
        <f>HYPERLINK(URLs!B36 &amp; 43171,43171)</f>
        <v>43171</v>
      </c>
      <c r="D6572" t="s">
        <v>3827</v>
      </c>
      <c r="E6572" t="s">
        <v>2047</v>
      </c>
      <c r="F6572" t="s">
        <v>305</v>
      </c>
      <c r="G6572" t="s">
        <v>310</v>
      </c>
      <c r="H6572" t="s">
        <v>30</v>
      </c>
      <c r="I6572" t="s">
        <v>31</v>
      </c>
      <c r="J6572" t="s">
        <v>32</v>
      </c>
      <c r="K6572" t="s">
        <v>35</v>
      </c>
      <c r="L6572" t="s">
        <v>34</v>
      </c>
      <c r="M6572" t="s">
        <v>368</v>
      </c>
      <c r="N6572" t="s">
        <v>46</v>
      </c>
      <c r="P6572" t="s">
        <v>56</v>
      </c>
      <c r="Q6572" t="s">
        <v>3828</v>
      </c>
      <c r="R6572">
        <v>41781.463865740741</v>
      </c>
      <c r="S6572">
        <v>42034.641238425924</v>
      </c>
      <c r="T6572" t="s">
        <v>2387</v>
      </c>
      <c r="U6572" t="s">
        <v>35</v>
      </c>
      <c r="V6572" t="s">
        <v>35</v>
      </c>
      <c r="W6572" t="s">
        <v>4112</v>
      </c>
    </row>
    <row r="6573" spans="2:23" x14ac:dyDescent="0.25">
      <c r="B6573" s="6" t="s">
        <v>3826</v>
      </c>
      <c r="C6573" s="2">
        <f>HYPERLINK(URLs!B36 &amp; 43448,43448)</f>
        <v>43448</v>
      </c>
      <c r="D6573" t="s">
        <v>3829</v>
      </c>
      <c r="E6573" t="s">
        <v>371</v>
      </c>
      <c r="F6573" t="s">
        <v>305</v>
      </c>
      <c r="G6573" t="s">
        <v>304</v>
      </c>
      <c r="H6573" t="s">
        <v>30</v>
      </c>
      <c r="I6573" t="s">
        <v>35</v>
      </c>
      <c r="J6573" t="s">
        <v>32</v>
      </c>
      <c r="K6573" t="s">
        <v>35</v>
      </c>
      <c r="L6573" t="s">
        <v>34</v>
      </c>
      <c r="M6573" t="s">
        <v>368</v>
      </c>
      <c r="N6573" t="s">
        <v>46</v>
      </c>
      <c r="P6573" t="s">
        <v>56</v>
      </c>
      <c r="Q6573" t="s">
        <v>3828</v>
      </c>
      <c r="R6573">
        <v>41792.626550925925</v>
      </c>
      <c r="S6573">
        <v>42058.622175925928</v>
      </c>
      <c r="T6573" t="s">
        <v>2047</v>
      </c>
      <c r="U6573" t="s">
        <v>35</v>
      </c>
      <c r="V6573" t="s">
        <v>35</v>
      </c>
      <c r="W6573" t="s">
        <v>4098</v>
      </c>
    </row>
    <row r="6574" spans="2:23" x14ac:dyDescent="0.25">
      <c r="B6574" s="6" t="s">
        <v>3826</v>
      </c>
      <c r="C6574" s="2">
        <f>HYPERLINK(URLs!B36 &amp; 43449,43449)</f>
        <v>43449</v>
      </c>
      <c r="D6574" t="s">
        <v>3830</v>
      </c>
      <c r="E6574" t="s">
        <v>371</v>
      </c>
      <c r="F6574" t="s">
        <v>305</v>
      </c>
      <c r="G6574" t="s">
        <v>1621</v>
      </c>
      <c r="H6574" t="s">
        <v>30</v>
      </c>
      <c r="I6574" t="s">
        <v>35</v>
      </c>
      <c r="J6574" t="s">
        <v>32</v>
      </c>
      <c r="K6574" t="s">
        <v>35</v>
      </c>
      <c r="L6574" t="s">
        <v>34</v>
      </c>
      <c r="M6574" t="s">
        <v>368</v>
      </c>
      <c r="N6574" t="s">
        <v>46</v>
      </c>
      <c r="P6574" t="s">
        <v>56</v>
      </c>
      <c r="Q6574" t="s">
        <v>3828</v>
      </c>
      <c r="R6574">
        <v>41792.629629629628</v>
      </c>
      <c r="S6574">
        <v>42034.660196759258</v>
      </c>
      <c r="T6574" t="s">
        <v>2047</v>
      </c>
      <c r="U6574" t="s">
        <v>35</v>
      </c>
      <c r="V6574" t="s">
        <v>35</v>
      </c>
      <c r="W6574" t="s">
        <v>4134</v>
      </c>
    </row>
    <row r="6575" spans="2:23" x14ac:dyDescent="0.25">
      <c r="B6575" s="6" t="s">
        <v>3826</v>
      </c>
      <c r="C6575" s="2">
        <f>HYPERLINK(URLs!B36 &amp; 43171,43171)</f>
        <v>43171</v>
      </c>
      <c r="D6575" t="s">
        <v>3827</v>
      </c>
      <c r="E6575" t="s">
        <v>2047</v>
      </c>
      <c r="F6575" t="s">
        <v>305</v>
      </c>
      <c r="G6575" t="s">
        <v>310</v>
      </c>
      <c r="H6575" t="s">
        <v>30</v>
      </c>
      <c r="I6575" t="s">
        <v>31</v>
      </c>
      <c r="J6575" t="s">
        <v>32</v>
      </c>
      <c r="K6575" t="s">
        <v>35</v>
      </c>
      <c r="L6575" t="s">
        <v>34</v>
      </c>
      <c r="M6575" t="s">
        <v>368</v>
      </c>
      <c r="N6575" t="s">
        <v>46</v>
      </c>
      <c r="P6575" t="s">
        <v>56</v>
      </c>
      <c r="Q6575" t="s">
        <v>3828</v>
      </c>
      <c r="R6575">
        <v>41781.463865740741</v>
      </c>
      <c r="S6575">
        <v>42034.641238425924</v>
      </c>
      <c r="T6575" t="s">
        <v>2387</v>
      </c>
      <c r="U6575" t="s">
        <v>35</v>
      </c>
      <c r="V6575" t="s">
        <v>35</v>
      </c>
      <c r="W6575" t="s">
        <v>4112</v>
      </c>
    </row>
    <row r="6576" spans="2:23" x14ac:dyDescent="0.25">
      <c r="B6576" s="6" t="s">
        <v>3826</v>
      </c>
      <c r="C6576" s="2">
        <f>HYPERLINK(URLs!B36 &amp; 43448,43448)</f>
        <v>43448</v>
      </c>
      <c r="D6576" t="s">
        <v>3829</v>
      </c>
      <c r="E6576" t="s">
        <v>371</v>
      </c>
      <c r="F6576" t="s">
        <v>305</v>
      </c>
      <c r="G6576" t="s">
        <v>304</v>
      </c>
      <c r="H6576" t="s">
        <v>30</v>
      </c>
      <c r="I6576" t="s">
        <v>35</v>
      </c>
      <c r="J6576" t="s">
        <v>32</v>
      </c>
      <c r="K6576" t="s">
        <v>35</v>
      </c>
      <c r="L6576" t="s">
        <v>34</v>
      </c>
      <c r="M6576" t="s">
        <v>368</v>
      </c>
      <c r="N6576" t="s">
        <v>46</v>
      </c>
      <c r="P6576" t="s">
        <v>56</v>
      </c>
      <c r="Q6576" t="s">
        <v>3828</v>
      </c>
      <c r="R6576">
        <v>41792.626550925925</v>
      </c>
      <c r="S6576">
        <v>42058.622175925928</v>
      </c>
      <c r="T6576" t="s">
        <v>2047</v>
      </c>
      <c r="U6576" t="s">
        <v>35</v>
      </c>
      <c r="V6576" t="s">
        <v>35</v>
      </c>
      <c r="W6576" t="s">
        <v>4098</v>
      </c>
    </row>
    <row r="6577" spans="2:23" x14ac:dyDescent="0.25">
      <c r="B6577" s="6" t="s">
        <v>3826</v>
      </c>
      <c r="C6577" s="2">
        <f>HYPERLINK(URLs!B36 &amp; 43449,43449)</f>
        <v>43449</v>
      </c>
      <c r="D6577" t="s">
        <v>3830</v>
      </c>
      <c r="E6577" t="s">
        <v>371</v>
      </c>
      <c r="F6577" t="s">
        <v>305</v>
      </c>
      <c r="G6577" t="s">
        <v>1621</v>
      </c>
      <c r="H6577" t="s">
        <v>30</v>
      </c>
      <c r="I6577" t="s">
        <v>35</v>
      </c>
      <c r="J6577" t="s">
        <v>32</v>
      </c>
      <c r="K6577" t="s">
        <v>35</v>
      </c>
      <c r="L6577" t="s">
        <v>34</v>
      </c>
      <c r="M6577" t="s">
        <v>368</v>
      </c>
      <c r="N6577" t="s">
        <v>46</v>
      </c>
      <c r="P6577" t="s">
        <v>56</v>
      </c>
      <c r="Q6577" t="s">
        <v>3828</v>
      </c>
      <c r="R6577">
        <v>41792.629629629628</v>
      </c>
      <c r="S6577">
        <v>42034.660196759258</v>
      </c>
      <c r="T6577" t="s">
        <v>2047</v>
      </c>
      <c r="U6577" t="s">
        <v>35</v>
      </c>
      <c r="V6577" t="s">
        <v>35</v>
      </c>
      <c r="W6577" t="s">
        <v>4134</v>
      </c>
    </row>
    <row r="6578" spans="2:23" x14ac:dyDescent="0.25">
      <c r="B6578" s="6" t="s">
        <v>3826</v>
      </c>
      <c r="C6578" s="2">
        <f>HYPERLINK(URLs!B36 &amp; 43171,43171)</f>
        <v>43171</v>
      </c>
      <c r="D6578" t="s">
        <v>3827</v>
      </c>
      <c r="E6578" t="s">
        <v>2047</v>
      </c>
      <c r="F6578" t="s">
        <v>305</v>
      </c>
      <c r="G6578" t="s">
        <v>310</v>
      </c>
      <c r="H6578" t="s">
        <v>30</v>
      </c>
      <c r="I6578" t="s">
        <v>31</v>
      </c>
      <c r="J6578" t="s">
        <v>32</v>
      </c>
      <c r="K6578" t="s">
        <v>35</v>
      </c>
      <c r="L6578" t="s">
        <v>34</v>
      </c>
      <c r="M6578" t="s">
        <v>368</v>
      </c>
      <c r="N6578" t="s">
        <v>46</v>
      </c>
      <c r="P6578" t="s">
        <v>56</v>
      </c>
      <c r="Q6578" t="s">
        <v>3828</v>
      </c>
      <c r="R6578">
        <v>41781.463865740741</v>
      </c>
      <c r="S6578">
        <v>42034.641238425924</v>
      </c>
      <c r="T6578" t="s">
        <v>2387</v>
      </c>
      <c r="U6578" t="s">
        <v>35</v>
      </c>
      <c r="V6578" t="s">
        <v>35</v>
      </c>
      <c r="W6578" t="s">
        <v>4112</v>
      </c>
    </row>
    <row r="6579" spans="2:23" x14ac:dyDescent="0.25">
      <c r="B6579" s="6" t="s">
        <v>3826</v>
      </c>
      <c r="C6579" s="2">
        <f>HYPERLINK(URLs!B36 &amp; 43448,43448)</f>
        <v>43448</v>
      </c>
      <c r="D6579" t="s">
        <v>3829</v>
      </c>
      <c r="E6579" t="s">
        <v>371</v>
      </c>
      <c r="F6579" t="s">
        <v>305</v>
      </c>
      <c r="G6579" t="s">
        <v>304</v>
      </c>
      <c r="H6579" t="s">
        <v>30</v>
      </c>
      <c r="I6579" t="s">
        <v>35</v>
      </c>
      <c r="J6579" t="s">
        <v>32</v>
      </c>
      <c r="K6579" t="s">
        <v>35</v>
      </c>
      <c r="L6579" t="s">
        <v>34</v>
      </c>
      <c r="M6579" t="s">
        <v>368</v>
      </c>
      <c r="N6579" t="s">
        <v>46</v>
      </c>
      <c r="P6579" t="s">
        <v>56</v>
      </c>
      <c r="Q6579" t="s">
        <v>3828</v>
      </c>
      <c r="R6579">
        <v>41792.626550925925</v>
      </c>
      <c r="S6579">
        <v>42058.622175925928</v>
      </c>
      <c r="T6579" t="s">
        <v>2047</v>
      </c>
      <c r="U6579" t="s">
        <v>35</v>
      </c>
      <c r="V6579" t="s">
        <v>35</v>
      </c>
      <c r="W6579" t="s">
        <v>4098</v>
      </c>
    </row>
    <row r="6580" spans="2:23" x14ac:dyDescent="0.25">
      <c r="B6580" s="6" t="s">
        <v>3826</v>
      </c>
      <c r="C6580" s="2">
        <f>HYPERLINK(URLs!B36 &amp; 43449,43449)</f>
        <v>43449</v>
      </c>
      <c r="D6580" t="s">
        <v>3830</v>
      </c>
      <c r="E6580" t="s">
        <v>371</v>
      </c>
      <c r="F6580" t="s">
        <v>305</v>
      </c>
      <c r="G6580" t="s">
        <v>1621</v>
      </c>
      <c r="H6580" t="s">
        <v>30</v>
      </c>
      <c r="I6580" t="s">
        <v>35</v>
      </c>
      <c r="J6580" t="s">
        <v>32</v>
      </c>
      <c r="K6580" t="s">
        <v>35</v>
      </c>
      <c r="L6580" t="s">
        <v>34</v>
      </c>
      <c r="M6580" t="s">
        <v>368</v>
      </c>
      <c r="N6580" t="s">
        <v>46</v>
      </c>
      <c r="P6580" t="s">
        <v>56</v>
      </c>
      <c r="Q6580" t="s">
        <v>3828</v>
      </c>
      <c r="R6580">
        <v>41792.629629629628</v>
      </c>
      <c r="S6580">
        <v>42034.660196759258</v>
      </c>
      <c r="T6580" t="s">
        <v>2047</v>
      </c>
      <c r="U6580" t="s">
        <v>35</v>
      </c>
      <c r="V6580" t="s">
        <v>35</v>
      </c>
      <c r="W6580" t="s">
        <v>4134</v>
      </c>
    </row>
    <row r="6581" spans="2:23" x14ac:dyDescent="0.25">
      <c r="B6581" s="6" t="s">
        <v>3826</v>
      </c>
      <c r="C6581" s="2">
        <f>HYPERLINK(URLs!B36 &amp; 43171,43171)</f>
        <v>43171</v>
      </c>
      <c r="D6581" t="s">
        <v>3827</v>
      </c>
      <c r="E6581" t="s">
        <v>2047</v>
      </c>
      <c r="F6581" t="s">
        <v>305</v>
      </c>
      <c r="G6581" t="s">
        <v>310</v>
      </c>
      <c r="H6581" t="s">
        <v>30</v>
      </c>
      <c r="I6581" t="s">
        <v>31</v>
      </c>
      <c r="J6581" t="s">
        <v>32</v>
      </c>
      <c r="K6581" t="s">
        <v>35</v>
      </c>
      <c r="L6581" t="s">
        <v>34</v>
      </c>
      <c r="M6581" t="s">
        <v>368</v>
      </c>
      <c r="N6581" t="s">
        <v>46</v>
      </c>
      <c r="P6581" t="s">
        <v>56</v>
      </c>
      <c r="Q6581" t="s">
        <v>3828</v>
      </c>
      <c r="R6581">
        <v>41781.463865740741</v>
      </c>
      <c r="S6581">
        <v>42034.641238425924</v>
      </c>
      <c r="T6581" t="s">
        <v>2387</v>
      </c>
      <c r="U6581" t="s">
        <v>35</v>
      </c>
      <c r="V6581" t="s">
        <v>35</v>
      </c>
      <c r="W6581" t="s">
        <v>4112</v>
      </c>
    </row>
    <row r="6582" spans="2:23" x14ac:dyDescent="0.25">
      <c r="B6582" s="6" t="s">
        <v>3826</v>
      </c>
      <c r="C6582" s="2">
        <f>HYPERLINK(URLs!B36 &amp; 43448,43448)</f>
        <v>43448</v>
      </c>
      <c r="D6582" t="s">
        <v>3829</v>
      </c>
      <c r="E6582" t="s">
        <v>371</v>
      </c>
      <c r="F6582" t="s">
        <v>305</v>
      </c>
      <c r="G6582" t="s">
        <v>304</v>
      </c>
      <c r="H6582" t="s">
        <v>30</v>
      </c>
      <c r="I6582" t="s">
        <v>35</v>
      </c>
      <c r="J6582" t="s">
        <v>32</v>
      </c>
      <c r="K6582" t="s">
        <v>35</v>
      </c>
      <c r="L6582" t="s">
        <v>34</v>
      </c>
      <c r="M6582" t="s">
        <v>368</v>
      </c>
      <c r="N6582" t="s">
        <v>46</v>
      </c>
      <c r="P6582" t="s">
        <v>56</v>
      </c>
      <c r="Q6582" t="s">
        <v>3828</v>
      </c>
      <c r="R6582">
        <v>41792.626550925925</v>
      </c>
      <c r="S6582">
        <v>42058.622175925928</v>
      </c>
      <c r="T6582" t="s">
        <v>2047</v>
      </c>
      <c r="U6582" t="s">
        <v>35</v>
      </c>
      <c r="V6582" t="s">
        <v>35</v>
      </c>
      <c r="W6582" t="s">
        <v>4098</v>
      </c>
    </row>
    <row r="6583" spans="2:23" x14ac:dyDescent="0.25">
      <c r="B6583" s="6" t="s">
        <v>3826</v>
      </c>
      <c r="C6583" s="2">
        <f>HYPERLINK(URLs!B36 &amp; 43449,43449)</f>
        <v>43449</v>
      </c>
      <c r="D6583" t="s">
        <v>3830</v>
      </c>
      <c r="E6583" t="s">
        <v>371</v>
      </c>
      <c r="F6583" t="s">
        <v>305</v>
      </c>
      <c r="G6583" t="s">
        <v>1621</v>
      </c>
      <c r="H6583" t="s">
        <v>30</v>
      </c>
      <c r="I6583" t="s">
        <v>35</v>
      </c>
      <c r="J6583" t="s">
        <v>32</v>
      </c>
      <c r="K6583" t="s">
        <v>35</v>
      </c>
      <c r="L6583" t="s">
        <v>34</v>
      </c>
      <c r="M6583" t="s">
        <v>368</v>
      </c>
      <c r="N6583" t="s">
        <v>46</v>
      </c>
      <c r="P6583" t="s">
        <v>56</v>
      </c>
      <c r="Q6583" t="s">
        <v>3828</v>
      </c>
      <c r="R6583">
        <v>41792.629629629628</v>
      </c>
      <c r="S6583">
        <v>42034.660196759258</v>
      </c>
      <c r="T6583" t="s">
        <v>2047</v>
      </c>
      <c r="U6583" t="s">
        <v>35</v>
      </c>
      <c r="V6583" t="s">
        <v>35</v>
      </c>
      <c r="W6583" t="s">
        <v>4134</v>
      </c>
    </row>
    <row r="6584" spans="2:23" x14ac:dyDescent="0.25">
      <c r="B6584" s="6" t="s">
        <v>3826</v>
      </c>
      <c r="C6584" s="2">
        <f>HYPERLINK(URLs!B36 &amp; 43171,43171)</f>
        <v>43171</v>
      </c>
      <c r="D6584" t="s">
        <v>3827</v>
      </c>
      <c r="E6584" t="s">
        <v>2047</v>
      </c>
      <c r="F6584" t="s">
        <v>305</v>
      </c>
      <c r="G6584" t="s">
        <v>310</v>
      </c>
      <c r="H6584" t="s">
        <v>30</v>
      </c>
      <c r="I6584" t="s">
        <v>31</v>
      </c>
      <c r="J6584" t="s">
        <v>32</v>
      </c>
      <c r="K6584" t="s">
        <v>35</v>
      </c>
      <c r="L6584" t="s">
        <v>34</v>
      </c>
      <c r="M6584" t="s">
        <v>368</v>
      </c>
      <c r="N6584" t="s">
        <v>46</v>
      </c>
      <c r="P6584" t="s">
        <v>56</v>
      </c>
      <c r="Q6584" t="s">
        <v>3828</v>
      </c>
      <c r="R6584">
        <v>41781.463865740741</v>
      </c>
      <c r="S6584">
        <v>42034.641238425924</v>
      </c>
      <c r="T6584" t="s">
        <v>2387</v>
      </c>
      <c r="U6584" t="s">
        <v>35</v>
      </c>
      <c r="V6584" t="s">
        <v>35</v>
      </c>
      <c r="W6584" t="s">
        <v>4112</v>
      </c>
    </row>
    <row r="6585" spans="2:23" x14ac:dyDescent="0.25">
      <c r="B6585" s="6" t="s">
        <v>3826</v>
      </c>
      <c r="C6585" s="2">
        <f>HYPERLINK(URLs!B36 &amp; 43448,43448)</f>
        <v>43448</v>
      </c>
      <c r="D6585" t="s">
        <v>3829</v>
      </c>
      <c r="E6585" t="s">
        <v>371</v>
      </c>
      <c r="F6585" t="s">
        <v>305</v>
      </c>
      <c r="G6585" t="s">
        <v>304</v>
      </c>
      <c r="H6585" t="s">
        <v>30</v>
      </c>
      <c r="I6585" t="s">
        <v>35</v>
      </c>
      <c r="J6585" t="s">
        <v>32</v>
      </c>
      <c r="K6585" t="s">
        <v>35</v>
      </c>
      <c r="L6585" t="s">
        <v>34</v>
      </c>
      <c r="M6585" t="s">
        <v>368</v>
      </c>
      <c r="N6585" t="s">
        <v>46</v>
      </c>
      <c r="P6585" t="s">
        <v>56</v>
      </c>
      <c r="Q6585" t="s">
        <v>3828</v>
      </c>
      <c r="R6585">
        <v>41792.626550925925</v>
      </c>
      <c r="S6585">
        <v>42058.622175925928</v>
      </c>
      <c r="T6585" t="s">
        <v>2047</v>
      </c>
      <c r="U6585" t="s">
        <v>35</v>
      </c>
      <c r="V6585" t="s">
        <v>35</v>
      </c>
      <c r="W6585" t="s">
        <v>4098</v>
      </c>
    </row>
    <row r="6586" spans="2:23" x14ac:dyDescent="0.25">
      <c r="B6586" s="6" t="s">
        <v>3826</v>
      </c>
      <c r="C6586" s="2">
        <f>HYPERLINK(URLs!B36 &amp; 43449,43449)</f>
        <v>43449</v>
      </c>
      <c r="D6586" t="s">
        <v>3830</v>
      </c>
      <c r="E6586" t="s">
        <v>371</v>
      </c>
      <c r="F6586" t="s">
        <v>305</v>
      </c>
      <c r="G6586" t="s">
        <v>1621</v>
      </c>
      <c r="H6586" t="s">
        <v>30</v>
      </c>
      <c r="I6586" t="s">
        <v>35</v>
      </c>
      <c r="J6586" t="s">
        <v>32</v>
      </c>
      <c r="K6586" t="s">
        <v>35</v>
      </c>
      <c r="L6586" t="s">
        <v>34</v>
      </c>
      <c r="M6586" t="s">
        <v>368</v>
      </c>
      <c r="N6586" t="s">
        <v>46</v>
      </c>
      <c r="P6586" t="s">
        <v>56</v>
      </c>
      <c r="Q6586" t="s">
        <v>3828</v>
      </c>
      <c r="R6586">
        <v>41792.629629629628</v>
      </c>
      <c r="S6586">
        <v>42034.660196759258</v>
      </c>
      <c r="T6586" t="s">
        <v>2047</v>
      </c>
      <c r="U6586" t="s">
        <v>35</v>
      </c>
      <c r="V6586" t="s">
        <v>35</v>
      </c>
      <c r="W6586" t="s">
        <v>4134</v>
      </c>
    </row>
    <row r="6587" spans="2:23" x14ac:dyDescent="0.25">
      <c r="B6587" s="6" t="s">
        <v>3826</v>
      </c>
      <c r="C6587" s="2">
        <f>HYPERLINK(URLs!B36 &amp; 43171,43171)</f>
        <v>43171</v>
      </c>
      <c r="D6587" t="s">
        <v>3827</v>
      </c>
      <c r="E6587" t="s">
        <v>2047</v>
      </c>
      <c r="F6587" t="s">
        <v>305</v>
      </c>
      <c r="G6587" t="s">
        <v>310</v>
      </c>
      <c r="H6587" t="s">
        <v>30</v>
      </c>
      <c r="I6587" t="s">
        <v>31</v>
      </c>
      <c r="J6587" t="s">
        <v>32</v>
      </c>
      <c r="K6587" t="s">
        <v>35</v>
      </c>
      <c r="L6587" t="s">
        <v>34</v>
      </c>
      <c r="M6587" t="s">
        <v>368</v>
      </c>
      <c r="N6587" t="s">
        <v>46</v>
      </c>
      <c r="P6587" t="s">
        <v>56</v>
      </c>
      <c r="Q6587" t="s">
        <v>3828</v>
      </c>
      <c r="R6587">
        <v>41781.463865740741</v>
      </c>
      <c r="S6587">
        <v>42034.641238425924</v>
      </c>
      <c r="T6587" t="s">
        <v>2387</v>
      </c>
      <c r="U6587" t="s">
        <v>35</v>
      </c>
      <c r="V6587" t="s">
        <v>35</v>
      </c>
      <c r="W6587" t="s">
        <v>4112</v>
      </c>
    </row>
    <row r="6588" spans="2:23" x14ac:dyDescent="0.25">
      <c r="B6588" s="6" t="s">
        <v>3826</v>
      </c>
      <c r="C6588" s="2">
        <f>HYPERLINK(URLs!B36 &amp; 43448,43448)</f>
        <v>43448</v>
      </c>
      <c r="D6588" t="s">
        <v>3829</v>
      </c>
      <c r="E6588" t="s">
        <v>371</v>
      </c>
      <c r="F6588" t="s">
        <v>305</v>
      </c>
      <c r="G6588" t="s">
        <v>304</v>
      </c>
      <c r="H6588" t="s">
        <v>30</v>
      </c>
      <c r="I6588" t="s">
        <v>35</v>
      </c>
      <c r="J6588" t="s">
        <v>32</v>
      </c>
      <c r="K6588" t="s">
        <v>35</v>
      </c>
      <c r="L6588" t="s">
        <v>34</v>
      </c>
      <c r="M6588" t="s">
        <v>368</v>
      </c>
      <c r="N6588" t="s">
        <v>46</v>
      </c>
      <c r="P6588" t="s">
        <v>56</v>
      </c>
      <c r="Q6588" t="s">
        <v>3828</v>
      </c>
      <c r="R6588">
        <v>41792.626550925925</v>
      </c>
      <c r="S6588">
        <v>42058.622175925928</v>
      </c>
      <c r="T6588" t="s">
        <v>2047</v>
      </c>
      <c r="U6588" t="s">
        <v>35</v>
      </c>
      <c r="V6588" t="s">
        <v>35</v>
      </c>
      <c r="W6588" t="s">
        <v>4098</v>
      </c>
    </row>
    <row r="6589" spans="2:23" x14ac:dyDescent="0.25">
      <c r="B6589" s="6" t="s">
        <v>3826</v>
      </c>
      <c r="C6589" s="2">
        <f>HYPERLINK(URLs!B36 &amp; 43449,43449)</f>
        <v>43449</v>
      </c>
      <c r="D6589" t="s">
        <v>3830</v>
      </c>
      <c r="E6589" t="s">
        <v>371</v>
      </c>
      <c r="F6589" t="s">
        <v>305</v>
      </c>
      <c r="G6589" t="s">
        <v>1621</v>
      </c>
      <c r="H6589" t="s">
        <v>30</v>
      </c>
      <c r="I6589" t="s">
        <v>35</v>
      </c>
      <c r="J6589" t="s">
        <v>32</v>
      </c>
      <c r="K6589" t="s">
        <v>35</v>
      </c>
      <c r="L6589" t="s">
        <v>34</v>
      </c>
      <c r="M6589" t="s">
        <v>368</v>
      </c>
      <c r="N6589" t="s">
        <v>46</v>
      </c>
      <c r="P6589" t="s">
        <v>56</v>
      </c>
      <c r="Q6589" t="s">
        <v>3828</v>
      </c>
      <c r="R6589">
        <v>41792.629629629628</v>
      </c>
      <c r="S6589">
        <v>42034.660196759258</v>
      </c>
      <c r="T6589" t="s">
        <v>2047</v>
      </c>
      <c r="U6589" t="s">
        <v>35</v>
      </c>
      <c r="V6589" t="s">
        <v>35</v>
      </c>
      <c r="W6589" t="s">
        <v>4134</v>
      </c>
    </row>
    <row r="6590" spans="2:23" x14ac:dyDescent="0.25">
      <c r="B6590" s="6" t="s">
        <v>3826</v>
      </c>
      <c r="C6590" s="2">
        <f>HYPERLINK(URLs!B36 &amp; 43171,43171)</f>
        <v>43171</v>
      </c>
      <c r="D6590" t="s">
        <v>3827</v>
      </c>
      <c r="E6590" t="s">
        <v>2047</v>
      </c>
      <c r="F6590" t="s">
        <v>305</v>
      </c>
      <c r="G6590" t="s">
        <v>310</v>
      </c>
      <c r="H6590" t="s">
        <v>30</v>
      </c>
      <c r="I6590" t="s">
        <v>31</v>
      </c>
      <c r="J6590" t="s">
        <v>32</v>
      </c>
      <c r="K6590" t="s">
        <v>35</v>
      </c>
      <c r="L6590" t="s">
        <v>34</v>
      </c>
      <c r="M6590" t="s">
        <v>368</v>
      </c>
      <c r="N6590" t="s">
        <v>46</v>
      </c>
      <c r="P6590" t="s">
        <v>56</v>
      </c>
      <c r="Q6590" t="s">
        <v>3828</v>
      </c>
      <c r="R6590">
        <v>41781.463865740741</v>
      </c>
      <c r="S6590">
        <v>42034.641238425924</v>
      </c>
      <c r="T6590" t="s">
        <v>2387</v>
      </c>
      <c r="U6590" t="s">
        <v>35</v>
      </c>
      <c r="V6590" t="s">
        <v>35</v>
      </c>
      <c r="W6590" t="s">
        <v>4112</v>
      </c>
    </row>
    <row r="6591" spans="2:23" x14ac:dyDescent="0.25">
      <c r="B6591" s="6" t="s">
        <v>3826</v>
      </c>
      <c r="C6591" s="2">
        <f>HYPERLINK(URLs!B36 &amp; 43448,43448)</f>
        <v>43448</v>
      </c>
      <c r="D6591" t="s">
        <v>3829</v>
      </c>
      <c r="E6591" t="s">
        <v>371</v>
      </c>
      <c r="F6591" t="s">
        <v>305</v>
      </c>
      <c r="G6591" t="s">
        <v>304</v>
      </c>
      <c r="H6591" t="s">
        <v>30</v>
      </c>
      <c r="I6591" t="s">
        <v>35</v>
      </c>
      <c r="J6591" t="s">
        <v>32</v>
      </c>
      <c r="K6591" t="s">
        <v>35</v>
      </c>
      <c r="L6591" t="s">
        <v>34</v>
      </c>
      <c r="M6591" t="s">
        <v>368</v>
      </c>
      <c r="N6591" t="s">
        <v>46</v>
      </c>
      <c r="P6591" t="s">
        <v>56</v>
      </c>
      <c r="Q6591" t="s">
        <v>3828</v>
      </c>
      <c r="R6591">
        <v>41792.626550925925</v>
      </c>
      <c r="S6591">
        <v>42058.622175925928</v>
      </c>
      <c r="T6591" t="s">
        <v>2047</v>
      </c>
      <c r="U6591" t="s">
        <v>35</v>
      </c>
      <c r="V6591" t="s">
        <v>35</v>
      </c>
      <c r="W6591" t="s">
        <v>4098</v>
      </c>
    </row>
    <row r="6592" spans="2:23" x14ac:dyDescent="0.25">
      <c r="B6592" s="6" t="s">
        <v>3826</v>
      </c>
      <c r="C6592" s="2">
        <f>HYPERLINK(URLs!B36 &amp; 43449,43449)</f>
        <v>43449</v>
      </c>
      <c r="D6592" t="s">
        <v>3830</v>
      </c>
      <c r="E6592" t="s">
        <v>371</v>
      </c>
      <c r="F6592" t="s">
        <v>305</v>
      </c>
      <c r="G6592" t="s">
        <v>1621</v>
      </c>
      <c r="H6592" t="s">
        <v>30</v>
      </c>
      <c r="I6592" t="s">
        <v>35</v>
      </c>
      <c r="J6592" t="s">
        <v>32</v>
      </c>
      <c r="K6592" t="s">
        <v>35</v>
      </c>
      <c r="L6592" t="s">
        <v>34</v>
      </c>
      <c r="M6592" t="s">
        <v>368</v>
      </c>
      <c r="N6592" t="s">
        <v>46</v>
      </c>
      <c r="P6592" t="s">
        <v>56</v>
      </c>
      <c r="Q6592" t="s">
        <v>3828</v>
      </c>
      <c r="R6592">
        <v>41792.629629629628</v>
      </c>
      <c r="S6592">
        <v>42034.660196759258</v>
      </c>
      <c r="T6592" t="s">
        <v>2047</v>
      </c>
      <c r="U6592" t="s">
        <v>35</v>
      </c>
      <c r="V6592" t="s">
        <v>35</v>
      </c>
      <c r="W6592" t="s">
        <v>4134</v>
      </c>
    </row>
    <row r="6593" spans="2:23" x14ac:dyDescent="0.25">
      <c r="B6593" s="6" t="s">
        <v>3826</v>
      </c>
      <c r="C6593" s="2">
        <f>HYPERLINK(URLs!B36 &amp; 43171,43171)</f>
        <v>43171</v>
      </c>
      <c r="D6593" t="s">
        <v>3827</v>
      </c>
      <c r="E6593" t="s">
        <v>2047</v>
      </c>
      <c r="F6593" t="s">
        <v>305</v>
      </c>
      <c r="G6593" t="s">
        <v>310</v>
      </c>
      <c r="H6593" t="s">
        <v>30</v>
      </c>
      <c r="I6593" t="s">
        <v>31</v>
      </c>
      <c r="J6593" t="s">
        <v>32</v>
      </c>
      <c r="K6593" t="s">
        <v>35</v>
      </c>
      <c r="L6593" t="s">
        <v>34</v>
      </c>
      <c r="M6593" t="s">
        <v>368</v>
      </c>
      <c r="N6593" t="s">
        <v>46</v>
      </c>
      <c r="P6593" t="s">
        <v>56</v>
      </c>
      <c r="Q6593" t="s">
        <v>3828</v>
      </c>
      <c r="R6593">
        <v>41781.463865740741</v>
      </c>
      <c r="S6593">
        <v>42034.641238425924</v>
      </c>
      <c r="T6593" t="s">
        <v>2387</v>
      </c>
      <c r="U6593" t="s">
        <v>35</v>
      </c>
      <c r="V6593" t="s">
        <v>35</v>
      </c>
      <c r="W6593" t="s">
        <v>4112</v>
      </c>
    </row>
    <row r="6594" spans="2:23" x14ac:dyDescent="0.25">
      <c r="B6594" s="6" t="s">
        <v>3826</v>
      </c>
      <c r="C6594" s="2">
        <f>HYPERLINK(URLs!B36 &amp; 43448,43448)</f>
        <v>43448</v>
      </c>
      <c r="D6594" t="s">
        <v>3829</v>
      </c>
      <c r="E6594" t="s">
        <v>371</v>
      </c>
      <c r="F6594" t="s">
        <v>305</v>
      </c>
      <c r="G6594" t="s">
        <v>304</v>
      </c>
      <c r="H6594" t="s">
        <v>30</v>
      </c>
      <c r="I6594" t="s">
        <v>35</v>
      </c>
      <c r="J6594" t="s">
        <v>32</v>
      </c>
      <c r="K6594" t="s">
        <v>35</v>
      </c>
      <c r="L6594" t="s">
        <v>34</v>
      </c>
      <c r="M6594" t="s">
        <v>368</v>
      </c>
      <c r="N6594" t="s">
        <v>46</v>
      </c>
      <c r="P6594" t="s">
        <v>56</v>
      </c>
      <c r="Q6594" t="s">
        <v>3828</v>
      </c>
      <c r="R6594">
        <v>41792.626550925925</v>
      </c>
      <c r="S6594">
        <v>42058.622175925928</v>
      </c>
      <c r="T6594" t="s">
        <v>2047</v>
      </c>
      <c r="U6594" t="s">
        <v>35</v>
      </c>
      <c r="V6594" t="s">
        <v>35</v>
      </c>
      <c r="W6594" t="s">
        <v>4098</v>
      </c>
    </row>
    <row r="6595" spans="2:23" x14ac:dyDescent="0.25">
      <c r="B6595" s="6" t="s">
        <v>3826</v>
      </c>
      <c r="C6595" s="2">
        <f>HYPERLINK(URLs!B36 &amp; 43449,43449)</f>
        <v>43449</v>
      </c>
      <c r="D6595" t="s">
        <v>3830</v>
      </c>
      <c r="E6595" t="s">
        <v>371</v>
      </c>
      <c r="F6595" t="s">
        <v>305</v>
      </c>
      <c r="G6595" t="s">
        <v>1621</v>
      </c>
      <c r="H6595" t="s">
        <v>30</v>
      </c>
      <c r="I6595" t="s">
        <v>35</v>
      </c>
      <c r="J6595" t="s">
        <v>32</v>
      </c>
      <c r="K6595" t="s">
        <v>35</v>
      </c>
      <c r="L6595" t="s">
        <v>34</v>
      </c>
      <c r="M6595" t="s">
        <v>368</v>
      </c>
      <c r="N6595" t="s">
        <v>46</v>
      </c>
      <c r="P6595" t="s">
        <v>56</v>
      </c>
      <c r="Q6595" t="s">
        <v>3828</v>
      </c>
      <c r="R6595">
        <v>41792.629629629628</v>
      </c>
      <c r="S6595">
        <v>42034.660196759258</v>
      </c>
      <c r="T6595" t="s">
        <v>2047</v>
      </c>
      <c r="U6595" t="s">
        <v>35</v>
      </c>
      <c r="V6595" t="s">
        <v>35</v>
      </c>
      <c r="W6595" t="s">
        <v>4134</v>
      </c>
    </row>
    <row r="6596" spans="2:23" x14ac:dyDescent="0.25">
      <c r="B6596" s="6" t="s">
        <v>3826</v>
      </c>
      <c r="C6596" s="2">
        <f>HYPERLINK(URLs!B36 &amp; 43171,43171)</f>
        <v>43171</v>
      </c>
      <c r="D6596" t="s">
        <v>3827</v>
      </c>
      <c r="E6596" t="s">
        <v>2047</v>
      </c>
      <c r="F6596" t="s">
        <v>305</v>
      </c>
      <c r="G6596" t="s">
        <v>310</v>
      </c>
      <c r="H6596" t="s">
        <v>30</v>
      </c>
      <c r="I6596" t="s">
        <v>31</v>
      </c>
      <c r="J6596" t="s">
        <v>32</v>
      </c>
      <c r="K6596" t="s">
        <v>35</v>
      </c>
      <c r="L6596" t="s">
        <v>34</v>
      </c>
      <c r="M6596" t="s">
        <v>368</v>
      </c>
      <c r="N6596" t="s">
        <v>46</v>
      </c>
      <c r="P6596" t="s">
        <v>56</v>
      </c>
      <c r="Q6596" t="s">
        <v>3828</v>
      </c>
      <c r="R6596">
        <v>41781.463865740741</v>
      </c>
      <c r="S6596">
        <v>42034.641238425924</v>
      </c>
      <c r="T6596" t="s">
        <v>2387</v>
      </c>
      <c r="U6596" t="s">
        <v>35</v>
      </c>
      <c r="V6596" t="s">
        <v>35</v>
      </c>
      <c r="W6596" t="s">
        <v>4112</v>
      </c>
    </row>
    <row r="6597" spans="2:23" x14ac:dyDescent="0.25">
      <c r="B6597" s="6" t="s">
        <v>3826</v>
      </c>
      <c r="C6597" s="2">
        <f>HYPERLINK(URLs!B36 &amp; 43448,43448)</f>
        <v>43448</v>
      </c>
      <c r="D6597" t="s">
        <v>3829</v>
      </c>
      <c r="E6597" t="s">
        <v>371</v>
      </c>
      <c r="F6597" t="s">
        <v>305</v>
      </c>
      <c r="G6597" t="s">
        <v>304</v>
      </c>
      <c r="H6597" t="s">
        <v>30</v>
      </c>
      <c r="I6597" t="s">
        <v>35</v>
      </c>
      <c r="J6597" t="s">
        <v>32</v>
      </c>
      <c r="K6597" t="s">
        <v>35</v>
      </c>
      <c r="L6597" t="s">
        <v>34</v>
      </c>
      <c r="M6597" t="s">
        <v>368</v>
      </c>
      <c r="N6597" t="s">
        <v>46</v>
      </c>
      <c r="P6597" t="s">
        <v>56</v>
      </c>
      <c r="Q6597" t="s">
        <v>3828</v>
      </c>
      <c r="R6597">
        <v>41792.626550925925</v>
      </c>
      <c r="S6597">
        <v>42058.622175925928</v>
      </c>
      <c r="T6597" t="s">
        <v>2047</v>
      </c>
      <c r="U6597" t="s">
        <v>35</v>
      </c>
      <c r="V6597" t="s">
        <v>35</v>
      </c>
      <c r="W6597" t="s">
        <v>4098</v>
      </c>
    </row>
    <row r="6598" spans="2:23" x14ac:dyDescent="0.25">
      <c r="B6598" s="6" t="s">
        <v>3826</v>
      </c>
      <c r="C6598" s="2">
        <f>HYPERLINK(URLs!B36 &amp; 43449,43449)</f>
        <v>43449</v>
      </c>
      <c r="D6598" t="s">
        <v>3830</v>
      </c>
      <c r="E6598" t="s">
        <v>371</v>
      </c>
      <c r="F6598" t="s">
        <v>305</v>
      </c>
      <c r="G6598" t="s">
        <v>1621</v>
      </c>
      <c r="H6598" t="s">
        <v>30</v>
      </c>
      <c r="I6598" t="s">
        <v>35</v>
      </c>
      <c r="J6598" t="s">
        <v>32</v>
      </c>
      <c r="K6598" t="s">
        <v>35</v>
      </c>
      <c r="L6598" t="s">
        <v>34</v>
      </c>
      <c r="M6598" t="s">
        <v>368</v>
      </c>
      <c r="N6598" t="s">
        <v>46</v>
      </c>
      <c r="P6598" t="s">
        <v>56</v>
      </c>
      <c r="Q6598" t="s">
        <v>3828</v>
      </c>
      <c r="R6598">
        <v>41792.629629629628</v>
      </c>
      <c r="S6598">
        <v>42034.660196759258</v>
      </c>
      <c r="T6598" t="s">
        <v>2047</v>
      </c>
      <c r="U6598" t="s">
        <v>35</v>
      </c>
      <c r="V6598" t="s">
        <v>35</v>
      </c>
      <c r="W6598" t="s">
        <v>4134</v>
      </c>
    </row>
    <row r="6599" spans="2:23" x14ac:dyDescent="0.25">
      <c r="B6599" s="6" t="s">
        <v>3826</v>
      </c>
      <c r="C6599" s="2">
        <f>HYPERLINK(URLs!B36 &amp; 43171,43171)</f>
        <v>43171</v>
      </c>
      <c r="D6599" t="s">
        <v>3827</v>
      </c>
      <c r="E6599" t="s">
        <v>2047</v>
      </c>
      <c r="F6599" t="s">
        <v>305</v>
      </c>
      <c r="G6599" t="s">
        <v>310</v>
      </c>
      <c r="H6599" t="s">
        <v>30</v>
      </c>
      <c r="I6599" t="s">
        <v>31</v>
      </c>
      <c r="J6599" t="s">
        <v>32</v>
      </c>
      <c r="K6599" t="s">
        <v>35</v>
      </c>
      <c r="L6599" t="s">
        <v>34</v>
      </c>
      <c r="M6599" t="s">
        <v>368</v>
      </c>
      <c r="N6599" t="s">
        <v>46</v>
      </c>
      <c r="P6599" t="s">
        <v>56</v>
      </c>
      <c r="Q6599" t="s">
        <v>3828</v>
      </c>
      <c r="R6599">
        <v>41781.463865740741</v>
      </c>
      <c r="S6599">
        <v>42034.641238425924</v>
      </c>
      <c r="T6599" t="s">
        <v>2387</v>
      </c>
      <c r="U6599" t="s">
        <v>35</v>
      </c>
      <c r="V6599" t="s">
        <v>35</v>
      </c>
      <c r="W6599" t="s">
        <v>4112</v>
      </c>
    </row>
    <row r="6600" spans="2:23" x14ac:dyDescent="0.25">
      <c r="B6600" s="6" t="s">
        <v>3826</v>
      </c>
      <c r="C6600" s="2">
        <f>HYPERLINK(URLs!B36 &amp; 43448,43448)</f>
        <v>43448</v>
      </c>
      <c r="D6600" t="s">
        <v>3829</v>
      </c>
      <c r="E6600" t="s">
        <v>371</v>
      </c>
      <c r="F6600" t="s">
        <v>305</v>
      </c>
      <c r="G6600" t="s">
        <v>304</v>
      </c>
      <c r="H6600" t="s">
        <v>30</v>
      </c>
      <c r="I6600" t="s">
        <v>35</v>
      </c>
      <c r="J6600" t="s">
        <v>32</v>
      </c>
      <c r="K6600" t="s">
        <v>35</v>
      </c>
      <c r="L6600" t="s">
        <v>34</v>
      </c>
      <c r="M6600" t="s">
        <v>368</v>
      </c>
      <c r="N6600" t="s">
        <v>46</v>
      </c>
      <c r="P6600" t="s">
        <v>56</v>
      </c>
      <c r="Q6600" t="s">
        <v>3828</v>
      </c>
      <c r="R6600">
        <v>41792.626550925925</v>
      </c>
      <c r="S6600">
        <v>42058.622175925928</v>
      </c>
      <c r="T6600" t="s">
        <v>2047</v>
      </c>
      <c r="U6600" t="s">
        <v>35</v>
      </c>
      <c r="V6600" t="s">
        <v>35</v>
      </c>
      <c r="W6600" t="s">
        <v>4098</v>
      </c>
    </row>
    <row r="6601" spans="2:23" x14ac:dyDescent="0.25">
      <c r="B6601" s="6" t="s">
        <v>3826</v>
      </c>
      <c r="C6601" s="2">
        <f>HYPERLINK(URLs!B36 &amp; 43449,43449)</f>
        <v>43449</v>
      </c>
      <c r="D6601" t="s">
        <v>3830</v>
      </c>
      <c r="E6601" t="s">
        <v>371</v>
      </c>
      <c r="F6601" t="s">
        <v>305</v>
      </c>
      <c r="G6601" t="s">
        <v>1621</v>
      </c>
      <c r="H6601" t="s">
        <v>30</v>
      </c>
      <c r="I6601" t="s">
        <v>35</v>
      </c>
      <c r="J6601" t="s">
        <v>32</v>
      </c>
      <c r="K6601" t="s">
        <v>35</v>
      </c>
      <c r="L6601" t="s">
        <v>34</v>
      </c>
      <c r="M6601" t="s">
        <v>368</v>
      </c>
      <c r="N6601" t="s">
        <v>46</v>
      </c>
      <c r="P6601" t="s">
        <v>56</v>
      </c>
      <c r="Q6601" t="s">
        <v>3828</v>
      </c>
      <c r="R6601">
        <v>41792.629629629628</v>
      </c>
      <c r="S6601">
        <v>42034.660196759258</v>
      </c>
      <c r="T6601" t="s">
        <v>2047</v>
      </c>
      <c r="U6601" t="s">
        <v>35</v>
      </c>
      <c r="V6601" t="s">
        <v>35</v>
      </c>
      <c r="W6601" t="s">
        <v>4134</v>
      </c>
    </row>
    <row r="6602" spans="2:23" x14ac:dyDescent="0.25">
      <c r="B6602" s="6" t="s">
        <v>3826</v>
      </c>
      <c r="C6602" s="2">
        <f>HYPERLINK(URLs!B36 &amp; 43171,43171)</f>
        <v>43171</v>
      </c>
      <c r="D6602" t="s">
        <v>3827</v>
      </c>
      <c r="E6602" t="s">
        <v>2047</v>
      </c>
      <c r="F6602" t="s">
        <v>305</v>
      </c>
      <c r="G6602" t="s">
        <v>310</v>
      </c>
      <c r="H6602" t="s">
        <v>30</v>
      </c>
      <c r="I6602" t="s">
        <v>31</v>
      </c>
      <c r="J6602" t="s">
        <v>32</v>
      </c>
      <c r="K6602" t="s">
        <v>35</v>
      </c>
      <c r="L6602" t="s">
        <v>34</v>
      </c>
      <c r="M6602" t="s">
        <v>368</v>
      </c>
      <c r="N6602" t="s">
        <v>46</v>
      </c>
      <c r="P6602" t="s">
        <v>56</v>
      </c>
      <c r="Q6602" t="s">
        <v>3828</v>
      </c>
      <c r="R6602">
        <v>41781.463865740741</v>
      </c>
      <c r="S6602">
        <v>42034.641238425924</v>
      </c>
      <c r="T6602" t="s">
        <v>2387</v>
      </c>
      <c r="U6602" t="s">
        <v>35</v>
      </c>
      <c r="V6602" t="s">
        <v>35</v>
      </c>
      <c r="W6602" t="s">
        <v>4112</v>
      </c>
    </row>
    <row r="6603" spans="2:23" x14ac:dyDescent="0.25">
      <c r="B6603" s="6" t="s">
        <v>3826</v>
      </c>
      <c r="C6603" s="2">
        <f>HYPERLINK(URLs!B36 &amp; 43448,43448)</f>
        <v>43448</v>
      </c>
      <c r="D6603" t="s">
        <v>3829</v>
      </c>
      <c r="E6603" t="s">
        <v>371</v>
      </c>
      <c r="F6603" t="s">
        <v>305</v>
      </c>
      <c r="G6603" t="s">
        <v>304</v>
      </c>
      <c r="H6603" t="s">
        <v>30</v>
      </c>
      <c r="I6603" t="s">
        <v>35</v>
      </c>
      <c r="J6603" t="s">
        <v>32</v>
      </c>
      <c r="K6603" t="s">
        <v>35</v>
      </c>
      <c r="L6603" t="s">
        <v>34</v>
      </c>
      <c r="M6603" t="s">
        <v>368</v>
      </c>
      <c r="N6603" t="s">
        <v>46</v>
      </c>
      <c r="P6603" t="s">
        <v>56</v>
      </c>
      <c r="Q6603" t="s">
        <v>3828</v>
      </c>
      <c r="R6603">
        <v>41792.626550925925</v>
      </c>
      <c r="S6603">
        <v>42058.622175925928</v>
      </c>
      <c r="T6603" t="s">
        <v>2047</v>
      </c>
      <c r="U6603" t="s">
        <v>35</v>
      </c>
      <c r="V6603" t="s">
        <v>35</v>
      </c>
      <c r="W6603" t="s">
        <v>4098</v>
      </c>
    </row>
    <row r="6604" spans="2:23" x14ac:dyDescent="0.25">
      <c r="B6604" s="6" t="s">
        <v>3826</v>
      </c>
      <c r="C6604" s="2">
        <f>HYPERLINK(URLs!B36 &amp; 43449,43449)</f>
        <v>43449</v>
      </c>
      <c r="D6604" t="s">
        <v>3830</v>
      </c>
      <c r="E6604" t="s">
        <v>371</v>
      </c>
      <c r="F6604" t="s">
        <v>305</v>
      </c>
      <c r="G6604" t="s">
        <v>1621</v>
      </c>
      <c r="H6604" t="s">
        <v>30</v>
      </c>
      <c r="I6604" t="s">
        <v>35</v>
      </c>
      <c r="J6604" t="s">
        <v>32</v>
      </c>
      <c r="K6604" t="s">
        <v>35</v>
      </c>
      <c r="L6604" t="s">
        <v>34</v>
      </c>
      <c r="M6604" t="s">
        <v>368</v>
      </c>
      <c r="N6604" t="s">
        <v>46</v>
      </c>
      <c r="P6604" t="s">
        <v>56</v>
      </c>
      <c r="Q6604" t="s">
        <v>3828</v>
      </c>
      <c r="R6604">
        <v>41792.629629629628</v>
      </c>
      <c r="S6604">
        <v>42034.660196759258</v>
      </c>
      <c r="T6604" t="s">
        <v>2047</v>
      </c>
      <c r="U6604" t="s">
        <v>35</v>
      </c>
      <c r="V6604" t="s">
        <v>35</v>
      </c>
      <c r="W6604" t="s">
        <v>4134</v>
      </c>
    </row>
    <row r="6605" spans="2:23" x14ac:dyDescent="0.25">
      <c r="B6605" s="6" t="s">
        <v>3826</v>
      </c>
      <c r="C6605" s="2">
        <f>HYPERLINK(URLs!B36 &amp; 43171,43171)</f>
        <v>43171</v>
      </c>
      <c r="D6605" t="s">
        <v>3827</v>
      </c>
      <c r="E6605" t="s">
        <v>2047</v>
      </c>
      <c r="F6605" t="s">
        <v>305</v>
      </c>
      <c r="G6605" t="s">
        <v>310</v>
      </c>
      <c r="H6605" t="s">
        <v>30</v>
      </c>
      <c r="I6605" t="s">
        <v>31</v>
      </c>
      <c r="J6605" t="s">
        <v>32</v>
      </c>
      <c r="K6605" t="s">
        <v>35</v>
      </c>
      <c r="L6605" t="s">
        <v>34</v>
      </c>
      <c r="M6605" t="s">
        <v>368</v>
      </c>
      <c r="N6605" t="s">
        <v>46</v>
      </c>
      <c r="P6605" t="s">
        <v>56</v>
      </c>
      <c r="Q6605" t="s">
        <v>3828</v>
      </c>
      <c r="R6605">
        <v>41781.463865740741</v>
      </c>
      <c r="S6605">
        <v>42034.641238425924</v>
      </c>
      <c r="T6605" t="s">
        <v>2387</v>
      </c>
      <c r="U6605" t="s">
        <v>35</v>
      </c>
      <c r="V6605" t="s">
        <v>35</v>
      </c>
      <c r="W6605" t="s">
        <v>4112</v>
      </c>
    </row>
    <row r="6606" spans="2:23" x14ac:dyDescent="0.25">
      <c r="B6606" s="6" t="s">
        <v>3826</v>
      </c>
      <c r="C6606" s="2">
        <f>HYPERLINK(URLs!B36 &amp; 43448,43448)</f>
        <v>43448</v>
      </c>
      <c r="D6606" t="s">
        <v>3829</v>
      </c>
      <c r="E6606" t="s">
        <v>371</v>
      </c>
      <c r="F6606" t="s">
        <v>305</v>
      </c>
      <c r="G6606" t="s">
        <v>304</v>
      </c>
      <c r="H6606" t="s">
        <v>30</v>
      </c>
      <c r="I6606" t="s">
        <v>35</v>
      </c>
      <c r="J6606" t="s">
        <v>32</v>
      </c>
      <c r="K6606" t="s">
        <v>35</v>
      </c>
      <c r="L6606" t="s">
        <v>34</v>
      </c>
      <c r="M6606" t="s">
        <v>368</v>
      </c>
      <c r="N6606" t="s">
        <v>46</v>
      </c>
      <c r="P6606" t="s">
        <v>56</v>
      </c>
      <c r="Q6606" t="s">
        <v>3828</v>
      </c>
      <c r="R6606">
        <v>41792.626550925925</v>
      </c>
      <c r="S6606">
        <v>42058.622175925928</v>
      </c>
      <c r="T6606" t="s">
        <v>2047</v>
      </c>
      <c r="U6606" t="s">
        <v>35</v>
      </c>
      <c r="V6606" t="s">
        <v>35</v>
      </c>
      <c r="W6606" t="s">
        <v>4098</v>
      </c>
    </row>
    <row r="6607" spans="2:23" x14ac:dyDescent="0.25">
      <c r="B6607" s="6" t="s">
        <v>3826</v>
      </c>
      <c r="C6607" s="2">
        <f>HYPERLINK(URLs!B36 &amp; 43449,43449)</f>
        <v>43449</v>
      </c>
      <c r="D6607" t="s">
        <v>3830</v>
      </c>
      <c r="E6607" t="s">
        <v>371</v>
      </c>
      <c r="F6607" t="s">
        <v>305</v>
      </c>
      <c r="G6607" t="s">
        <v>1621</v>
      </c>
      <c r="H6607" t="s">
        <v>30</v>
      </c>
      <c r="I6607" t="s">
        <v>35</v>
      </c>
      <c r="J6607" t="s">
        <v>32</v>
      </c>
      <c r="K6607" t="s">
        <v>35</v>
      </c>
      <c r="L6607" t="s">
        <v>34</v>
      </c>
      <c r="M6607" t="s">
        <v>368</v>
      </c>
      <c r="N6607" t="s">
        <v>46</v>
      </c>
      <c r="P6607" t="s">
        <v>56</v>
      </c>
      <c r="Q6607" t="s">
        <v>3828</v>
      </c>
      <c r="R6607">
        <v>41792.629629629628</v>
      </c>
      <c r="S6607">
        <v>42034.660196759258</v>
      </c>
      <c r="T6607" t="s">
        <v>2047</v>
      </c>
      <c r="U6607" t="s">
        <v>35</v>
      </c>
      <c r="V6607" t="s">
        <v>35</v>
      </c>
      <c r="W6607" t="s">
        <v>4134</v>
      </c>
    </row>
    <row r="6608" spans="2:23" x14ac:dyDescent="0.25">
      <c r="B6608" s="6" t="s">
        <v>3826</v>
      </c>
      <c r="C6608" s="2">
        <f>HYPERLINK(URLs!B36 &amp; 43171,43171)</f>
        <v>43171</v>
      </c>
      <c r="D6608" t="s">
        <v>3827</v>
      </c>
      <c r="E6608" t="s">
        <v>2047</v>
      </c>
      <c r="F6608" t="s">
        <v>305</v>
      </c>
      <c r="G6608" t="s">
        <v>310</v>
      </c>
      <c r="H6608" t="s">
        <v>30</v>
      </c>
      <c r="I6608" t="s">
        <v>31</v>
      </c>
      <c r="J6608" t="s">
        <v>32</v>
      </c>
      <c r="K6608" t="s">
        <v>35</v>
      </c>
      <c r="L6608" t="s">
        <v>34</v>
      </c>
      <c r="M6608" t="s">
        <v>368</v>
      </c>
      <c r="N6608" t="s">
        <v>35</v>
      </c>
      <c r="O6608" t="s">
        <v>46</v>
      </c>
      <c r="Q6608" t="s">
        <v>56</v>
      </c>
      <c r="R6608" t="s">
        <v>3828</v>
      </c>
      <c r="S6608">
        <v>41781.463865740741</v>
      </c>
      <c r="T6608">
        <v>42034.641238425924</v>
      </c>
      <c r="U6608" t="s">
        <v>2387</v>
      </c>
      <c r="V6608" t="s">
        <v>35</v>
      </c>
      <c r="W6608" t="s">
        <v>35</v>
      </c>
    </row>
    <row r="6609" spans="2:23" x14ac:dyDescent="0.25">
      <c r="B6609" s="6" t="s">
        <v>3826</v>
      </c>
      <c r="C6609" s="2">
        <f>HYPERLINK(URLs!B36 &amp; 43448,43448)</f>
        <v>43448</v>
      </c>
      <c r="D6609" t="s">
        <v>3829</v>
      </c>
      <c r="E6609" t="s">
        <v>371</v>
      </c>
      <c r="F6609" t="s">
        <v>305</v>
      </c>
      <c r="G6609" t="s">
        <v>304</v>
      </c>
      <c r="H6609" t="s">
        <v>30</v>
      </c>
      <c r="I6609" t="s">
        <v>35</v>
      </c>
      <c r="J6609" t="s">
        <v>32</v>
      </c>
      <c r="K6609" t="s">
        <v>35</v>
      </c>
      <c r="L6609" t="s">
        <v>34</v>
      </c>
      <c r="M6609" t="s">
        <v>368</v>
      </c>
      <c r="N6609" t="s">
        <v>35</v>
      </c>
      <c r="O6609" t="s">
        <v>46</v>
      </c>
      <c r="Q6609" t="s">
        <v>56</v>
      </c>
      <c r="R6609" t="s">
        <v>3828</v>
      </c>
      <c r="S6609">
        <v>41792.626550925925</v>
      </c>
      <c r="T6609">
        <v>42058.622175925928</v>
      </c>
      <c r="U6609" t="s">
        <v>2047</v>
      </c>
      <c r="V6609" t="s">
        <v>35</v>
      </c>
      <c r="W6609" t="s">
        <v>35</v>
      </c>
    </row>
    <row r="6610" spans="2:23" x14ac:dyDescent="0.25">
      <c r="B6610" s="6" t="s">
        <v>3826</v>
      </c>
      <c r="C6610" s="2">
        <f>HYPERLINK(URLs!B36 &amp; 43449,43449)</f>
        <v>43449</v>
      </c>
      <c r="D6610" t="s">
        <v>3830</v>
      </c>
      <c r="E6610" t="s">
        <v>371</v>
      </c>
      <c r="F6610" t="s">
        <v>305</v>
      </c>
      <c r="G6610" t="s">
        <v>1621</v>
      </c>
      <c r="H6610" t="s">
        <v>30</v>
      </c>
      <c r="I6610" t="s">
        <v>35</v>
      </c>
      <c r="J6610" t="s">
        <v>32</v>
      </c>
      <c r="K6610" t="s">
        <v>35</v>
      </c>
      <c r="L6610" t="s">
        <v>34</v>
      </c>
      <c r="M6610" t="s">
        <v>368</v>
      </c>
      <c r="N6610" t="s">
        <v>35</v>
      </c>
      <c r="O6610" t="s">
        <v>46</v>
      </c>
      <c r="Q6610" t="s">
        <v>56</v>
      </c>
      <c r="R6610" t="s">
        <v>3828</v>
      </c>
      <c r="S6610">
        <v>41792.629629629628</v>
      </c>
      <c r="T6610">
        <v>42034.660196759258</v>
      </c>
      <c r="U6610" t="s">
        <v>2047</v>
      </c>
      <c r="V6610" t="s">
        <v>35</v>
      </c>
      <c r="W6610" t="s">
        <v>35</v>
      </c>
    </row>
    <row r="6611" spans="2:23" x14ac:dyDescent="0.25">
      <c r="B6611" s="6" t="s">
        <v>3826</v>
      </c>
      <c r="C6611" s="2">
        <f>HYPERLINK(URLs!B36 &amp; 43171,43171)</f>
        <v>43171</v>
      </c>
      <c r="D6611" t="s">
        <v>3827</v>
      </c>
      <c r="E6611" t="s">
        <v>2047</v>
      </c>
      <c r="F6611" t="s">
        <v>305</v>
      </c>
      <c r="G6611" t="s">
        <v>310</v>
      </c>
      <c r="H6611" t="s">
        <v>30</v>
      </c>
      <c r="I6611" t="s">
        <v>31</v>
      </c>
      <c r="J6611" t="s">
        <v>32</v>
      </c>
      <c r="K6611" t="s">
        <v>35</v>
      </c>
      <c r="L6611" t="s">
        <v>34</v>
      </c>
      <c r="M6611" t="s">
        <v>368</v>
      </c>
      <c r="N6611" t="s">
        <v>35</v>
      </c>
      <c r="O6611" t="s">
        <v>46</v>
      </c>
      <c r="Q6611" t="s">
        <v>56</v>
      </c>
      <c r="R6611" t="s">
        <v>3828</v>
      </c>
      <c r="S6611">
        <v>41781.463865740741</v>
      </c>
      <c r="T6611">
        <v>42034.641238425924</v>
      </c>
      <c r="U6611" t="s">
        <v>2387</v>
      </c>
      <c r="V6611" t="s">
        <v>35</v>
      </c>
      <c r="W6611" t="s">
        <v>35</v>
      </c>
    </row>
    <row r="6612" spans="2:23" x14ac:dyDescent="0.25">
      <c r="B6612" s="6" t="s">
        <v>3826</v>
      </c>
      <c r="C6612" s="2">
        <f>HYPERLINK(URLs!B36 &amp; 43448,43448)</f>
        <v>43448</v>
      </c>
      <c r="D6612" t="s">
        <v>3829</v>
      </c>
      <c r="E6612" t="s">
        <v>371</v>
      </c>
      <c r="F6612" t="s">
        <v>305</v>
      </c>
      <c r="G6612" t="s">
        <v>304</v>
      </c>
      <c r="H6612" t="s">
        <v>30</v>
      </c>
      <c r="I6612" t="s">
        <v>35</v>
      </c>
      <c r="J6612" t="s">
        <v>32</v>
      </c>
      <c r="K6612" t="s">
        <v>35</v>
      </c>
      <c r="L6612" t="s">
        <v>34</v>
      </c>
      <c r="M6612" t="s">
        <v>368</v>
      </c>
      <c r="N6612" t="s">
        <v>35</v>
      </c>
      <c r="O6612" t="s">
        <v>46</v>
      </c>
      <c r="Q6612" t="s">
        <v>56</v>
      </c>
      <c r="R6612" t="s">
        <v>3828</v>
      </c>
      <c r="S6612">
        <v>41792.626550925925</v>
      </c>
      <c r="T6612">
        <v>42058.622175925928</v>
      </c>
      <c r="U6612" t="s">
        <v>2047</v>
      </c>
      <c r="V6612" t="s">
        <v>35</v>
      </c>
      <c r="W6612" t="s">
        <v>35</v>
      </c>
    </row>
    <row r="6613" spans="2:23" x14ac:dyDescent="0.25">
      <c r="B6613" s="6" t="s">
        <v>3826</v>
      </c>
      <c r="C6613" s="2">
        <f>HYPERLINK(URLs!B36 &amp; 43449,43449)</f>
        <v>43449</v>
      </c>
      <c r="D6613" t="s">
        <v>3830</v>
      </c>
      <c r="E6613" t="s">
        <v>371</v>
      </c>
      <c r="F6613" t="s">
        <v>305</v>
      </c>
      <c r="G6613" t="s">
        <v>1621</v>
      </c>
      <c r="H6613" t="s">
        <v>30</v>
      </c>
      <c r="I6613" t="s">
        <v>35</v>
      </c>
      <c r="J6613" t="s">
        <v>32</v>
      </c>
      <c r="K6613" t="s">
        <v>35</v>
      </c>
      <c r="L6613" t="s">
        <v>34</v>
      </c>
      <c r="M6613" t="s">
        <v>368</v>
      </c>
      <c r="N6613" t="s">
        <v>35</v>
      </c>
      <c r="O6613" t="s">
        <v>46</v>
      </c>
      <c r="Q6613" t="s">
        <v>56</v>
      </c>
      <c r="R6613" t="s">
        <v>3828</v>
      </c>
      <c r="S6613">
        <v>41792.629629629628</v>
      </c>
      <c r="T6613">
        <v>42034.660196759258</v>
      </c>
      <c r="U6613" t="s">
        <v>2047</v>
      </c>
      <c r="V6613" t="s">
        <v>35</v>
      </c>
      <c r="W6613" t="s">
        <v>35</v>
      </c>
    </row>
    <row r="6614" spans="2:23" x14ac:dyDescent="0.25">
      <c r="B6614" s="6" t="s">
        <v>3826</v>
      </c>
      <c r="C6614" s="2">
        <f>HYPERLINK(URLs!B36 &amp; 43171,43171)</f>
        <v>43171</v>
      </c>
      <c r="D6614" t="s">
        <v>3827</v>
      </c>
      <c r="E6614" t="s">
        <v>2047</v>
      </c>
      <c r="F6614" t="s">
        <v>305</v>
      </c>
      <c r="G6614" t="s">
        <v>310</v>
      </c>
      <c r="H6614" t="s">
        <v>30</v>
      </c>
      <c r="I6614" t="s">
        <v>31</v>
      </c>
      <c r="J6614" t="s">
        <v>32</v>
      </c>
      <c r="K6614" t="s">
        <v>35</v>
      </c>
      <c r="L6614" t="s">
        <v>34</v>
      </c>
      <c r="M6614" t="s">
        <v>368</v>
      </c>
      <c r="N6614" t="s">
        <v>35</v>
      </c>
      <c r="O6614" t="s">
        <v>46</v>
      </c>
      <c r="Q6614" t="s">
        <v>56</v>
      </c>
      <c r="R6614" t="s">
        <v>3828</v>
      </c>
      <c r="S6614">
        <v>41781.463865740741</v>
      </c>
      <c r="T6614">
        <v>42034.641238425924</v>
      </c>
      <c r="U6614" t="s">
        <v>2387</v>
      </c>
      <c r="V6614" t="s">
        <v>35</v>
      </c>
      <c r="W6614" t="s">
        <v>35</v>
      </c>
    </row>
    <row r="6615" spans="2:23" x14ac:dyDescent="0.25">
      <c r="B6615" s="6" t="s">
        <v>3826</v>
      </c>
      <c r="C6615" s="2">
        <f>HYPERLINK(URLs!B36 &amp; 43448,43448)</f>
        <v>43448</v>
      </c>
      <c r="D6615" t="s">
        <v>3829</v>
      </c>
      <c r="E6615" t="s">
        <v>371</v>
      </c>
      <c r="F6615" t="s">
        <v>305</v>
      </c>
      <c r="G6615" t="s">
        <v>304</v>
      </c>
      <c r="H6615" t="s">
        <v>30</v>
      </c>
      <c r="I6615" t="s">
        <v>35</v>
      </c>
      <c r="J6615" t="s">
        <v>32</v>
      </c>
      <c r="K6615" t="s">
        <v>35</v>
      </c>
      <c r="L6615" t="s">
        <v>34</v>
      </c>
      <c r="M6615" t="s">
        <v>368</v>
      </c>
      <c r="N6615" t="s">
        <v>35</v>
      </c>
      <c r="O6615" t="s">
        <v>46</v>
      </c>
      <c r="Q6615" t="s">
        <v>56</v>
      </c>
      <c r="R6615" t="s">
        <v>3828</v>
      </c>
      <c r="S6615">
        <v>41792.626550925925</v>
      </c>
      <c r="T6615">
        <v>42058.622175925928</v>
      </c>
      <c r="U6615" t="s">
        <v>2047</v>
      </c>
      <c r="V6615" t="s">
        <v>35</v>
      </c>
      <c r="W6615" t="s">
        <v>35</v>
      </c>
    </row>
    <row r="6616" spans="2:23" x14ac:dyDescent="0.25">
      <c r="B6616" s="6" t="s">
        <v>3826</v>
      </c>
      <c r="C6616" s="2">
        <f>HYPERLINK(URLs!B36 &amp; 43449,43449)</f>
        <v>43449</v>
      </c>
      <c r="D6616" t="s">
        <v>3830</v>
      </c>
      <c r="E6616" t="s">
        <v>371</v>
      </c>
      <c r="F6616" t="s">
        <v>305</v>
      </c>
      <c r="G6616" t="s">
        <v>1621</v>
      </c>
      <c r="H6616" t="s">
        <v>30</v>
      </c>
      <c r="I6616" t="s">
        <v>35</v>
      </c>
      <c r="J6616" t="s">
        <v>32</v>
      </c>
      <c r="K6616" t="s">
        <v>35</v>
      </c>
      <c r="L6616" t="s">
        <v>34</v>
      </c>
      <c r="M6616" t="s">
        <v>368</v>
      </c>
      <c r="N6616" t="s">
        <v>35</v>
      </c>
      <c r="O6616" t="s">
        <v>46</v>
      </c>
      <c r="Q6616" t="s">
        <v>56</v>
      </c>
      <c r="R6616" t="s">
        <v>3828</v>
      </c>
      <c r="S6616">
        <v>41792.629629629628</v>
      </c>
      <c r="T6616">
        <v>42034.660196759258</v>
      </c>
      <c r="U6616" t="s">
        <v>2047</v>
      </c>
      <c r="V6616" t="s">
        <v>35</v>
      </c>
      <c r="W6616" t="s">
        <v>35</v>
      </c>
    </row>
    <row r="6617" spans="2:23" x14ac:dyDescent="0.25">
      <c r="B6617" s="6" t="s">
        <v>3826</v>
      </c>
      <c r="C6617" s="2">
        <f>HYPERLINK(URLs!B36 &amp; 43171,43171)</f>
        <v>43171</v>
      </c>
      <c r="D6617" t="s">
        <v>3827</v>
      </c>
      <c r="E6617" t="s">
        <v>2047</v>
      </c>
      <c r="F6617" t="s">
        <v>305</v>
      </c>
      <c r="G6617" t="s">
        <v>310</v>
      </c>
      <c r="H6617" t="s">
        <v>30</v>
      </c>
      <c r="I6617" t="s">
        <v>31</v>
      </c>
      <c r="J6617" t="s">
        <v>32</v>
      </c>
      <c r="K6617" t="s">
        <v>35</v>
      </c>
      <c r="L6617" t="s">
        <v>34</v>
      </c>
      <c r="M6617" t="s">
        <v>368</v>
      </c>
      <c r="N6617" t="s">
        <v>35</v>
      </c>
      <c r="O6617" t="s">
        <v>46</v>
      </c>
      <c r="Q6617" t="s">
        <v>56</v>
      </c>
      <c r="R6617" t="s">
        <v>3828</v>
      </c>
      <c r="S6617">
        <v>41781.463865740741</v>
      </c>
      <c r="T6617">
        <v>42034.641238425924</v>
      </c>
      <c r="U6617" t="s">
        <v>2387</v>
      </c>
      <c r="V6617" t="s">
        <v>35</v>
      </c>
      <c r="W6617" t="s">
        <v>35</v>
      </c>
    </row>
    <row r="6618" spans="2:23" x14ac:dyDescent="0.25">
      <c r="B6618" s="6" t="s">
        <v>3826</v>
      </c>
      <c r="C6618" s="2">
        <f>HYPERLINK(URLs!B36 &amp; 43448,43448)</f>
        <v>43448</v>
      </c>
      <c r="D6618" t="s">
        <v>3829</v>
      </c>
      <c r="E6618" t="s">
        <v>371</v>
      </c>
      <c r="F6618" t="s">
        <v>305</v>
      </c>
      <c r="G6618" t="s">
        <v>304</v>
      </c>
      <c r="H6618" t="s">
        <v>30</v>
      </c>
      <c r="I6618" t="s">
        <v>35</v>
      </c>
      <c r="J6618" t="s">
        <v>32</v>
      </c>
      <c r="K6618" t="s">
        <v>35</v>
      </c>
      <c r="L6618" t="s">
        <v>34</v>
      </c>
      <c r="M6618" t="s">
        <v>368</v>
      </c>
      <c r="N6618" t="s">
        <v>35</v>
      </c>
      <c r="O6618" t="s">
        <v>46</v>
      </c>
      <c r="Q6618" t="s">
        <v>56</v>
      </c>
      <c r="R6618" t="s">
        <v>3828</v>
      </c>
      <c r="S6618">
        <v>41792.626550925925</v>
      </c>
      <c r="T6618">
        <v>42058.622175925928</v>
      </c>
      <c r="U6618" t="s">
        <v>2047</v>
      </c>
      <c r="V6618" t="s">
        <v>35</v>
      </c>
      <c r="W6618" t="s">
        <v>35</v>
      </c>
    </row>
    <row r="6619" spans="2:23" x14ac:dyDescent="0.25">
      <c r="B6619" s="6" t="s">
        <v>3826</v>
      </c>
      <c r="C6619" s="2">
        <f>HYPERLINK(URLs!B36 &amp; 43449,43449)</f>
        <v>43449</v>
      </c>
      <c r="D6619" t="s">
        <v>3830</v>
      </c>
      <c r="E6619" t="s">
        <v>371</v>
      </c>
      <c r="F6619" t="s">
        <v>305</v>
      </c>
      <c r="G6619" t="s">
        <v>1621</v>
      </c>
      <c r="H6619" t="s">
        <v>30</v>
      </c>
      <c r="I6619" t="s">
        <v>35</v>
      </c>
      <c r="J6619" t="s">
        <v>32</v>
      </c>
      <c r="K6619" t="s">
        <v>35</v>
      </c>
      <c r="L6619" t="s">
        <v>34</v>
      </c>
      <c r="M6619" t="s">
        <v>368</v>
      </c>
      <c r="N6619" t="s">
        <v>35</v>
      </c>
      <c r="O6619" t="s">
        <v>46</v>
      </c>
      <c r="Q6619" t="s">
        <v>56</v>
      </c>
      <c r="R6619" t="s">
        <v>3828</v>
      </c>
      <c r="S6619">
        <v>41792.629629629628</v>
      </c>
      <c r="T6619">
        <v>42034.660196759258</v>
      </c>
      <c r="U6619" t="s">
        <v>2047</v>
      </c>
      <c r="V6619" t="s">
        <v>35</v>
      </c>
      <c r="W6619" t="s">
        <v>35</v>
      </c>
    </row>
    <row r="6620" spans="2:23" x14ac:dyDescent="0.25">
      <c r="B6620" s="6" t="s">
        <v>3826</v>
      </c>
      <c r="C6620" s="2">
        <f>HYPERLINK(URLs!B36 &amp; 43171,43171)</f>
        <v>43171</v>
      </c>
      <c r="D6620" t="s">
        <v>3827</v>
      </c>
      <c r="E6620" t="s">
        <v>2047</v>
      </c>
      <c r="F6620" t="s">
        <v>305</v>
      </c>
      <c r="G6620" t="s">
        <v>310</v>
      </c>
      <c r="H6620" t="s">
        <v>30</v>
      </c>
      <c r="I6620" t="s">
        <v>31</v>
      </c>
      <c r="J6620" t="s">
        <v>32</v>
      </c>
      <c r="K6620" t="s">
        <v>35</v>
      </c>
      <c r="L6620" t="s">
        <v>34</v>
      </c>
      <c r="M6620" t="s">
        <v>368</v>
      </c>
      <c r="N6620" t="s">
        <v>35</v>
      </c>
      <c r="O6620" t="s">
        <v>46</v>
      </c>
      <c r="Q6620" t="s">
        <v>56</v>
      </c>
      <c r="R6620" t="s">
        <v>3828</v>
      </c>
      <c r="S6620">
        <v>41781.463865740741</v>
      </c>
      <c r="T6620">
        <v>42034.641238425924</v>
      </c>
      <c r="U6620" t="s">
        <v>2387</v>
      </c>
      <c r="V6620" t="s">
        <v>35</v>
      </c>
      <c r="W6620" t="s">
        <v>35</v>
      </c>
    </row>
    <row r="6621" spans="2:23" x14ac:dyDescent="0.25">
      <c r="B6621" s="6" t="s">
        <v>3826</v>
      </c>
      <c r="C6621" s="2">
        <f>HYPERLINK(URLs!B36 &amp; 43448,43448)</f>
        <v>43448</v>
      </c>
      <c r="D6621" t="s">
        <v>3829</v>
      </c>
      <c r="E6621" t="s">
        <v>371</v>
      </c>
      <c r="F6621" t="s">
        <v>305</v>
      </c>
      <c r="G6621" t="s">
        <v>304</v>
      </c>
      <c r="H6621" t="s">
        <v>30</v>
      </c>
      <c r="I6621" t="s">
        <v>35</v>
      </c>
      <c r="J6621" t="s">
        <v>32</v>
      </c>
      <c r="K6621" t="s">
        <v>35</v>
      </c>
      <c r="L6621" t="s">
        <v>34</v>
      </c>
      <c r="M6621" t="s">
        <v>368</v>
      </c>
      <c r="N6621" t="s">
        <v>35</v>
      </c>
      <c r="O6621" t="s">
        <v>46</v>
      </c>
      <c r="Q6621" t="s">
        <v>56</v>
      </c>
      <c r="R6621" t="s">
        <v>3828</v>
      </c>
      <c r="S6621">
        <v>41792.626550925925</v>
      </c>
      <c r="T6621">
        <v>42058.622175925928</v>
      </c>
      <c r="U6621" t="s">
        <v>2047</v>
      </c>
      <c r="V6621" t="s">
        <v>35</v>
      </c>
      <c r="W6621" t="s">
        <v>35</v>
      </c>
    </row>
    <row r="6622" spans="2:23" x14ac:dyDescent="0.25">
      <c r="B6622" s="6" t="s">
        <v>3826</v>
      </c>
      <c r="C6622" s="2">
        <f>HYPERLINK(URLs!B36 &amp; 43449,43449)</f>
        <v>43449</v>
      </c>
      <c r="D6622" t="s">
        <v>3830</v>
      </c>
      <c r="E6622" t="s">
        <v>371</v>
      </c>
      <c r="F6622" t="s">
        <v>305</v>
      </c>
      <c r="G6622" t="s">
        <v>1621</v>
      </c>
      <c r="H6622" t="s">
        <v>30</v>
      </c>
      <c r="I6622" t="s">
        <v>35</v>
      </c>
      <c r="J6622" t="s">
        <v>32</v>
      </c>
      <c r="K6622" t="s">
        <v>35</v>
      </c>
      <c r="L6622" t="s">
        <v>34</v>
      </c>
      <c r="M6622" t="s">
        <v>368</v>
      </c>
      <c r="N6622" t="s">
        <v>35</v>
      </c>
      <c r="O6622" t="s">
        <v>46</v>
      </c>
      <c r="Q6622" t="s">
        <v>56</v>
      </c>
      <c r="R6622" t="s">
        <v>3828</v>
      </c>
      <c r="S6622">
        <v>41792.629629629628</v>
      </c>
      <c r="T6622">
        <v>42034.660196759258</v>
      </c>
      <c r="U6622" t="s">
        <v>2047</v>
      </c>
      <c r="V6622" t="s">
        <v>35</v>
      </c>
      <c r="W6622" t="s">
        <v>35</v>
      </c>
    </row>
    <row r="6623" spans="2:23" x14ac:dyDescent="0.25">
      <c r="B6623" s="6" t="s">
        <v>3826</v>
      </c>
      <c r="C6623" s="2">
        <f>HYPERLINK(URLs!B36 &amp; 43171,43171)</f>
        <v>43171</v>
      </c>
      <c r="D6623" t="s">
        <v>3827</v>
      </c>
      <c r="E6623" t="s">
        <v>2047</v>
      </c>
      <c r="F6623" t="s">
        <v>305</v>
      </c>
      <c r="G6623" t="s">
        <v>310</v>
      </c>
      <c r="H6623" t="s">
        <v>30</v>
      </c>
      <c r="I6623" t="s">
        <v>31</v>
      </c>
      <c r="J6623" t="s">
        <v>32</v>
      </c>
      <c r="K6623" t="s">
        <v>35</v>
      </c>
      <c r="L6623" t="s">
        <v>34</v>
      </c>
      <c r="M6623" t="s">
        <v>368</v>
      </c>
      <c r="N6623" t="s">
        <v>35</v>
      </c>
      <c r="O6623" t="s">
        <v>46</v>
      </c>
      <c r="Q6623" t="s">
        <v>56</v>
      </c>
      <c r="R6623" t="s">
        <v>3828</v>
      </c>
      <c r="S6623">
        <v>41781.463865740741</v>
      </c>
      <c r="T6623">
        <v>42034.641238425924</v>
      </c>
      <c r="U6623" t="s">
        <v>2387</v>
      </c>
      <c r="V6623" t="s">
        <v>35</v>
      </c>
      <c r="W6623" t="s">
        <v>35</v>
      </c>
    </row>
    <row r="6624" spans="2:23" x14ac:dyDescent="0.25">
      <c r="B6624" s="6" t="s">
        <v>3826</v>
      </c>
      <c r="C6624" s="2">
        <f>HYPERLINK(URLs!B36 &amp; 43448,43448)</f>
        <v>43448</v>
      </c>
      <c r="D6624" t="s">
        <v>3829</v>
      </c>
      <c r="E6624" t="s">
        <v>371</v>
      </c>
      <c r="F6624" t="s">
        <v>305</v>
      </c>
      <c r="G6624" t="s">
        <v>304</v>
      </c>
      <c r="H6624" t="s">
        <v>30</v>
      </c>
      <c r="I6624" t="s">
        <v>35</v>
      </c>
      <c r="J6624" t="s">
        <v>32</v>
      </c>
      <c r="K6624" t="s">
        <v>35</v>
      </c>
      <c r="L6624" t="s">
        <v>34</v>
      </c>
      <c r="M6624" t="s">
        <v>368</v>
      </c>
      <c r="N6624" t="s">
        <v>35</v>
      </c>
      <c r="O6624" t="s">
        <v>46</v>
      </c>
      <c r="Q6624" t="s">
        <v>56</v>
      </c>
      <c r="R6624" t="s">
        <v>3828</v>
      </c>
      <c r="S6624">
        <v>41792.626550925925</v>
      </c>
      <c r="T6624">
        <v>42058.622175925928</v>
      </c>
      <c r="U6624" t="s">
        <v>2047</v>
      </c>
      <c r="V6624" t="s">
        <v>35</v>
      </c>
      <c r="W6624" t="s">
        <v>35</v>
      </c>
    </row>
    <row r="6625" spans="2:23" x14ac:dyDescent="0.25">
      <c r="B6625" s="6" t="s">
        <v>3826</v>
      </c>
      <c r="C6625" s="2">
        <f>HYPERLINK(URLs!B36 &amp; 43449,43449)</f>
        <v>43449</v>
      </c>
      <c r="D6625" t="s">
        <v>3830</v>
      </c>
      <c r="E6625" t="s">
        <v>371</v>
      </c>
      <c r="F6625" t="s">
        <v>305</v>
      </c>
      <c r="G6625" t="s">
        <v>1621</v>
      </c>
      <c r="H6625" t="s">
        <v>30</v>
      </c>
      <c r="I6625" t="s">
        <v>35</v>
      </c>
      <c r="J6625" t="s">
        <v>32</v>
      </c>
      <c r="K6625" t="s">
        <v>35</v>
      </c>
      <c r="L6625" t="s">
        <v>34</v>
      </c>
      <c r="M6625" t="s">
        <v>368</v>
      </c>
      <c r="N6625" t="s">
        <v>35</v>
      </c>
      <c r="O6625" t="s">
        <v>46</v>
      </c>
      <c r="Q6625" t="s">
        <v>56</v>
      </c>
      <c r="R6625" t="s">
        <v>3828</v>
      </c>
      <c r="S6625">
        <v>41792.629629629628</v>
      </c>
      <c r="T6625">
        <v>42034.660196759258</v>
      </c>
      <c r="U6625" t="s">
        <v>2047</v>
      </c>
      <c r="V6625" t="s">
        <v>35</v>
      </c>
      <c r="W6625" t="s">
        <v>35</v>
      </c>
    </row>
    <row r="6626" spans="2:23" x14ac:dyDescent="0.25">
      <c r="B6626" s="6" t="s">
        <v>3826</v>
      </c>
      <c r="C6626" s="2">
        <f>HYPERLINK(URLs!B36 &amp; 43171,43171)</f>
        <v>43171</v>
      </c>
      <c r="D6626" t="s">
        <v>3827</v>
      </c>
      <c r="E6626" t="s">
        <v>2047</v>
      </c>
      <c r="F6626" t="s">
        <v>305</v>
      </c>
      <c r="G6626" t="s">
        <v>310</v>
      </c>
      <c r="H6626" t="s">
        <v>30</v>
      </c>
      <c r="I6626" t="s">
        <v>31</v>
      </c>
      <c r="J6626" t="s">
        <v>32</v>
      </c>
      <c r="K6626" t="s">
        <v>35</v>
      </c>
      <c r="L6626" t="s">
        <v>34</v>
      </c>
      <c r="M6626" t="s">
        <v>368</v>
      </c>
      <c r="N6626" t="s">
        <v>35</v>
      </c>
      <c r="O6626" t="s">
        <v>46</v>
      </c>
      <c r="Q6626" t="s">
        <v>56</v>
      </c>
      <c r="R6626" t="s">
        <v>3828</v>
      </c>
      <c r="S6626">
        <v>41781.463865740741</v>
      </c>
      <c r="T6626">
        <v>42034.641238425924</v>
      </c>
      <c r="U6626" t="s">
        <v>2387</v>
      </c>
      <c r="V6626" t="s">
        <v>35</v>
      </c>
      <c r="W6626" t="s">
        <v>35</v>
      </c>
    </row>
    <row r="6627" spans="2:23" x14ac:dyDescent="0.25">
      <c r="B6627" s="6" t="s">
        <v>3826</v>
      </c>
      <c r="C6627" s="2">
        <f>HYPERLINK(URLs!B36 &amp; 43448,43448)</f>
        <v>43448</v>
      </c>
      <c r="D6627" t="s">
        <v>3829</v>
      </c>
      <c r="E6627" t="s">
        <v>371</v>
      </c>
      <c r="F6627" t="s">
        <v>305</v>
      </c>
      <c r="G6627" t="s">
        <v>304</v>
      </c>
      <c r="H6627" t="s">
        <v>30</v>
      </c>
      <c r="I6627" t="s">
        <v>35</v>
      </c>
      <c r="J6627" t="s">
        <v>32</v>
      </c>
      <c r="K6627" t="s">
        <v>35</v>
      </c>
      <c r="L6627" t="s">
        <v>34</v>
      </c>
      <c r="M6627" t="s">
        <v>368</v>
      </c>
      <c r="N6627" t="s">
        <v>35</v>
      </c>
      <c r="O6627" t="s">
        <v>46</v>
      </c>
      <c r="Q6627" t="s">
        <v>56</v>
      </c>
      <c r="R6627" t="s">
        <v>3828</v>
      </c>
      <c r="S6627">
        <v>41792.626550925925</v>
      </c>
      <c r="T6627">
        <v>42058.622175925928</v>
      </c>
      <c r="U6627" t="s">
        <v>2047</v>
      </c>
      <c r="V6627" t="s">
        <v>35</v>
      </c>
      <c r="W6627" t="s">
        <v>35</v>
      </c>
    </row>
    <row r="6628" spans="2:23" x14ac:dyDescent="0.25">
      <c r="B6628" s="6" t="s">
        <v>3826</v>
      </c>
      <c r="C6628" s="2">
        <f>HYPERLINK(URLs!B36 &amp; 43449,43449)</f>
        <v>43449</v>
      </c>
      <c r="D6628" t="s">
        <v>3830</v>
      </c>
      <c r="E6628" t="s">
        <v>371</v>
      </c>
      <c r="F6628" t="s">
        <v>305</v>
      </c>
      <c r="G6628" t="s">
        <v>1621</v>
      </c>
      <c r="H6628" t="s">
        <v>30</v>
      </c>
      <c r="I6628" t="s">
        <v>35</v>
      </c>
      <c r="J6628" t="s">
        <v>32</v>
      </c>
      <c r="K6628" t="s">
        <v>35</v>
      </c>
      <c r="L6628" t="s">
        <v>34</v>
      </c>
      <c r="M6628" t="s">
        <v>368</v>
      </c>
      <c r="N6628" t="s">
        <v>35</v>
      </c>
      <c r="O6628" t="s">
        <v>46</v>
      </c>
      <c r="Q6628" t="s">
        <v>56</v>
      </c>
      <c r="R6628" t="s">
        <v>3828</v>
      </c>
      <c r="S6628">
        <v>41792.629629629628</v>
      </c>
      <c r="T6628">
        <v>42034.660196759258</v>
      </c>
      <c r="U6628" t="s">
        <v>2047</v>
      </c>
      <c r="V6628" t="s">
        <v>35</v>
      </c>
      <c r="W6628" t="s">
        <v>35</v>
      </c>
    </row>
    <row r="6629" spans="2:23" x14ac:dyDescent="0.25">
      <c r="B6629" s="6" t="s">
        <v>3826</v>
      </c>
      <c r="C6629" s="2">
        <f>HYPERLINK(URLs!B36 &amp; 43171,43171)</f>
        <v>43171</v>
      </c>
      <c r="D6629" t="s">
        <v>3827</v>
      </c>
      <c r="E6629" t="s">
        <v>2047</v>
      </c>
      <c r="F6629" t="s">
        <v>305</v>
      </c>
      <c r="G6629" t="s">
        <v>310</v>
      </c>
      <c r="H6629" t="s">
        <v>30</v>
      </c>
      <c r="I6629" t="s">
        <v>31</v>
      </c>
      <c r="J6629" t="s">
        <v>32</v>
      </c>
      <c r="K6629" t="s">
        <v>35</v>
      </c>
      <c r="L6629" t="s">
        <v>34</v>
      </c>
      <c r="M6629" t="s">
        <v>368</v>
      </c>
      <c r="N6629" t="s">
        <v>35</v>
      </c>
      <c r="O6629" t="s">
        <v>46</v>
      </c>
      <c r="Q6629" t="s">
        <v>56</v>
      </c>
      <c r="R6629" t="s">
        <v>3828</v>
      </c>
      <c r="S6629">
        <v>41781.463865740741</v>
      </c>
      <c r="T6629">
        <v>42034.641238425924</v>
      </c>
      <c r="U6629" t="s">
        <v>2387</v>
      </c>
      <c r="V6629" t="s">
        <v>35</v>
      </c>
      <c r="W6629" t="s">
        <v>35</v>
      </c>
    </row>
    <row r="6630" spans="2:23" x14ac:dyDescent="0.25">
      <c r="B6630" s="6" t="s">
        <v>3826</v>
      </c>
      <c r="C6630" s="2">
        <f>HYPERLINK(URLs!B36 &amp; 43448,43448)</f>
        <v>43448</v>
      </c>
      <c r="D6630" t="s">
        <v>3829</v>
      </c>
      <c r="E6630" t="s">
        <v>371</v>
      </c>
      <c r="F6630" t="s">
        <v>305</v>
      </c>
      <c r="G6630" t="s">
        <v>304</v>
      </c>
      <c r="H6630" t="s">
        <v>30</v>
      </c>
      <c r="I6630" t="s">
        <v>35</v>
      </c>
      <c r="J6630" t="s">
        <v>32</v>
      </c>
      <c r="K6630" t="s">
        <v>35</v>
      </c>
      <c r="L6630" t="s">
        <v>34</v>
      </c>
      <c r="M6630" t="s">
        <v>368</v>
      </c>
      <c r="N6630" t="s">
        <v>35</v>
      </c>
      <c r="O6630" t="s">
        <v>46</v>
      </c>
      <c r="Q6630" t="s">
        <v>56</v>
      </c>
      <c r="R6630" t="s">
        <v>3828</v>
      </c>
      <c r="S6630">
        <v>41792.626550925925</v>
      </c>
      <c r="T6630">
        <v>42058.622175925928</v>
      </c>
      <c r="U6630" t="s">
        <v>2047</v>
      </c>
      <c r="V6630" t="s">
        <v>35</v>
      </c>
      <c r="W6630" t="s">
        <v>35</v>
      </c>
    </row>
    <row r="6631" spans="2:23" x14ac:dyDescent="0.25">
      <c r="B6631" s="6" t="s">
        <v>3826</v>
      </c>
      <c r="C6631" s="2">
        <f>HYPERLINK(URLs!B36 &amp; 43449,43449)</f>
        <v>43449</v>
      </c>
      <c r="D6631" t="s">
        <v>3830</v>
      </c>
      <c r="E6631" t="s">
        <v>371</v>
      </c>
      <c r="F6631" t="s">
        <v>305</v>
      </c>
      <c r="G6631" t="s">
        <v>1621</v>
      </c>
      <c r="H6631" t="s">
        <v>30</v>
      </c>
      <c r="I6631" t="s">
        <v>35</v>
      </c>
      <c r="J6631" t="s">
        <v>32</v>
      </c>
      <c r="K6631" t="s">
        <v>35</v>
      </c>
      <c r="L6631" t="s">
        <v>34</v>
      </c>
      <c r="M6631" t="s">
        <v>368</v>
      </c>
      <c r="N6631" t="s">
        <v>35</v>
      </c>
      <c r="O6631" t="s">
        <v>46</v>
      </c>
      <c r="Q6631" t="s">
        <v>56</v>
      </c>
      <c r="R6631" t="s">
        <v>3828</v>
      </c>
      <c r="S6631">
        <v>41792.629629629628</v>
      </c>
      <c r="T6631">
        <v>42034.660196759258</v>
      </c>
      <c r="U6631" t="s">
        <v>2047</v>
      </c>
      <c r="V6631" t="s">
        <v>35</v>
      </c>
      <c r="W6631" t="s">
        <v>35</v>
      </c>
    </row>
    <row r="6632" spans="2:23" x14ac:dyDescent="0.25">
      <c r="B6632" s="6" t="s">
        <v>3826</v>
      </c>
      <c r="C6632" s="2">
        <f>HYPERLINK(URLs!B36 &amp; 43171,43171)</f>
        <v>43171</v>
      </c>
      <c r="D6632" t="s">
        <v>3827</v>
      </c>
      <c r="E6632" t="s">
        <v>2047</v>
      </c>
      <c r="F6632" t="s">
        <v>305</v>
      </c>
      <c r="G6632" t="s">
        <v>310</v>
      </c>
      <c r="H6632" t="s">
        <v>30</v>
      </c>
      <c r="I6632" t="s">
        <v>31</v>
      </c>
      <c r="J6632" t="s">
        <v>32</v>
      </c>
      <c r="K6632" t="s">
        <v>35</v>
      </c>
      <c r="L6632" t="s">
        <v>34</v>
      </c>
      <c r="M6632" t="s">
        <v>368</v>
      </c>
      <c r="N6632" t="s">
        <v>35</v>
      </c>
      <c r="O6632" t="s">
        <v>46</v>
      </c>
      <c r="Q6632" t="s">
        <v>56</v>
      </c>
      <c r="R6632" t="s">
        <v>3828</v>
      </c>
      <c r="S6632">
        <v>41781.463865740741</v>
      </c>
      <c r="T6632">
        <v>42034.641238425924</v>
      </c>
      <c r="U6632" t="s">
        <v>2387</v>
      </c>
      <c r="V6632" t="s">
        <v>35</v>
      </c>
      <c r="W6632" t="s">
        <v>35</v>
      </c>
    </row>
    <row r="6633" spans="2:23" x14ac:dyDescent="0.25">
      <c r="B6633" s="6" t="s">
        <v>3826</v>
      </c>
      <c r="C6633" s="2">
        <f>HYPERLINK(URLs!B36 &amp; 43448,43448)</f>
        <v>43448</v>
      </c>
      <c r="D6633" t="s">
        <v>3829</v>
      </c>
      <c r="E6633" t="s">
        <v>371</v>
      </c>
      <c r="F6633" t="s">
        <v>305</v>
      </c>
      <c r="G6633" t="s">
        <v>304</v>
      </c>
      <c r="H6633" t="s">
        <v>30</v>
      </c>
      <c r="I6633" t="s">
        <v>35</v>
      </c>
      <c r="J6633" t="s">
        <v>32</v>
      </c>
      <c r="K6633" t="s">
        <v>35</v>
      </c>
      <c r="L6633" t="s">
        <v>34</v>
      </c>
      <c r="M6633" t="s">
        <v>368</v>
      </c>
      <c r="N6633" t="s">
        <v>35</v>
      </c>
      <c r="O6633" t="s">
        <v>46</v>
      </c>
      <c r="Q6633" t="s">
        <v>56</v>
      </c>
      <c r="R6633" t="s">
        <v>3828</v>
      </c>
      <c r="S6633">
        <v>41792.626550925925</v>
      </c>
      <c r="T6633">
        <v>42058.622175925928</v>
      </c>
      <c r="U6633" t="s">
        <v>2047</v>
      </c>
      <c r="V6633" t="s">
        <v>35</v>
      </c>
      <c r="W6633" t="s">
        <v>35</v>
      </c>
    </row>
    <row r="6634" spans="2:23" x14ac:dyDescent="0.25">
      <c r="B6634" s="6" t="s">
        <v>3826</v>
      </c>
      <c r="C6634" s="2">
        <f>HYPERLINK(URLs!B36 &amp; 43449,43449)</f>
        <v>43449</v>
      </c>
      <c r="D6634" t="s">
        <v>3830</v>
      </c>
      <c r="E6634" t="s">
        <v>371</v>
      </c>
      <c r="F6634" t="s">
        <v>305</v>
      </c>
      <c r="G6634" t="s">
        <v>1621</v>
      </c>
      <c r="H6634" t="s">
        <v>30</v>
      </c>
      <c r="I6634" t="s">
        <v>35</v>
      </c>
      <c r="J6634" t="s">
        <v>32</v>
      </c>
      <c r="K6634" t="s">
        <v>35</v>
      </c>
      <c r="L6634" t="s">
        <v>34</v>
      </c>
      <c r="M6634" t="s">
        <v>368</v>
      </c>
      <c r="N6634" t="s">
        <v>35</v>
      </c>
      <c r="O6634" t="s">
        <v>46</v>
      </c>
      <c r="Q6634" t="s">
        <v>56</v>
      </c>
      <c r="R6634" t="s">
        <v>3828</v>
      </c>
      <c r="S6634">
        <v>41792.629629629628</v>
      </c>
      <c r="T6634">
        <v>42034.660196759258</v>
      </c>
      <c r="U6634" t="s">
        <v>2047</v>
      </c>
      <c r="V6634" t="s">
        <v>35</v>
      </c>
      <c r="W6634" t="s">
        <v>35</v>
      </c>
    </row>
    <row r="6635" spans="2:23" x14ac:dyDescent="0.25">
      <c r="B6635" s="6" t="s">
        <v>3826</v>
      </c>
      <c r="C6635" s="2">
        <f>HYPERLINK(URLs!B36 &amp; 43171,43171)</f>
        <v>43171</v>
      </c>
      <c r="D6635" t="s">
        <v>3827</v>
      </c>
      <c r="E6635" t="s">
        <v>2047</v>
      </c>
      <c r="F6635" t="s">
        <v>305</v>
      </c>
      <c r="G6635" t="s">
        <v>310</v>
      </c>
      <c r="H6635" t="s">
        <v>30</v>
      </c>
      <c r="I6635" t="s">
        <v>31</v>
      </c>
      <c r="J6635" t="s">
        <v>32</v>
      </c>
      <c r="K6635" t="s">
        <v>35</v>
      </c>
      <c r="L6635" t="s">
        <v>34</v>
      </c>
      <c r="M6635" t="s">
        <v>368</v>
      </c>
      <c r="N6635" t="s">
        <v>35</v>
      </c>
      <c r="O6635" t="s">
        <v>46</v>
      </c>
      <c r="Q6635" t="s">
        <v>56</v>
      </c>
      <c r="R6635" t="s">
        <v>3828</v>
      </c>
      <c r="S6635">
        <v>41781.463865740741</v>
      </c>
      <c r="T6635">
        <v>42034.641238425924</v>
      </c>
      <c r="U6635" t="s">
        <v>2387</v>
      </c>
      <c r="V6635" t="s">
        <v>35</v>
      </c>
      <c r="W6635" t="s">
        <v>35</v>
      </c>
    </row>
    <row r="6636" spans="2:23" x14ac:dyDescent="0.25">
      <c r="B6636" s="6" t="s">
        <v>3826</v>
      </c>
      <c r="C6636" s="2">
        <f>HYPERLINK(URLs!B36 &amp; 43448,43448)</f>
        <v>43448</v>
      </c>
      <c r="D6636" t="s">
        <v>3829</v>
      </c>
      <c r="E6636" t="s">
        <v>371</v>
      </c>
      <c r="F6636" t="s">
        <v>305</v>
      </c>
      <c r="G6636" t="s">
        <v>304</v>
      </c>
      <c r="H6636" t="s">
        <v>30</v>
      </c>
      <c r="I6636" t="s">
        <v>35</v>
      </c>
      <c r="J6636" t="s">
        <v>32</v>
      </c>
      <c r="K6636" t="s">
        <v>35</v>
      </c>
      <c r="L6636" t="s">
        <v>34</v>
      </c>
      <c r="M6636" t="s">
        <v>368</v>
      </c>
      <c r="N6636" t="s">
        <v>35</v>
      </c>
      <c r="O6636" t="s">
        <v>46</v>
      </c>
      <c r="Q6636" t="s">
        <v>56</v>
      </c>
      <c r="R6636" t="s">
        <v>3828</v>
      </c>
      <c r="S6636">
        <v>41792.626550925925</v>
      </c>
      <c r="T6636">
        <v>42058.622175925928</v>
      </c>
      <c r="U6636" t="s">
        <v>2047</v>
      </c>
      <c r="V6636" t="s">
        <v>35</v>
      </c>
      <c r="W6636" t="s">
        <v>35</v>
      </c>
    </row>
    <row r="6637" spans="2:23" x14ac:dyDescent="0.25">
      <c r="B6637" s="6" t="s">
        <v>3826</v>
      </c>
      <c r="C6637" s="2">
        <f>HYPERLINK(URLs!B36 &amp; 43449,43449)</f>
        <v>43449</v>
      </c>
      <c r="D6637" t="s">
        <v>3830</v>
      </c>
      <c r="E6637" t="s">
        <v>371</v>
      </c>
      <c r="F6637" t="s">
        <v>305</v>
      </c>
      <c r="G6637" t="s">
        <v>1621</v>
      </c>
      <c r="H6637" t="s">
        <v>30</v>
      </c>
      <c r="I6637" t="s">
        <v>35</v>
      </c>
      <c r="J6637" t="s">
        <v>32</v>
      </c>
      <c r="K6637" t="s">
        <v>35</v>
      </c>
      <c r="L6637" t="s">
        <v>34</v>
      </c>
      <c r="M6637" t="s">
        <v>368</v>
      </c>
      <c r="N6637" t="s">
        <v>35</v>
      </c>
      <c r="O6637" t="s">
        <v>46</v>
      </c>
      <c r="Q6637" t="s">
        <v>56</v>
      </c>
      <c r="R6637" t="s">
        <v>3828</v>
      </c>
      <c r="S6637">
        <v>41792.629629629628</v>
      </c>
      <c r="T6637">
        <v>42034.660196759258</v>
      </c>
      <c r="U6637" t="s">
        <v>2047</v>
      </c>
      <c r="V6637" t="s">
        <v>35</v>
      </c>
      <c r="W6637" t="s">
        <v>35</v>
      </c>
    </row>
    <row r="6638" spans="2:23" x14ac:dyDescent="0.25">
      <c r="B6638" s="6" t="s">
        <v>3826</v>
      </c>
      <c r="C6638" s="2">
        <f>HYPERLINK(URLs!B36 &amp; 43171,43171)</f>
        <v>43171</v>
      </c>
      <c r="D6638" t="s">
        <v>3827</v>
      </c>
      <c r="E6638" t="s">
        <v>2047</v>
      </c>
      <c r="F6638" t="s">
        <v>305</v>
      </c>
      <c r="G6638" t="s">
        <v>310</v>
      </c>
      <c r="H6638" t="s">
        <v>30</v>
      </c>
      <c r="I6638" t="s">
        <v>31</v>
      </c>
      <c r="J6638" t="s">
        <v>32</v>
      </c>
      <c r="K6638" t="s">
        <v>35</v>
      </c>
      <c r="L6638" t="s">
        <v>34</v>
      </c>
      <c r="M6638" t="s">
        <v>368</v>
      </c>
      <c r="N6638" t="s">
        <v>35</v>
      </c>
      <c r="O6638" t="s">
        <v>46</v>
      </c>
      <c r="Q6638" t="s">
        <v>56</v>
      </c>
      <c r="R6638" t="s">
        <v>3828</v>
      </c>
      <c r="S6638">
        <v>41781.463865740741</v>
      </c>
      <c r="T6638">
        <v>42034.641238425924</v>
      </c>
      <c r="U6638" t="s">
        <v>2387</v>
      </c>
      <c r="V6638" t="s">
        <v>35</v>
      </c>
    </row>
    <row r="6639" spans="2:23" x14ac:dyDescent="0.25">
      <c r="B6639" s="6" t="s">
        <v>3826</v>
      </c>
      <c r="C6639" s="2">
        <f>HYPERLINK(URLs!B36 &amp; 43448,43448)</f>
        <v>43448</v>
      </c>
      <c r="D6639" t="s">
        <v>3829</v>
      </c>
      <c r="E6639" t="s">
        <v>371</v>
      </c>
      <c r="F6639" t="s">
        <v>305</v>
      </c>
      <c r="G6639" t="s">
        <v>304</v>
      </c>
      <c r="H6639" t="s">
        <v>30</v>
      </c>
      <c r="I6639" t="s">
        <v>35</v>
      </c>
      <c r="J6639" t="s">
        <v>32</v>
      </c>
      <c r="K6639" t="s">
        <v>35</v>
      </c>
      <c r="L6639" t="s">
        <v>34</v>
      </c>
      <c r="M6639" t="s">
        <v>368</v>
      </c>
      <c r="N6639" t="s">
        <v>35</v>
      </c>
      <c r="O6639" t="s">
        <v>46</v>
      </c>
      <c r="Q6639" t="s">
        <v>56</v>
      </c>
      <c r="R6639" t="s">
        <v>3828</v>
      </c>
      <c r="S6639">
        <v>41792.626550925925</v>
      </c>
      <c r="T6639">
        <v>42058.622175925928</v>
      </c>
      <c r="U6639" t="s">
        <v>2047</v>
      </c>
      <c r="V6639" t="s">
        <v>35</v>
      </c>
    </row>
    <row r="6640" spans="2:23" x14ac:dyDescent="0.25">
      <c r="B6640" s="6" t="s">
        <v>3826</v>
      </c>
      <c r="C6640" s="2">
        <f>HYPERLINK(URLs!B36 &amp; 43449,43449)</f>
        <v>43449</v>
      </c>
      <c r="D6640" t="s">
        <v>3830</v>
      </c>
      <c r="E6640" t="s">
        <v>371</v>
      </c>
      <c r="F6640" t="s">
        <v>305</v>
      </c>
      <c r="G6640" t="s">
        <v>1621</v>
      </c>
      <c r="H6640" t="s">
        <v>30</v>
      </c>
      <c r="I6640" t="s">
        <v>35</v>
      </c>
      <c r="J6640" t="s">
        <v>32</v>
      </c>
      <c r="K6640" t="s">
        <v>35</v>
      </c>
      <c r="L6640" t="s">
        <v>34</v>
      </c>
      <c r="M6640" t="s">
        <v>368</v>
      </c>
      <c r="N6640" t="s">
        <v>35</v>
      </c>
      <c r="O6640" t="s">
        <v>46</v>
      </c>
      <c r="Q6640" t="s">
        <v>56</v>
      </c>
      <c r="R6640" t="s">
        <v>3828</v>
      </c>
      <c r="S6640">
        <v>41792.629629629628</v>
      </c>
      <c r="T6640">
        <v>42034.660196759258</v>
      </c>
      <c r="U6640" t="s">
        <v>2047</v>
      </c>
      <c r="V6640" t="s">
        <v>35</v>
      </c>
    </row>
    <row r="6641" spans="2:22" x14ac:dyDescent="0.25">
      <c r="B6641" s="6" t="s">
        <v>3826</v>
      </c>
      <c r="C6641" s="2">
        <f>HYPERLINK(URLs!B36 &amp; 43171,43171)</f>
        <v>43171</v>
      </c>
      <c r="D6641" t="s">
        <v>3827</v>
      </c>
      <c r="E6641" t="s">
        <v>2047</v>
      </c>
      <c r="F6641" t="s">
        <v>305</v>
      </c>
      <c r="G6641" t="s">
        <v>310</v>
      </c>
      <c r="H6641" t="s">
        <v>30</v>
      </c>
      <c r="I6641" t="s">
        <v>31</v>
      </c>
      <c r="J6641" t="s">
        <v>32</v>
      </c>
      <c r="K6641" t="s">
        <v>35</v>
      </c>
      <c r="L6641" t="s">
        <v>34</v>
      </c>
      <c r="M6641" t="s">
        <v>368</v>
      </c>
      <c r="N6641" t="s">
        <v>35</v>
      </c>
      <c r="O6641" t="s">
        <v>46</v>
      </c>
      <c r="Q6641" t="s">
        <v>56</v>
      </c>
      <c r="R6641" t="s">
        <v>3828</v>
      </c>
      <c r="S6641">
        <v>41781.463865740741</v>
      </c>
      <c r="T6641">
        <v>42034.641238425924</v>
      </c>
      <c r="U6641" t="s">
        <v>2387</v>
      </c>
      <c r="V6641" t="s">
        <v>35</v>
      </c>
    </row>
    <row r="6642" spans="2:22" x14ac:dyDescent="0.25">
      <c r="B6642" s="6" t="s">
        <v>3826</v>
      </c>
      <c r="C6642" s="2">
        <f>HYPERLINK(URLs!B36 &amp; 43448,43448)</f>
        <v>43448</v>
      </c>
      <c r="D6642" t="s">
        <v>3829</v>
      </c>
      <c r="E6642" t="s">
        <v>371</v>
      </c>
      <c r="F6642" t="s">
        <v>305</v>
      </c>
      <c r="G6642" t="s">
        <v>304</v>
      </c>
      <c r="H6642" t="s">
        <v>30</v>
      </c>
      <c r="I6642" t="s">
        <v>35</v>
      </c>
      <c r="J6642" t="s">
        <v>32</v>
      </c>
      <c r="K6642" t="s">
        <v>35</v>
      </c>
      <c r="L6642" t="s">
        <v>34</v>
      </c>
      <c r="M6642" t="s">
        <v>368</v>
      </c>
      <c r="N6642" t="s">
        <v>35</v>
      </c>
      <c r="O6642" t="s">
        <v>46</v>
      </c>
      <c r="Q6642" t="s">
        <v>56</v>
      </c>
      <c r="R6642" t="s">
        <v>3828</v>
      </c>
      <c r="S6642">
        <v>41792.626550925925</v>
      </c>
      <c r="T6642">
        <v>42058.622175925928</v>
      </c>
      <c r="U6642" t="s">
        <v>2047</v>
      </c>
      <c r="V6642" t="s">
        <v>35</v>
      </c>
    </row>
    <row r="6643" spans="2:22" x14ac:dyDescent="0.25">
      <c r="B6643" s="6" t="s">
        <v>3826</v>
      </c>
      <c r="C6643" s="2">
        <f>HYPERLINK(URLs!B36 &amp; 43449,43449)</f>
        <v>43449</v>
      </c>
      <c r="D6643" t="s">
        <v>3830</v>
      </c>
      <c r="E6643" t="s">
        <v>371</v>
      </c>
      <c r="F6643" t="s">
        <v>305</v>
      </c>
      <c r="G6643" t="s">
        <v>1621</v>
      </c>
      <c r="H6643" t="s">
        <v>30</v>
      </c>
      <c r="I6643" t="s">
        <v>35</v>
      </c>
      <c r="J6643" t="s">
        <v>32</v>
      </c>
      <c r="K6643" t="s">
        <v>35</v>
      </c>
      <c r="L6643" t="s">
        <v>34</v>
      </c>
      <c r="M6643" t="s">
        <v>368</v>
      </c>
      <c r="N6643" t="s">
        <v>35</v>
      </c>
      <c r="O6643" t="s">
        <v>46</v>
      </c>
      <c r="Q6643" t="s">
        <v>56</v>
      </c>
      <c r="R6643" t="s">
        <v>3828</v>
      </c>
      <c r="S6643">
        <v>41792.629629629628</v>
      </c>
      <c r="T6643">
        <v>42034.660196759258</v>
      </c>
      <c r="U6643" t="s">
        <v>2047</v>
      </c>
      <c r="V6643" t="s">
        <v>35</v>
      </c>
    </row>
    <row r="6644" spans="2:22" x14ac:dyDescent="0.25">
      <c r="B6644" s="6" t="s">
        <v>3826</v>
      </c>
      <c r="C6644" s="2">
        <f>HYPERLINK(URLs!B36 &amp; 43171,43171)</f>
        <v>43171</v>
      </c>
      <c r="D6644" t="s">
        <v>3827</v>
      </c>
      <c r="E6644" t="s">
        <v>2047</v>
      </c>
      <c r="F6644" t="s">
        <v>305</v>
      </c>
      <c r="G6644" t="s">
        <v>310</v>
      </c>
      <c r="H6644" t="s">
        <v>30</v>
      </c>
      <c r="I6644" t="s">
        <v>31</v>
      </c>
      <c r="J6644" t="s">
        <v>32</v>
      </c>
      <c r="K6644" t="s">
        <v>35</v>
      </c>
      <c r="L6644" t="s">
        <v>34</v>
      </c>
      <c r="M6644" t="s">
        <v>368</v>
      </c>
      <c r="N6644" t="s">
        <v>35</v>
      </c>
      <c r="O6644" t="s">
        <v>46</v>
      </c>
      <c r="Q6644" t="s">
        <v>56</v>
      </c>
      <c r="R6644" t="s">
        <v>3828</v>
      </c>
      <c r="S6644">
        <v>41781.463865740741</v>
      </c>
      <c r="T6644">
        <v>42034.641238425924</v>
      </c>
      <c r="U6644" t="s">
        <v>2387</v>
      </c>
      <c r="V6644" t="s">
        <v>35</v>
      </c>
    </row>
    <row r="6645" spans="2:22" x14ac:dyDescent="0.25">
      <c r="B6645" s="6" t="s">
        <v>3826</v>
      </c>
      <c r="C6645" s="2">
        <f>HYPERLINK(URLs!B36 &amp; 43448,43448)</f>
        <v>43448</v>
      </c>
      <c r="D6645" t="s">
        <v>3829</v>
      </c>
      <c r="E6645" t="s">
        <v>371</v>
      </c>
      <c r="F6645" t="s">
        <v>305</v>
      </c>
      <c r="G6645" t="s">
        <v>304</v>
      </c>
      <c r="H6645" t="s">
        <v>30</v>
      </c>
      <c r="I6645" t="s">
        <v>35</v>
      </c>
      <c r="J6645" t="s">
        <v>32</v>
      </c>
      <c r="K6645" t="s">
        <v>35</v>
      </c>
      <c r="L6645" t="s">
        <v>34</v>
      </c>
      <c r="M6645" t="s">
        <v>368</v>
      </c>
      <c r="N6645" t="s">
        <v>35</v>
      </c>
      <c r="O6645" t="s">
        <v>46</v>
      </c>
      <c r="Q6645" t="s">
        <v>56</v>
      </c>
      <c r="R6645" t="s">
        <v>3828</v>
      </c>
      <c r="S6645">
        <v>41792.626550925925</v>
      </c>
      <c r="T6645">
        <v>42058.622175925928</v>
      </c>
      <c r="U6645" t="s">
        <v>2047</v>
      </c>
      <c r="V6645" t="s">
        <v>35</v>
      </c>
    </row>
    <row r="6646" spans="2:22" x14ac:dyDescent="0.25">
      <c r="B6646" s="6" t="s">
        <v>3826</v>
      </c>
      <c r="C6646" s="2">
        <f>HYPERLINK(URLs!B36 &amp; 43449,43449)</f>
        <v>43449</v>
      </c>
      <c r="D6646" t="s">
        <v>3830</v>
      </c>
      <c r="E6646" t="s">
        <v>371</v>
      </c>
      <c r="F6646" t="s">
        <v>305</v>
      </c>
      <c r="G6646" t="s">
        <v>1621</v>
      </c>
      <c r="H6646" t="s">
        <v>30</v>
      </c>
      <c r="I6646" t="s">
        <v>35</v>
      </c>
      <c r="J6646" t="s">
        <v>32</v>
      </c>
      <c r="K6646" t="s">
        <v>35</v>
      </c>
      <c r="L6646" t="s">
        <v>34</v>
      </c>
      <c r="M6646" t="s">
        <v>368</v>
      </c>
      <c r="N6646" t="s">
        <v>35</v>
      </c>
      <c r="O6646" t="s">
        <v>46</v>
      </c>
      <c r="Q6646" t="s">
        <v>56</v>
      </c>
      <c r="R6646" t="s">
        <v>3828</v>
      </c>
      <c r="S6646">
        <v>41792.629629629628</v>
      </c>
      <c r="T6646">
        <v>42034.660196759258</v>
      </c>
      <c r="U6646" t="s">
        <v>2047</v>
      </c>
      <c r="V6646" t="s">
        <v>35</v>
      </c>
    </row>
    <row r="6647" spans="2:22" x14ac:dyDescent="0.25">
      <c r="B6647" s="6" t="s">
        <v>3826</v>
      </c>
      <c r="C6647" s="2" t="e">
        <f>#N/A</f>
        <v>#N/A</v>
      </c>
      <c r="D6647" t="s">
        <v>3827</v>
      </c>
      <c r="E6647" t="s">
        <v>2047</v>
      </c>
      <c r="F6647" t="s">
        <v>305</v>
      </c>
      <c r="G6647" t="s">
        <v>310</v>
      </c>
      <c r="H6647" t="s">
        <v>30</v>
      </c>
      <c r="I6647" t="s">
        <v>31</v>
      </c>
      <c r="J6647" t="s">
        <v>32</v>
      </c>
      <c r="K6647" t="s">
        <v>35</v>
      </c>
      <c r="L6647" t="s">
        <v>34</v>
      </c>
      <c r="M6647" t="s">
        <v>368</v>
      </c>
      <c r="N6647" t="s">
        <v>35</v>
      </c>
      <c r="O6647" t="s">
        <v>46</v>
      </c>
      <c r="Q6647" t="s">
        <v>56</v>
      </c>
      <c r="R6647" t="s">
        <v>3828</v>
      </c>
      <c r="S6647">
        <v>41781.463865740741</v>
      </c>
      <c r="T6647">
        <v>42034.641238425924</v>
      </c>
      <c r="U6647" t="s">
        <v>2387</v>
      </c>
      <c r="V6647" t="s">
        <v>35</v>
      </c>
    </row>
    <row r="6648" spans="2:22" x14ac:dyDescent="0.25">
      <c r="B6648" s="6" t="s">
        <v>3826</v>
      </c>
      <c r="C6648" s="2" t="e">
        <f>#N/A</f>
        <v>#N/A</v>
      </c>
      <c r="D6648" t="s">
        <v>3829</v>
      </c>
      <c r="E6648" t="s">
        <v>371</v>
      </c>
      <c r="F6648" t="s">
        <v>305</v>
      </c>
      <c r="G6648" t="s">
        <v>304</v>
      </c>
      <c r="H6648" t="s">
        <v>30</v>
      </c>
      <c r="I6648" t="s">
        <v>35</v>
      </c>
      <c r="J6648" t="s">
        <v>32</v>
      </c>
      <c r="K6648" t="s">
        <v>35</v>
      </c>
      <c r="L6648" t="s">
        <v>34</v>
      </c>
      <c r="M6648" t="s">
        <v>368</v>
      </c>
      <c r="N6648" t="s">
        <v>35</v>
      </c>
      <c r="O6648" t="s">
        <v>46</v>
      </c>
      <c r="Q6648" t="s">
        <v>56</v>
      </c>
      <c r="R6648" t="s">
        <v>3828</v>
      </c>
      <c r="S6648">
        <v>41792.626550925925</v>
      </c>
      <c r="T6648">
        <v>42058.622175925928</v>
      </c>
      <c r="U6648" t="s">
        <v>2047</v>
      </c>
      <c r="V6648" t="s">
        <v>35</v>
      </c>
    </row>
    <row r="6649" spans="2:22" x14ac:dyDescent="0.25">
      <c r="B6649" s="6" t="s">
        <v>3826</v>
      </c>
      <c r="C6649" s="2" t="e">
        <f>#N/A</f>
        <v>#N/A</v>
      </c>
      <c r="D6649" t="s">
        <v>3830</v>
      </c>
      <c r="E6649" t="s">
        <v>371</v>
      </c>
      <c r="F6649" t="s">
        <v>305</v>
      </c>
      <c r="G6649" t="s">
        <v>1621</v>
      </c>
      <c r="H6649" t="s">
        <v>30</v>
      </c>
      <c r="I6649" t="s">
        <v>35</v>
      </c>
      <c r="J6649" t="s">
        <v>32</v>
      </c>
      <c r="K6649" t="s">
        <v>35</v>
      </c>
      <c r="L6649" t="s">
        <v>34</v>
      </c>
      <c r="M6649" t="s">
        <v>368</v>
      </c>
      <c r="N6649" t="s">
        <v>35</v>
      </c>
      <c r="O6649" t="s">
        <v>46</v>
      </c>
      <c r="Q6649" t="s">
        <v>56</v>
      </c>
      <c r="R6649" t="s">
        <v>3828</v>
      </c>
      <c r="S6649">
        <v>41792.629629629628</v>
      </c>
      <c r="T6649">
        <v>42034.660196759258</v>
      </c>
      <c r="U6649" t="s">
        <v>2047</v>
      </c>
      <c r="V6649" t="s">
        <v>35</v>
      </c>
    </row>
    <row r="6650" spans="2:22" x14ac:dyDescent="0.25">
      <c r="B6650" s="6" t="s">
        <v>3826</v>
      </c>
      <c r="C6650" s="2" t="e">
        <f>#N/A</f>
        <v>#N/A</v>
      </c>
      <c r="D6650" t="s">
        <v>3827</v>
      </c>
      <c r="E6650" t="s">
        <v>2047</v>
      </c>
      <c r="F6650" t="s">
        <v>305</v>
      </c>
      <c r="G6650" t="s">
        <v>310</v>
      </c>
      <c r="H6650" t="s">
        <v>30</v>
      </c>
      <c r="I6650" t="s">
        <v>31</v>
      </c>
      <c r="J6650" t="s">
        <v>32</v>
      </c>
      <c r="K6650" t="s">
        <v>35</v>
      </c>
      <c r="L6650" t="s">
        <v>34</v>
      </c>
      <c r="M6650" t="s">
        <v>368</v>
      </c>
      <c r="N6650" t="s">
        <v>35</v>
      </c>
      <c r="O6650" t="s">
        <v>46</v>
      </c>
      <c r="Q6650" t="s">
        <v>56</v>
      </c>
      <c r="R6650" t="s">
        <v>3828</v>
      </c>
      <c r="S6650">
        <v>41781.463865740741</v>
      </c>
      <c r="T6650">
        <v>42034.641238425924</v>
      </c>
      <c r="U6650" t="s">
        <v>2387</v>
      </c>
      <c r="V6650" t="s">
        <v>35</v>
      </c>
    </row>
    <row r="6651" spans="2:22" x14ac:dyDescent="0.25">
      <c r="B6651" s="6" t="s">
        <v>3826</v>
      </c>
      <c r="C6651" s="2" t="e">
        <f>#N/A</f>
        <v>#N/A</v>
      </c>
      <c r="D6651" t="s">
        <v>3829</v>
      </c>
      <c r="E6651" t="s">
        <v>371</v>
      </c>
      <c r="F6651" t="s">
        <v>305</v>
      </c>
      <c r="G6651" t="s">
        <v>304</v>
      </c>
      <c r="H6651" t="s">
        <v>30</v>
      </c>
      <c r="I6651" t="s">
        <v>35</v>
      </c>
      <c r="J6651" t="s">
        <v>32</v>
      </c>
      <c r="K6651" t="s">
        <v>35</v>
      </c>
      <c r="L6651" t="s">
        <v>34</v>
      </c>
      <c r="M6651" t="s">
        <v>368</v>
      </c>
      <c r="N6651" t="s">
        <v>35</v>
      </c>
      <c r="O6651" t="s">
        <v>46</v>
      </c>
      <c r="Q6651" t="s">
        <v>56</v>
      </c>
      <c r="R6651" t="s">
        <v>3828</v>
      </c>
      <c r="S6651">
        <v>41792.626550925925</v>
      </c>
      <c r="T6651">
        <v>42058.622175925928</v>
      </c>
      <c r="U6651" t="s">
        <v>2047</v>
      </c>
      <c r="V6651" t="s">
        <v>35</v>
      </c>
    </row>
    <row r="6652" spans="2:22" x14ac:dyDescent="0.25">
      <c r="B6652" s="6" t="s">
        <v>3826</v>
      </c>
      <c r="C6652" s="2" t="e">
        <f>#N/A</f>
        <v>#N/A</v>
      </c>
      <c r="D6652" t="s">
        <v>3830</v>
      </c>
      <c r="E6652" t="s">
        <v>371</v>
      </c>
      <c r="F6652" t="s">
        <v>305</v>
      </c>
      <c r="G6652" t="s">
        <v>1621</v>
      </c>
      <c r="H6652" t="s">
        <v>30</v>
      </c>
      <c r="I6652" t="s">
        <v>35</v>
      </c>
      <c r="J6652" t="s">
        <v>32</v>
      </c>
      <c r="K6652" t="s">
        <v>35</v>
      </c>
      <c r="L6652" t="s">
        <v>34</v>
      </c>
      <c r="M6652" t="s">
        <v>368</v>
      </c>
      <c r="N6652" t="s">
        <v>35</v>
      </c>
      <c r="O6652" t="s">
        <v>46</v>
      </c>
      <c r="Q6652" t="s">
        <v>56</v>
      </c>
      <c r="R6652" t="s">
        <v>3828</v>
      </c>
      <c r="S6652">
        <v>41792.629629629628</v>
      </c>
      <c r="T6652">
        <v>42034.660196759258</v>
      </c>
      <c r="U6652" t="s">
        <v>2047</v>
      </c>
      <c r="V6652" t="s">
        <v>35</v>
      </c>
    </row>
    <row r="6653" spans="2:22" x14ac:dyDescent="0.25">
      <c r="R6653"/>
      <c r="S6653"/>
    </row>
    <row r="6654" spans="2:22" x14ac:dyDescent="0.25">
      <c r="R6654"/>
      <c r="S6654"/>
    </row>
    <row r="6655" spans="2:22" x14ac:dyDescent="0.25">
      <c r="C6655">
        <f>COUNT(B3968:B9124)</f>
        <v>0</v>
      </c>
      <c r="R6655"/>
      <c r="S6655"/>
    </row>
    <row r="6656" spans="2:22" x14ac:dyDescent="0.25">
      <c r="R6656"/>
      <c r="S6656"/>
    </row>
    <row r="6657" spans="3:19" x14ac:dyDescent="0.25">
      <c r="R6657"/>
      <c r="S6657"/>
    </row>
    <row r="6658" spans="3:19" x14ac:dyDescent="0.25">
      <c r="C6658" s="2"/>
      <c r="R6658"/>
      <c r="S6658"/>
    </row>
    <row r="6659" spans="3:19" x14ac:dyDescent="0.25">
      <c r="C6659" s="2"/>
      <c r="R6659"/>
      <c r="S6659"/>
    </row>
    <row r="6660" spans="3:19" x14ac:dyDescent="0.25">
      <c r="C6660" s="2"/>
      <c r="R6660"/>
      <c r="S6660"/>
    </row>
    <row r="6661" spans="3:19" x14ac:dyDescent="0.25">
      <c r="C6661" s="2"/>
      <c r="R6661"/>
      <c r="S6661"/>
    </row>
    <row r="6662" spans="3:19" x14ac:dyDescent="0.25">
      <c r="C6662" s="2"/>
      <c r="R6662"/>
      <c r="S6662"/>
    </row>
    <row r="6663" spans="3:19" x14ac:dyDescent="0.25">
      <c r="C6663" s="2"/>
      <c r="R6663"/>
      <c r="S6663"/>
    </row>
    <row r="6664" spans="3:19" x14ac:dyDescent="0.25">
      <c r="R6664"/>
      <c r="S6664"/>
    </row>
    <row r="6665" spans="3:19" x14ac:dyDescent="0.25">
      <c r="R6665"/>
      <c r="S6665"/>
    </row>
    <row r="6666" spans="3:19" x14ac:dyDescent="0.25">
      <c r="R6666"/>
      <c r="S6666"/>
    </row>
    <row r="6667" spans="3:19" x14ac:dyDescent="0.25">
      <c r="R6667"/>
      <c r="S6667"/>
    </row>
    <row r="6668" spans="3:19" x14ac:dyDescent="0.25">
      <c r="R6668"/>
      <c r="S6668"/>
    </row>
    <row r="6669" spans="3:19" x14ac:dyDescent="0.25">
      <c r="R6669"/>
      <c r="S6669"/>
    </row>
    <row r="6670" spans="3:19" x14ac:dyDescent="0.25">
      <c r="R6670"/>
      <c r="S6670"/>
    </row>
    <row r="6671" spans="3:19" x14ac:dyDescent="0.25">
      <c r="R6671"/>
      <c r="S6671"/>
    </row>
    <row r="6672" spans="3:19" x14ac:dyDescent="0.25">
      <c r="R6672"/>
      <c r="S6672"/>
    </row>
    <row r="6673" spans="18:19" x14ac:dyDescent="0.25">
      <c r="R6673"/>
      <c r="S6673"/>
    </row>
    <row r="6674" spans="18:19" x14ac:dyDescent="0.25">
      <c r="R6674"/>
      <c r="S6674"/>
    </row>
    <row r="6675" spans="18:19" x14ac:dyDescent="0.25">
      <c r="R6675"/>
      <c r="S6675"/>
    </row>
    <row r="6676" spans="18:19" x14ac:dyDescent="0.25">
      <c r="R6676"/>
      <c r="S6676"/>
    </row>
    <row r="6677" spans="18:19" x14ac:dyDescent="0.25">
      <c r="R6677"/>
      <c r="S6677"/>
    </row>
    <row r="6678" spans="18:19" x14ac:dyDescent="0.25">
      <c r="R6678"/>
      <c r="S6678"/>
    </row>
    <row r="6679" spans="18:19" x14ac:dyDescent="0.25">
      <c r="R6679"/>
      <c r="S6679"/>
    </row>
    <row r="6680" spans="18:19" x14ac:dyDescent="0.25">
      <c r="R6680"/>
      <c r="S6680"/>
    </row>
    <row r="6681" spans="18:19" x14ac:dyDescent="0.25">
      <c r="R6681"/>
      <c r="S6681"/>
    </row>
    <row r="6682" spans="18:19" x14ac:dyDescent="0.25">
      <c r="R6682"/>
      <c r="S6682"/>
    </row>
    <row r="6683" spans="18:19" x14ac:dyDescent="0.25">
      <c r="R6683"/>
      <c r="S6683"/>
    </row>
    <row r="6684" spans="18:19" x14ac:dyDescent="0.25">
      <c r="R6684"/>
      <c r="S6684"/>
    </row>
    <row r="6685" spans="18:19" x14ac:dyDescent="0.25">
      <c r="R6685"/>
      <c r="S6685"/>
    </row>
    <row r="6686" spans="18:19" x14ac:dyDescent="0.25">
      <c r="R6686"/>
      <c r="S6686"/>
    </row>
    <row r="6687" spans="18:19" x14ac:dyDescent="0.25">
      <c r="R6687"/>
      <c r="S6687"/>
    </row>
    <row r="6688" spans="18:19" x14ac:dyDescent="0.25">
      <c r="R6688"/>
      <c r="S6688"/>
    </row>
    <row r="6689" spans="18:19" x14ac:dyDescent="0.25">
      <c r="R6689"/>
      <c r="S6689"/>
    </row>
    <row r="6690" spans="18:19" x14ac:dyDescent="0.25">
      <c r="R6690"/>
      <c r="S6690"/>
    </row>
    <row r="6691" spans="18:19" x14ac:dyDescent="0.25">
      <c r="R6691"/>
      <c r="S6691"/>
    </row>
    <row r="6692" spans="18:19" x14ac:dyDescent="0.25">
      <c r="R6692"/>
      <c r="S6692"/>
    </row>
    <row r="6693" spans="18:19" x14ac:dyDescent="0.25">
      <c r="R6693"/>
      <c r="S6693"/>
    </row>
    <row r="6694" spans="18:19" x14ac:dyDescent="0.25">
      <c r="R6694"/>
      <c r="S6694"/>
    </row>
    <row r="6695" spans="18:19" x14ac:dyDescent="0.25">
      <c r="R6695"/>
      <c r="S6695"/>
    </row>
    <row r="6696" spans="18:19" x14ac:dyDescent="0.25">
      <c r="R6696"/>
      <c r="S6696"/>
    </row>
    <row r="6697" spans="18:19" x14ac:dyDescent="0.25">
      <c r="R6697"/>
      <c r="S6697"/>
    </row>
    <row r="6698" spans="18:19" x14ac:dyDescent="0.25">
      <c r="R6698"/>
      <c r="S6698"/>
    </row>
    <row r="6699" spans="18:19" x14ac:dyDescent="0.25">
      <c r="R6699"/>
      <c r="S6699"/>
    </row>
    <row r="6700" spans="18:19" x14ac:dyDescent="0.25">
      <c r="R6700"/>
      <c r="S6700"/>
    </row>
    <row r="6701" spans="18:19" x14ac:dyDescent="0.25">
      <c r="R6701"/>
      <c r="S6701"/>
    </row>
    <row r="6702" spans="18:19" x14ac:dyDescent="0.25">
      <c r="R6702"/>
      <c r="S6702"/>
    </row>
    <row r="6703" spans="18:19" x14ac:dyDescent="0.25">
      <c r="R6703"/>
      <c r="S6703"/>
    </row>
    <row r="6704" spans="18:19" x14ac:dyDescent="0.25">
      <c r="R6704"/>
      <c r="S6704"/>
    </row>
    <row r="6705" spans="18:19" x14ac:dyDescent="0.25">
      <c r="R6705"/>
      <c r="S6705"/>
    </row>
    <row r="6706" spans="18:19" x14ac:dyDescent="0.25">
      <c r="R6706"/>
      <c r="S6706"/>
    </row>
    <row r="6707" spans="18:19" x14ac:dyDescent="0.25">
      <c r="R6707"/>
      <c r="S6707"/>
    </row>
    <row r="6708" spans="18:19" x14ac:dyDescent="0.25">
      <c r="R6708"/>
      <c r="S6708"/>
    </row>
    <row r="6709" spans="18:19" x14ac:dyDescent="0.25">
      <c r="R6709"/>
      <c r="S6709"/>
    </row>
    <row r="6710" spans="18:19" x14ac:dyDescent="0.25">
      <c r="R6710"/>
      <c r="S6710"/>
    </row>
    <row r="6711" spans="18:19" x14ac:dyDescent="0.25">
      <c r="R6711"/>
      <c r="S6711"/>
    </row>
    <row r="6712" spans="18:19" x14ac:dyDescent="0.25">
      <c r="R6712"/>
      <c r="S6712"/>
    </row>
    <row r="6713" spans="18:19" x14ac:dyDescent="0.25">
      <c r="R6713"/>
      <c r="S6713"/>
    </row>
    <row r="6714" spans="18:19" x14ac:dyDescent="0.25">
      <c r="R6714"/>
      <c r="S6714"/>
    </row>
    <row r="6715" spans="18:19" x14ac:dyDescent="0.25">
      <c r="R6715"/>
      <c r="S6715"/>
    </row>
    <row r="6716" spans="18:19" x14ac:dyDescent="0.25">
      <c r="R6716"/>
      <c r="S6716"/>
    </row>
    <row r="6717" spans="18:19" x14ac:dyDescent="0.25">
      <c r="R6717"/>
      <c r="S6717"/>
    </row>
    <row r="6718" spans="18:19" x14ac:dyDescent="0.25">
      <c r="R6718"/>
      <c r="S6718"/>
    </row>
    <row r="6719" spans="18:19" x14ac:dyDescent="0.25">
      <c r="R6719"/>
      <c r="S6719"/>
    </row>
    <row r="6720" spans="18:19" x14ac:dyDescent="0.25">
      <c r="R6720"/>
      <c r="S6720"/>
    </row>
    <row r="6721" spans="3:19" x14ac:dyDescent="0.25">
      <c r="R6721"/>
      <c r="S6721"/>
    </row>
    <row r="6722" spans="3:19" x14ac:dyDescent="0.25">
      <c r="R6722"/>
      <c r="S6722"/>
    </row>
    <row r="6723" spans="3:19" x14ac:dyDescent="0.25">
      <c r="R6723"/>
      <c r="S6723"/>
    </row>
    <row r="6724" spans="3:19" x14ac:dyDescent="0.25">
      <c r="R6724"/>
      <c r="S6724"/>
    </row>
    <row r="6725" spans="3:19" x14ac:dyDescent="0.25">
      <c r="C6725" s="2"/>
      <c r="R6725"/>
      <c r="S6725"/>
    </row>
    <row r="6726" spans="3:19" x14ac:dyDescent="0.25">
      <c r="C6726" s="2"/>
      <c r="R6726"/>
      <c r="S6726"/>
    </row>
    <row r="6727" spans="3:19" x14ac:dyDescent="0.25">
      <c r="C6727" s="2"/>
      <c r="R6727"/>
      <c r="S6727"/>
    </row>
    <row r="6728" spans="3:19" x14ac:dyDescent="0.25">
      <c r="C6728" s="2"/>
      <c r="R6728"/>
      <c r="S6728"/>
    </row>
    <row r="6729" spans="3:19" x14ac:dyDescent="0.25">
      <c r="C6729" s="2"/>
      <c r="R6729"/>
      <c r="S6729"/>
    </row>
    <row r="6730" spans="3:19" x14ac:dyDescent="0.25">
      <c r="C6730" s="2"/>
      <c r="R6730"/>
      <c r="S6730"/>
    </row>
    <row r="6731" spans="3:19" x14ac:dyDescent="0.25">
      <c r="C6731" s="2"/>
      <c r="R6731"/>
      <c r="S6731"/>
    </row>
    <row r="6732" spans="3:19" x14ac:dyDescent="0.25">
      <c r="C6732" s="2"/>
      <c r="R6732"/>
      <c r="S6732"/>
    </row>
    <row r="6733" spans="3:19" x14ac:dyDescent="0.25">
      <c r="C6733" s="2"/>
      <c r="R6733"/>
      <c r="S6733"/>
    </row>
    <row r="6734" spans="3:19" x14ac:dyDescent="0.25">
      <c r="C6734" s="2"/>
      <c r="R6734"/>
      <c r="S6734"/>
    </row>
    <row r="6735" spans="3:19" x14ac:dyDescent="0.25">
      <c r="C6735" s="2"/>
      <c r="R6735"/>
      <c r="S6735"/>
    </row>
    <row r="6736" spans="3:19" x14ac:dyDescent="0.25">
      <c r="C6736" s="2"/>
      <c r="R6736"/>
      <c r="S6736"/>
    </row>
    <row r="6737" spans="3:19" x14ac:dyDescent="0.25">
      <c r="C6737" s="2"/>
      <c r="R6737"/>
      <c r="S6737"/>
    </row>
    <row r="6738" spans="3:19" x14ac:dyDescent="0.25">
      <c r="C6738" s="2"/>
      <c r="R6738"/>
      <c r="S6738"/>
    </row>
    <row r="6739" spans="3:19" x14ac:dyDescent="0.25">
      <c r="C6739" s="2"/>
      <c r="R6739"/>
      <c r="S6739"/>
    </row>
    <row r="6740" spans="3:19" x14ac:dyDescent="0.25">
      <c r="C6740" s="2"/>
      <c r="R6740"/>
      <c r="S6740"/>
    </row>
    <row r="6741" spans="3:19" x14ac:dyDescent="0.25">
      <c r="C6741" s="2"/>
      <c r="R6741"/>
      <c r="S6741"/>
    </row>
    <row r="6742" spans="3:19" x14ac:dyDescent="0.25">
      <c r="C6742" s="2"/>
      <c r="R6742"/>
      <c r="S6742"/>
    </row>
    <row r="6743" spans="3:19" x14ac:dyDescent="0.25">
      <c r="C6743" s="2"/>
      <c r="R6743"/>
      <c r="S6743"/>
    </row>
    <row r="6744" spans="3:19" x14ac:dyDescent="0.25">
      <c r="C6744" s="2"/>
      <c r="R6744"/>
      <c r="S6744"/>
    </row>
    <row r="6745" spans="3:19" x14ac:dyDescent="0.25">
      <c r="C6745" s="2"/>
      <c r="R6745"/>
      <c r="S6745"/>
    </row>
    <row r="6746" spans="3:19" x14ac:dyDescent="0.25">
      <c r="C6746" s="2"/>
      <c r="R6746"/>
      <c r="S6746"/>
    </row>
    <row r="6747" spans="3:19" x14ac:dyDescent="0.25">
      <c r="C6747" s="2"/>
      <c r="R6747"/>
      <c r="S6747"/>
    </row>
    <row r="6748" spans="3:19" x14ac:dyDescent="0.25">
      <c r="C6748" s="2"/>
      <c r="R6748"/>
      <c r="S6748"/>
    </row>
    <row r="6749" spans="3:19" x14ac:dyDescent="0.25">
      <c r="C6749" s="2"/>
      <c r="R6749"/>
      <c r="S6749"/>
    </row>
    <row r="6750" spans="3:19" x14ac:dyDescent="0.25">
      <c r="C6750" s="2"/>
      <c r="R6750"/>
      <c r="S6750"/>
    </row>
    <row r="6751" spans="3:19" x14ac:dyDescent="0.25">
      <c r="C6751" s="2"/>
      <c r="R6751"/>
      <c r="S6751"/>
    </row>
    <row r="6752" spans="3:19" x14ac:dyDescent="0.25">
      <c r="C6752" s="2"/>
      <c r="R6752"/>
      <c r="S6752"/>
    </row>
    <row r="6753" spans="3:19" x14ac:dyDescent="0.25">
      <c r="C6753" s="2"/>
      <c r="R6753"/>
      <c r="S6753"/>
    </row>
    <row r="6754" spans="3:19" x14ac:dyDescent="0.25">
      <c r="C6754" s="2"/>
      <c r="R6754"/>
      <c r="S6754"/>
    </row>
    <row r="6755" spans="3:19" x14ac:dyDescent="0.25">
      <c r="C6755" s="2"/>
      <c r="R6755"/>
      <c r="S6755"/>
    </row>
    <row r="6756" spans="3:19" x14ac:dyDescent="0.25">
      <c r="C6756" s="2"/>
      <c r="R6756"/>
      <c r="S6756"/>
    </row>
    <row r="6757" spans="3:19" x14ac:dyDescent="0.25">
      <c r="C6757" s="2"/>
      <c r="R6757"/>
      <c r="S6757"/>
    </row>
    <row r="6758" spans="3:19" x14ac:dyDescent="0.25">
      <c r="C6758" s="2"/>
      <c r="R6758"/>
      <c r="S6758"/>
    </row>
    <row r="6759" spans="3:19" x14ac:dyDescent="0.25">
      <c r="C6759" s="2"/>
      <c r="R6759"/>
      <c r="S6759"/>
    </row>
    <row r="6760" spans="3:19" x14ac:dyDescent="0.25">
      <c r="C6760" s="2"/>
      <c r="R6760"/>
      <c r="S6760"/>
    </row>
    <row r="6761" spans="3:19" x14ac:dyDescent="0.25">
      <c r="C6761" s="2"/>
      <c r="R6761"/>
      <c r="S6761"/>
    </row>
    <row r="6762" spans="3:19" x14ac:dyDescent="0.25">
      <c r="C6762" s="2"/>
      <c r="R6762"/>
      <c r="S6762"/>
    </row>
    <row r="6763" spans="3:19" x14ac:dyDescent="0.25">
      <c r="C6763" s="2"/>
      <c r="R6763"/>
      <c r="S6763"/>
    </row>
    <row r="6764" spans="3:19" x14ac:dyDescent="0.25">
      <c r="C6764" s="2"/>
      <c r="R6764"/>
      <c r="S6764"/>
    </row>
    <row r="6765" spans="3:19" x14ac:dyDescent="0.25">
      <c r="C6765" s="2"/>
      <c r="R6765"/>
      <c r="S6765"/>
    </row>
    <row r="6766" spans="3:19" x14ac:dyDescent="0.25">
      <c r="C6766" s="2"/>
      <c r="R6766"/>
      <c r="S6766"/>
    </row>
    <row r="6767" spans="3:19" x14ac:dyDescent="0.25">
      <c r="C6767" s="2"/>
      <c r="R6767"/>
      <c r="S6767"/>
    </row>
    <row r="6768" spans="3:19" x14ac:dyDescent="0.25">
      <c r="C6768" s="2"/>
      <c r="R6768"/>
      <c r="S6768"/>
    </row>
    <row r="6769" spans="3:19" x14ac:dyDescent="0.25">
      <c r="C6769" s="2"/>
      <c r="R6769"/>
      <c r="S6769"/>
    </row>
    <row r="6770" spans="3:19" x14ac:dyDescent="0.25">
      <c r="C6770" s="2"/>
      <c r="R6770"/>
      <c r="S6770"/>
    </row>
    <row r="6771" spans="3:19" x14ac:dyDescent="0.25">
      <c r="C6771" s="2"/>
      <c r="R6771"/>
      <c r="S6771"/>
    </row>
    <row r="6772" spans="3:19" x14ac:dyDescent="0.25">
      <c r="C6772" s="2"/>
      <c r="R6772"/>
      <c r="S6772"/>
    </row>
    <row r="6773" spans="3:19" x14ac:dyDescent="0.25">
      <c r="C6773" s="2"/>
      <c r="R6773"/>
      <c r="S6773"/>
    </row>
    <row r="6774" spans="3:19" x14ac:dyDescent="0.25">
      <c r="C6774" s="2"/>
      <c r="R6774"/>
      <c r="S6774"/>
    </row>
    <row r="6775" spans="3:19" x14ac:dyDescent="0.25">
      <c r="C6775" s="2"/>
      <c r="R6775"/>
      <c r="S6775"/>
    </row>
    <row r="6776" spans="3:19" x14ac:dyDescent="0.25">
      <c r="C6776" s="2"/>
      <c r="R6776"/>
      <c r="S6776"/>
    </row>
    <row r="6777" spans="3:19" x14ac:dyDescent="0.25">
      <c r="C6777" s="2"/>
      <c r="R6777"/>
      <c r="S6777"/>
    </row>
    <row r="6778" spans="3:19" x14ac:dyDescent="0.25">
      <c r="C6778" s="2"/>
      <c r="R6778"/>
      <c r="S6778"/>
    </row>
    <row r="6779" spans="3:19" x14ac:dyDescent="0.25">
      <c r="C6779" s="2"/>
      <c r="R6779"/>
      <c r="S6779"/>
    </row>
    <row r="6780" spans="3:19" x14ac:dyDescent="0.25">
      <c r="C6780" s="2"/>
      <c r="R6780"/>
      <c r="S6780"/>
    </row>
    <row r="6781" spans="3:19" x14ac:dyDescent="0.25">
      <c r="C6781" s="2"/>
      <c r="R6781"/>
      <c r="S6781"/>
    </row>
    <row r="6782" spans="3:19" x14ac:dyDescent="0.25">
      <c r="C6782" s="2"/>
      <c r="R6782"/>
      <c r="S6782"/>
    </row>
    <row r="6783" spans="3:19" x14ac:dyDescent="0.25">
      <c r="C6783" s="2"/>
      <c r="R6783"/>
      <c r="S6783"/>
    </row>
    <row r="6784" spans="3:19" x14ac:dyDescent="0.25">
      <c r="C6784" s="2"/>
      <c r="R6784"/>
      <c r="S6784"/>
    </row>
    <row r="6785" spans="3:19" x14ac:dyDescent="0.25">
      <c r="C6785" s="2"/>
      <c r="R6785"/>
      <c r="S6785"/>
    </row>
    <row r="6786" spans="3:19" x14ac:dyDescent="0.25">
      <c r="C6786" s="2"/>
      <c r="R6786"/>
      <c r="S6786"/>
    </row>
    <row r="6787" spans="3:19" x14ac:dyDescent="0.25">
      <c r="C6787" s="2"/>
      <c r="R6787"/>
      <c r="S6787"/>
    </row>
    <row r="6788" spans="3:19" x14ac:dyDescent="0.25">
      <c r="C6788" s="2"/>
      <c r="R6788"/>
      <c r="S6788"/>
    </row>
    <row r="6789" spans="3:19" x14ac:dyDescent="0.25">
      <c r="C6789" s="2"/>
      <c r="R6789"/>
      <c r="S6789"/>
    </row>
    <row r="6790" spans="3:19" x14ac:dyDescent="0.25">
      <c r="C6790" s="2"/>
      <c r="R6790"/>
      <c r="S6790"/>
    </row>
    <row r="6791" spans="3:19" x14ac:dyDescent="0.25">
      <c r="C6791" s="2"/>
      <c r="R6791"/>
      <c r="S6791"/>
    </row>
    <row r="6792" spans="3:19" x14ac:dyDescent="0.25">
      <c r="C6792" s="2"/>
      <c r="R6792"/>
      <c r="S6792"/>
    </row>
    <row r="6793" spans="3:19" x14ac:dyDescent="0.25">
      <c r="C6793" s="2"/>
      <c r="R6793"/>
      <c r="S6793"/>
    </row>
    <row r="6794" spans="3:19" x14ac:dyDescent="0.25">
      <c r="C6794" s="2"/>
      <c r="R6794"/>
      <c r="S6794"/>
    </row>
    <row r="6795" spans="3:19" x14ac:dyDescent="0.25">
      <c r="C6795" s="2"/>
      <c r="R6795"/>
      <c r="S6795"/>
    </row>
    <row r="6796" spans="3:19" x14ac:dyDescent="0.25">
      <c r="C6796" s="2"/>
      <c r="R6796"/>
      <c r="S6796"/>
    </row>
    <row r="6797" spans="3:19" x14ac:dyDescent="0.25">
      <c r="C6797" s="2"/>
      <c r="R6797"/>
      <c r="S6797"/>
    </row>
    <row r="6798" spans="3:19" x14ac:dyDescent="0.25">
      <c r="C6798" s="2"/>
      <c r="R6798"/>
      <c r="S6798"/>
    </row>
    <row r="6799" spans="3:19" x14ac:dyDescent="0.25">
      <c r="C6799" s="2"/>
      <c r="R6799"/>
      <c r="S6799"/>
    </row>
    <row r="6800" spans="3:19" x14ac:dyDescent="0.25">
      <c r="C6800" s="2"/>
      <c r="R6800"/>
      <c r="S6800"/>
    </row>
    <row r="6801" spans="3:19" x14ac:dyDescent="0.25">
      <c r="C6801" s="2"/>
      <c r="R6801"/>
      <c r="S6801"/>
    </row>
    <row r="6802" spans="3:19" x14ac:dyDescent="0.25">
      <c r="C6802" s="2"/>
      <c r="R6802"/>
      <c r="S6802"/>
    </row>
    <row r="6803" spans="3:19" x14ac:dyDescent="0.25">
      <c r="C6803" s="2"/>
      <c r="R6803"/>
      <c r="S6803"/>
    </row>
    <row r="6804" spans="3:19" x14ac:dyDescent="0.25">
      <c r="C6804" s="2"/>
      <c r="R6804"/>
      <c r="S6804"/>
    </row>
    <row r="6805" spans="3:19" x14ac:dyDescent="0.25">
      <c r="C6805" s="2"/>
      <c r="R6805"/>
      <c r="S6805"/>
    </row>
    <row r="6806" spans="3:19" x14ac:dyDescent="0.25">
      <c r="C6806" s="2"/>
      <c r="R6806"/>
      <c r="S6806"/>
    </row>
    <row r="6807" spans="3:19" x14ac:dyDescent="0.25">
      <c r="C6807" s="2"/>
      <c r="R6807"/>
      <c r="S6807"/>
    </row>
    <row r="6808" spans="3:19" x14ac:dyDescent="0.25">
      <c r="C6808" s="2"/>
      <c r="R6808"/>
      <c r="S6808"/>
    </row>
    <row r="6809" spans="3:19" x14ac:dyDescent="0.25">
      <c r="C6809" s="2"/>
      <c r="R6809"/>
      <c r="S6809"/>
    </row>
    <row r="6810" spans="3:19" x14ac:dyDescent="0.25">
      <c r="C6810" s="2"/>
      <c r="R6810"/>
      <c r="S6810"/>
    </row>
    <row r="6811" spans="3:19" x14ac:dyDescent="0.25">
      <c r="C6811" s="2"/>
      <c r="R6811"/>
      <c r="S6811"/>
    </row>
    <row r="6812" spans="3:19" x14ac:dyDescent="0.25">
      <c r="C6812" s="2"/>
      <c r="R6812"/>
      <c r="S6812"/>
    </row>
    <row r="6813" spans="3:19" x14ac:dyDescent="0.25">
      <c r="C6813" s="2"/>
      <c r="R6813"/>
      <c r="S6813"/>
    </row>
    <row r="6814" spans="3:19" x14ac:dyDescent="0.25">
      <c r="C6814" s="2"/>
      <c r="R6814"/>
      <c r="S6814"/>
    </row>
    <row r="6815" spans="3:19" x14ac:dyDescent="0.25">
      <c r="C6815" s="2"/>
      <c r="R6815"/>
      <c r="S6815"/>
    </row>
    <row r="6816" spans="3:19" x14ac:dyDescent="0.25">
      <c r="C6816" s="2"/>
      <c r="R6816"/>
      <c r="S6816"/>
    </row>
    <row r="6817" spans="3:19" x14ac:dyDescent="0.25">
      <c r="C6817" s="2"/>
      <c r="R6817"/>
      <c r="S6817"/>
    </row>
    <row r="6818" spans="3:19" x14ac:dyDescent="0.25">
      <c r="C6818" s="2"/>
      <c r="R6818"/>
      <c r="S6818"/>
    </row>
    <row r="6819" spans="3:19" x14ac:dyDescent="0.25">
      <c r="C6819" s="2"/>
      <c r="R6819"/>
      <c r="S6819"/>
    </row>
    <row r="6820" spans="3:19" x14ac:dyDescent="0.25">
      <c r="C6820" s="2"/>
      <c r="R6820"/>
      <c r="S6820"/>
    </row>
    <row r="6821" spans="3:19" x14ac:dyDescent="0.25">
      <c r="C6821" s="2"/>
      <c r="R6821"/>
      <c r="S6821"/>
    </row>
    <row r="6822" spans="3:19" x14ac:dyDescent="0.25">
      <c r="C6822" s="2"/>
      <c r="R6822"/>
      <c r="S6822"/>
    </row>
    <row r="6823" spans="3:19" x14ac:dyDescent="0.25">
      <c r="C6823" s="2"/>
      <c r="R6823"/>
      <c r="S6823"/>
    </row>
    <row r="6824" spans="3:19" x14ac:dyDescent="0.25">
      <c r="C6824" s="2"/>
      <c r="R6824"/>
      <c r="S6824"/>
    </row>
    <row r="6825" spans="3:19" x14ac:dyDescent="0.25">
      <c r="C6825" s="2"/>
      <c r="R6825"/>
      <c r="S6825"/>
    </row>
    <row r="6826" spans="3:19" x14ac:dyDescent="0.25">
      <c r="C6826" s="2"/>
      <c r="R6826"/>
      <c r="S6826"/>
    </row>
    <row r="6827" spans="3:19" x14ac:dyDescent="0.25">
      <c r="C6827" s="2"/>
      <c r="R6827"/>
      <c r="S6827"/>
    </row>
    <row r="6828" spans="3:19" x14ac:dyDescent="0.25">
      <c r="C6828" s="2"/>
      <c r="R6828"/>
      <c r="S6828"/>
    </row>
    <row r="6829" spans="3:19" x14ac:dyDescent="0.25">
      <c r="C6829" s="2"/>
      <c r="R6829"/>
      <c r="S6829"/>
    </row>
    <row r="6830" spans="3:19" x14ac:dyDescent="0.25">
      <c r="C6830" s="2"/>
      <c r="R6830"/>
      <c r="S6830"/>
    </row>
    <row r="6831" spans="3:19" x14ac:dyDescent="0.25">
      <c r="C6831" s="2"/>
      <c r="R6831"/>
      <c r="S6831"/>
    </row>
    <row r="6832" spans="3:19" x14ac:dyDescent="0.25">
      <c r="C6832" s="2"/>
      <c r="R6832"/>
      <c r="S6832"/>
    </row>
    <row r="6833" spans="3:19" x14ac:dyDescent="0.25">
      <c r="C6833" s="2"/>
      <c r="R6833"/>
      <c r="S6833"/>
    </row>
    <row r="6834" spans="3:19" x14ac:dyDescent="0.25">
      <c r="C6834" s="2"/>
      <c r="R6834"/>
      <c r="S6834"/>
    </row>
    <row r="6835" spans="3:19" x14ac:dyDescent="0.25">
      <c r="C6835" s="2"/>
      <c r="R6835"/>
      <c r="S6835"/>
    </row>
    <row r="6836" spans="3:19" x14ac:dyDescent="0.25">
      <c r="C6836" s="2"/>
      <c r="R6836"/>
      <c r="S6836"/>
    </row>
    <row r="6837" spans="3:19" x14ac:dyDescent="0.25">
      <c r="C6837" s="2"/>
      <c r="R6837"/>
      <c r="S6837"/>
    </row>
    <row r="6838" spans="3:19" x14ac:dyDescent="0.25">
      <c r="C6838" s="2"/>
      <c r="R6838"/>
      <c r="S6838"/>
    </row>
    <row r="6839" spans="3:19" x14ac:dyDescent="0.25">
      <c r="C6839" s="2"/>
      <c r="R6839"/>
      <c r="S6839"/>
    </row>
    <row r="6840" spans="3:19" x14ac:dyDescent="0.25">
      <c r="C6840" s="2"/>
      <c r="R6840"/>
      <c r="S6840"/>
    </row>
    <row r="6841" spans="3:19" x14ac:dyDescent="0.25">
      <c r="C6841" s="2"/>
      <c r="R6841"/>
      <c r="S6841"/>
    </row>
    <row r="6842" spans="3:19" x14ac:dyDescent="0.25">
      <c r="C6842" s="2"/>
      <c r="R6842"/>
      <c r="S6842"/>
    </row>
    <row r="6843" spans="3:19" x14ac:dyDescent="0.25">
      <c r="C6843" s="2"/>
      <c r="R6843"/>
      <c r="S6843"/>
    </row>
    <row r="6844" spans="3:19" x14ac:dyDescent="0.25">
      <c r="C6844" s="2"/>
      <c r="R6844"/>
      <c r="S6844"/>
    </row>
    <row r="6845" spans="3:19" x14ac:dyDescent="0.25">
      <c r="C6845" s="2"/>
      <c r="R6845"/>
      <c r="S6845"/>
    </row>
    <row r="6846" spans="3:19" x14ac:dyDescent="0.25">
      <c r="C6846" s="2"/>
      <c r="R6846"/>
      <c r="S6846"/>
    </row>
    <row r="6847" spans="3:19" x14ac:dyDescent="0.25">
      <c r="C6847" s="2"/>
      <c r="R6847"/>
      <c r="S6847"/>
    </row>
    <row r="6848" spans="3:19" x14ac:dyDescent="0.25">
      <c r="C6848" s="2"/>
      <c r="R6848"/>
      <c r="S6848"/>
    </row>
    <row r="6849" spans="3:19" x14ac:dyDescent="0.25">
      <c r="C6849" s="2"/>
      <c r="R6849"/>
      <c r="S6849"/>
    </row>
    <row r="6850" spans="3:19" x14ac:dyDescent="0.25">
      <c r="C6850" s="2"/>
      <c r="R6850"/>
      <c r="S6850"/>
    </row>
    <row r="6851" spans="3:19" x14ac:dyDescent="0.25">
      <c r="C6851" s="2"/>
      <c r="R6851"/>
      <c r="S6851"/>
    </row>
    <row r="6852" spans="3:19" x14ac:dyDescent="0.25">
      <c r="C6852" s="2"/>
      <c r="R6852"/>
      <c r="S6852"/>
    </row>
    <row r="6853" spans="3:19" x14ac:dyDescent="0.25">
      <c r="C6853" s="2"/>
      <c r="R6853"/>
      <c r="S6853"/>
    </row>
    <row r="6854" spans="3:19" x14ac:dyDescent="0.25">
      <c r="C6854" s="2"/>
      <c r="R6854"/>
      <c r="S6854"/>
    </row>
    <row r="6855" spans="3:19" x14ac:dyDescent="0.25">
      <c r="C6855" s="2"/>
      <c r="R6855"/>
      <c r="S6855"/>
    </row>
    <row r="6856" spans="3:19" x14ac:dyDescent="0.25">
      <c r="C6856" s="2"/>
      <c r="R6856"/>
      <c r="S6856"/>
    </row>
    <row r="6857" spans="3:19" x14ac:dyDescent="0.25">
      <c r="C6857" s="2"/>
      <c r="R6857"/>
      <c r="S6857"/>
    </row>
    <row r="6858" spans="3:19" x14ac:dyDescent="0.25">
      <c r="C6858" s="2"/>
      <c r="R6858"/>
      <c r="S6858"/>
    </row>
    <row r="6859" spans="3:19" x14ac:dyDescent="0.25">
      <c r="C6859" s="2"/>
      <c r="R6859"/>
      <c r="S6859"/>
    </row>
    <row r="6860" spans="3:19" x14ac:dyDescent="0.25">
      <c r="C6860" s="2"/>
      <c r="R6860"/>
      <c r="S6860"/>
    </row>
    <row r="6861" spans="3:19" x14ac:dyDescent="0.25">
      <c r="C6861" s="2"/>
      <c r="R6861"/>
      <c r="S6861"/>
    </row>
    <row r="6862" spans="3:19" x14ac:dyDescent="0.25">
      <c r="C6862" s="2"/>
      <c r="R6862"/>
      <c r="S6862"/>
    </row>
    <row r="6863" spans="3:19" x14ac:dyDescent="0.25">
      <c r="C6863" s="2"/>
      <c r="R6863"/>
      <c r="S6863"/>
    </row>
    <row r="6864" spans="3:19" x14ac:dyDescent="0.25">
      <c r="C6864" s="2"/>
      <c r="R6864"/>
      <c r="S6864"/>
    </row>
    <row r="6865" spans="3:19" x14ac:dyDescent="0.25">
      <c r="C6865" s="2"/>
      <c r="R6865"/>
      <c r="S6865"/>
    </row>
    <row r="6866" spans="3:19" x14ac:dyDescent="0.25">
      <c r="C6866" s="2"/>
      <c r="R6866"/>
      <c r="S6866"/>
    </row>
    <row r="6867" spans="3:19" x14ac:dyDescent="0.25">
      <c r="C6867" s="2"/>
      <c r="R6867"/>
      <c r="S6867"/>
    </row>
    <row r="6868" spans="3:19" x14ac:dyDescent="0.25">
      <c r="C6868" s="2"/>
      <c r="R6868"/>
      <c r="S6868"/>
    </row>
    <row r="6869" spans="3:19" x14ac:dyDescent="0.25">
      <c r="C6869" s="2"/>
      <c r="R6869"/>
      <c r="S6869"/>
    </row>
    <row r="6870" spans="3:19" x14ac:dyDescent="0.25">
      <c r="C6870" s="2"/>
      <c r="R6870"/>
      <c r="S6870"/>
    </row>
    <row r="6871" spans="3:19" x14ac:dyDescent="0.25">
      <c r="C6871" s="2"/>
      <c r="R6871"/>
      <c r="S6871"/>
    </row>
    <row r="6872" spans="3:19" x14ac:dyDescent="0.25">
      <c r="C6872" s="2"/>
      <c r="R6872"/>
      <c r="S6872"/>
    </row>
    <row r="6873" spans="3:19" x14ac:dyDescent="0.25">
      <c r="C6873" s="2"/>
      <c r="R6873"/>
      <c r="S6873"/>
    </row>
    <row r="6874" spans="3:19" x14ac:dyDescent="0.25">
      <c r="C6874" s="2"/>
      <c r="R6874"/>
      <c r="S6874"/>
    </row>
    <row r="6875" spans="3:19" x14ac:dyDescent="0.25">
      <c r="C6875" s="2"/>
      <c r="R6875"/>
      <c r="S6875"/>
    </row>
    <row r="6876" spans="3:19" x14ac:dyDescent="0.25">
      <c r="C6876" s="2"/>
      <c r="R6876"/>
      <c r="S6876"/>
    </row>
    <row r="6877" spans="3:19" x14ac:dyDescent="0.25">
      <c r="C6877" s="2"/>
      <c r="R6877"/>
      <c r="S6877"/>
    </row>
    <row r="6878" spans="3:19" x14ac:dyDescent="0.25">
      <c r="C6878" s="2"/>
      <c r="R6878"/>
      <c r="S6878"/>
    </row>
    <row r="6879" spans="3:19" x14ac:dyDescent="0.25">
      <c r="C6879" s="2"/>
      <c r="R6879"/>
      <c r="S6879"/>
    </row>
    <row r="6880" spans="3:19" x14ac:dyDescent="0.25">
      <c r="C6880" s="2"/>
      <c r="R6880"/>
      <c r="S6880"/>
    </row>
    <row r="6881" spans="3:19" x14ac:dyDescent="0.25">
      <c r="C6881" s="2"/>
      <c r="R6881"/>
      <c r="S6881"/>
    </row>
    <row r="6882" spans="3:19" x14ac:dyDescent="0.25">
      <c r="C6882" s="2"/>
      <c r="R6882"/>
      <c r="S6882"/>
    </row>
    <row r="6883" spans="3:19" x14ac:dyDescent="0.25">
      <c r="C6883" s="2"/>
      <c r="R6883"/>
      <c r="S6883"/>
    </row>
    <row r="6884" spans="3:19" x14ac:dyDescent="0.25">
      <c r="C6884" s="2"/>
      <c r="R6884"/>
      <c r="S6884"/>
    </row>
    <row r="6885" spans="3:19" x14ac:dyDescent="0.25">
      <c r="C6885" s="2"/>
      <c r="R6885"/>
      <c r="S6885"/>
    </row>
    <row r="6886" spans="3:19" x14ac:dyDescent="0.25">
      <c r="C6886" s="2"/>
      <c r="R6886"/>
      <c r="S6886"/>
    </row>
    <row r="6887" spans="3:19" x14ac:dyDescent="0.25">
      <c r="C6887" s="2"/>
      <c r="R6887"/>
      <c r="S6887"/>
    </row>
    <row r="6888" spans="3:19" x14ac:dyDescent="0.25">
      <c r="C6888" s="2"/>
      <c r="R6888"/>
      <c r="S6888"/>
    </row>
    <row r="6889" spans="3:19" x14ac:dyDescent="0.25">
      <c r="C6889" s="2"/>
      <c r="R6889"/>
      <c r="S6889"/>
    </row>
    <row r="6890" spans="3:19" x14ac:dyDescent="0.25">
      <c r="C6890" s="2"/>
      <c r="R6890"/>
      <c r="S6890"/>
    </row>
    <row r="6891" spans="3:19" x14ac:dyDescent="0.25">
      <c r="C6891" s="2"/>
      <c r="R6891"/>
      <c r="S6891"/>
    </row>
    <row r="6892" spans="3:19" x14ac:dyDescent="0.25">
      <c r="C6892" s="2"/>
      <c r="R6892"/>
      <c r="S6892"/>
    </row>
    <row r="6893" spans="3:19" x14ac:dyDescent="0.25">
      <c r="C6893" s="2"/>
      <c r="R6893"/>
      <c r="S6893"/>
    </row>
    <row r="6894" spans="3:19" x14ac:dyDescent="0.25">
      <c r="C6894" s="2"/>
      <c r="R6894"/>
      <c r="S6894"/>
    </row>
    <row r="6895" spans="3:19" x14ac:dyDescent="0.25">
      <c r="C6895" s="2"/>
      <c r="R6895"/>
      <c r="S6895"/>
    </row>
    <row r="6896" spans="3:19" x14ac:dyDescent="0.25">
      <c r="C6896" s="2"/>
      <c r="R6896"/>
      <c r="S6896"/>
    </row>
    <row r="6897" spans="3:19" x14ac:dyDescent="0.25">
      <c r="C6897" s="2"/>
      <c r="R6897"/>
      <c r="S6897"/>
    </row>
    <row r="6898" spans="3:19" x14ac:dyDescent="0.25">
      <c r="C6898" s="2"/>
      <c r="R6898"/>
      <c r="S6898"/>
    </row>
    <row r="6899" spans="3:19" x14ac:dyDescent="0.25">
      <c r="C6899" s="2"/>
      <c r="R6899"/>
      <c r="S6899"/>
    </row>
    <row r="6900" spans="3:19" x14ac:dyDescent="0.25">
      <c r="C6900" s="2"/>
      <c r="R6900"/>
      <c r="S6900"/>
    </row>
    <row r="6901" spans="3:19" x14ac:dyDescent="0.25">
      <c r="C6901" s="2"/>
      <c r="R6901"/>
      <c r="S6901"/>
    </row>
    <row r="6902" spans="3:19" x14ac:dyDescent="0.25">
      <c r="C6902" s="2"/>
      <c r="R6902"/>
      <c r="S6902"/>
    </row>
    <row r="6903" spans="3:19" x14ac:dyDescent="0.25">
      <c r="C6903" s="2"/>
      <c r="R6903"/>
      <c r="S6903"/>
    </row>
    <row r="6904" spans="3:19" x14ac:dyDescent="0.25">
      <c r="C6904" s="2"/>
      <c r="R6904"/>
      <c r="S6904"/>
    </row>
    <row r="6905" spans="3:19" x14ac:dyDescent="0.25">
      <c r="C6905" s="2"/>
      <c r="R6905"/>
      <c r="S6905"/>
    </row>
    <row r="6906" spans="3:19" x14ac:dyDescent="0.25">
      <c r="C6906" s="2"/>
      <c r="R6906"/>
      <c r="S6906"/>
    </row>
    <row r="6907" spans="3:19" x14ac:dyDescent="0.25">
      <c r="C6907" s="2"/>
      <c r="R6907"/>
      <c r="S6907"/>
    </row>
    <row r="6908" spans="3:19" x14ac:dyDescent="0.25">
      <c r="C6908" s="2"/>
      <c r="R6908"/>
      <c r="S6908"/>
    </row>
    <row r="6909" spans="3:19" x14ac:dyDescent="0.25">
      <c r="C6909" s="2"/>
      <c r="R6909"/>
      <c r="S6909"/>
    </row>
    <row r="6910" spans="3:19" x14ac:dyDescent="0.25">
      <c r="C6910" s="2"/>
      <c r="R6910"/>
      <c r="S6910"/>
    </row>
    <row r="6911" spans="3:19" x14ac:dyDescent="0.25">
      <c r="C6911" s="2"/>
      <c r="R6911"/>
      <c r="S6911"/>
    </row>
    <row r="6912" spans="3:19" x14ac:dyDescent="0.25">
      <c r="C6912" s="2"/>
      <c r="R6912"/>
      <c r="S6912"/>
    </row>
    <row r="6913" spans="3:19" x14ac:dyDescent="0.25">
      <c r="C6913" s="2"/>
      <c r="R6913"/>
      <c r="S6913"/>
    </row>
    <row r="6914" spans="3:19" x14ac:dyDescent="0.25">
      <c r="C6914" s="2"/>
      <c r="R6914"/>
      <c r="S6914"/>
    </row>
    <row r="6915" spans="3:19" x14ac:dyDescent="0.25">
      <c r="C6915" s="2"/>
      <c r="R6915"/>
      <c r="S6915"/>
    </row>
    <row r="6916" spans="3:19" x14ac:dyDescent="0.25">
      <c r="C6916" s="2"/>
      <c r="R6916"/>
      <c r="S6916"/>
    </row>
    <row r="6917" spans="3:19" x14ac:dyDescent="0.25">
      <c r="C6917" s="2"/>
      <c r="R6917"/>
      <c r="S6917"/>
    </row>
    <row r="6918" spans="3:19" x14ac:dyDescent="0.25">
      <c r="C6918" s="2"/>
      <c r="R6918"/>
      <c r="S6918"/>
    </row>
    <row r="6919" spans="3:19" x14ac:dyDescent="0.25">
      <c r="C6919" s="2"/>
      <c r="R6919"/>
      <c r="S6919"/>
    </row>
    <row r="6920" spans="3:19" x14ac:dyDescent="0.25">
      <c r="C6920" s="2"/>
      <c r="R6920"/>
      <c r="S6920"/>
    </row>
    <row r="6921" spans="3:19" x14ac:dyDescent="0.25">
      <c r="C6921" s="2"/>
      <c r="R6921"/>
      <c r="S6921"/>
    </row>
    <row r="6922" spans="3:19" x14ac:dyDescent="0.25">
      <c r="C6922" s="2"/>
      <c r="R6922"/>
      <c r="S6922"/>
    </row>
    <row r="6923" spans="3:19" x14ac:dyDescent="0.25">
      <c r="C6923" s="2"/>
      <c r="R6923"/>
      <c r="S6923"/>
    </row>
    <row r="6924" spans="3:19" x14ac:dyDescent="0.25">
      <c r="C6924" s="2"/>
      <c r="R6924"/>
      <c r="S6924"/>
    </row>
    <row r="6925" spans="3:19" x14ac:dyDescent="0.25">
      <c r="C6925" s="2"/>
      <c r="R6925"/>
      <c r="S6925"/>
    </row>
    <row r="6926" spans="3:19" x14ac:dyDescent="0.25">
      <c r="C6926" s="2"/>
      <c r="R6926"/>
      <c r="S6926"/>
    </row>
    <row r="6927" spans="3:19" x14ac:dyDescent="0.25">
      <c r="C6927" s="2"/>
      <c r="R6927"/>
      <c r="S6927"/>
    </row>
    <row r="6928" spans="3:19" x14ac:dyDescent="0.25">
      <c r="C6928" s="2"/>
      <c r="R6928"/>
      <c r="S6928"/>
    </row>
    <row r="6929" spans="3:19" x14ac:dyDescent="0.25">
      <c r="C6929" s="2"/>
      <c r="R6929"/>
      <c r="S6929"/>
    </row>
    <row r="6930" spans="3:19" x14ac:dyDescent="0.25">
      <c r="C6930" s="2"/>
      <c r="R6930"/>
      <c r="S6930"/>
    </row>
    <row r="6931" spans="3:19" x14ac:dyDescent="0.25">
      <c r="C6931" s="2"/>
      <c r="R6931"/>
      <c r="S6931"/>
    </row>
    <row r="6932" spans="3:19" x14ac:dyDescent="0.25">
      <c r="C6932" s="2"/>
      <c r="R6932"/>
      <c r="S6932"/>
    </row>
    <row r="6933" spans="3:19" x14ac:dyDescent="0.25">
      <c r="C6933" s="2"/>
      <c r="R6933"/>
      <c r="S6933"/>
    </row>
    <row r="6934" spans="3:19" x14ac:dyDescent="0.25">
      <c r="C6934" s="2"/>
      <c r="R6934"/>
      <c r="S6934"/>
    </row>
    <row r="6935" spans="3:19" x14ac:dyDescent="0.25">
      <c r="C6935" s="2"/>
      <c r="R6935"/>
      <c r="S6935"/>
    </row>
    <row r="6936" spans="3:19" x14ac:dyDescent="0.25">
      <c r="C6936" s="2"/>
      <c r="R6936"/>
      <c r="S6936"/>
    </row>
    <row r="6937" spans="3:19" x14ac:dyDescent="0.25">
      <c r="C6937" s="2"/>
      <c r="R6937"/>
      <c r="S6937"/>
    </row>
    <row r="6938" spans="3:19" x14ac:dyDescent="0.25">
      <c r="C6938" s="2"/>
      <c r="R6938"/>
      <c r="S6938"/>
    </row>
    <row r="6939" spans="3:19" x14ac:dyDescent="0.25">
      <c r="C6939" s="2"/>
      <c r="R6939"/>
      <c r="S6939"/>
    </row>
    <row r="6940" spans="3:19" x14ac:dyDescent="0.25">
      <c r="C6940" s="2"/>
      <c r="R6940"/>
      <c r="S6940"/>
    </row>
    <row r="6941" spans="3:19" x14ac:dyDescent="0.25">
      <c r="C6941" s="2"/>
      <c r="R6941"/>
      <c r="S6941"/>
    </row>
    <row r="6942" spans="3:19" x14ac:dyDescent="0.25">
      <c r="C6942" s="2"/>
      <c r="R6942"/>
      <c r="S6942"/>
    </row>
    <row r="6943" spans="3:19" x14ac:dyDescent="0.25">
      <c r="C6943" s="2"/>
      <c r="R6943"/>
      <c r="S6943"/>
    </row>
    <row r="6944" spans="3:19" x14ac:dyDescent="0.25">
      <c r="C6944" s="2"/>
      <c r="R6944"/>
      <c r="S6944"/>
    </row>
    <row r="6945" spans="3:19" x14ac:dyDescent="0.25">
      <c r="C6945" s="2"/>
      <c r="R6945"/>
      <c r="S6945"/>
    </row>
    <row r="6946" spans="3:19" x14ac:dyDescent="0.25">
      <c r="C6946" s="2"/>
      <c r="R6946"/>
      <c r="S6946"/>
    </row>
    <row r="6947" spans="3:19" x14ac:dyDescent="0.25">
      <c r="C6947" s="2"/>
      <c r="R6947"/>
      <c r="S6947"/>
    </row>
    <row r="6948" spans="3:19" x14ac:dyDescent="0.25">
      <c r="C6948" s="2"/>
      <c r="R6948"/>
      <c r="S6948"/>
    </row>
    <row r="6949" spans="3:19" x14ac:dyDescent="0.25">
      <c r="C6949" s="2"/>
      <c r="R6949"/>
      <c r="S6949"/>
    </row>
    <row r="6950" spans="3:19" x14ac:dyDescent="0.25">
      <c r="C6950" s="2"/>
      <c r="R6950"/>
      <c r="S6950"/>
    </row>
    <row r="6951" spans="3:19" x14ac:dyDescent="0.25">
      <c r="C6951" s="2"/>
      <c r="R6951"/>
      <c r="S6951"/>
    </row>
    <row r="6952" spans="3:19" x14ac:dyDescent="0.25">
      <c r="C6952" s="2"/>
      <c r="R6952"/>
      <c r="S6952"/>
    </row>
    <row r="6953" spans="3:19" x14ac:dyDescent="0.25">
      <c r="C6953" s="2"/>
      <c r="R6953"/>
      <c r="S6953"/>
    </row>
    <row r="6954" spans="3:19" x14ac:dyDescent="0.25">
      <c r="C6954" s="2"/>
      <c r="R6954"/>
      <c r="S6954"/>
    </row>
    <row r="6955" spans="3:19" x14ac:dyDescent="0.25">
      <c r="C6955" s="2"/>
      <c r="R6955"/>
      <c r="S6955"/>
    </row>
    <row r="6956" spans="3:19" x14ac:dyDescent="0.25">
      <c r="C6956" s="2"/>
      <c r="R6956"/>
      <c r="S6956"/>
    </row>
    <row r="6957" spans="3:19" x14ac:dyDescent="0.25">
      <c r="C6957" s="2"/>
      <c r="R6957"/>
      <c r="S6957"/>
    </row>
    <row r="6958" spans="3:19" x14ac:dyDescent="0.25">
      <c r="C6958" s="2"/>
      <c r="R6958"/>
      <c r="S6958"/>
    </row>
    <row r="6959" spans="3:19" x14ac:dyDescent="0.25">
      <c r="C6959" s="2"/>
      <c r="R6959"/>
      <c r="S6959"/>
    </row>
    <row r="6960" spans="3:19" x14ac:dyDescent="0.25">
      <c r="C6960" s="2"/>
      <c r="R6960"/>
      <c r="S6960"/>
    </row>
    <row r="6961" spans="3:19" x14ac:dyDescent="0.25">
      <c r="C6961" s="2"/>
      <c r="R6961"/>
      <c r="S6961"/>
    </row>
    <row r="6962" spans="3:19" x14ac:dyDescent="0.25">
      <c r="C6962" s="2"/>
      <c r="R6962"/>
      <c r="S6962"/>
    </row>
    <row r="6963" spans="3:19" x14ac:dyDescent="0.25">
      <c r="C6963" s="2"/>
      <c r="R6963"/>
      <c r="S6963"/>
    </row>
    <row r="6964" spans="3:19" x14ac:dyDescent="0.25">
      <c r="C6964" s="2"/>
      <c r="R6964"/>
      <c r="S6964"/>
    </row>
    <row r="6965" spans="3:19" x14ac:dyDescent="0.25">
      <c r="C6965" s="2"/>
      <c r="R6965"/>
      <c r="S6965"/>
    </row>
    <row r="6966" spans="3:19" x14ac:dyDescent="0.25">
      <c r="C6966" s="2"/>
      <c r="R6966"/>
      <c r="S6966"/>
    </row>
    <row r="6967" spans="3:19" x14ac:dyDescent="0.25">
      <c r="C6967" s="2"/>
      <c r="R6967"/>
      <c r="S6967"/>
    </row>
    <row r="6968" spans="3:19" x14ac:dyDescent="0.25">
      <c r="C6968" s="2"/>
      <c r="R6968"/>
      <c r="S6968"/>
    </row>
    <row r="6969" spans="3:19" x14ac:dyDescent="0.25">
      <c r="C6969" s="2"/>
      <c r="R6969"/>
      <c r="S6969"/>
    </row>
    <row r="6970" spans="3:19" x14ac:dyDescent="0.25">
      <c r="C6970" s="2"/>
      <c r="R6970"/>
      <c r="S6970"/>
    </row>
    <row r="6971" spans="3:19" x14ac:dyDescent="0.25">
      <c r="C6971" s="2"/>
      <c r="R6971"/>
      <c r="S6971"/>
    </row>
    <row r="6972" spans="3:19" x14ac:dyDescent="0.25">
      <c r="C6972" s="2"/>
      <c r="R6972"/>
      <c r="S6972"/>
    </row>
    <row r="6973" spans="3:19" x14ac:dyDescent="0.25">
      <c r="C6973" s="2"/>
      <c r="R6973"/>
      <c r="S6973"/>
    </row>
    <row r="6974" spans="3:19" x14ac:dyDescent="0.25">
      <c r="C6974" s="2"/>
      <c r="R6974"/>
      <c r="S6974"/>
    </row>
    <row r="6975" spans="3:19" x14ac:dyDescent="0.25">
      <c r="C6975" s="2"/>
      <c r="R6975"/>
      <c r="S6975"/>
    </row>
    <row r="6976" spans="3:19" x14ac:dyDescent="0.25">
      <c r="C6976" s="2"/>
      <c r="R6976"/>
      <c r="S6976"/>
    </row>
    <row r="6977" spans="3:19" x14ac:dyDescent="0.25">
      <c r="C6977" s="2"/>
      <c r="R6977"/>
      <c r="S6977"/>
    </row>
    <row r="6978" spans="3:19" x14ac:dyDescent="0.25">
      <c r="C6978" s="2"/>
      <c r="R6978"/>
      <c r="S6978"/>
    </row>
    <row r="6979" spans="3:19" x14ac:dyDescent="0.25">
      <c r="C6979" s="2"/>
      <c r="R6979"/>
      <c r="S6979"/>
    </row>
    <row r="6980" spans="3:19" x14ac:dyDescent="0.25">
      <c r="C6980" s="2"/>
      <c r="R6980"/>
      <c r="S6980"/>
    </row>
    <row r="6981" spans="3:19" x14ac:dyDescent="0.25">
      <c r="C6981" s="2"/>
      <c r="R6981"/>
      <c r="S6981"/>
    </row>
    <row r="6982" spans="3:19" x14ac:dyDescent="0.25">
      <c r="C6982" s="2"/>
      <c r="R6982"/>
      <c r="S6982"/>
    </row>
    <row r="6983" spans="3:19" x14ac:dyDescent="0.25">
      <c r="C6983" s="2"/>
      <c r="R6983"/>
      <c r="S6983"/>
    </row>
    <row r="6984" spans="3:19" x14ac:dyDescent="0.25">
      <c r="C6984" s="2"/>
      <c r="R6984"/>
      <c r="S6984"/>
    </row>
    <row r="6985" spans="3:19" x14ac:dyDescent="0.25">
      <c r="C6985" s="2"/>
      <c r="R6985"/>
      <c r="S6985"/>
    </row>
    <row r="6986" spans="3:19" x14ac:dyDescent="0.25">
      <c r="C6986" s="2"/>
      <c r="R6986"/>
      <c r="S6986"/>
    </row>
    <row r="6987" spans="3:19" x14ac:dyDescent="0.25">
      <c r="C6987" s="2"/>
      <c r="R6987"/>
      <c r="S6987"/>
    </row>
    <row r="6988" spans="3:19" x14ac:dyDescent="0.25">
      <c r="C6988" s="2"/>
      <c r="R6988"/>
      <c r="S6988"/>
    </row>
    <row r="6989" spans="3:19" x14ac:dyDescent="0.25">
      <c r="C6989" s="2"/>
      <c r="R6989"/>
      <c r="S6989"/>
    </row>
    <row r="6990" spans="3:19" x14ac:dyDescent="0.25">
      <c r="C6990" s="2"/>
      <c r="R6990"/>
      <c r="S6990"/>
    </row>
    <row r="6991" spans="3:19" x14ac:dyDescent="0.25">
      <c r="C6991" s="2"/>
      <c r="R6991"/>
      <c r="S6991"/>
    </row>
    <row r="6992" spans="3:19" x14ac:dyDescent="0.25">
      <c r="C6992" s="2"/>
      <c r="R6992"/>
      <c r="S6992"/>
    </row>
    <row r="6993" spans="3:19" x14ac:dyDescent="0.25">
      <c r="C6993" s="2"/>
      <c r="R6993"/>
      <c r="S6993"/>
    </row>
    <row r="6994" spans="3:19" x14ac:dyDescent="0.25">
      <c r="C6994" s="2"/>
      <c r="R6994"/>
      <c r="S6994"/>
    </row>
    <row r="6995" spans="3:19" x14ac:dyDescent="0.25">
      <c r="C6995" s="2"/>
      <c r="R6995"/>
      <c r="S6995"/>
    </row>
    <row r="6996" spans="3:19" x14ac:dyDescent="0.25">
      <c r="C6996" s="2"/>
      <c r="R6996"/>
      <c r="S6996"/>
    </row>
    <row r="6997" spans="3:19" x14ac:dyDescent="0.25">
      <c r="C6997" s="2"/>
      <c r="R6997"/>
      <c r="S6997"/>
    </row>
    <row r="6998" spans="3:19" x14ac:dyDescent="0.25">
      <c r="C6998" s="2"/>
      <c r="R6998"/>
      <c r="S6998"/>
    </row>
    <row r="6999" spans="3:19" x14ac:dyDescent="0.25">
      <c r="C6999" s="2"/>
      <c r="R6999"/>
      <c r="S6999"/>
    </row>
    <row r="7000" spans="3:19" x14ac:dyDescent="0.25">
      <c r="C7000" s="2"/>
      <c r="R7000"/>
      <c r="S7000"/>
    </row>
    <row r="7001" spans="3:19" x14ac:dyDescent="0.25">
      <c r="C7001" s="2"/>
      <c r="R7001"/>
      <c r="S7001"/>
    </row>
    <row r="7002" spans="3:19" x14ac:dyDescent="0.25">
      <c r="C7002" s="2"/>
      <c r="R7002"/>
      <c r="S7002"/>
    </row>
    <row r="7003" spans="3:19" x14ac:dyDescent="0.25">
      <c r="C7003" s="2"/>
      <c r="R7003"/>
      <c r="S7003"/>
    </row>
    <row r="7004" spans="3:19" x14ac:dyDescent="0.25">
      <c r="C7004" s="2"/>
      <c r="R7004"/>
      <c r="S7004"/>
    </row>
    <row r="7005" spans="3:19" x14ac:dyDescent="0.25">
      <c r="C7005" s="2"/>
      <c r="R7005"/>
      <c r="S7005"/>
    </row>
    <row r="7006" spans="3:19" x14ac:dyDescent="0.25">
      <c r="C7006" s="2"/>
      <c r="R7006"/>
      <c r="S7006"/>
    </row>
    <row r="7007" spans="3:19" x14ac:dyDescent="0.25">
      <c r="C7007" s="2"/>
      <c r="R7007"/>
      <c r="S7007"/>
    </row>
    <row r="7008" spans="3:19" x14ac:dyDescent="0.25">
      <c r="C7008" s="2"/>
      <c r="R7008"/>
      <c r="S7008"/>
    </row>
    <row r="7009" spans="3:19" x14ac:dyDescent="0.25">
      <c r="C7009" s="2"/>
      <c r="R7009"/>
      <c r="S7009"/>
    </row>
    <row r="7010" spans="3:19" x14ac:dyDescent="0.25">
      <c r="C7010" s="2"/>
      <c r="R7010"/>
      <c r="S7010"/>
    </row>
    <row r="7011" spans="3:19" x14ac:dyDescent="0.25">
      <c r="C7011" s="2"/>
      <c r="R7011"/>
      <c r="S7011"/>
    </row>
    <row r="7012" spans="3:19" x14ac:dyDescent="0.25">
      <c r="C7012" s="2"/>
      <c r="R7012"/>
      <c r="S7012"/>
    </row>
    <row r="7013" spans="3:19" x14ac:dyDescent="0.25">
      <c r="C7013" s="2"/>
      <c r="R7013"/>
      <c r="S7013"/>
    </row>
    <row r="7014" spans="3:19" x14ac:dyDescent="0.25">
      <c r="C7014" s="2"/>
      <c r="R7014"/>
      <c r="S7014"/>
    </row>
    <row r="7015" spans="3:19" x14ac:dyDescent="0.25">
      <c r="C7015" s="2"/>
      <c r="R7015"/>
      <c r="S7015"/>
    </row>
    <row r="7016" spans="3:19" x14ac:dyDescent="0.25">
      <c r="C7016" s="2"/>
      <c r="R7016"/>
      <c r="S7016"/>
    </row>
    <row r="7017" spans="3:19" x14ac:dyDescent="0.25">
      <c r="C7017" s="2"/>
      <c r="R7017"/>
      <c r="S7017"/>
    </row>
    <row r="7018" spans="3:19" x14ac:dyDescent="0.25">
      <c r="C7018" s="2"/>
      <c r="R7018"/>
      <c r="S7018"/>
    </row>
    <row r="7019" spans="3:19" x14ac:dyDescent="0.25">
      <c r="C7019" s="2"/>
      <c r="R7019"/>
      <c r="S7019"/>
    </row>
    <row r="7020" spans="3:19" x14ac:dyDescent="0.25">
      <c r="C7020" s="2"/>
      <c r="R7020"/>
      <c r="S7020"/>
    </row>
    <row r="7021" spans="3:19" x14ac:dyDescent="0.25">
      <c r="C7021" s="2"/>
      <c r="R7021"/>
      <c r="S7021"/>
    </row>
    <row r="7022" spans="3:19" x14ac:dyDescent="0.25">
      <c r="C7022" s="2"/>
      <c r="R7022"/>
      <c r="S7022"/>
    </row>
    <row r="7023" spans="3:19" x14ac:dyDescent="0.25">
      <c r="C7023" s="2"/>
      <c r="R7023"/>
      <c r="S7023"/>
    </row>
    <row r="7024" spans="3:19" x14ac:dyDescent="0.25">
      <c r="C7024" s="2"/>
      <c r="R7024"/>
      <c r="S7024"/>
    </row>
    <row r="7025" spans="3:19" x14ac:dyDescent="0.25">
      <c r="C7025" s="2"/>
      <c r="R7025"/>
      <c r="S7025"/>
    </row>
    <row r="7026" spans="3:19" x14ac:dyDescent="0.25">
      <c r="C7026" s="2"/>
      <c r="R7026"/>
      <c r="S7026"/>
    </row>
    <row r="7027" spans="3:19" x14ac:dyDescent="0.25">
      <c r="C7027" s="2"/>
      <c r="R7027"/>
      <c r="S7027"/>
    </row>
    <row r="7028" spans="3:19" x14ac:dyDescent="0.25">
      <c r="C7028" s="2"/>
      <c r="R7028"/>
      <c r="S7028"/>
    </row>
    <row r="7029" spans="3:19" x14ac:dyDescent="0.25">
      <c r="C7029" s="2"/>
      <c r="R7029"/>
      <c r="S7029"/>
    </row>
    <row r="7030" spans="3:19" x14ac:dyDescent="0.25">
      <c r="C7030" s="2"/>
      <c r="R7030"/>
      <c r="S7030"/>
    </row>
    <row r="7031" spans="3:19" x14ac:dyDescent="0.25">
      <c r="C7031" s="2"/>
      <c r="R7031"/>
      <c r="S7031"/>
    </row>
    <row r="7032" spans="3:19" x14ac:dyDescent="0.25">
      <c r="C7032" s="2"/>
      <c r="R7032"/>
      <c r="S7032"/>
    </row>
    <row r="7033" spans="3:19" x14ac:dyDescent="0.25">
      <c r="C7033" s="2"/>
      <c r="R7033"/>
      <c r="S7033"/>
    </row>
    <row r="7034" spans="3:19" x14ac:dyDescent="0.25">
      <c r="C7034" s="2"/>
      <c r="R7034"/>
      <c r="S7034"/>
    </row>
    <row r="7035" spans="3:19" x14ac:dyDescent="0.25">
      <c r="C7035" s="2"/>
      <c r="R7035"/>
      <c r="S7035"/>
    </row>
    <row r="7036" spans="3:19" x14ac:dyDescent="0.25">
      <c r="C7036" s="2"/>
      <c r="R7036"/>
      <c r="S7036"/>
    </row>
    <row r="7037" spans="3:19" x14ac:dyDescent="0.25">
      <c r="C7037" s="2"/>
      <c r="R7037"/>
      <c r="S7037"/>
    </row>
    <row r="7038" spans="3:19" x14ac:dyDescent="0.25">
      <c r="C7038" s="2"/>
      <c r="R7038"/>
      <c r="S7038"/>
    </row>
    <row r="7039" spans="3:19" x14ac:dyDescent="0.25">
      <c r="C7039" s="2"/>
      <c r="R7039"/>
      <c r="S7039"/>
    </row>
    <row r="7040" spans="3:19" x14ac:dyDescent="0.25">
      <c r="C7040" s="2"/>
      <c r="R7040"/>
      <c r="S7040"/>
    </row>
    <row r="7041" spans="3:19" x14ac:dyDescent="0.25">
      <c r="C7041" s="2"/>
      <c r="R7041"/>
      <c r="S7041"/>
    </row>
    <row r="7042" spans="3:19" x14ac:dyDescent="0.25">
      <c r="C7042" s="2"/>
      <c r="R7042"/>
      <c r="S7042"/>
    </row>
    <row r="7043" spans="3:19" x14ac:dyDescent="0.25">
      <c r="C7043" s="2"/>
      <c r="R7043"/>
      <c r="S7043"/>
    </row>
    <row r="7044" spans="3:19" x14ac:dyDescent="0.25">
      <c r="C7044" s="2"/>
      <c r="R7044"/>
      <c r="S7044"/>
    </row>
    <row r="7045" spans="3:19" x14ac:dyDescent="0.25">
      <c r="C7045" s="2"/>
      <c r="R7045"/>
      <c r="S7045"/>
    </row>
    <row r="7046" spans="3:19" x14ac:dyDescent="0.25">
      <c r="C7046" s="2"/>
      <c r="R7046"/>
      <c r="S7046"/>
    </row>
    <row r="7047" spans="3:19" x14ac:dyDescent="0.25">
      <c r="C7047" s="2"/>
      <c r="R7047"/>
      <c r="S7047"/>
    </row>
    <row r="7048" spans="3:19" x14ac:dyDescent="0.25">
      <c r="C7048" s="2"/>
      <c r="R7048"/>
      <c r="S7048"/>
    </row>
    <row r="7049" spans="3:19" x14ac:dyDescent="0.25">
      <c r="C7049" s="2"/>
      <c r="R7049"/>
      <c r="S7049"/>
    </row>
    <row r="7050" spans="3:19" x14ac:dyDescent="0.25">
      <c r="C7050" s="2"/>
      <c r="R7050"/>
      <c r="S7050"/>
    </row>
    <row r="7051" spans="3:19" x14ac:dyDescent="0.25">
      <c r="C7051" s="2"/>
      <c r="R7051"/>
      <c r="S7051"/>
    </row>
    <row r="7052" spans="3:19" x14ac:dyDescent="0.25">
      <c r="C7052" s="2"/>
      <c r="R7052"/>
      <c r="S7052"/>
    </row>
    <row r="7053" spans="3:19" x14ac:dyDescent="0.25">
      <c r="C7053" s="2"/>
      <c r="R7053"/>
      <c r="S7053"/>
    </row>
    <row r="7054" spans="3:19" x14ac:dyDescent="0.25">
      <c r="C7054" s="2"/>
      <c r="R7054"/>
      <c r="S7054"/>
    </row>
    <row r="7055" spans="3:19" x14ac:dyDescent="0.25">
      <c r="C7055" s="2"/>
      <c r="R7055"/>
      <c r="S7055"/>
    </row>
    <row r="7056" spans="3:19" x14ac:dyDescent="0.25">
      <c r="C7056" s="2"/>
      <c r="R7056"/>
      <c r="S7056"/>
    </row>
    <row r="7057" spans="3:19" x14ac:dyDescent="0.25">
      <c r="C7057" s="2"/>
      <c r="R7057"/>
      <c r="S7057"/>
    </row>
    <row r="7058" spans="3:19" x14ac:dyDescent="0.25">
      <c r="C7058" s="2"/>
      <c r="R7058"/>
      <c r="S7058"/>
    </row>
    <row r="7059" spans="3:19" x14ac:dyDescent="0.25">
      <c r="C7059" s="2"/>
      <c r="R7059"/>
      <c r="S7059"/>
    </row>
    <row r="7060" spans="3:19" x14ac:dyDescent="0.25">
      <c r="C7060" s="2"/>
      <c r="R7060"/>
      <c r="S7060"/>
    </row>
    <row r="7061" spans="3:19" x14ac:dyDescent="0.25">
      <c r="C7061" s="2"/>
      <c r="R7061"/>
      <c r="S7061"/>
    </row>
    <row r="7062" spans="3:19" x14ac:dyDescent="0.25">
      <c r="C7062" s="2"/>
      <c r="R7062"/>
      <c r="S7062"/>
    </row>
    <row r="7063" spans="3:19" x14ac:dyDescent="0.25">
      <c r="C7063" s="2"/>
      <c r="R7063"/>
      <c r="S7063"/>
    </row>
    <row r="7064" spans="3:19" x14ac:dyDescent="0.25">
      <c r="C7064" s="2"/>
      <c r="R7064"/>
      <c r="S7064"/>
    </row>
    <row r="7065" spans="3:19" x14ac:dyDescent="0.25">
      <c r="C7065" s="2"/>
      <c r="R7065"/>
      <c r="S7065"/>
    </row>
    <row r="7066" spans="3:19" x14ac:dyDescent="0.25">
      <c r="C7066" s="2"/>
      <c r="R7066"/>
      <c r="S7066"/>
    </row>
    <row r="7067" spans="3:19" x14ac:dyDescent="0.25">
      <c r="C7067" s="2"/>
      <c r="R7067"/>
      <c r="S7067"/>
    </row>
    <row r="7068" spans="3:19" x14ac:dyDescent="0.25">
      <c r="C7068" s="2"/>
      <c r="R7068"/>
      <c r="S7068"/>
    </row>
    <row r="7069" spans="3:19" x14ac:dyDescent="0.25">
      <c r="C7069" s="2"/>
      <c r="R7069"/>
      <c r="S7069"/>
    </row>
    <row r="7070" spans="3:19" x14ac:dyDescent="0.25">
      <c r="C7070" s="2"/>
      <c r="R7070"/>
      <c r="S7070"/>
    </row>
    <row r="7071" spans="3:19" x14ac:dyDescent="0.25">
      <c r="C7071" s="2"/>
      <c r="R7071"/>
      <c r="S7071"/>
    </row>
    <row r="7072" spans="3:19" x14ac:dyDescent="0.25">
      <c r="C7072" s="2"/>
      <c r="R7072"/>
      <c r="S7072"/>
    </row>
    <row r="7073" spans="3:19" x14ac:dyDescent="0.25">
      <c r="C7073" s="2"/>
      <c r="R7073"/>
      <c r="S7073"/>
    </row>
    <row r="7074" spans="3:19" x14ac:dyDescent="0.25">
      <c r="C7074" s="2"/>
      <c r="R7074"/>
      <c r="S7074"/>
    </row>
    <row r="7075" spans="3:19" x14ac:dyDescent="0.25">
      <c r="C7075" s="2"/>
      <c r="R7075"/>
      <c r="S7075"/>
    </row>
    <row r="7076" spans="3:19" x14ac:dyDescent="0.25">
      <c r="C7076" s="2"/>
      <c r="R7076"/>
      <c r="S7076"/>
    </row>
    <row r="7077" spans="3:19" x14ac:dyDescent="0.25">
      <c r="C7077" s="2"/>
      <c r="R7077"/>
      <c r="S7077"/>
    </row>
    <row r="7078" spans="3:19" x14ac:dyDescent="0.25">
      <c r="C7078" s="2"/>
      <c r="R7078"/>
      <c r="S7078"/>
    </row>
    <row r="7079" spans="3:19" x14ac:dyDescent="0.25">
      <c r="C7079" s="2"/>
      <c r="R7079"/>
      <c r="S7079"/>
    </row>
    <row r="7080" spans="3:19" x14ac:dyDescent="0.25">
      <c r="C7080" s="2"/>
      <c r="R7080"/>
      <c r="S7080"/>
    </row>
    <row r="7081" spans="3:19" x14ac:dyDescent="0.25">
      <c r="C7081" s="2"/>
      <c r="R7081"/>
      <c r="S7081"/>
    </row>
    <row r="7082" spans="3:19" x14ac:dyDescent="0.25">
      <c r="C7082" s="2"/>
      <c r="R7082"/>
      <c r="S7082"/>
    </row>
    <row r="7083" spans="3:19" x14ac:dyDescent="0.25">
      <c r="C7083" s="2"/>
      <c r="R7083"/>
      <c r="S7083"/>
    </row>
    <row r="7084" spans="3:19" x14ac:dyDescent="0.25">
      <c r="C7084" s="2"/>
      <c r="R7084"/>
      <c r="S7084"/>
    </row>
    <row r="7085" spans="3:19" x14ac:dyDescent="0.25">
      <c r="C7085" s="2"/>
      <c r="R7085"/>
      <c r="S7085"/>
    </row>
    <row r="7086" spans="3:19" x14ac:dyDescent="0.25">
      <c r="C7086" s="2"/>
      <c r="R7086"/>
      <c r="S7086"/>
    </row>
    <row r="7087" spans="3:19" x14ac:dyDescent="0.25">
      <c r="C7087" s="2"/>
      <c r="R7087"/>
      <c r="S7087"/>
    </row>
    <row r="7088" spans="3:19" x14ac:dyDescent="0.25">
      <c r="C7088" s="2"/>
      <c r="R7088"/>
      <c r="S7088"/>
    </row>
    <row r="7089" spans="3:19" x14ac:dyDescent="0.25">
      <c r="C7089" s="2"/>
      <c r="R7089"/>
      <c r="S7089"/>
    </row>
    <row r="7090" spans="3:19" x14ac:dyDescent="0.25">
      <c r="C7090" s="2"/>
      <c r="R7090"/>
      <c r="S7090"/>
    </row>
    <row r="7091" spans="3:19" x14ac:dyDescent="0.25">
      <c r="C7091" s="2"/>
      <c r="R7091"/>
      <c r="S7091"/>
    </row>
    <row r="7092" spans="3:19" x14ac:dyDescent="0.25">
      <c r="C7092" s="2"/>
      <c r="R7092"/>
      <c r="S7092"/>
    </row>
    <row r="7093" spans="3:19" x14ac:dyDescent="0.25">
      <c r="C7093" s="2"/>
      <c r="R7093"/>
      <c r="S7093"/>
    </row>
    <row r="7094" spans="3:19" x14ac:dyDescent="0.25">
      <c r="C7094" s="2"/>
      <c r="R7094"/>
      <c r="S7094"/>
    </row>
    <row r="7095" spans="3:19" x14ac:dyDescent="0.25">
      <c r="C7095" s="2"/>
      <c r="R7095"/>
      <c r="S7095"/>
    </row>
    <row r="7096" spans="3:19" x14ac:dyDescent="0.25">
      <c r="C7096" s="2"/>
      <c r="R7096"/>
      <c r="S7096"/>
    </row>
    <row r="7097" spans="3:19" x14ac:dyDescent="0.25">
      <c r="C7097" s="2"/>
      <c r="R7097"/>
      <c r="S7097"/>
    </row>
    <row r="7098" spans="3:19" x14ac:dyDescent="0.25">
      <c r="C7098" s="2"/>
      <c r="R7098"/>
      <c r="S7098"/>
    </row>
    <row r="7099" spans="3:19" x14ac:dyDescent="0.25">
      <c r="C7099" s="2"/>
      <c r="R7099"/>
      <c r="S7099"/>
    </row>
    <row r="7100" spans="3:19" x14ac:dyDescent="0.25">
      <c r="C7100" s="2"/>
      <c r="R7100"/>
      <c r="S7100"/>
    </row>
    <row r="7101" spans="3:19" x14ac:dyDescent="0.25">
      <c r="C7101" s="2"/>
      <c r="R7101"/>
      <c r="S7101"/>
    </row>
    <row r="7102" spans="3:19" x14ac:dyDescent="0.25">
      <c r="C7102" s="2"/>
      <c r="R7102"/>
      <c r="S7102"/>
    </row>
    <row r="7103" spans="3:19" x14ac:dyDescent="0.25">
      <c r="C7103" s="2"/>
      <c r="R7103"/>
      <c r="S7103"/>
    </row>
    <row r="7104" spans="3:19" x14ac:dyDescent="0.25">
      <c r="C7104" s="2"/>
      <c r="R7104"/>
      <c r="S7104"/>
    </row>
    <row r="7105" spans="3:19" x14ac:dyDescent="0.25">
      <c r="C7105" s="2"/>
      <c r="R7105"/>
      <c r="S7105"/>
    </row>
    <row r="7106" spans="3:19" x14ac:dyDescent="0.25">
      <c r="C7106" s="2"/>
      <c r="R7106"/>
      <c r="S7106"/>
    </row>
    <row r="7107" spans="3:19" x14ac:dyDescent="0.25">
      <c r="C7107" s="2"/>
      <c r="R7107"/>
      <c r="S7107"/>
    </row>
    <row r="7108" spans="3:19" x14ac:dyDescent="0.25">
      <c r="C7108" s="2"/>
      <c r="R7108"/>
      <c r="S7108"/>
    </row>
    <row r="7109" spans="3:19" x14ac:dyDescent="0.25">
      <c r="C7109" s="2"/>
      <c r="R7109"/>
      <c r="S7109"/>
    </row>
    <row r="7110" spans="3:19" x14ac:dyDescent="0.25">
      <c r="C7110" s="2"/>
      <c r="R7110"/>
      <c r="S7110"/>
    </row>
    <row r="7111" spans="3:19" x14ac:dyDescent="0.25">
      <c r="C7111" s="2"/>
      <c r="R7111"/>
      <c r="S7111"/>
    </row>
    <row r="7112" spans="3:19" x14ac:dyDescent="0.25">
      <c r="C7112" s="2"/>
      <c r="R7112"/>
      <c r="S7112"/>
    </row>
    <row r="7113" spans="3:19" x14ac:dyDescent="0.25">
      <c r="C7113" s="2"/>
      <c r="R7113"/>
      <c r="S7113"/>
    </row>
    <row r="7114" spans="3:19" x14ac:dyDescent="0.25">
      <c r="C7114" s="2"/>
      <c r="R7114"/>
      <c r="S7114"/>
    </row>
    <row r="7115" spans="3:19" x14ac:dyDescent="0.25">
      <c r="C7115" s="2"/>
      <c r="R7115"/>
      <c r="S7115"/>
    </row>
    <row r="7116" spans="3:19" x14ac:dyDescent="0.25">
      <c r="C7116" s="2"/>
      <c r="R7116"/>
      <c r="S7116"/>
    </row>
    <row r="7117" spans="3:19" x14ac:dyDescent="0.25">
      <c r="C7117" s="2"/>
      <c r="R7117"/>
      <c r="S7117"/>
    </row>
    <row r="7118" spans="3:19" x14ac:dyDescent="0.25">
      <c r="C7118" s="2"/>
      <c r="R7118"/>
      <c r="S7118"/>
    </row>
    <row r="7119" spans="3:19" x14ac:dyDescent="0.25">
      <c r="C7119" s="2"/>
      <c r="R7119"/>
      <c r="S7119"/>
    </row>
    <row r="7120" spans="3:19" x14ac:dyDescent="0.25">
      <c r="C7120" s="2"/>
      <c r="R7120"/>
      <c r="S7120"/>
    </row>
    <row r="7121" spans="3:19" x14ac:dyDescent="0.25">
      <c r="C7121" s="2"/>
      <c r="R7121"/>
      <c r="S7121"/>
    </row>
    <row r="7122" spans="3:19" x14ac:dyDescent="0.25">
      <c r="C7122" s="2"/>
      <c r="R7122"/>
      <c r="S7122"/>
    </row>
    <row r="7123" spans="3:19" x14ac:dyDescent="0.25">
      <c r="C7123" s="2"/>
      <c r="R7123"/>
      <c r="S7123"/>
    </row>
    <row r="7124" spans="3:19" x14ac:dyDescent="0.25">
      <c r="C7124" s="2"/>
      <c r="R7124"/>
      <c r="S7124"/>
    </row>
    <row r="7125" spans="3:19" x14ac:dyDescent="0.25">
      <c r="C7125" s="2"/>
      <c r="R7125"/>
      <c r="S7125"/>
    </row>
    <row r="7126" spans="3:19" x14ac:dyDescent="0.25">
      <c r="C7126" s="2"/>
      <c r="R7126"/>
      <c r="S7126"/>
    </row>
    <row r="7127" spans="3:19" x14ac:dyDescent="0.25">
      <c r="C7127" s="2"/>
      <c r="R7127"/>
      <c r="S7127"/>
    </row>
    <row r="7128" spans="3:19" x14ac:dyDescent="0.25">
      <c r="C7128" s="2"/>
      <c r="R7128"/>
      <c r="S7128"/>
    </row>
    <row r="7129" spans="3:19" x14ac:dyDescent="0.25">
      <c r="C7129" s="2"/>
      <c r="R7129"/>
      <c r="S7129"/>
    </row>
    <row r="7130" spans="3:19" x14ac:dyDescent="0.25">
      <c r="C7130" s="2"/>
      <c r="R7130"/>
      <c r="S7130"/>
    </row>
    <row r="7131" spans="3:19" x14ac:dyDescent="0.25">
      <c r="C7131" s="2"/>
      <c r="R7131"/>
      <c r="S7131"/>
    </row>
    <row r="7132" spans="3:19" x14ac:dyDescent="0.25">
      <c r="C7132" s="2"/>
      <c r="R7132"/>
      <c r="S7132"/>
    </row>
    <row r="7133" spans="3:19" x14ac:dyDescent="0.25">
      <c r="C7133" s="2"/>
      <c r="R7133"/>
      <c r="S7133"/>
    </row>
    <row r="7134" spans="3:19" x14ac:dyDescent="0.25">
      <c r="C7134" s="2"/>
      <c r="R7134"/>
      <c r="S7134"/>
    </row>
    <row r="7135" spans="3:19" x14ac:dyDescent="0.25">
      <c r="C7135" s="2"/>
      <c r="R7135"/>
      <c r="S7135"/>
    </row>
    <row r="7136" spans="3:19" x14ac:dyDescent="0.25">
      <c r="C7136" s="2"/>
      <c r="R7136"/>
      <c r="S7136"/>
    </row>
    <row r="7137" spans="3:19" x14ac:dyDescent="0.25">
      <c r="C7137" s="2"/>
      <c r="R7137"/>
      <c r="S7137"/>
    </row>
    <row r="7138" spans="3:19" x14ac:dyDescent="0.25">
      <c r="C7138" s="2"/>
      <c r="R7138"/>
      <c r="S7138"/>
    </row>
    <row r="7139" spans="3:19" x14ac:dyDescent="0.25">
      <c r="C7139" s="2"/>
      <c r="R7139"/>
      <c r="S7139"/>
    </row>
    <row r="7140" spans="3:19" x14ac:dyDescent="0.25">
      <c r="C7140" s="2"/>
      <c r="R7140"/>
      <c r="S7140"/>
    </row>
    <row r="7141" spans="3:19" x14ac:dyDescent="0.25">
      <c r="C7141" s="2"/>
      <c r="R7141"/>
      <c r="S7141"/>
    </row>
    <row r="7142" spans="3:19" x14ac:dyDescent="0.25">
      <c r="C7142" s="2"/>
      <c r="R7142"/>
      <c r="S7142"/>
    </row>
    <row r="7143" spans="3:19" x14ac:dyDescent="0.25">
      <c r="C7143" s="2"/>
      <c r="R7143"/>
      <c r="S7143"/>
    </row>
    <row r="7144" spans="3:19" x14ac:dyDescent="0.25">
      <c r="C7144" s="2"/>
      <c r="R7144"/>
      <c r="S7144"/>
    </row>
    <row r="7145" spans="3:19" x14ac:dyDescent="0.25">
      <c r="C7145" s="2"/>
      <c r="R7145"/>
      <c r="S7145"/>
    </row>
    <row r="7146" spans="3:19" x14ac:dyDescent="0.25">
      <c r="C7146" s="2"/>
      <c r="R7146"/>
      <c r="S7146"/>
    </row>
    <row r="7147" spans="3:19" x14ac:dyDescent="0.25">
      <c r="C7147" s="2"/>
      <c r="R7147"/>
      <c r="S7147"/>
    </row>
    <row r="7148" spans="3:19" x14ac:dyDescent="0.25">
      <c r="C7148" s="2"/>
      <c r="R7148"/>
      <c r="S7148"/>
    </row>
    <row r="7149" spans="3:19" x14ac:dyDescent="0.25">
      <c r="C7149" s="2"/>
      <c r="R7149"/>
      <c r="S7149"/>
    </row>
    <row r="7150" spans="3:19" x14ac:dyDescent="0.25">
      <c r="C7150" s="2"/>
      <c r="R7150"/>
      <c r="S7150"/>
    </row>
    <row r="7151" spans="3:19" x14ac:dyDescent="0.25">
      <c r="C7151" s="2"/>
      <c r="R7151"/>
      <c r="S7151"/>
    </row>
    <row r="7152" spans="3:19" x14ac:dyDescent="0.25">
      <c r="C7152" s="2"/>
      <c r="R7152"/>
      <c r="S7152"/>
    </row>
    <row r="7153" spans="3:19" x14ac:dyDescent="0.25">
      <c r="C7153" s="2"/>
      <c r="R7153"/>
      <c r="S7153"/>
    </row>
    <row r="7154" spans="3:19" x14ac:dyDescent="0.25">
      <c r="C7154" s="2"/>
      <c r="R7154"/>
      <c r="S7154"/>
    </row>
    <row r="7155" spans="3:19" x14ac:dyDescent="0.25">
      <c r="C7155" s="2"/>
      <c r="R7155"/>
      <c r="S7155"/>
    </row>
    <row r="7156" spans="3:19" x14ac:dyDescent="0.25">
      <c r="C7156" s="2"/>
      <c r="R7156"/>
      <c r="S7156"/>
    </row>
    <row r="7157" spans="3:19" x14ac:dyDescent="0.25">
      <c r="C7157" s="2"/>
      <c r="R7157"/>
      <c r="S7157"/>
    </row>
    <row r="7158" spans="3:19" x14ac:dyDescent="0.25">
      <c r="C7158" s="2"/>
      <c r="R7158"/>
      <c r="S7158"/>
    </row>
    <row r="7159" spans="3:19" x14ac:dyDescent="0.25">
      <c r="C7159" s="2"/>
      <c r="R7159"/>
      <c r="S7159"/>
    </row>
    <row r="7160" spans="3:19" x14ac:dyDescent="0.25">
      <c r="C7160" s="2"/>
      <c r="R7160"/>
      <c r="S7160"/>
    </row>
    <row r="7161" spans="3:19" x14ac:dyDescent="0.25">
      <c r="C7161" s="2"/>
      <c r="R7161"/>
      <c r="S7161"/>
    </row>
    <row r="7162" spans="3:19" x14ac:dyDescent="0.25">
      <c r="C7162" s="2"/>
      <c r="R7162"/>
      <c r="S7162"/>
    </row>
    <row r="7163" spans="3:19" x14ac:dyDescent="0.25">
      <c r="C7163" s="2"/>
      <c r="R7163"/>
      <c r="S7163"/>
    </row>
    <row r="7164" spans="3:19" x14ac:dyDescent="0.25">
      <c r="C7164" s="2"/>
      <c r="R7164"/>
      <c r="S7164"/>
    </row>
    <row r="7165" spans="3:19" x14ac:dyDescent="0.25">
      <c r="C7165" s="2"/>
      <c r="R7165"/>
      <c r="S7165"/>
    </row>
    <row r="7166" spans="3:19" x14ac:dyDescent="0.25">
      <c r="C7166" s="2"/>
      <c r="R7166"/>
      <c r="S7166"/>
    </row>
    <row r="7167" spans="3:19" x14ac:dyDescent="0.25">
      <c r="C7167" s="2"/>
      <c r="R7167"/>
      <c r="S7167"/>
    </row>
    <row r="7168" spans="3:19" x14ac:dyDescent="0.25">
      <c r="C7168" s="2"/>
      <c r="R7168"/>
      <c r="S7168"/>
    </row>
    <row r="7169" spans="3:19" x14ac:dyDescent="0.25">
      <c r="C7169" s="2"/>
      <c r="R7169"/>
      <c r="S7169"/>
    </row>
    <row r="7170" spans="3:19" x14ac:dyDescent="0.25">
      <c r="C7170" s="2"/>
      <c r="R7170"/>
      <c r="S7170"/>
    </row>
    <row r="7171" spans="3:19" x14ac:dyDescent="0.25">
      <c r="C7171" s="2"/>
      <c r="R7171"/>
      <c r="S7171"/>
    </row>
    <row r="7172" spans="3:19" x14ac:dyDescent="0.25">
      <c r="C7172" s="2"/>
      <c r="R7172"/>
      <c r="S7172"/>
    </row>
    <row r="7173" spans="3:19" x14ac:dyDescent="0.25">
      <c r="C7173" s="2"/>
      <c r="R7173"/>
      <c r="S7173"/>
    </row>
    <row r="7174" spans="3:19" x14ac:dyDescent="0.25">
      <c r="C7174" s="2"/>
      <c r="R7174"/>
      <c r="S7174"/>
    </row>
    <row r="7175" spans="3:19" x14ac:dyDescent="0.25">
      <c r="C7175" s="2"/>
      <c r="R7175"/>
      <c r="S7175"/>
    </row>
    <row r="7176" spans="3:19" x14ac:dyDescent="0.25">
      <c r="C7176" s="2"/>
      <c r="R7176"/>
      <c r="S7176"/>
    </row>
    <row r="7177" spans="3:19" x14ac:dyDescent="0.25">
      <c r="C7177" s="2"/>
      <c r="R7177"/>
      <c r="S7177"/>
    </row>
    <row r="7178" spans="3:19" x14ac:dyDescent="0.25">
      <c r="C7178" s="2"/>
      <c r="R7178"/>
      <c r="S7178"/>
    </row>
    <row r="7179" spans="3:19" x14ac:dyDescent="0.25">
      <c r="C7179" s="2"/>
      <c r="R7179"/>
      <c r="S7179"/>
    </row>
    <row r="7180" spans="3:19" x14ac:dyDescent="0.25">
      <c r="C7180" s="2"/>
      <c r="R7180"/>
      <c r="S7180"/>
    </row>
    <row r="7181" spans="3:19" x14ac:dyDescent="0.25">
      <c r="C7181" s="2"/>
      <c r="R7181"/>
      <c r="S7181"/>
    </row>
    <row r="7182" spans="3:19" x14ac:dyDescent="0.25">
      <c r="C7182" s="2"/>
      <c r="R7182"/>
      <c r="S7182"/>
    </row>
    <row r="7183" spans="3:19" x14ac:dyDescent="0.25">
      <c r="C7183" s="2"/>
      <c r="R7183"/>
      <c r="S7183"/>
    </row>
    <row r="7184" spans="3:19" x14ac:dyDescent="0.25">
      <c r="C7184" s="2"/>
      <c r="R7184"/>
      <c r="S7184"/>
    </row>
    <row r="7185" spans="3:19" x14ac:dyDescent="0.25">
      <c r="C7185" s="2"/>
      <c r="R7185"/>
      <c r="S7185"/>
    </row>
    <row r="7186" spans="3:19" x14ac:dyDescent="0.25">
      <c r="C7186" s="2"/>
      <c r="R7186"/>
      <c r="S7186"/>
    </row>
    <row r="7187" spans="3:19" x14ac:dyDescent="0.25">
      <c r="C7187" s="2"/>
      <c r="R7187"/>
      <c r="S7187"/>
    </row>
    <row r="7188" spans="3:19" x14ac:dyDescent="0.25">
      <c r="C7188" s="2"/>
      <c r="R7188"/>
      <c r="S7188"/>
    </row>
    <row r="7189" spans="3:19" x14ac:dyDescent="0.25">
      <c r="C7189" s="2"/>
      <c r="R7189"/>
      <c r="S7189"/>
    </row>
    <row r="7190" spans="3:19" x14ac:dyDescent="0.25">
      <c r="C7190" s="2"/>
      <c r="R7190"/>
      <c r="S7190"/>
    </row>
    <row r="7191" spans="3:19" x14ac:dyDescent="0.25">
      <c r="C7191" s="2"/>
      <c r="R7191"/>
      <c r="S7191"/>
    </row>
    <row r="7192" spans="3:19" x14ac:dyDescent="0.25">
      <c r="C7192" s="2"/>
      <c r="R7192"/>
      <c r="S7192"/>
    </row>
    <row r="7193" spans="3:19" x14ac:dyDescent="0.25">
      <c r="C7193" s="2"/>
      <c r="R7193"/>
      <c r="S7193"/>
    </row>
    <row r="7194" spans="3:19" x14ac:dyDescent="0.25">
      <c r="C7194" s="2"/>
      <c r="R7194"/>
      <c r="S7194"/>
    </row>
    <row r="7195" spans="3:19" x14ac:dyDescent="0.25">
      <c r="C7195" s="2"/>
      <c r="R7195"/>
      <c r="S7195"/>
    </row>
    <row r="7196" spans="3:19" x14ac:dyDescent="0.25">
      <c r="C7196" s="2"/>
      <c r="R7196"/>
      <c r="S7196"/>
    </row>
    <row r="7197" spans="3:19" x14ac:dyDescent="0.25">
      <c r="C7197" s="2"/>
      <c r="R7197"/>
      <c r="S7197"/>
    </row>
    <row r="7198" spans="3:19" x14ac:dyDescent="0.25">
      <c r="C7198" s="2"/>
      <c r="R7198"/>
      <c r="S7198"/>
    </row>
    <row r="7199" spans="3:19" x14ac:dyDescent="0.25">
      <c r="C7199" s="2"/>
      <c r="R7199"/>
      <c r="S7199"/>
    </row>
    <row r="7200" spans="3:19" x14ac:dyDescent="0.25">
      <c r="C7200" s="2"/>
      <c r="R7200"/>
      <c r="S7200"/>
    </row>
    <row r="7201" spans="3:19" x14ac:dyDescent="0.25">
      <c r="C7201" s="2"/>
      <c r="R7201"/>
      <c r="S7201"/>
    </row>
    <row r="7202" spans="3:19" x14ac:dyDescent="0.25">
      <c r="C7202" s="2"/>
      <c r="R7202"/>
      <c r="S7202"/>
    </row>
    <row r="7203" spans="3:19" x14ac:dyDescent="0.25">
      <c r="C7203" s="2"/>
      <c r="R7203"/>
      <c r="S7203"/>
    </row>
    <row r="7204" spans="3:19" x14ac:dyDescent="0.25">
      <c r="C7204" s="2"/>
      <c r="R7204"/>
      <c r="S7204"/>
    </row>
    <row r="7205" spans="3:19" x14ac:dyDescent="0.25">
      <c r="C7205" s="2"/>
      <c r="R7205"/>
      <c r="S7205"/>
    </row>
    <row r="7206" spans="3:19" x14ac:dyDescent="0.25">
      <c r="C7206" s="2"/>
      <c r="R7206"/>
      <c r="S7206"/>
    </row>
    <row r="7207" spans="3:19" x14ac:dyDescent="0.25">
      <c r="C7207" s="2"/>
      <c r="R7207"/>
      <c r="S7207"/>
    </row>
    <row r="7208" spans="3:19" x14ac:dyDescent="0.25">
      <c r="C7208" s="2"/>
      <c r="R7208"/>
      <c r="S7208"/>
    </row>
    <row r="7209" spans="3:19" x14ac:dyDescent="0.25">
      <c r="C7209" s="2"/>
      <c r="R7209"/>
      <c r="S7209"/>
    </row>
    <row r="7210" spans="3:19" x14ac:dyDescent="0.25">
      <c r="C7210" s="2"/>
      <c r="R7210"/>
      <c r="S7210"/>
    </row>
    <row r="7211" spans="3:19" x14ac:dyDescent="0.25">
      <c r="C7211" s="2"/>
      <c r="R7211"/>
      <c r="S7211"/>
    </row>
    <row r="7212" spans="3:19" x14ac:dyDescent="0.25">
      <c r="C7212" s="2"/>
      <c r="R7212"/>
      <c r="S7212"/>
    </row>
    <row r="7213" spans="3:19" x14ac:dyDescent="0.25">
      <c r="C7213" s="2"/>
      <c r="R7213"/>
      <c r="S7213"/>
    </row>
    <row r="7214" spans="3:19" x14ac:dyDescent="0.25">
      <c r="C7214" s="2"/>
      <c r="R7214"/>
      <c r="S7214"/>
    </row>
    <row r="7215" spans="3:19" x14ac:dyDescent="0.25">
      <c r="C7215" s="2"/>
      <c r="R7215"/>
      <c r="S7215"/>
    </row>
    <row r="7216" spans="3:19" x14ac:dyDescent="0.25">
      <c r="C7216" s="2"/>
      <c r="R7216"/>
      <c r="S7216"/>
    </row>
    <row r="7217" spans="3:19" x14ac:dyDescent="0.25">
      <c r="C7217" s="2"/>
      <c r="R7217"/>
      <c r="S7217"/>
    </row>
    <row r="7218" spans="3:19" x14ac:dyDescent="0.25">
      <c r="C7218" s="2"/>
      <c r="R7218"/>
      <c r="S7218"/>
    </row>
    <row r="7219" spans="3:19" x14ac:dyDescent="0.25">
      <c r="C7219" s="2"/>
      <c r="R7219"/>
      <c r="S7219"/>
    </row>
    <row r="7220" spans="3:19" x14ac:dyDescent="0.25">
      <c r="C7220" s="2"/>
      <c r="R7220"/>
      <c r="S7220"/>
    </row>
    <row r="7221" spans="3:19" x14ac:dyDescent="0.25">
      <c r="C7221" s="2"/>
      <c r="R7221"/>
      <c r="S7221"/>
    </row>
    <row r="7222" spans="3:19" x14ac:dyDescent="0.25">
      <c r="C7222" s="2"/>
      <c r="R7222"/>
      <c r="S7222"/>
    </row>
    <row r="7223" spans="3:19" x14ac:dyDescent="0.25">
      <c r="C7223" s="2"/>
      <c r="R7223"/>
      <c r="S7223"/>
    </row>
    <row r="7224" spans="3:19" x14ac:dyDescent="0.25">
      <c r="C7224" s="2"/>
      <c r="R7224"/>
      <c r="S7224"/>
    </row>
    <row r="7225" spans="3:19" x14ac:dyDescent="0.25">
      <c r="C7225" s="2"/>
      <c r="R7225"/>
      <c r="S7225"/>
    </row>
    <row r="7226" spans="3:19" x14ac:dyDescent="0.25">
      <c r="C7226" s="2"/>
      <c r="R7226"/>
      <c r="S7226"/>
    </row>
    <row r="7227" spans="3:19" x14ac:dyDescent="0.25">
      <c r="C7227" s="2"/>
      <c r="R7227"/>
      <c r="S7227"/>
    </row>
    <row r="7228" spans="3:19" x14ac:dyDescent="0.25">
      <c r="C7228" s="2"/>
      <c r="R7228"/>
      <c r="S7228"/>
    </row>
    <row r="7229" spans="3:19" x14ac:dyDescent="0.25">
      <c r="C7229" s="2"/>
      <c r="R7229"/>
      <c r="S7229"/>
    </row>
    <row r="7230" spans="3:19" x14ac:dyDescent="0.25">
      <c r="C7230" s="2"/>
      <c r="R7230"/>
      <c r="S7230"/>
    </row>
    <row r="7231" spans="3:19" x14ac:dyDescent="0.25">
      <c r="C7231" s="2"/>
      <c r="R7231"/>
      <c r="S7231"/>
    </row>
    <row r="7232" spans="3:19" x14ac:dyDescent="0.25">
      <c r="C7232" s="2"/>
      <c r="R7232"/>
      <c r="S7232"/>
    </row>
    <row r="7233" spans="3:19" x14ac:dyDescent="0.25">
      <c r="C7233" s="2"/>
      <c r="R7233"/>
      <c r="S7233"/>
    </row>
    <row r="7234" spans="3:19" x14ac:dyDescent="0.25">
      <c r="C7234" s="2"/>
      <c r="R7234"/>
      <c r="S7234"/>
    </row>
    <row r="7235" spans="3:19" x14ac:dyDescent="0.25">
      <c r="C7235" s="2"/>
      <c r="R7235"/>
      <c r="S7235"/>
    </row>
    <row r="7236" spans="3:19" x14ac:dyDescent="0.25">
      <c r="C7236" s="2"/>
      <c r="R7236"/>
      <c r="S7236"/>
    </row>
    <row r="7237" spans="3:19" x14ac:dyDescent="0.25">
      <c r="C7237" s="2"/>
      <c r="R7237"/>
      <c r="S7237"/>
    </row>
    <row r="7238" spans="3:19" x14ac:dyDescent="0.25">
      <c r="C7238" s="2"/>
      <c r="R7238"/>
      <c r="S7238"/>
    </row>
    <row r="7239" spans="3:19" x14ac:dyDescent="0.25">
      <c r="C7239" s="2"/>
      <c r="R7239"/>
      <c r="S7239"/>
    </row>
    <row r="7240" spans="3:19" x14ac:dyDescent="0.25">
      <c r="C7240" s="2"/>
      <c r="R7240"/>
      <c r="S7240"/>
    </row>
    <row r="7241" spans="3:19" x14ac:dyDescent="0.25">
      <c r="C7241" s="2"/>
      <c r="R7241"/>
      <c r="S7241"/>
    </row>
    <row r="7242" spans="3:19" x14ac:dyDescent="0.25">
      <c r="C7242" s="2"/>
      <c r="R7242"/>
      <c r="S7242"/>
    </row>
    <row r="7243" spans="3:19" x14ac:dyDescent="0.25">
      <c r="C7243" s="2"/>
      <c r="R7243"/>
      <c r="S7243"/>
    </row>
    <row r="7244" spans="3:19" x14ac:dyDescent="0.25">
      <c r="C7244" s="2"/>
      <c r="R7244"/>
      <c r="S7244"/>
    </row>
    <row r="7245" spans="3:19" x14ac:dyDescent="0.25">
      <c r="C7245" s="2"/>
      <c r="R7245"/>
      <c r="S7245"/>
    </row>
    <row r="7246" spans="3:19" x14ac:dyDescent="0.25">
      <c r="C7246" s="2"/>
      <c r="R7246"/>
      <c r="S7246"/>
    </row>
    <row r="7247" spans="3:19" x14ac:dyDescent="0.25">
      <c r="C7247" s="2"/>
      <c r="R7247"/>
      <c r="S7247"/>
    </row>
    <row r="7248" spans="3:19" x14ac:dyDescent="0.25">
      <c r="C7248" s="2"/>
      <c r="R7248"/>
      <c r="S7248"/>
    </row>
    <row r="7249" spans="3:19" x14ac:dyDescent="0.25">
      <c r="C7249" s="2"/>
      <c r="R7249"/>
      <c r="S7249"/>
    </row>
    <row r="7250" spans="3:19" x14ac:dyDescent="0.25">
      <c r="C7250" s="2"/>
      <c r="R7250"/>
      <c r="S7250"/>
    </row>
    <row r="7251" spans="3:19" x14ac:dyDescent="0.25">
      <c r="C7251" s="2"/>
      <c r="R7251"/>
      <c r="S7251"/>
    </row>
    <row r="7252" spans="3:19" x14ac:dyDescent="0.25">
      <c r="C7252" s="2"/>
      <c r="R7252"/>
      <c r="S7252"/>
    </row>
    <row r="7253" spans="3:19" x14ac:dyDescent="0.25">
      <c r="C7253" s="2"/>
      <c r="R7253"/>
      <c r="S7253"/>
    </row>
    <row r="7254" spans="3:19" x14ac:dyDescent="0.25">
      <c r="C7254" s="2"/>
      <c r="R7254"/>
      <c r="S7254"/>
    </row>
    <row r="7255" spans="3:19" x14ac:dyDescent="0.25">
      <c r="C7255" s="2"/>
      <c r="R7255"/>
      <c r="S7255"/>
    </row>
    <row r="7256" spans="3:19" x14ac:dyDescent="0.25">
      <c r="C7256" s="2"/>
      <c r="R7256"/>
      <c r="S7256"/>
    </row>
    <row r="7257" spans="3:19" x14ac:dyDescent="0.25">
      <c r="C7257" s="2"/>
      <c r="R7257"/>
      <c r="S7257"/>
    </row>
    <row r="7258" spans="3:19" x14ac:dyDescent="0.25">
      <c r="C7258" s="2"/>
      <c r="R7258"/>
      <c r="S7258"/>
    </row>
    <row r="7259" spans="3:19" x14ac:dyDescent="0.25">
      <c r="C7259" s="2"/>
      <c r="R7259"/>
      <c r="S7259"/>
    </row>
    <row r="7260" spans="3:19" x14ac:dyDescent="0.25">
      <c r="C7260" s="2"/>
      <c r="R7260"/>
      <c r="S7260"/>
    </row>
    <row r="7261" spans="3:19" x14ac:dyDescent="0.25">
      <c r="C7261" s="2"/>
      <c r="R7261"/>
      <c r="S7261"/>
    </row>
    <row r="7262" spans="3:19" x14ac:dyDescent="0.25">
      <c r="C7262" s="2"/>
      <c r="R7262"/>
      <c r="S7262"/>
    </row>
    <row r="7263" spans="3:19" x14ac:dyDescent="0.25">
      <c r="C7263" s="2"/>
      <c r="R7263"/>
      <c r="S7263"/>
    </row>
    <row r="7264" spans="3:19" x14ac:dyDescent="0.25">
      <c r="C7264" s="2"/>
      <c r="R7264"/>
      <c r="S7264"/>
    </row>
    <row r="7265" spans="3:19" x14ac:dyDescent="0.25">
      <c r="C7265" s="2"/>
      <c r="R7265"/>
      <c r="S7265"/>
    </row>
    <row r="7266" spans="3:19" x14ac:dyDescent="0.25">
      <c r="C7266" s="2"/>
      <c r="R7266"/>
      <c r="S7266"/>
    </row>
    <row r="7267" spans="3:19" x14ac:dyDescent="0.25">
      <c r="C7267" s="2"/>
      <c r="R7267"/>
      <c r="S7267"/>
    </row>
    <row r="7268" spans="3:19" x14ac:dyDescent="0.25">
      <c r="C7268" s="2"/>
      <c r="R7268"/>
      <c r="S7268"/>
    </row>
    <row r="7269" spans="3:19" x14ac:dyDescent="0.25">
      <c r="C7269" s="2"/>
      <c r="R7269"/>
      <c r="S7269"/>
    </row>
    <row r="7270" spans="3:19" x14ac:dyDescent="0.25">
      <c r="C7270" s="2"/>
      <c r="R7270"/>
      <c r="S7270"/>
    </row>
    <row r="7271" spans="3:19" x14ac:dyDescent="0.25">
      <c r="C7271" s="2"/>
      <c r="R7271"/>
      <c r="S7271"/>
    </row>
    <row r="7272" spans="3:19" x14ac:dyDescent="0.25">
      <c r="C7272" s="2"/>
      <c r="R7272"/>
      <c r="S7272"/>
    </row>
    <row r="7273" spans="3:19" x14ac:dyDescent="0.25">
      <c r="C7273" s="2"/>
      <c r="R7273"/>
      <c r="S7273"/>
    </row>
    <row r="7274" spans="3:19" x14ac:dyDescent="0.25">
      <c r="C7274" s="2"/>
      <c r="R7274"/>
      <c r="S7274"/>
    </row>
    <row r="7275" spans="3:19" x14ac:dyDescent="0.25">
      <c r="C7275" s="2"/>
      <c r="R7275"/>
      <c r="S7275"/>
    </row>
    <row r="7276" spans="3:19" x14ac:dyDescent="0.25">
      <c r="C7276" s="2"/>
      <c r="R7276"/>
      <c r="S7276"/>
    </row>
    <row r="7277" spans="3:19" x14ac:dyDescent="0.25">
      <c r="C7277" s="2"/>
      <c r="R7277"/>
      <c r="S7277"/>
    </row>
    <row r="7278" spans="3:19" x14ac:dyDescent="0.25">
      <c r="C7278" s="2"/>
      <c r="R7278"/>
      <c r="S7278"/>
    </row>
    <row r="7279" spans="3:19" x14ac:dyDescent="0.25">
      <c r="C7279" s="2"/>
      <c r="R7279"/>
      <c r="S7279"/>
    </row>
    <row r="7280" spans="3:19" x14ac:dyDescent="0.25">
      <c r="C7280" s="2"/>
      <c r="R7280"/>
      <c r="S7280"/>
    </row>
    <row r="7281" spans="3:19" x14ac:dyDescent="0.25">
      <c r="C7281" s="2"/>
      <c r="R7281"/>
      <c r="S7281"/>
    </row>
    <row r="7282" spans="3:19" x14ac:dyDescent="0.25">
      <c r="C7282" s="2"/>
      <c r="R7282"/>
      <c r="S7282"/>
    </row>
    <row r="7283" spans="3:19" x14ac:dyDescent="0.25">
      <c r="C7283" s="2"/>
      <c r="R7283"/>
      <c r="S7283"/>
    </row>
    <row r="7284" spans="3:19" x14ac:dyDescent="0.25">
      <c r="C7284" s="2"/>
      <c r="R7284"/>
      <c r="S7284"/>
    </row>
    <row r="7285" spans="3:19" x14ac:dyDescent="0.25">
      <c r="C7285" s="2"/>
      <c r="R7285"/>
      <c r="S7285"/>
    </row>
    <row r="7286" spans="3:19" x14ac:dyDescent="0.25">
      <c r="C7286" s="2"/>
      <c r="R7286"/>
      <c r="S7286"/>
    </row>
    <row r="7287" spans="3:19" x14ac:dyDescent="0.25">
      <c r="C7287" s="2"/>
      <c r="R7287"/>
      <c r="S7287"/>
    </row>
    <row r="7288" spans="3:19" x14ac:dyDescent="0.25">
      <c r="C7288" s="2"/>
      <c r="R7288"/>
      <c r="S7288"/>
    </row>
    <row r="7289" spans="3:19" x14ac:dyDescent="0.25">
      <c r="C7289" s="2"/>
      <c r="R7289"/>
      <c r="S7289"/>
    </row>
    <row r="7290" spans="3:19" x14ac:dyDescent="0.25">
      <c r="C7290" s="2"/>
      <c r="R7290"/>
      <c r="S7290"/>
    </row>
    <row r="7291" spans="3:19" x14ac:dyDescent="0.25">
      <c r="C7291" s="2"/>
      <c r="R7291"/>
      <c r="S7291"/>
    </row>
    <row r="7292" spans="3:19" x14ac:dyDescent="0.25">
      <c r="C7292" s="2"/>
      <c r="R7292"/>
      <c r="S7292"/>
    </row>
    <row r="7293" spans="3:19" x14ac:dyDescent="0.25">
      <c r="C7293" s="2"/>
      <c r="R7293"/>
      <c r="S7293"/>
    </row>
    <row r="7294" spans="3:19" x14ac:dyDescent="0.25">
      <c r="C7294" s="2"/>
      <c r="R7294"/>
      <c r="S7294"/>
    </row>
    <row r="7295" spans="3:19" x14ac:dyDescent="0.25">
      <c r="C7295" s="2"/>
      <c r="R7295"/>
      <c r="S7295"/>
    </row>
    <row r="7296" spans="3:19" x14ac:dyDescent="0.25">
      <c r="C7296" s="2"/>
      <c r="R7296"/>
      <c r="S7296"/>
    </row>
    <row r="7297" spans="3:19" x14ac:dyDescent="0.25">
      <c r="C7297" s="2"/>
      <c r="R7297"/>
      <c r="S7297"/>
    </row>
    <row r="7298" spans="3:19" x14ac:dyDescent="0.25">
      <c r="C7298" s="2"/>
      <c r="R7298"/>
      <c r="S7298"/>
    </row>
    <row r="7299" spans="3:19" x14ac:dyDescent="0.25">
      <c r="C7299" s="2"/>
      <c r="R7299"/>
      <c r="S7299"/>
    </row>
    <row r="7300" spans="3:19" x14ac:dyDescent="0.25">
      <c r="C7300" s="2"/>
      <c r="R7300"/>
      <c r="S7300"/>
    </row>
    <row r="7301" spans="3:19" x14ac:dyDescent="0.25">
      <c r="C7301" s="2"/>
      <c r="R7301"/>
      <c r="S7301"/>
    </row>
    <row r="7302" spans="3:19" x14ac:dyDescent="0.25">
      <c r="C7302" s="2"/>
      <c r="R7302"/>
      <c r="S7302"/>
    </row>
    <row r="7303" spans="3:19" x14ac:dyDescent="0.25">
      <c r="C7303" s="2"/>
      <c r="R7303"/>
      <c r="S7303"/>
    </row>
    <row r="7304" spans="3:19" x14ac:dyDescent="0.25">
      <c r="C7304" s="2"/>
      <c r="R7304"/>
      <c r="S7304"/>
    </row>
    <row r="7305" spans="3:19" x14ac:dyDescent="0.25">
      <c r="C7305" s="2"/>
      <c r="R7305"/>
      <c r="S7305"/>
    </row>
    <row r="7306" spans="3:19" x14ac:dyDescent="0.25">
      <c r="C7306" s="2"/>
      <c r="R7306"/>
      <c r="S7306"/>
    </row>
    <row r="7307" spans="3:19" x14ac:dyDescent="0.25">
      <c r="C7307" s="2"/>
      <c r="R7307"/>
      <c r="S7307"/>
    </row>
    <row r="7308" spans="3:19" x14ac:dyDescent="0.25">
      <c r="C7308" s="2"/>
      <c r="R7308"/>
      <c r="S7308"/>
    </row>
    <row r="7309" spans="3:19" x14ac:dyDescent="0.25">
      <c r="C7309" s="2"/>
      <c r="R7309"/>
      <c r="S7309"/>
    </row>
    <row r="7310" spans="3:19" x14ac:dyDescent="0.25">
      <c r="C7310" s="2"/>
      <c r="R7310"/>
      <c r="S7310"/>
    </row>
    <row r="7311" spans="3:19" x14ac:dyDescent="0.25">
      <c r="C7311" s="2"/>
      <c r="R7311"/>
      <c r="S7311"/>
    </row>
    <row r="7312" spans="3:19" x14ac:dyDescent="0.25">
      <c r="C7312" s="2"/>
      <c r="R7312"/>
      <c r="S7312"/>
    </row>
    <row r="7313" spans="3:19" x14ac:dyDescent="0.25">
      <c r="C7313" s="2"/>
      <c r="R7313"/>
      <c r="S7313"/>
    </row>
    <row r="7314" spans="3:19" x14ac:dyDescent="0.25">
      <c r="C7314" s="2"/>
      <c r="R7314"/>
      <c r="S7314"/>
    </row>
    <row r="7315" spans="3:19" x14ac:dyDescent="0.25">
      <c r="C7315" s="2"/>
      <c r="R7315"/>
      <c r="S7315"/>
    </row>
    <row r="7316" spans="3:19" x14ac:dyDescent="0.25">
      <c r="C7316" s="2"/>
      <c r="R7316"/>
      <c r="S7316"/>
    </row>
    <row r="7317" spans="3:19" x14ac:dyDescent="0.25">
      <c r="C7317" s="2"/>
      <c r="R7317"/>
      <c r="S7317"/>
    </row>
    <row r="7318" spans="3:19" x14ac:dyDescent="0.25">
      <c r="C7318" s="2"/>
      <c r="R7318"/>
      <c r="S7318"/>
    </row>
    <row r="7319" spans="3:19" x14ac:dyDescent="0.25">
      <c r="C7319" s="2"/>
      <c r="R7319"/>
      <c r="S7319"/>
    </row>
    <row r="7320" spans="3:19" x14ac:dyDescent="0.25">
      <c r="C7320" s="2"/>
      <c r="R7320"/>
      <c r="S7320"/>
    </row>
    <row r="7321" spans="3:19" x14ac:dyDescent="0.25">
      <c r="C7321" s="2"/>
      <c r="R7321"/>
      <c r="S7321"/>
    </row>
    <row r="7322" spans="3:19" x14ac:dyDescent="0.25">
      <c r="C7322" s="2"/>
      <c r="R7322"/>
      <c r="S7322"/>
    </row>
    <row r="7323" spans="3:19" x14ac:dyDescent="0.25">
      <c r="C7323" s="2"/>
      <c r="R7323"/>
      <c r="S7323"/>
    </row>
    <row r="7324" spans="3:19" x14ac:dyDescent="0.25">
      <c r="C7324" s="2"/>
      <c r="R7324"/>
      <c r="S7324"/>
    </row>
    <row r="7325" spans="3:19" x14ac:dyDescent="0.25">
      <c r="C7325" s="2"/>
      <c r="R7325"/>
      <c r="S7325"/>
    </row>
    <row r="7326" spans="3:19" x14ac:dyDescent="0.25">
      <c r="C7326" s="2"/>
      <c r="R7326"/>
      <c r="S7326"/>
    </row>
    <row r="7327" spans="3:19" x14ac:dyDescent="0.25">
      <c r="C7327" s="2"/>
      <c r="R7327"/>
      <c r="S7327"/>
    </row>
    <row r="7328" spans="3:19" x14ac:dyDescent="0.25">
      <c r="C7328" s="2"/>
      <c r="R7328"/>
      <c r="S7328"/>
    </row>
    <row r="7329" spans="3:19" x14ac:dyDescent="0.25">
      <c r="C7329" s="2"/>
      <c r="R7329"/>
      <c r="S7329"/>
    </row>
    <row r="7330" spans="3:19" x14ac:dyDescent="0.25">
      <c r="C7330" s="2"/>
      <c r="R7330"/>
      <c r="S7330"/>
    </row>
    <row r="7331" spans="3:19" x14ac:dyDescent="0.25">
      <c r="C7331" s="2"/>
      <c r="R7331"/>
      <c r="S7331"/>
    </row>
    <row r="7332" spans="3:19" x14ac:dyDescent="0.25">
      <c r="C7332" s="2"/>
      <c r="R7332"/>
      <c r="S7332"/>
    </row>
    <row r="7333" spans="3:19" x14ac:dyDescent="0.25">
      <c r="C7333" s="2"/>
      <c r="R7333"/>
      <c r="S7333"/>
    </row>
    <row r="7334" spans="3:19" x14ac:dyDescent="0.25">
      <c r="C7334" s="2"/>
      <c r="R7334"/>
      <c r="S7334"/>
    </row>
    <row r="7335" spans="3:19" x14ac:dyDescent="0.25">
      <c r="C7335" s="2"/>
      <c r="R7335"/>
      <c r="S7335"/>
    </row>
    <row r="7336" spans="3:19" x14ac:dyDescent="0.25">
      <c r="C7336" s="2"/>
      <c r="R7336"/>
      <c r="S7336"/>
    </row>
    <row r="7337" spans="3:19" x14ac:dyDescent="0.25">
      <c r="C7337" s="2"/>
      <c r="R7337"/>
      <c r="S7337"/>
    </row>
    <row r="7338" spans="3:19" x14ac:dyDescent="0.25">
      <c r="C7338" s="2"/>
      <c r="R7338"/>
      <c r="S7338"/>
    </row>
    <row r="7339" spans="3:19" x14ac:dyDescent="0.25">
      <c r="C7339" s="2"/>
      <c r="R7339"/>
      <c r="S7339"/>
    </row>
    <row r="7340" spans="3:19" x14ac:dyDescent="0.25">
      <c r="C7340" s="2"/>
      <c r="R7340"/>
      <c r="S7340"/>
    </row>
    <row r="7341" spans="3:19" x14ac:dyDescent="0.25">
      <c r="C7341" s="2"/>
      <c r="R7341"/>
      <c r="S7341"/>
    </row>
    <row r="7342" spans="3:19" x14ac:dyDescent="0.25">
      <c r="C7342" s="2"/>
      <c r="R7342"/>
      <c r="S7342"/>
    </row>
    <row r="7343" spans="3:19" x14ac:dyDescent="0.25">
      <c r="C7343" s="2"/>
      <c r="R7343"/>
      <c r="S7343"/>
    </row>
    <row r="7344" spans="3:19" x14ac:dyDescent="0.25">
      <c r="C7344" s="2"/>
      <c r="R7344"/>
      <c r="S7344"/>
    </row>
    <row r="7345" spans="3:19" x14ac:dyDescent="0.25">
      <c r="C7345" s="2"/>
      <c r="R7345"/>
      <c r="S7345"/>
    </row>
    <row r="7346" spans="3:19" x14ac:dyDescent="0.25">
      <c r="C7346" s="2"/>
      <c r="R7346"/>
      <c r="S7346"/>
    </row>
    <row r="7347" spans="3:19" x14ac:dyDescent="0.25">
      <c r="C7347" s="2"/>
      <c r="R7347"/>
      <c r="S7347"/>
    </row>
    <row r="7348" spans="3:19" x14ac:dyDescent="0.25">
      <c r="C7348" s="2"/>
      <c r="R7348"/>
      <c r="S7348"/>
    </row>
    <row r="7349" spans="3:19" x14ac:dyDescent="0.25">
      <c r="C7349" s="2"/>
      <c r="R7349"/>
      <c r="S7349"/>
    </row>
    <row r="7350" spans="3:19" x14ac:dyDescent="0.25">
      <c r="C7350" s="2"/>
      <c r="R7350"/>
      <c r="S7350"/>
    </row>
    <row r="7351" spans="3:19" x14ac:dyDescent="0.25">
      <c r="C7351" s="2"/>
      <c r="R7351"/>
      <c r="S7351"/>
    </row>
    <row r="7352" spans="3:19" x14ac:dyDescent="0.25">
      <c r="C7352" s="2"/>
      <c r="R7352"/>
      <c r="S7352"/>
    </row>
    <row r="7353" spans="3:19" x14ac:dyDescent="0.25">
      <c r="C7353" s="2"/>
      <c r="R7353"/>
      <c r="S7353"/>
    </row>
    <row r="7354" spans="3:19" x14ac:dyDescent="0.25">
      <c r="C7354" s="2"/>
      <c r="R7354"/>
      <c r="S7354"/>
    </row>
    <row r="7355" spans="3:19" x14ac:dyDescent="0.25">
      <c r="C7355" s="2"/>
      <c r="R7355"/>
      <c r="S7355"/>
    </row>
    <row r="7356" spans="3:19" x14ac:dyDescent="0.25">
      <c r="C7356" s="2"/>
      <c r="R7356"/>
      <c r="S7356"/>
    </row>
    <row r="7357" spans="3:19" x14ac:dyDescent="0.25">
      <c r="C7357" s="2"/>
      <c r="R7357"/>
      <c r="S7357"/>
    </row>
    <row r="7358" spans="3:19" x14ac:dyDescent="0.25">
      <c r="C7358" s="2"/>
      <c r="R7358"/>
      <c r="S7358"/>
    </row>
    <row r="7359" spans="3:19" x14ac:dyDescent="0.25">
      <c r="C7359" s="2"/>
      <c r="R7359"/>
      <c r="S7359"/>
    </row>
    <row r="7360" spans="3:19" x14ac:dyDescent="0.25">
      <c r="C7360" s="2"/>
      <c r="R7360"/>
      <c r="S7360"/>
    </row>
    <row r="7361" spans="3:19" x14ac:dyDescent="0.25">
      <c r="C7361" s="2"/>
      <c r="R7361"/>
      <c r="S7361"/>
    </row>
    <row r="7362" spans="3:19" x14ac:dyDescent="0.25">
      <c r="C7362" s="2"/>
      <c r="R7362"/>
      <c r="S7362"/>
    </row>
    <row r="7363" spans="3:19" x14ac:dyDescent="0.25">
      <c r="C7363" s="2"/>
      <c r="R7363"/>
      <c r="S7363"/>
    </row>
    <row r="7364" spans="3:19" x14ac:dyDescent="0.25">
      <c r="C7364" s="2"/>
      <c r="R7364"/>
      <c r="S7364"/>
    </row>
    <row r="7365" spans="3:19" x14ac:dyDescent="0.25">
      <c r="C7365" s="2"/>
      <c r="R7365"/>
      <c r="S7365"/>
    </row>
    <row r="7366" spans="3:19" x14ac:dyDescent="0.25">
      <c r="C7366" s="2"/>
      <c r="R7366"/>
      <c r="S7366"/>
    </row>
    <row r="7367" spans="3:19" x14ac:dyDescent="0.25">
      <c r="C7367" s="2"/>
      <c r="R7367"/>
      <c r="S7367"/>
    </row>
    <row r="7368" spans="3:19" x14ac:dyDescent="0.25">
      <c r="C7368" s="2"/>
      <c r="R7368"/>
      <c r="S7368"/>
    </row>
    <row r="7369" spans="3:19" x14ac:dyDescent="0.25">
      <c r="C7369" s="2"/>
      <c r="R7369"/>
      <c r="S7369"/>
    </row>
    <row r="7370" spans="3:19" x14ac:dyDescent="0.25">
      <c r="C7370" s="2"/>
      <c r="R7370"/>
      <c r="S7370"/>
    </row>
    <row r="7371" spans="3:19" x14ac:dyDescent="0.25">
      <c r="C7371" s="2"/>
      <c r="R7371"/>
      <c r="S7371"/>
    </row>
    <row r="7372" spans="3:19" x14ac:dyDescent="0.25">
      <c r="C7372" s="2"/>
      <c r="R7372"/>
      <c r="S7372"/>
    </row>
    <row r="7373" spans="3:19" x14ac:dyDescent="0.25">
      <c r="C7373" s="2"/>
      <c r="R7373"/>
      <c r="S7373"/>
    </row>
    <row r="7374" spans="3:19" x14ac:dyDescent="0.25">
      <c r="C7374" s="2"/>
      <c r="R7374"/>
      <c r="S7374"/>
    </row>
    <row r="7375" spans="3:19" x14ac:dyDescent="0.25">
      <c r="C7375" s="2"/>
      <c r="R7375"/>
      <c r="S7375"/>
    </row>
    <row r="7376" spans="3:19" x14ac:dyDescent="0.25">
      <c r="C7376" s="2"/>
      <c r="R7376"/>
      <c r="S7376"/>
    </row>
    <row r="7377" spans="3:19" x14ac:dyDescent="0.25">
      <c r="C7377" s="2"/>
      <c r="R7377"/>
      <c r="S7377"/>
    </row>
    <row r="7378" spans="3:19" x14ac:dyDescent="0.25">
      <c r="C7378" s="2"/>
      <c r="R7378"/>
      <c r="S7378"/>
    </row>
    <row r="7379" spans="3:19" x14ac:dyDescent="0.25">
      <c r="C7379" s="2"/>
      <c r="R7379"/>
      <c r="S7379"/>
    </row>
    <row r="7380" spans="3:19" x14ac:dyDescent="0.25">
      <c r="C7380" s="2"/>
      <c r="R7380"/>
      <c r="S7380"/>
    </row>
    <row r="7381" spans="3:19" x14ac:dyDescent="0.25">
      <c r="C7381" s="2"/>
      <c r="R7381"/>
      <c r="S7381"/>
    </row>
    <row r="7382" spans="3:19" x14ac:dyDescent="0.25">
      <c r="C7382" s="2"/>
      <c r="R7382"/>
      <c r="S7382"/>
    </row>
    <row r="7383" spans="3:19" x14ac:dyDescent="0.25">
      <c r="C7383" s="2"/>
      <c r="R7383"/>
      <c r="S7383"/>
    </row>
    <row r="7384" spans="3:19" x14ac:dyDescent="0.25">
      <c r="C7384" s="2"/>
      <c r="R7384"/>
      <c r="S7384"/>
    </row>
    <row r="7385" spans="3:19" x14ac:dyDescent="0.25">
      <c r="C7385" s="2"/>
      <c r="R7385"/>
      <c r="S7385"/>
    </row>
    <row r="7386" spans="3:19" x14ac:dyDescent="0.25">
      <c r="C7386" s="2"/>
      <c r="R7386"/>
      <c r="S7386"/>
    </row>
    <row r="7387" spans="3:19" x14ac:dyDescent="0.25">
      <c r="C7387" s="2"/>
      <c r="R7387"/>
      <c r="S7387"/>
    </row>
    <row r="7388" spans="3:19" x14ac:dyDescent="0.25">
      <c r="C7388" s="2"/>
      <c r="R7388"/>
      <c r="S7388"/>
    </row>
    <row r="7389" spans="3:19" x14ac:dyDescent="0.25">
      <c r="C7389" s="2"/>
      <c r="R7389"/>
      <c r="S7389"/>
    </row>
    <row r="7390" spans="3:19" x14ac:dyDescent="0.25">
      <c r="C7390" s="2"/>
      <c r="R7390"/>
      <c r="S7390"/>
    </row>
    <row r="7391" spans="3:19" x14ac:dyDescent="0.25">
      <c r="C7391" s="2"/>
      <c r="R7391"/>
      <c r="S7391"/>
    </row>
    <row r="7392" spans="3:19" x14ac:dyDescent="0.25">
      <c r="C7392" s="2"/>
      <c r="R7392"/>
      <c r="S7392"/>
    </row>
    <row r="7393" spans="3:19" x14ac:dyDescent="0.25">
      <c r="C7393" s="2"/>
      <c r="R7393"/>
      <c r="S7393"/>
    </row>
    <row r="7394" spans="3:19" x14ac:dyDescent="0.25">
      <c r="C7394" s="2"/>
      <c r="R7394"/>
      <c r="S7394"/>
    </row>
    <row r="7395" spans="3:19" x14ac:dyDescent="0.25">
      <c r="C7395" s="2"/>
      <c r="R7395"/>
      <c r="S7395"/>
    </row>
    <row r="7396" spans="3:19" x14ac:dyDescent="0.25">
      <c r="C7396" s="2"/>
      <c r="R7396"/>
      <c r="S7396"/>
    </row>
    <row r="7397" spans="3:19" x14ac:dyDescent="0.25">
      <c r="C7397" s="2"/>
      <c r="R7397"/>
      <c r="S7397"/>
    </row>
    <row r="7398" spans="3:19" x14ac:dyDescent="0.25">
      <c r="C7398" s="2"/>
      <c r="R7398"/>
      <c r="S7398"/>
    </row>
    <row r="7399" spans="3:19" x14ac:dyDescent="0.25">
      <c r="C7399" s="2"/>
      <c r="R7399"/>
      <c r="S7399"/>
    </row>
    <row r="7400" spans="3:19" x14ac:dyDescent="0.25">
      <c r="C7400" s="2"/>
      <c r="R7400"/>
      <c r="S7400"/>
    </row>
    <row r="7401" spans="3:19" x14ac:dyDescent="0.25">
      <c r="C7401" s="2"/>
      <c r="R7401"/>
      <c r="S7401"/>
    </row>
    <row r="7402" spans="3:19" x14ac:dyDescent="0.25">
      <c r="C7402" s="2"/>
      <c r="R7402"/>
      <c r="S7402"/>
    </row>
    <row r="7403" spans="3:19" x14ac:dyDescent="0.25">
      <c r="C7403" s="2"/>
      <c r="R7403"/>
      <c r="S7403"/>
    </row>
    <row r="7404" spans="3:19" x14ac:dyDescent="0.25">
      <c r="C7404" s="2"/>
      <c r="R7404"/>
      <c r="S7404"/>
    </row>
    <row r="7405" spans="3:19" x14ac:dyDescent="0.25">
      <c r="C7405" s="2"/>
      <c r="R7405"/>
      <c r="S7405"/>
    </row>
    <row r="7406" spans="3:19" x14ac:dyDescent="0.25">
      <c r="C7406" s="2"/>
      <c r="R7406"/>
      <c r="S7406"/>
    </row>
    <row r="7407" spans="3:19" x14ac:dyDescent="0.25">
      <c r="C7407" s="2"/>
      <c r="R7407"/>
      <c r="S7407"/>
    </row>
    <row r="7408" spans="3:19" x14ac:dyDescent="0.25">
      <c r="C7408" s="2"/>
      <c r="R7408"/>
      <c r="S7408"/>
    </row>
    <row r="7409" spans="3:19" x14ac:dyDescent="0.25">
      <c r="C7409" s="2"/>
      <c r="R7409"/>
      <c r="S7409"/>
    </row>
    <row r="7410" spans="3:19" x14ac:dyDescent="0.25">
      <c r="C7410" s="2"/>
      <c r="R7410"/>
      <c r="S7410"/>
    </row>
    <row r="7411" spans="3:19" x14ac:dyDescent="0.25">
      <c r="C7411" s="2"/>
      <c r="R7411"/>
      <c r="S7411"/>
    </row>
    <row r="7412" spans="3:19" x14ac:dyDescent="0.25">
      <c r="C7412" s="2"/>
      <c r="R7412"/>
      <c r="S7412"/>
    </row>
    <row r="7413" spans="3:19" x14ac:dyDescent="0.25">
      <c r="C7413" s="2"/>
      <c r="R7413"/>
      <c r="S7413"/>
    </row>
    <row r="7414" spans="3:19" x14ac:dyDescent="0.25">
      <c r="C7414" s="2"/>
      <c r="R7414"/>
      <c r="S7414"/>
    </row>
    <row r="7415" spans="3:19" x14ac:dyDescent="0.25">
      <c r="C7415" s="2"/>
      <c r="R7415"/>
      <c r="S7415"/>
    </row>
    <row r="7416" spans="3:19" x14ac:dyDescent="0.25">
      <c r="C7416" s="2"/>
      <c r="R7416"/>
      <c r="S7416"/>
    </row>
    <row r="7417" spans="3:19" x14ac:dyDescent="0.25">
      <c r="C7417" s="2"/>
      <c r="R7417"/>
      <c r="S7417"/>
    </row>
    <row r="7418" spans="3:19" x14ac:dyDescent="0.25">
      <c r="C7418" s="2"/>
      <c r="K7418" s="5"/>
      <c r="R7418"/>
      <c r="S7418"/>
    </row>
    <row r="7419" spans="3:19" x14ac:dyDescent="0.25">
      <c r="C7419" s="2"/>
      <c r="R7419"/>
      <c r="S7419"/>
    </row>
    <row r="7420" spans="3:19" x14ac:dyDescent="0.25">
      <c r="C7420" s="2"/>
      <c r="K7420" s="5"/>
      <c r="R7420"/>
      <c r="S7420"/>
    </row>
    <row r="7421" spans="3:19" x14ac:dyDescent="0.25">
      <c r="C7421" s="2"/>
      <c r="K7421" s="5"/>
      <c r="R7421"/>
      <c r="S7421"/>
    </row>
    <row r="7422" spans="3:19" x14ac:dyDescent="0.25">
      <c r="C7422" s="2"/>
      <c r="K7422" s="5"/>
      <c r="R7422"/>
      <c r="S7422"/>
    </row>
    <row r="7423" spans="3:19" x14ac:dyDescent="0.25">
      <c r="C7423" s="2"/>
      <c r="K7423" s="5"/>
      <c r="R7423"/>
      <c r="S7423"/>
    </row>
    <row r="7424" spans="3:19" x14ac:dyDescent="0.25">
      <c r="C7424" s="2"/>
      <c r="K7424" s="5"/>
      <c r="L7424" s="5"/>
      <c r="R7424"/>
      <c r="S7424"/>
    </row>
    <row r="7425" spans="3:19" x14ac:dyDescent="0.25">
      <c r="C7425" s="2"/>
      <c r="K7425" s="5"/>
      <c r="R7425"/>
      <c r="S7425"/>
    </row>
    <row r="7426" spans="3:19" x14ac:dyDescent="0.25">
      <c r="C7426" s="2"/>
      <c r="K7426" s="5"/>
      <c r="L7426" s="5"/>
      <c r="R7426"/>
      <c r="S7426"/>
    </row>
    <row r="7427" spans="3:19" x14ac:dyDescent="0.25">
      <c r="C7427" s="2"/>
      <c r="K7427" s="5"/>
      <c r="R7427"/>
      <c r="S7427"/>
    </row>
    <row r="7428" spans="3:19" x14ac:dyDescent="0.25">
      <c r="C7428" s="2"/>
      <c r="K7428" s="5"/>
      <c r="L7428" s="5"/>
      <c r="R7428"/>
      <c r="S7428"/>
    </row>
    <row r="7429" spans="3:19" x14ac:dyDescent="0.25">
      <c r="C7429" s="2"/>
      <c r="K7429" s="5"/>
      <c r="L7429" s="5"/>
      <c r="R7429"/>
      <c r="S7429"/>
    </row>
    <row r="7430" spans="3:19" x14ac:dyDescent="0.25">
      <c r="C7430" s="2"/>
      <c r="K7430" s="5"/>
      <c r="L7430" s="5"/>
      <c r="R7430"/>
      <c r="S7430"/>
    </row>
    <row r="7431" spans="3:19" x14ac:dyDescent="0.25">
      <c r="C7431" s="2"/>
      <c r="K7431" s="5"/>
      <c r="R7431"/>
      <c r="S7431"/>
    </row>
    <row r="7432" spans="3:19" x14ac:dyDescent="0.25">
      <c r="C7432" s="2"/>
      <c r="K7432" s="5"/>
      <c r="R7432"/>
      <c r="S7432"/>
    </row>
    <row r="7433" spans="3:19" x14ac:dyDescent="0.25">
      <c r="C7433" s="2"/>
      <c r="R7433"/>
      <c r="S7433"/>
    </row>
    <row r="7434" spans="3:19" x14ac:dyDescent="0.25">
      <c r="C7434" s="2"/>
      <c r="R7434"/>
      <c r="S7434"/>
    </row>
    <row r="7435" spans="3:19" x14ac:dyDescent="0.25">
      <c r="C7435" s="2"/>
      <c r="R7435"/>
      <c r="S7435"/>
    </row>
    <row r="7436" spans="3:19" x14ac:dyDescent="0.25">
      <c r="C7436" s="2"/>
      <c r="R7436"/>
      <c r="S7436"/>
    </row>
  </sheetData>
  <autoFilter ref="A1:W7436">
    <sortState ref="A2:W7436">
      <sortCondition ref="B2:B2000"/>
    </sortState>
  </autoFilter>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AQ2090"/>
  <sheetViews>
    <sheetView workbookViewId="0">
      <pane ySplit="1" topLeftCell="A1974" activePane="bottomLeft" state="frozen"/>
      <selection activeCell="I1" sqref="I1"/>
      <selection pane="bottomLeft"/>
    </sheetView>
  </sheetViews>
  <sheetFormatPr defaultRowHeight="15" x14ac:dyDescent="0.25"/>
  <cols>
    <col min="2" max="2" width="18.85546875" bestFit="1" customWidth="1"/>
    <col min="3" max="3" width="8.42578125" bestFit="1" customWidth="1"/>
    <col min="4" max="4" width="81.140625" bestFit="1" customWidth="1"/>
    <col min="5" max="5" width="37.7109375" bestFit="1" customWidth="1"/>
    <col min="6" max="6" width="14.5703125" bestFit="1" customWidth="1"/>
    <col min="7" max="7" width="16.5703125" bestFit="1" customWidth="1"/>
    <col min="8" max="8" width="11.42578125" bestFit="1" customWidth="1"/>
    <col min="9" max="9" width="12.28515625" bestFit="1" customWidth="1"/>
    <col min="10" max="10" width="24.42578125" bestFit="1" customWidth="1"/>
    <col min="11" max="11" width="14.85546875" bestFit="1" customWidth="1"/>
    <col min="12" max="12" width="28.140625" bestFit="1" customWidth="1"/>
    <col min="13" max="13" width="41.7109375" bestFit="1" customWidth="1"/>
    <col min="14" max="14" width="60.42578125" bestFit="1" customWidth="1"/>
    <col min="15" max="15" width="81.140625" bestFit="1" customWidth="1"/>
    <col min="16" max="16" width="30.28515625" bestFit="1" customWidth="1"/>
    <col min="17" max="17" width="78.42578125" bestFit="1" customWidth="1"/>
    <col min="18" max="18" width="15.85546875" bestFit="1" customWidth="1"/>
    <col min="19" max="19" width="17.85546875" bestFit="1" customWidth="1"/>
    <col min="20" max="20" width="36.7109375" bestFit="1" customWidth="1"/>
    <col min="21" max="21" width="23.85546875" bestFit="1" customWidth="1"/>
    <col min="22" max="22" width="16" bestFit="1" customWidth="1"/>
    <col min="23" max="23" width="32.42578125" bestFit="1" customWidth="1"/>
    <col min="24" max="24" width="15" bestFit="1" customWidth="1"/>
    <col min="25" max="25" width="12.85546875" bestFit="1" customWidth="1"/>
  </cols>
  <sheetData>
    <row r="1" spans="1:40" x14ac:dyDescent="0.25">
      <c r="A1" s="6" t="s">
        <v>285</v>
      </c>
      <c r="B1" s="6" t="s">
        <v>196</v>
      </c>
      <c r="C1" s="6" t="s">
        <v>10</v>
      </c>
      <c r="D1" s="6" t="s">
        <v>11</v>
      </c>
      <c r="E1" s="6" t="s">
        <v>12</v>
      </c>
      <c r="F1" s="6" t="s">
        <v>13</v>
      </c>
      <c r="G1" s="6" t="s">
        <v>14</v>
      </c>
      <c r="H1" s="6" t="s">
        <v>15</v>
      </c>
      <c r="I1" s="6" t="s">
        <v>16</v>
      </c>
      <c r="J1" s="6" t="s">
        <v>17</v>
      </c>
      <c r="K1" s="6" t="s">
        <v>18</v>
      </c>
      <c r="L1" s="6" t="s">
        <v>19</v>
      </c>
      <c r="M1" s="6" t="s">
        <v>257</v>
      </c>
      <c r="N1" s="6" t="s">
        <v>20</v>
      </c>
      <c r="O1" s="6" t="s">
        <v>21</v>
      </c>
      <c r="P1" s="6" t="s">
        <v>22</v>
      </c>
      <c r="Q1" s="6" t="s">
        <v>23</v>
      </c>
      <c r="R1" s="6" t="s">
        <v>24</v>
      </c>
      <c r="S1" s="6" t="s">
        <v>25</v>
      </c>
      <c r="T1" s="6" t="s">
        <v>26</v>
      </c>
      <c r="U1" s="6" t="s">
        <v>3933</v>
      </c>
      <c r="V1" s="6" t="s">
        <v>4056</v>
      </c>
      <c r="W1" s="6" t="s">
        <v>4096</v>
      </c>
    </row>
    <row r="2" spans="1:40" x14ac:dyDescent="0.25">
      <c r="B2" t="s">
        <v>5236</v>
      </c>
      <c r="C2">
        <v>123418</v>
      </c>
      <c r="D2" t="s">
        <v>5237</v>
      </c>
      <c r="E2" t="s">
        <v>4899</v>
      </c>
      <c r="F2" t="s">
        <v>67</v>
      </c>
      <c r="H2" t="s">
        <v>54</v>
      </c>
      <c r="I2" t="s">
        <v>68</v>
      </c>
      <c r="J2" t="s">
        <v>43</v>
      </c>
      <c r="K2" t="s">
        <v>33</v>
      </c>
      <c r="L2" t="s">
        <v>34</v>
      </c>
      <c r="M2" t="s">
        <v>266</v>
      </c>
      <c r="N2" t="s">
        <v>46</v>
      </c>
      <c r="O2" t="s">
        <v>5238</v>
      </c>
      <c r="P2" t="s">
        <v>4436</v>
      </c>
      <c r="R2" s="5">
        <v>43481.270231481481</v>
      </c>
      <c r="S2" s="5">
        <v>43482.777638888889</v>
      </c>
      <c r="T2" t="s">
        <v>4</v>
      </c>
      <c r="U2" t="s">
        <v>35</v>
      </c>
      <c r="V2" s="3" t="s">
        <v>35</v>
      </c>
      <c r="W2" s="3" t="s">
        <v>4126</v>
      </c>
      <c r="AM2" s="5"/>
      <c r="AN2" s="5"/>
    </row>
    <row r="3" spans="1:40" x14ac:dyDescent="0.25">
      <c r="B3" t="s">
        <v>5234</v>
      </c>
      <c r="C3">
        <v>123412</v>
      </c>
      <c r="D3" t="s">
        <v>5235</v>
      </c>
      <c r="E3" t="s">
        <v>53</v>
      </c>
      <c r="F3" t="s">
        <v>67</v>
      </c>
      <c r="H3" t="s">
        <v>54</v>
      </c>
      <c r="I3" t="s">
        <v>31</v>
      </c>
      <c r="J3" t="s">
        <v>43</v>
      </c>
      <c r="K3" t="s">
        <v>44</v>
      </c>
      <c r="L3" t="s">
        <v>34</v>
      </c>
      <c r="M3" t="s">
        <v>258</v>
      </c>
      <c r="N3" t="s">
        <v>46</v>
      </c>
      <c r="P3" t="s">
        <v>4436</v>
      </c>
      <c r="R3" s="5">
        <v>43481.139027777775</v>
      </c>
      <c r="S3" s="5">
        <v>43481.706944444442</v>
      </c>
      <c r="T3" t="s">
        <v>4</v>
      </c>
      <c r="U3" t="s">
        <v>35</v>
      </c>
      <c r="V3" s="3" t="s">
        <v>35</v>
      </c>
      <c r="W3" s="3" t="s">
        <v>4126</v>
      </c>
      <c r="AM3" s="5"/>
      <c r="AN3" s="5"/>
    </row>
    <row r="4" spans="1:40" x14ac:dyDescent="0.25">
      <c r="B4" t="s">
        <v>5232</v>
      </c>
      <c r="C4">
        <v>123410</v>
      </c>
      <c r="D4" t="s">
        <v>5233</v>
      </c>
      <c r="E4" t="s">
        <v>53</v>
      </c>
      <c r="F4" t="s">
        <v>67</v>
      </c>
      <c r="H4" t="s">
        <v>56</v>
      </c>
      <c r="I4" t="s">
        <v>31</v>
      </c>
      <c r="J4" t="s">
        <v>43</v>
      </c>
      <c r="K4" t="s">
        <v>44</v>
      </c>
      <c r="L4" t="s">
        <v>34</v>
      </c>
      <c r="M4" t="s">
        <v>258</v>
      </c>
      <c r="N4" t="s">
        <v>46</v>
      </c>
      <c r="P4" t="s">
        <v>4436</v>
      </c>
      <c r="R4" s="5">
        <v>43480.88108796296</v>
      </c>
      <c r="S4" s="5">
        <v>43481.148854166669</v>
      </c>
      <c r="T4" t="s">
        <v>1</v>
      </c>
      <c r="U4" t="s">
        <v>35</v>
      </c>
      <c r="V4" s="3" t="s">
        <v>35</v>
      </c>
      <c r="W4" s="3" t="s">
        <v>4126</v>
      </c>
      <c r="AM4" s="5"/>
      <c r="AN4" s="5"/>
    </row>
    <row r="5" spans="1:40" x14ac:dyDescent="0.25">
      <c r="B5" t="s">
        <v>5220</v>
      </c>
      <c r="C5">
        <v>123290</v>
      </c>
      <c r="D5" t="s">
        <v>5221</v>
      </c>
      <c r="E5" t="s">
        <v>3423</v>
      </c>
      <c r="F5" t="s">
        <v>67</v>
      </c>
      <c r="H5" t="s">
        <v>54</v>
      </c>
      <c r="I5" t="s">
        <v>31</v>
      </c>
      <c r="J5" t="s">
        <v>43</v>
      </c>
      <c r="K5" t="s">
        <v>51</v>
      </c>
      <c r="L5" t="s">
        <v>34</v>
      </c>
      <c r="M5" t="s">
        <v>368</v>
      </c>
      <c r="N5" t="s">
        <v>46</v>
      </c>
      <c r="O5" t="s">
        <v>5231</v>
      </c>
      <c r="P5" t="s">
        <v>5222</v>
      </c>
      <c r="R5" s="5">
        <v>43473.547754629632</v>
      </c>
      <c r="S5" s="5">
        <v>43480.559131944443</v>
      </c>
      <c r="T5" t="s">
        <v>3423</v>
      </c>
      <c r="U5" t="s">
        <v>35</v>
      </c>
      <c r="V5" s="3" t="s">
        <v>35</v>
      </c>
      <c r="W5" s="3" t="s">
        <v>5222</v>
      </c>
      <c r="AM5" s="5"/>
      <c r="AN5" s="5"/>
    </row>
    <row r="6" spans="1:40" x14ac:dyDescent="0.25">
      <c r="B6" t="s">
        <v>5197</v>
      </c>
      <c r="C6">
        <v>123211</v>
      </c>
      <c r="D6" t="s">
        <v>5218</v>
      </c>
      <c r="E6" t="s">
        <v>5054</v>
      </c>
      <c r="F6" t="s">
        <v>67</v>
      </c>
      <c r="H6" t="s">
        <v>54</v>
      </c>
      <c r="I6" t="s">
        <v>31</v>
      </c>
      <c r="J6" t="s">
        <v>43</v>
      </c>
      <c r="K6" t="s">
        <v>44</v>
      </c>
      <c r="L6" t="s">
        <v>34</v>
      </c>
      <c r="M6" t="s">
        <v>266</v>
      </c>
      <c r="N6" t="s">
        <v>60</v>
      </c>
      <c r="O6" t="s">
        <v>5219</v>
      </c>
      <c r="P6" t="s">
        <v>4436</v>
      </c>
      <c r="R6" s="5">
        <v>43468.741203703707</v>
      </c>
      <c r="S6" s="5">
        <v>43472.812164351853</v>
      </c>
      <c r="T6" t="s">
        <v>53</v>
      </c>
      <c r="U6" t="s">
        <v>35</v>
      </c>
      <c r="V6" s="3" t="s">
        <v>35</v>
      </c>
      <c r="W6" s="3" t="s">
        <v>4143</v>
      </c>
      <c r="AM6" s="5"/>
      <c r="AN6" s="5"/>
    </row>
    <row r="7" spans="1:40" x14ac:dyDescent="0.25">
      <c r="B7" t="s">
        <v>5197</v>
      </c>
      <c r="C7">
        <v>123210</v>
      </c>
      <c r="D7" t="s">
        <v>5217</v>
      </c>
      <c r="E7" t="s">
        <v>5054</v>
      </c>
      <c r="F7" t="s">
        <v>67</v>
      </c>
      <c r="H7" t="s">
        <v>54</v>
      </c>
      <c r="I7" t="s">
        <v>31</v>
      </c>
      <c r="J7" t="s">
        <v>43</v>
      </c>
      <c r="K7" t="s">
        <v>44</v>
      </c>
      <c r="L7" t="s">
        <v>34</v>
      </c>
      <c r="M7" t="s">
        <v>266</v>
      </c>
      <c r="N7" t="s">
        <v>46</v>
      </c>
      <c r="P7" t="s">
        <v>4436</v>
      </c>
      <c r="R7" s="5">
        <v>43468.741203703707</v>
      </c>
      <c r="S7" s="5">
        <v>43483.866342592592</v>
      </c>
      <c r="T7" t="s">
        <v>53</v>
      </c>
      <c r="U7" t="s">
        <v>35</v>
      </c>
      <c r="V7" s="3" t="s">
        <v>35</v>
      </c>
      <c r="W7" s="3" t="s">
        <v>4098</v>
      </c>
      <c r="AM7" s="5"/>
      <c r="AN7" s="5"/>
    </row>
    <row r="8" spans="1:40" x14ac:dyDescent="0.25">
      <c r="B8" t="s">
        <v>5215</v>
      </c>
      <c r="C8">
        <v>123196</v>
      </c>
      <c r="D8" t="s">
        <v>5216</v>
      </c>
      <c r="E8" t="s">
        <v>4303</v>
      </c>
      <c r="F8" t="s">
        <v>67</v>
      </c>
      <c r="H8" t="s">
        <v>56</v>
      </c>
      <c r="I8" t="s">
        <v>68</v>
      </c>
      <c r="J8" t="s">
        <v>58</v>
      </c>
      <c r="K8" t="s">
        <v>44</v>
      </c>
      <c r="L8" t="s">
        <v>380</v>
      </c>
      <c r="M8" t="s">
        <v>379</v>
      </c>
      <c r="N8" t="s">
        <v>46</v>
      </c>
      <c r="P8" t="s">
        <v>4949</v>
      </c>
      <c r="R8" s="5">
        <v>43467.867604166669</v>
      </c>
      <c r="S8" s="5">
        <v>43483.59171296296</v>
      </c>
      <c r="T8" t="s">
        <v>1</v>
      </c>
      <c r="U8" t="s">
        <v>35</v>
      </c>
      <c r="V8" s="3" t="s">
        <v>35</v>
      </c>
      <c r="W8" s="3" t="s">
        <v>4171</v>
      </c>
      <c r="AM8" s="5"/>
      <c r="AN8" s="5"/>
    </row>
    <row r="9" spans="1:40" x14ac:dyDescent="0.25">
      <c r="B9" t="s">
        <v>4971</v>
      </c>
      <c r="C9">
        <v>123154</v>
      </c>
      <c r="D9" t="s">
        <v>5213</v>
      </c>
      <c r="E9" t="s">
        <v>4303</v>
      </c>
      <c r="F9" t="s">
        <v>319</v>
      </c>
      <c r="G9" t="s">
        <v>304</v>
      </c>
      <c r="H9" t="s">
        <v>116</v>
      </c>
      <c r="I9" t="s">
        <v>31</v>
      </c>
      <c r="J9" t="s">
        <v>32</v>
      </c>
      <c r="K9" t="s">
        <v>44</v>
      </c>
      <c r="L9" t="s">
        <v>380</v>
      </c>
      <c r="M9" t="s">
        <v>4972</v>
      </c>
      <c r="N9" t="s">
        <v>510</v>
      </c>
      <c r="P9" t="s">
        <v>4949</v>
      </c>
      <c r="Q9" t="s">
        <v>5158</v>
      </c>
      <c r="R9" s="5">
        <v>43454.68246527778</v>
      </c>
      <c r="S9" s="5">
        <v>43480.642013888886</v>
      </c>
      <c r="T9" t="s">
        <v>53</v>
      </c>
      <c r="U9" t="s">
        <v>35</v>
      </c>
      <c r="V9" s="3" t="s">
        <v>321</v>
      </c>
      <c r="W9" s="3" t="s">
        <v>5214</v>
      </c>
      <c r="AM9" s="5"/>
      <c r="AN9" s="5"/>
    </row>
    <row r="10" spans="1:40" x14ac:dyDescent="0.25">
      <c r="B10" t="s">
        <v>2841</v>
      </c>
      <c r="C10">
        <v>123147</v>
      </c>
      <c r="D10" t="s">
        <v>5212</v>
      </c>
      <c r="E10" t="s">
        <v>387</v>
      </c>
      <c r="F10" t="s">
        <v>4087</v>
      </c>
      <c r="H10" t="s">
        <v>56</v>
      </c>
      <c r="I10" t="s">
        <v>31</v>
      </c>
      <c r="J10" t="s">
        <v>32</v>
      </c>
      <c r="K10" t="s">
        <v>51</v>
      </c>
      <c r="L10" t="s">
        <v>73</v>
      </c>
      <c r="M10" t="s">
        <v>273</v>
      </c>
      <c r="N10" t="s">
        <v>46</v>
      </c>
      <c r="P10" t="s">
        <v>4179</v>
      </c>
      <c r="R10" s="5">
        <v>43454.370300925926</v>
      </c>
      <c r="S10" s="5">
        <v>43481.774467592593</v>
      </c>
      <c r="T10" t="s">
        <v>4241</v>
      </c>
      <c r="U10" t="s">
        <v>35</v>
      </c>
      <c r="V10" s="3" t="s">
        <v>35</v>
      </c>
      <c r="W10" s="3" t="s">
        <v>4126</v>
      </c>
      <c r="AM10" s="5"/>
      <c r="AN10" s="5"/>
    </row>
    <row r="11" spans="1:40" x14ac:dyDescent="0.25">
      <c r="B11" t="s">
        <v>5208</v>
      </c>
      <c r="C11">
        <v>123130</v>
      </c>
      <c r="D11" t="s">
        <v>5209</v>
      </c>
      <c r="E11" t="s">
        <v>86</v>
      </c>
      <c r="F11" t="s">
        <v>319</v>
      </c>
      <c r="G11" t="s">
        <v>304</v>
      </c>
      <c r="H11" t="s">
        <v>54</v>
      </c>
      <c r="I11" t="s">
        <v>31</v>
      </c>
      <c r="J11" t="s">
        <v>43</v>
      </c>
      <c r="K11" t="s">
        <v>51</v>
      </c>
      <c r="L11" t="s">
        <v>34</v>
      </c>
      <c r="M11" t="s">
        <v>3704</v>
      </c>
      <c r="N11" t="s">
        <v>46</v>
      </c>
      <c r="O11" t="s">
        <v>5210</v>
      </c>
      <c r="P11" t="s">
        <v>4169</v>
      </c>
      <c r="Q11" t="s">
        <v>5211</v>
      </c>
      <c r="R11" s="5">
        <v>43453.56790509259</v>
      </c>
      <c r="S11" s="5">
        <v>43480.630914351852</v>
      </c>
      <c r="T11" t="s">
        <v>86</v>
      </c>
      <c r="U11" t="s">
        <v>35</v>
      </c>
      <c r="V11" s="3" t="s">
        <v>35</v>
      </c>
      <c r="W11" s="3" t="s">
        <v>5222</v>
      </c>
      <c r="AM11" s="5"/>
      <c r="AN11" s="5"/>
    </row>
    <row r="12" spans="1:40" x14ac:dyDescent="0.25">
      <c r="B12" t="s">
        <v>5202</v>
      </c>
      <c r="C12">
        <v>123070</v>
      </c>
      <c r="D12" t="s">
        <v>5207</v>
      </c>
      <c r="E12" t="s">
        <v>288</v>
      </c>
      <c r="F12" t="s">
        <v>67</v>
      </c>
      <c r="H12" t="s">
        <v>56</v>
      </c>
      <c r="I12" t="s">
        <v>31</v>
      </c>
      <c r="J12" t="s">
        <v>43</v>
      </c>
      <c r="K12" t="s">
        <v>51</v>
      </c>
      <c r="L12" t="s">
        <v>380</v>
      </c>
      <c r="M12" t="s">
        <v>379</v>
      </c>
      <c r="N12" t="s">
        <v>46</v>
      </c>
      <c r="P12" t="s">
        <v>4436</v>
      </c>
      <c r="R12" s="5">
        <v>43451.837557870371</v>
      </c>
      <c r="S12" s="5">
        <v>43451.837557870371</v>
      </c>
      <c r="T12" t="s">
        <v>288</v>
      </c>
      <c r="U12" t="s">
        <v>35</v>
      </c>
      <c r="V12" s="3" t="s">
        <v>35</v>
      </c>
      <c r="W12" s="3" t="s">
        <v>4410</v>
      </c>
      <c r="AM12" s="5"/>
      <c r="AN12" s="5"/>
    </row>
    <row r="13" spans="1:40" x14ac:dyDescent="0.25">
      <c r="B13" t="s">
        <v>5202</v>
      </c>
      <c r="C13">
        <v>123069</v>
      </c>
      <c r="D13" t="s">
        <v>5206</v>
      </c>
      <c r="E13" t="s">
        <v>4303</v>
      </c>
      <c r="F13" t="s">
        <v>67</v>
      </c>
      <c r="H13" t="s">
        <v>56</v>
      </c>
      <c r="I13" t="s">
        <v>31</v>
      </c>
      <c r="J13" t="s">
        <v>43</v>
      </c>
      <c r="K13" t="s">
        <v>51</v>
      </c>
      <c r="L13" t="s">
        <v>380</v>
      </c>
      <c r="M13" t="s">
        <v>379</v>
      </c>
      <c r="N13" t="s">
        <v>46</v>
      </c>
      <c r="P13" t="s">
        <v>4436</v>
      </c>
      <c r="R13" s="5">
        <v>43451.837557870371</v>
      </c>
      <c r="S13" s="5">
        <v>43473.855196759258</v>
      </c>
      <c r="T13" t="s">
        <v>288</v>
      </c>
      <c r="U13" t="s">
        <v>35</v>
      </c>
      <c r="V13" s="3" t="s">
        <v>35</v>
      </c>
      <c r="W13" s="3" t="s">
        <v>4098</v>
      </c>
      <c r="AM13" s="5"/>
      <c r="AN13" s="5"/>
    </row>
    <row r="14" spans="1:40" x14ac:dyDescent="0.25">
      <c r="B14" t="s">
        <v>5204</v>
      </c>
      <c r="C14">
        <v>123045</v>
      </c>
      <c r="D14" t="s">
        <v>5205</v>
      </c>
      <c r="E14" t="s">
        <v>335</v>
      </c>
      <c r="F14" t="s">
        <v>305</v>
      </c>
      <c r="G14" t="s">
        <v>304</v>
      </c>
      <c r="H14" t="s">
        <v>56</v>
      </c>
      <c r="I14" t="s">
        <v>68</v>
      </c>
      <c r="J14" t="s">
        <v>43</v>
      </c>
      <c r="K14" t="s">
        <v>33</v>
      </c>
      <c r="L14" t="s">
        <v>380</v>
      </c>
      <c r="M14" t="s">
        <v>434</v>
      </c>
      <c r="N14" t="s">
        <v>46</v>
      </c>
      <c r="P14" t="s">
        <v>4436</v>
      </c>
      <c r="Q14" t="s">
        <v>3748</v>
      </c>
      <c r="R14" s="5">
        <v>43448.880729166667</v>
      </c>
      <c r="S14" s="5">
        <v>43476.291909722226</v>
      </c>
      <c r="T14" t="s">
        <v>1</v>
      </c>
      <c r="U14" t="s">
        <v>35</v>
      </c>
      <c r="V14" s="3" t="s">
        <v>35</v>
      </c>
      <c r="W14" s="3" t="s">
        <v>4171</v>
      </c>
      <c r="AM14" s="5"/>
      <c r="AN14" s="5"/>
    </row>
    <row r="15" spans="1:40" x14ac:dyDescent="0.25">
      <c r="B15" t="s">
        <v>5202</v>
      </c>
      <c r="C15">
        <v>123013</v>
      </c>
      <c r="D15" t="s">
        <v>5203</v>
      </c>
      <c r="E15" t="s">
        <v>4303</v>
      </c>
      <c r="F15" t="s">
        <v>67</v>
      </c>
      <c r="H15" t="s">
        <v>54</v>
      </c>
      <c r="I15" t="s">
        <v>31</v>
      </c>
      <c r="J15" t="s">
        <v>43</v>
      </c>
      <c r="K15" t="s">
        <v>51</v>
      </c>
      <c r="L15" t="s">
        <v>380</v>
      </c>
      <c r="M15" t="s">
        <v>379</v>
      </c>
      <c r="N15" t="s">
        <v>60</v>
      </c>
      <c r="P15" t="s">
        <v>4436</v>
      </c>
      <c r="R15" s="5">
        <v>43447.778506944444</v>
      </c>
      <c r="S15" s="5">
        <v>43480.564687500002</v>
      </c>
      <c r="T15" t="s">
        <v>1</v>
      </c>
      <c r="U15" t="s">
        <v>35</v>
      </c>
      <c r="V15" s="3" t="s">
        <v>35</v>
      </c>
      <c r="W15" s="3" t="s">
        <v>4171</v>
      </c>
      <c r="AM15" s="5"/>
      <c r="AN15" s="5"/>
    </row>
    <row r="16" spans="1:40" x14ac:dyDescent="0.25">
      <c r="B16" t="s">
        <v>5199</v>
      </c>
      <c r="C16">
        <v>122979</v>
      </c>
      <c r="D16" t="s">
        <v>5200</v>
      </c>
      <c r="E16" t="s">
        <v>147</v>
      </c>
      <c r="F16" t="s">
        <v>67</v>
      </c>
      <c r="H16" t="s">
        <v>54</v>
      </c>
      <c r="I16" t="s">
        <v>68</v>
      </c>
      <c r="J16" t="s">
        <v>43</v>
      </c>
      <c r="K16" t="s">
        <v>33</v>
      </c>
      <c r="L16" t="s">
        <v>34</v>
      </c>
      <c r="M16" t="s">
        <v>271</v>
      </c>
      <c r="N16" t="s">
        <v>46</v>
      </c>
      <c r="O16" t="s">
        <v>5201</v>
      </c>
      <c r="P16" t="s">
        <v>107</v>
      </c>
      <c r="R16" s="5">
        <v>43447.349398148152</v>
      </c>
      <c r="S16" s="5">
        <v>43472.807233796295</v>
      </c>
      <c r="T16" t="s">
        <v>4</v>
      </c>
      <c r="U16" t="s">
        <v>35</v>
      </c>
      <c r="V16" s="3" t="s">
        <v>35</v>
      </c>
      <c r="W16" s="3" t="s">
        <v>4126</v>
      </c>
      <c r="AM16" s="5"/>
      <c r="AN16" s="5"/>
    </row>
    <row r="17" spans="2:40" x14ac:dyDescent="0.25">
      <c r="B17" t="s">
        <v>5197</v>
      </c>
      <c r="C17">
        <v>122978</v>
      </c>
      <c r="D17" t="s">
        <v>5198</v>
      </c>
      <c r="E17" t="s">
        <v>5054</v>
      </c>
      <c r="F17" t="s">
        <v>42</v>
      </c>
      <c r="H17" t="s">
        <v>54</v>
      </c>
      <c r="I17" t="s">
        <v>31</v>
      </c>
      <c r="J17" t="s">
        <v>43</v>
      </c>
      <c r="K17" t="s">
        <v>44</v>
      </c>
      <c r="L17" t="s">
        <v>34</v>
      </c>
      <c r="M17" t="s">
        <v>266</v>
      </c>
      <c r="N17" t="s">
        <v>60</v>
      </c>
      <c r="P17" t="s">
        <v>4436</v>
      </c>
      <c r="R17" s="5">
        <v>43447.287592592591</v>
      </c>
      <c r="S17" s="5">
        <v>43468.741215277776</v>
      </c>
      <c r="T17" t="s">
        <v>4</v>
      </c>
      <c r="U17" t="s">
        <v>35</v>
      </c>
      <c r="V17" s="3" t="s">
        <v>35</v>
      </c>
      <c r="W17" s="3" t="s">
        <v>4176</v>
      </c>
      <c r="AM17" s="5"/>
      <c r="AN17" s="5"/>
    </row>
    <row r="18" spans="2:40" x14ac:dyDescent="0.25">
      <c r="B18" t="s">
        <v>2841</v>
      </c>
      <c r="C18">
        <v>122949</v>
      </c>
      <c r="D18" t="s">
        <v>5196</v>
      </c>
      <c r="E18" t="s">
        <v>387</v>
      </c>
      <c r="F18" t="s">
        <v>4087</v>
      </c>
      <c r="H18" t="s">
        <v>56</v>
      </c>
      <c r="I18" t="s">
        <v>31</v>
      </c>
      <c r="J18" t="s">
        <v>32</v>
      </c>
      <c r="K18" t="s">
        <v>33</v>
      </c>
      <c r="L18" t="s">
        <v>73</v>
      </c>
      <c r="M18" t="s">
        <v>273</v>
      </c>
      <c r="N18" t="s">
        <v>46</v>
      </c>
      <c r="P18" t="s">
        <v>56</v>
      </c>
      <c r="R18" s="5">
        <v>43446.30976851852</v>
      </c>
      <c r="S18" s="5">
        <v>43481.776087962964</v>
      </c>
      <c r="T18" t="s">
        <v>4320</v>
      </c>
      <c r="U18" t="s">
        <v>35</v>
      </c>
      <c r="V18" s="3" t="s">
        <v>35</v>
      </c>
      <c r="W18" s="3" t="s">
        <v>35</v>
      </c>
      <c r="AM18" s="5"/>
      <c r="AN18" s="5"/>
    </row>
    <row r="19" spans="2:40" x14ac:dyDescent="0.25">
      <c r="B19" t="s">
        <v>2841</v>
      </c>
      <c r="C19">
        <v>122944</v>
      </c>
      <c r="D19" t="s">
        <v>5195</v>
      </c>
      <c r="E19" t="s">
        <v>387</v>
      </c>
      <c r="F19" t="s">
        <v>4087</v>
      </c>
      <c r="H19" t="s">
        <v>56</v>
      </c>
      <c r="I19" t="s">
        <v>31</v>
      </c>
      <c r="J19" t="s">
        <v>32</v>
      </c>
      <c r="K19" t="s">
        <v>33</v>
      </c>
      <c r="L19" t="s">
        <v>73</v>
      </c>
      <c r="M19" t="s">
        <v>273</v>
      </c>
      <c r="N19" t="s">
        <v>46</v>
      </c>
      <c r="P19" t="s">
        <v>4459</v>
      </c>
      <c r="R19" s="5">
        <v>43446.221365740741</v>
      </c>
      <c r="S19" s="5">
        <v>43447.561689814815</v>
      </c>
      <c r="T19" t="s">
        <v>3367</v>
      </c>
      <c r="U19" t="s">
        <v>35</v>
      </c>
      <c r="V19" s="3" t="s">
        <v>35</v>
      </c>
      <c r="W19" s="3" t="s">
        <v>35</v>
      </c>
      <c r="AM19" s="5"/>
      <c r="AN19" s="5"/>
    </row>
    <row r="20" spans="2:40" x14ac:dyDescent="0.25">
      <c r="B20" t="s">
        <v>5193</v>
      </c>
      <c r="C20">
        <v>122942</v>
      </c>
      <c r="D20" t="s">
        <v>5194</v>
      </c>
      <c r="E20" t="s">
        <v>387</v>
      </c>
      <c r="F20" t="s">
        <v>67</v>
      </c>
      <c r="H20" t="s">
        <v>54</v>
      </c>
      <c r="I20" t="s">
        <v>31</v>
      </c>
      <c r="J20" t="s">
        <v>32</v>
      </c>
      <c r="K20" t="s">
        <v>33</v>
      </c>
      <c r="L20" t="s">
        <v>73</v>
      </c>
      <c r="M20" t="s">
        <v>263</v>
      </c>
      <c r="N20" t="s">
        <v>60</v>
      </c>
      <c r="P20" t="s">
        <v>4949</v>
      </c>
      <c r="R20" s="5">
        <v>43445.945798611108</v>
      </c>
      <c r="S20" s="5">
        <v>43483.31753472222</v>
      </c>
      <c r="T20" t="s">
        <v>1</v>
      </c>
      <c r="U20" t="s">
        <v>5150</v>
      </c>
      <c r="V20" s="3" t="s">
        <v>35</v>
      </c>
      <c r="W20" s="3" t="s">
        <v>4171</v>
      </c>
      <c r="AM20" s="5"/>
      <c r="AN20" s="5"/>
    </row>
    <row r="21" spans="2:40" x14ac:dyDescent="0.25">
      <c r="B21" t="s">
        <v>5190</v>
      </c>
      <c r="C21">
        <v>122941</v>
      </c>
      <c r="D21" t="s">
        <v>5191</v>
      </c>
      <c r="E21" t="s">
        <v>5192</v>
      </c>
      <c r="F21" t="s">
        <v>42</v>
      </c>
      <c r="H21" t="s">
        <v>54</v>
      </c>
      <c r="I21" t="s">
        <v>31</v>
      </c>
      <c r="J21" t="s">
        <v>32</v>
      </c>
      <c r="K21" t="s">
        <v>33</v>
      </c>
      <c r="L21" t="s">
        <v>45</v>
      </c>
      <c r="M21" t="s">
        <v>260</v>
      </c>
      <c r="N21" t="s">
        <v>60</v>
      </c>
      <c r="P21" t="s">
        <v>4436</v>
      </c>
      <c r="R21" s="5">
        <v>43445.912627314814</v>
      </c>
      <c r="S21" s="5">
        <v>43481.936238425929</v>
      </c>
      <c r="T21" t="s">
        <v>1</v>
      </c>
      <c r="U21" t="s">
        <v>35</v>
      </c>
      <c r="V21" s="3" t="s">
        <v>321</v>
      </c>
      <c r="W21" s="3" t="s">
        <v>4171</v>
      </c>
      <c r="AM21" s="5"/>
      <c r="AN21" s="5"/>
    </row>
    <row r="22" spans="2:40" x14ac:dyDescent="0.25">
      <c r="B22" t="s">
        <v>5180</v>
      </c>
      <c r="C22">
        <v>122897</v>
      </c>
      <c r="D22" t="s">
        <v>5189</v>
      </c>
      <c r="E22" t="s">
        <v>339</v>
      </c>
      <c r="F22" t="s">
        <v>42</v>
      </c>
      <c r="H22" t="s">
        <v>54</v>
      </c>
      <c r="I22" t="s">
        <v>31</v>
      </c>
      <c r="J22" t="s">
        <v>43</v>
      </c>
      <c r="K22" t="s">
        <v>44</v>
      </c>
      <c r="L22" t="s">
        <v>52</v>
      </c>
      <c r="M22" t="s">
        <v>3445</v>
      </c>
      <c r="N22" t="s">
        <v>60</v>
      </c>
      <c r="P22" t="s">
        <v>4436</v>
      </c>
      <c r="R22" s="5">
        <v>43444.645740740743</v>
      </c>
      <c r="S22" s="5">
        <v>43483.164930555555</v>
      </c>
      <c r="T22" t="s">
        <v>301</v>
      </c>
      <c r="U22" t="s">
        <v>35</v>
      </c>
      <c r="V22" s="3" t="s">
        <v>35</v>
      </c>
      <c r="W22" s="3" t="s">
        <v>4171</v>
      </c>
      <c r="AM22" s="5"/>
      <c r="AN22" s="5"/>
    </row>
    <row r="23" spans="2:40" x14ac:dyDescent="0.25">
      <c r="B23" t="s">
        <v>5180</v>
      </c>
      <c r="C23">
        <v>122896</v>
      </c>
      <c r="D23" t="s">
        <v>5188</v>
      </c>
      <c r="E23" t="s">
        <v>339</v>
      </c>
      <c r="F23" t="s">
        <v>42</v>
      </c>
      <c r="H23" t="s">
        <v>54</v>
      </c>
      <c r="I23" t="s">
        <v>31</v>
      </c>
      <c r="J23" t="s">
        <v>43</v>
      </c>
      <c r="K23" t="s">
        <v>44</v>
      </c>
      <c r="L23" t="s">
        <v>52</v>
      </c>
      <c r="M23" t="s">
        <v>3445</v>
      </c>
      <c r="N23" t="s">
        <v>46</v>
      </c>
      <c r="P23" t="s">
        <v>4436</v>
      </c>
      <c r="R23" s="5">
        <v>43444.645752314813</v>
      </c>
      <c r="S23" s="5">
        <v>43483.165706018517</v>
      </c>
      <c r="T23" t="s">
        <v>301</v>
      </c>
      <c r="U23" t="s">
        <v>35</v>
      </c>
      <c r="V23" s="3" t="s">
        <v>35</v>
      </c>
      <c r="W23" s="3" t="s">
        <v>4098</v>
      </c>
      <c r="AM23" s="5"/>
      <c r="AN23" s="5"/>
    </row>
    <row r="24" spans="2:40" x14ac:dyDescent="0.25">
      <c r="B24" t="s">
        <v>4352</v>
      </c>
      <c r="C24">
        <v>122861</v>
      </c>
      <c r="D24" t="s">
        <v>5187</v>
      </c>
      <c r="E24" t="s">
        <v>387</v>
      </c>
      <c r="F24" t="s">
        <v>67</v>
      </c>
      <c r="H24" t="s">
        <v>56</v>
      </c>
      <c r="I24" t="s">
        <v>68</v>
      </c>
      <c r="J24" t="s">
        <v>43</v>
      </c>
      <c r="K24" t="s">
        <v>33</v>
      </c>
      <c r="L24" t="s">
        <v>73</v>
      </c>
      <c r="M24" t="s">
        <v>263</v>
      </c>
      <c r="N24" t="s">
        <v>46</v>
      </c>
      <c r="P24" t="s">
        <v>69</v>
      </c>
      <c r="R24" s="5">
        <v>43441.850902777776</v>
      </c>
      <c r="S24" s="5">
        <v>43448.274386574078</v>
      </c>
      <c r="T24" t="s">
        <v>301</v>
      </c>
      <c r="U24" t="s">
        <v>35</v>
      </c>
      <c r="V24" s="3" t="s">
        <v>35</v>
      </c>
      <c r="W24" s="3" t="s">
        <v>4171</v>
      </c>
      <c r="AM24" s="5"/>
      <c r="AN24" s="5"/>
    </row>
    <row r="25" spans="2:40" x14ac:dyDescent="0.25">
      <c r="B25" t="s">
        <v>4352</v>
      </c>
      <c r="C25">
        <v>122860</v>
      </c>
      <c r="D25" t="s">
        <v>5186</v>
      </c>
      <c r="E25" t="s">
        <v>64</v>
      </c>
      <c r="F25" t="s">
        <v>67</v>
      </c>
      <c r="H25" t="s">
        <v>54</v>
      </c>
      <c r="I25" t="s">
        <v>31</v>
      </c>
      <c r="J25" t="s">
        <v>32</v>
      </c>
      <c r="K25" t="s">
        <v>33</v>
      </c>
      <c r="L25" t="s">
        <v>73</v>
      </c>
      <c r="M25" t="s">
        <v>263</v>
      </c>
      <c r="N25" t="s">
        <v>46</v>
      </c>
      <c r="P25" t="s">
        <v>69</v>
      </c>
      <c r="R25" s="5">
        <v>43441.850914351853</v>
      </c>
      <c r="S25" s="5">
        <v>43475.024976851855</v>
      </c>
      <c r="T25" t="s">
        <v>301</v>
      </c>
      <c r="U25" t="s">
        <v>35</v>
      </c>
      <c r="V25" s="3" t="s">
        <v>35</v>
      </c>
      <c r="W25" s="3" t="s">
        <v>4098</v>
      </c>
      <c r="AM25" s="5"/>
      <c r="AN25" s="5"/>
    </row>
    <row r="26" spans="2:40" x14ac:dyDescent="0.25">
      <c r="B26" t="s">
        <v>5184</v>
      </c>
      <c r="C26">
        <v>122792</v>
      </c>
      <c r="D26" t="s">
        <v>5185</v>
      </c>
      <c r="E26" t="s">
        <v>4289</v>
      </c>
      <c r="F26" t="s">
        <v>67</v>
      </c>
      <c r="H26" t="s">
        <v>56</v>
      </c>
      <c r="I26" t="s">
        <v>68</v>
      </c>
      <c r="J26" t="s">
        <v>43</v>
      </c>
      <c r="K26" t="s">
        <v>33</v>
      </c>
      <c r="L26" t="s">
        <v>408</v>
      </c>
      <c r="M26" t="s">
        <v>407</v>
      </c>
      <c r="N26" t="s">
        <v>46</v>
      </c>
      <c r="P26" t="s">
        <v>4436</v>
      </c>
      <c r="R26" s="5">
        <v>43440.866226851853</v>
      </c>
      <c r="S26" s="5">
        <v>43481.148159722223</v>
      </c>
      <c r="T26" t="s">
        <v>1</v>
      </c>
      <c r="U26" t="s">
        <v>35</v>
      </c>
      <c r="V26" s="3" t="s">
        <v>35</v>
      </c>
      <c r="W26" s="3" t="s">
        <v>4171</v>
      </c>
      <c r="AM26" s="5"/>
      <c r="AN26" s="5"/>
    </row>
    <row r="27" spans="2:40" x14ac:dyDescent="0.25">
      <c r="B27" t="s">
        <v>5182</v>
      </c>
      <c r="C27">
        <v>122782</v>
      </c>
      <c r="D27" t="s">
        <v>5183</v>
      </c>
      <c r="E27" t="s">
        <v>387</v>
      </c>
      <c r="F27" t="s">
        <v>305</v>
      </c>
      <c r="G27" t="s">
        <v>353</v>
      </c>
      <c r="H27" t="s">
        <v>54</v>
      </c>
      <c r="I27" t="s">
        <v>31</v>
      </c>
      <c r="J27" t="s">
        <v>32</v>
      </c>
      <c r="K27" t="s">
        <v>51</v>
      </c>
      <c r="L27" t="s">
        <v>73</v>
      </c>
      <c r="M27" t="s">
        <v>263</v>
      </c>
      <c r="N27" t="s">
        <v>46</v>
      </c>
      <c r="P27" t="s">
        <v>3698</v>
      </c>
      <c r="Q27" t="s">
        <v>4323</v>
      </c>
      <c r="R27" s="5">
        <v>43440.476666666669</v>
      </c>
      <c r="S27" s="5">
        <v>43480.158854166664</v>
      </c>
      <c r="T27" t="s">
        <v>4</v>
      </c>
      <c r="U27" t="s">
        <v>35</v>
      </c>
      <c r="V27" s="3" t="s">
        <v>35</v>
      </c>
      <c r="W27" s="3" t="s">
        <v>4158</v>
      </c>
      <c r="AM27" s="5"/>
      <c r="AN27" s="5"/>
    </row>
    <row r="28" spans="2:40" x14ac:dyDescent="0.25">
      <c r="B28" t="s">
        <v>5180</v>
      </c>
      <c r="C28">
        <v>122736</v>
      </c>
      <c r="D28" t="s">
        <v>5181</v>
      </c>
      <c r="E28" t="s">
        <v>339</v>
      </c>
      <c r="F28" t="s">
        <v>42</v>
      </c>
      <c r="H28" t="s">
        <v>54</v>
      </c>
      <c r="I28" t="s">
        <v>31</v>
      </c>
      <c r="J28" t="s">
        <v>43</v>
      </c>
      <c r="K28" t="s">
        <v>44</v>
      </c>
      <c r="L28" t="s">
        <v>52</v>
      </c>
      <c r="M28" t="s">
        <v>3445</v>
      </c>
      <c r="N28" t="s">
        <v>46</v>
      </c>
      <c r="P28" t="s">
        <v>4436</v>
      </c>
      <c r="R28" s="5">
        <v>43439.462511574071</v>
      </c>
      <c r="S28" s="5">
        <v>43475.430162037039</v>
      </c>
      <c r="T28" t="s">
        <v>4</v>
      </c>
      <c r="U28" t="s">
        <v>35</v>
      </c>
      <c r="V28" s="3" t="s">
        <v>35</v>
      </c>
      <c r="W28" s="3" t="s">
        <v>4410</v>
      </c>
      <c r="AM28" s="5"/>
      <c r="AN28" s="5"/>
    </row>
    <row r="29" spans="2:40" x14ac:dyDescent="0.25">
      <c r="B29" t="s">
        <v>5178</v>
      </c>
      <c r="C29">
        <v>122729</v>
      </c>
      <c r="D29" t="s">
        <v>5179</v>
      </c>
      <c r="E29" t="s">
        <v>387</v>
      </c>
      <c r="F29" t="s">
        <v>305</v>
      </c>
      <c r="G29" t="s">
        <v>310</v>
      </c>
      <c r="H29" t="s">
        <v>30</v>
      </c>
      <c r="I29" t="s">
        <v>57</v>
      </c>
      <c r="J29" t="s">
        <v>58</v>
      </c>
      <c r="K29" t="s">
        <v>33</v>
      </c>
      <c r="L29" t="s">
        <v>73</v>
      </c>
      <c r="M29" t="s">
        <v>264</v>
      </c>
      <c r="N29" t="s">
        <v>46</v>
      </c>
      <c r="P29" t="s">
        <v>4436</v>
      </c>
      <c r="Q29" t="s">
        <v>3287</v>
      </c>
      <c r="R29" s="5">
        <v>43439.428391203706</v>
      </c>
      <c r="S29" s="5">
        <v>43480.158773148149</v>
      </c>
      <c r="T29" t="s">
        <v>4</v>
      </c>
      <c r="U29" t="s">
        <v>35</v>
      </c>
      <c r="V29" s="3" t="s">
        <v>35</v>
      </c>
      <c r="W29" s="3" t="s">
        <v>4171</v>
      </c>
      <c r="AM29" s="5"/>
      <c r="AN29" s="5"/>
    </row>
    <row r="30" spans="2:40" x14ac:dyDescent="0.25">
      <c r="B30" t="s">
        <v>4906</v>
      </c>
      <c r="C30">
        <v>122672</v>
      </c>
      <c r="D30" t="s">
        <v>5230</v>
      </c>
      <c r="E30" t="s">
        <v>4717</v>
      </c>
      <c r="F30" t="s">
        <v>42</v>
      </c>
      <c r="H30" t="s">
        <v>54</v>
      </c>
      <c r="I30" t="s">
        <v>31</v>
      </c>
      <c r="J30" t="s">
        <v>43</v>
      </c>
      <c r="K30" t="s">
        <v>44</v>
      </c>
      <c r="L30" t="s">
        <v>34</v>
      </c>
      <c r="M30" t="s">
        <v>274</v>
      </c>
      <c r="N30" t="s">
        <v>60</v>
      </c>
      <c r="O30" t="s">
        <v>5156</v>
      </c>
      <c r="P30" t="s">
        <v>4436</v>
      </c>
      <c r="R30" s="5">
        <v>43437.927465277775</v>
      </c>
      <c r="S30" s="5">
        <v>43482.783321759256</v>
      </c>
      <c r="T30" t="s">
        <v>53</v>
      </c>
      <c r="U30" t="s">
        <v>35</v>
      </c>
      <c r="V30" s="3" t="s">
        <v>35</v>
      </c>
      <c r="W30" s="3" t="s">
        <v>5222</v>
      </c>
      <c r="AM30" s="5"/>
      <c r="AN30" s="5"/>
    </row>
    <row r="31" spans="2:40" x14ac:dyDescent="0.25">
      <c r="B31" t="s">
        <v>4906</v>
      </c>
      <c r="C31">
        <v>122671</v>
      </c>
      <c r="D31" t="s">
        <v>5177</v>
      </c>
      <c r="E31" t="s">
        <v>4899</v>
      </c>
      <c r="F31" t="s">
        <v>67</v>
      </c>
      <c r="H31" t="s">
        <v>54</v>
      </c>
      <c r="I31" t="s">
        <v>31</v>
      </c>
      <c r="J31" t="s">
        <v>43</v>
      </c>
      <c r="K31" t="s">
        <v>44</v>
      </c>
      <c r="L31" t="s">
        <v>34</v>
      </c>
      <c r="M31" t="s">
        <v>274</v>
      </c>
      <c r="N31" t="s">
        <v>46</v>
      </c>
      <c r="P31" t="s">
        <v>4436</v>
      </c>
      <c r="R31" s="5">
        <v>43437.927476851852</v>
      </c>
      <c r="S31" s="5">
        <v>43482.783414351848</v>
      </c>
      <c r="T31" t="s">
        <v>53</v>
      </c>
      <c r="U31" t="s">
        <v>35</v>
      </c>
      <c r="V31" s="3" t="s">
        <v>35</v>
      </c>
      <c r="W31" s="3" t="s">
        <v>4098</v>
      </c>
      <c r="AM31" s="5"/>
      <c r="AN31" s="5"/>
    </row>
    <row r="32" spans="2:40" x14ac:dyDescent="0.25">
      <c r="B32" t="s">
        <v>5052</v>
      </c>
      <c r="C32">
        <v>122670</v>
      </c>
      <c r="D32" t="s">
        <v>5176</v>
      </c>
      <c r="E32" t="s">
        <v>5054</v>
      </c>
      <c r="F32" t="s">
        <v>42</v>
      </c>
      <c r="H32" t="s">
        <v>116</v>
      </c>
      <c r="I32" t="s">
        <v>31</v>
      </c>
      <c r="J32" t="s">
        <v>32</v>
      </c>
      <c r="K32" t="s">
        <v>33</v>
      </c>
      <c r="L32" t="s">
        <v>34</v>
      </c>
      <c r="M32" t="s">
        <v>279</v>
      </c>
      <c r="N32" t="s">
        <v>60</v>
      </c>
      <c r="P32" t="s">
        <v>307</v>
      </c>
      <c r="R32" s="5">
        <v>43437.919872685183</v>
      </c>
      <c r="S32" s="5">
        <v>43482.409918981481</v>
      </c>
      <c r="T32" t="s">
        <v>53</v>
      </c>
      <c r="U32" t="s">
        <v>35</v>
      </c>
      <c r="V32" s="3" t="s">
        <v>321</v>
      </c>
      <c r="W32" s="3" t="s">
        <v>4143</v>
      </c>
      <c r="AM32" s="5"/>
      <c r="AN32" s="5"/>
    </row>
    <row r="33" spans="2:40" x14ac:dyDescent="0.25">
      <c r="B33" t="s">
        <v>5052</v>
      </c>
      <c r="C33">
        <v>122669</v>
      </c>
      <c r="D33" t="s">
        <v>5175</v>
      </c>
      <c r="E33" t="s">
        <v>5054</v>
      </c>
      <c r="F33" t="s">
        <v>67</v>
      </c>
      <c r="H33" t="s">
        <v>116</v>
      </c>
      <c r="I33" t="s">
        <v>31</v>
      </c>
      <c r="J33" t="s">
        <v>32</v>
      </c>
      <c r="K33" t="s">
        <v>33</v>
      </c>
      <c r="L33" t="s">
        <v>34</v>
      </c>
      <c r="M33" t="s">
        <v>279</v>
      </c>
      <c r="N33" t="s">
        <v>46</v>
      </c>
      <c r="P33" t="s">
        <v>307</v>
      </c>
      <c r="R33" s="5">
        <v>43437.91988425926</v>
      </c>
      <c r="S33" s="5">
        <v>43482.782314814816</v>
      </c>
      <c r="T33" t="s">
        <v>53</v>
      </c>
      <c r="U33" t="s">
        <v>35</v>
      </c>
      <c r="V33" s="3" t="s">
        <v>321</v>
      </c>
      <c r="W33" s="3" t="s">
        <v>4098</v>
      </c>
      <c r="AM33" s="5"/>
      <c r="AN33" s="5"/>
    </row>
    <row r="34" spans="2:40" x14ac:dyDescent="0.25">
      <c r="B34" t="s">
        <v>5166</v>
      </c>
      <c r="C34">
        <v>122667</v>
      </c>
      <c r="D34" t="s">
        <v>5174</v>
      </c>
      <c r="E34" t="s">
        <v>131</v>
      </c>
      <c r="F34" t="s">
        <v>67</v>
      </c>
      <c r="H34" t="s">
        <v>54</v>
      </c>
      <c r="I34" t="s">
        <v>31</v>
      </c>
      <c r="J34" t="s">
        <v>32</v>
      </c>
      <c r="K34" t="s">
        <v>51</v>
      </c>
      <c r="L34" t="s">
        <v>73</v>
      </c>
      <c r="M34" t="s">
        <v>273</v>
      </c>
      <c r="N34" t="s">
        <v>46</v>
      </c>
      <c r="P34" t="s">
        <v>4436</v>
      </c>
      <c r="Q34" t="s">
        <v>5168</v>
      </c>
      <c r="R34" s="5">
        <v>43437.704710648148</v>
      </c>
      <c r="S34" s="5">
        <v>43437.704710648148</v>
      </c>
      <c r="T34" t="s">
        <v>301</v>
      </c>
      <c r="U34" t="s">
        <v>35</v>
      </c>
      <c r="V34" s="3" t="s">
        <v>35</v>
      </c>
      <c r="W34" s="3" t="s">
        <v>4410</v>
      </c>
      <c r="AM34" s="5"/>
      <c r="AN34" s="5"/>
    </row>
    <row r="35" spans="2:40" x14ac:dyDescent="0.25">
      <c r="B35" t="s">
        <v>5166</v>
      </c>
      <c r="C35">
        <v>122666</v>
      </c>
      <c r="D35" t="s">
        <v>5173</v>
      </c>
      <c r="E35" t="s">
        <v>131</v>
      </c>
      <c r="F35" t="s">
        <v>42</v>
      </c>
      <c r="H35" t="s">
        <v>54</v>
      </c>
      <c r="I35" t="s">
        <v>31</v>
      </c>
      <c r="J35" t="s">
        <v>32</v>
      </c>
      <c r="K35" t="s">
        <v>51</v>
      </c>
      <c r="L35" t="s">
        <v>73</v>
      </c>
      <c r="M35" t="s">
        <v>273</v>
      </c>
      <c r="N35" t="s">
        <v>46</v>
      </c>
      <c r="P35" t="s">
        <v>4436</v>
      </c>
      <c r="Q35" t="s">
        <v>5168</v>
      </c>
      <c r="R35" s="5">
        <v>43437.704710648148</v>
      </c>
      <c r="S35" s="5">
        <v>43476.485821759263</v>
      </c>
      <c r="T35" t="s">
        <v>301</v>
      </c>
      <c r="U35" t="s">
        <v>35</v>
      </c>
      <c r="V35" s="3" t="s">
        <v>35</v>
      </c>
      <c r="W35" s="3" t="s">
        <v>4098</v>
      </c>
      <c r="AM35" s="5"/>
      <c r="AN35" s="5"/>
    </row>
    <row r="36" spans="2:40" x14ac:dyDescent="0.25">
      <c r="B36" t="s">
        <v>5170</v>
      </c>
      <c r="C36">
        <v>122490</v>
      </c>
      <c r="D36" t="s">
        <v>5171</v>
      </c>
      <c r="E36" t="s">
        <v>4717</v>
      </c>
      <c r="F36" t="s">
        <v>29</v>
      </c>
      <c r="H36" t="s">
        <v>54</v>
      </c>
      <c r="I36" t="s">
        <v>68</v>
      </c>
      <c r="J36" t="s">
        <v>58</v>
      </c>
      <c r="K36" t="s">
        <v>44</v>
      </c>
      <c r="L36" t="s">
        <v>34</v>
      </c>
      <c r="M36" t="s">
        <v>266</v>
      </c>
      <c r="N36" t="s">
        <v>46</v>
      </c>
      <c r="O36" t="s">
        <v>5172</v>
      </c>
      <c r="P36" t="s">
        <v>69</v>
      </c>
      <c r="Q36" t="s">
        <v>3509</v>
      </c>
      <c r="R36" s="5">
        <v>43431.641203703701</v>
      </c>
      <c r="S36" s="5">
        <v>43480.185520833336</v>
      </c>
      <c r="T36" t="s">
        <v>4</v>
      </c>
      <c r="U36" t="s">
        <v>35</v>
      </c>
      <c r="V36" s="3" t="s">
        <v>35</v>
      </c>
      <c r="W36" s="3" t="s">
        <v>4143</v>
      </c>
      <c r="AM36" s="5"/>
      <c r="AN36" s="5"/>
    </row>
    <row r="37" spans="2:40" x14ac:dyDescent="0.25">
      <c r="B37" t="s">
        <v>2841</v>
      </c>
      <c r="C37">
        <v>122464</v>
      </c>
      <c r="D37" t="s">
        <v>5169</v>
      </c>
      <c r="E37" t="s">
        <v>387</v>
      </c>
      <c r="F37" t="s">
        <v>4087</v>
      </c>
      <c r="H37" t="s">
        <v>56</v>
      </c>
      <c r="I37" t="s">
        <v>31</v>
      </c>
      <c r="J37" t="s">
        <v>32</v>
      </c>
      <c r="K37" t="s">
        <v>33</v>
      </c>
      <c r="L37" t="s">
        <v>73</v>
      </c>
      <c r="M37" t="s">
        <v>273</v>
      </c>
      <c r="N37" t="s">
        <v>46</v>
      </c>
      <c r="P37" t="s">
        <v>4179</v>
      </c>
      <c r="R37" s="5">
        <v>43431.276250000003</v>
      </c>
      <c r="S37" s="5">
        <v>43481.776886574073</v>
      </c>
      <c r="T37" t="s">
        <v>4767</v>
      </c>
      <c r="U37" t="s">
        <v>35</v>
      </c>
      <c r="V37" s="3" t="s">
        <v>35</v>
      </c>
      <c r="W37" s="3" t="s">
        <v>35</v>
      </c>
      <c r="AM37" s="5"/>
      <c r="AN37" s="5"/>
    </row>
    <row r="38" spans="2:40" x14ac:dyDescent="0.25">
      <c r="B38" t="s">
        <v>5166</v>
      </c>
      <c r="C38">
        <v>122463</v>
      </c>
      <c r="D38" t="s">
        <v>5167</v>
      </c>
      <c r="E38" t="s">
        <v>131</v>
      </c>
      <c r="F38" t="s">
        <v>319</v>
      </c>
      <c r="G38" t="s">
        <v>304</v>
      </c>
      <c r="H38" t="s">
        <v>54</v>
      </c>
      <c r="I38" t="s">
        <v>31</v>
      </c>
      <c r="J38" t="s">
        <v>32</v>
      </c>
      <c r="K38" t="s">
        <v>51</v>
      </c>
      <c r="L38" t="s">
        <v>73</v>
      </c>
      <c r="M38" t="s">
        <v>273</v>
      </c>
      <c r="N38" t="s">
        <v>60</v>
      </c>
      <c r="P38" t="s">
        <v>4436</v>
      </c>
      <c r="Q38" t="s">
        <v>5168</v>
      </c>
      <c r="R38" s="5">
        <v>43431.273576388892</v>
      </c>
      <c r="S38" s="5">
        <v>43476.482222222221</v>
      </c>
      <c r="T38" t="s">
        <v>4</v>
      </c>
      <c r="U38" t="s">
        <v>35</v>
      </c>
      <c r="V38" s="3" t="s">
        <v>35</v>
      </c>
      <c r="W38" s="3" t="s">
        <v>4171</v>
      </c>
      <c r="AM38" s="5"/>
      <c r="AN38" s="5"/>
    </row>
    <row r="39" spans="2:40" x14ac:dyDescent="0.25">
      <c r="B39" t="s">
        <v>4940</v>
      </c>
      <c r="C39">
        <v>122348</v>
      </c>
      <c r="D39" t="s">
        <v>5165</v>
      </c>
      <c r="E39" t="s">
        <v>4941</v>
      </c>
      <c r="F39" t="s">
        <v>67</v>
      </c>
      <c r="H39" t="s">
        <v>54</v>
      </c>
      <c r="I39" t="s">
        <v>31</v>
      </c>
      <c r="J39" t="s">
        <v>32</v>
      </c>
      <c r="K39" t="s">
        <v>33</v>
      </c>
      <c r="L39" t="s">
        <v>4942</v>
      </c>
      <c r="M39" t="s">
        <v>4943</v>
      </c>
      <c r="N39" t="s">
        <v>60</v>
      </c>
      <c r="P39" t="s">
        <v>307</v>
      </c>
      <c r="R39" s="5">
        <v>43427.126539351855</v>
      </c>
      <c r="S39" s="5">
        <v>43427.126539351855</v>
      </c>
      <c r="T39" t="s">
        <v>5164</v>
      </c>
      <c r="U39" t="s">
        <v>35</v>
      </c>
      <c r="V39" s="3" t="s">
        <v>35</v>
      </c>
      <c r="W39" s="3" t="s">
        <v>4410</v>
      </c>
      <c r="AM39" s="5"/>
      <c r="AN39" s="5"/>
    </row>
    <row r="40" spans="2:40" x14ac:dyDescent="0.25">
      <c r="B40" t="s">
        <v>4940</v>
      </c>
      <c r="C40">
        <v>122347</v>
      </c>
      <c r="D40" t="s">
        <v>5163</v>
      </c>
      <c r="E40" t="s">
        <v>4941</v>
      </c>
      <c r="F40" t="s">
        <v>67</v>
      </c>
      <c r="H40" t="s">
        <v>54</v>
      </c>
      <c r="I40" t="s">
        <v>31</v>
      </c>
      <c r="J40" t="s">
        <v>32</v>
      </c>
      <c r="K40" t="s">
        <v>33</v>
      </c>
      <c r="L40" t="s">
        <v>4942</v>
      </c>
      <c r="M40" t="s">
        <v>4943</v>
      </c>
      <c r="N40" t="s">
        <v>60</v>
      </c>
      <c r="P40" t="s">
        <v>307</v>
      </c>
      <c r="R40" s="5">
        <v>43427.126550925925</v>
      </c>
      <c r="S40" s="5">
        <v>43427.126539351855</v>
      </c>
      <c r="T40" t="s">
        <v>5164</v>
      </c>
      <c r="U40" t="s">
        <v>35</v>
      </c>
      <c r="V40" s="3" t="s">
        <v>35</v>
      </c>
      <c r="W40" s="3" t="s">
        <v>4098</v>
      </c>
      <c r="AM40" s="5"/>
      <c r="AN40" s="5"/>
    </row>
    <row r="41" spans="2:40" x14ac:dyDescent="0.25">
      <c r="B41" t="s">
        <v>2841</v>
      </c>
      <c r="C41">
        <v>122309</v>
      </c>
      <c r="D41" t="s">
        <v>5162</v>
      </c>
      <c r="E41" t="s">
        <v>4763</v>
      </c>
      <c r="F41" t="s">
        <v>4087</v>
      </c>
      <c r="H41" t="s">
        <v>56</v>
      </c>
      <c r="I41" t="s">
        <v>68</v>
      </c>
      <c r="J41" t="s">
        <v>43</v>
      </c>
      <c r="K41" t="s">
        <v>33</v>
      </c>
      <c r="L41" t="s">
        <v>4851</v>
      </c>
      <c r="M41" t="s">
        <v>4851</v>
      </c>
      <c r="N41" t="s">
        <v>46</v>
      </c>
      <c r="P41" t="s">
        <v>4459</v>
      </c>
      <c r="R41" s="5">
        <v>43426.23333333333</v>
      </c>
      <c r="S41" s="5">
        <v>43426.234247685185</v>
      </c>
      <c r="T41" t="s">
        <v>4320</v>
      </c>
      <c r="U41" t="s">
        <v>35</v>
      </c>
      <c r="V41" s="3" t="s">
        <v>35</v>
      </c>
      <c r="W41" s="3" t="s">
        <v>35</v>
      </c>
      <c r="AM41" s="5"/>
      <c r="AN41" s="5"/>
    </row>
    <row r="42" spans="2:40" x14ac:dyDescent="0.25">
      <c r="B42" t="s">
        <v>5103</v>
      </c>
      <c r="C42">
        <v>122125</v>
      </c>
      <c r="D42" t="s">
        <v>5104</v>
      </c>
      <c r="E42" t="s">
        <v>53</v>
      </c>
      <c r="F42" t="s">
        <v>42</v>
      </c>
      <c r="H42" t="s">
        <v>54</v>
      </c>
      <c r="I42" t="s">
        <v>68</v>
      </c>
      <c r="J42" t="s">
        <v>43</v>
      </c>
      <c r="K42" t="s">
        <v>33</v>
      </c>
      <c r="L42" t="s">
        <v>34</v>
      </c>
      <c r="M42" t="s">
        <v>258</v>
      </c>
      <c r="N42" t="s">
        <v>46</v>
      </c>
      <c r="O42" t="s">
        <v>5161</v>
      </c>
      <c r="P42" t="s">
        <v>4436</v>
      </c>
      <c r="R42" s="5">
        <v>43420.340949074074</v>
      </c>
      <c r="S42" s="5">
        <v>43479.707685185182</v>
      </c>
      <c r="T42" t="s">
        <v>4</v>
      </c>
      <c r="U42" t="s">
        <v>35</v>
      </c>
      <c r="V42" s="3" t="s">
        <v>35</v>
      </c>
      <c r="W42" s="3" t="s">
        <v>4143</v>
      </c>
      <c r="AM42" s="5"/>
      <c r="AN42" s="5"/>
    </row>
    <row r="43" spans="2:40" x14ac:dyDescent="0.25">
      <c r="B43" t="s">
        <v>5082</v>
      </c>
      <c r="C43">
        <v>122054</v>
      </c>
      <c r="D43" t="s">
        <v>5083</v>
      </c>
      <c r="E43" t="s">
        <v>53</v>
      </c>
      <c r="F43" t="s">
        <v>42</v>
      </c>
      <c r="H43" t="s">
        <v>30</v>
      </c>
      <c r="I43" t="s">
        <v>57</v>
      </c>
      <c r="J43" t="s">
        <v>58</v>
      </c>
      <c r="K43" t="s">
        <v>33</v>
      </c>
      <c r="L43" t="s">
        <v>34</v>
      </c>
      <c r="M43" t="s">
        <v>5112</v>
      </c>
      <c r="N43" t="s">
        <v>46</v>
      </c>
      <c r="O43" t="s">
        <v>5160</v>
      </c>
      <c r="P43" t="s">
        <v>69</v>
      </c>
      <c r="R43" s="5">
        <v>43418.400300925925</v>
      </c>
      <c r="S43" s="5">
        <v>43479.707881944443</v>
      </c>
      <c r="T43" t="s">
        <v>4</v>
      </c>
      <c r="U43" t="s">
        <v>35</v>
      </c>
      <c r="V43" s="3" t="s">
        <v>35</v>
      </c>
      <c r="W43" s="3" t="s">
        <v>4143</v>
      </c>
      <c r="AM43" s="5"/>
      <c r="AN43" s="5"/>
    </row>
    <row r="44" spans="2:40" x14ac:dyDescent="0.25">
      <c r="B44" t="s">
        <v>2841</v>
      </c>
      <c r="C44">
        <v>121921</v>
      </c>
      <c r="D44" t="s">
        <v>5057</v>
      </c>
      <c r="E44" t="s">
        <v>4763</v>
      </c>
      <c r="F44" t="s">
        <v>4087</v>
      </c>
      <c r="H44" t="s">
        <v>56</v>
      </c>
      <c r="I44" t="s">
        <v>68</v>
      </c>
      <c r="J44" t="s">
        <v>43</v>
      </c>
      <c r="K44" t="s">
        <v>33</v>
      </c>
      <c r="L44" t="s">
        <v>4851</v>
      </c>
      <c r="M44" t="s">
        <v>4851</v>
      </c>
      <c r="N44" t="s">
        <v>46</v>
      </c>
      <c r="P44" t="s">
        <v>56</v>
      </c>
      <c r="R44" s="5">
        <v>43413.560856481483</v>
      </c>
      <c r="S44" s="5">
        <v>43413.561805555553</v>
      </c>
      <c r="T44" t="s">
        <v>4320</v>
      </c>
      <c r="U44" t="s">
        <v>35</v>
      </c>
      <c r="V44" s="3" t="s">
        <v>35</v>
      </c>
      <c r="W44" s="3" t="s">
        <v>35</v>
      </c>
      <c r="AM44" s="5"/>
      <c r="AN44" s="5"/>
    </row>
    <row r="45" spans="2:40" x14ac:dyDescent="0.25">
      <c r="B45" t="s">
        <v>4975</v>
      </c>
      <c r="C45">
        <v>121566</v>
      </c>
      <c r="D45" t="s">
        <v>4977</v>
      </c>
      <c r="E45" t="s">
        <v>134</v>
      </c>
      <c r="F45" t="s">
        <v>305</v>
      </c>
      <c r="G45" t="s">
        <v>304</v>
      </c>
      <c r="H45" t="s">
        <v>116</v>
      </c>
      <c r="I45" t="s">
        <v>31</v>
      </c>
      <c r="J45" t="s">
        <v>32</v>
      </c>
      <c r="K45" t="s">
        <v>44</v>
      </c>
      <c r="L45" t="s">
        <v>96</v>
      </c>
      <c r="M45" t="s">
        <v>269</v>
      </c>
      <c r="N45" t="s">
        <v>4821</v>
      </c>
      <c r="P45" t="s">
        <v>4949</v>
      </c>
      <c r="Q45" t="s">
        <v>4987</v>
      </c>
      <c r="R45" s="5">
        <v>43402.873807870368</v>
      </c>
      <c r="S45" s="5">
        <v>43453.376493055555</v>
      </c>
      <c r="T45" t="s">
        <v>53</v>
      </c>
      <c r="U45" t="s">
        <v>4978</v>
      </c>
      <c r="V45" s="3" t="s">
        <v>321</v>
      </c>
      <c r="W45" s="3" t="s">
        <v>4171</v>
      </c>
      <c r="AM45" s="5"/>
      <c r="AN45" s="5"/>
    </row>
    <row r="46" spans="2:40" x14ac:dyDescent="0.25">
      <c r="B46" t="s">
        <v>4975</v>
      </c>
      <c r="C46">
        <v>121565</v>
      </c>
      <c r="D46" t="s">
        <v>4976</v>
      </c>
      <c r="E46" t="s">
        <v>288</v>
      </c>
      <c r="F46" t="s">
        <v>67</v>
      </c>
      <c r="H46" t="s">
        <v>116</v>
      </c>
      <c r="I46" t="s">
        <v>31</v>
      </c>
      <c r="J46" t="s">
        <v>32</v>
      </c>
      <c r="K46" t="s">
        <v>44</v>
      </c>
      <c r="L46" t="s">
        <v>96</v>
      </c>
      <c r="M46" t="s">
        <v>269</v>
      </c>
      <c r="N46" t="s">
        <v>46</v>
      </c>
      <c r="P46" t="s">
        <v>4949</v>
      </c>
      <c r="R46" s="5">
        <v>43402.873819444445</v>
      </c>
      <c r="S46" s="5">
        <v>43402.883240740739</v>
      </c>
      <c r="T46" t="s">
        <v>53</v>
      </c>
      <c r="U46" t="s">
        <v>35</v>
      </c>
      <c r="V46" s="3" t="s">
        <v>321</v>
      </c>
      <c r="W46" s="3" t="s">
        <v>4098</v>
      </c>
      <c r="AM46" s="5"/>
      <c r="AN46" s="5"/>
    </row>
    <row r="47" spans="2:40" x14ac:dyDescent="0.25">
      <c r="B47" t="s">
        <v>4975</v>
      </c>
      <c r="C47">
        <v>121564</v>
      </c>
      <c r="D47" t="s">
        <v>5048</v>
      </c>
      <c r="E47" t="s">
        <v>3671</v>
      </c>
      <c r="F47" t="s">
        <v>305</v>
      </c>
      <c r="G47" t="s">
        <v>304</v>
      </c>
      <c r="H47" t="s">
        <v>116</v>
      </c>
      <c r="I47" t="s">
        <v>31</v>
      </c>
      <c r="J47" t="s">
        <v>32</v>
      </c>
      <c r="K47" t="s">
        <v>44</v>
      </c>
      <c r="L47" t="s">
        <v>96</v>
      </c>
      <c r="M47" t="s">
        <v>269</v>
      </c>
      <c r="N47" t="s">
        <v>5004</v>
      </c>
      <c r="P47" t="s">
        <v>4949</v>
      </c>
      <c r="Q47" t="s">
        <v>69</v>
      </c>
      <c r="R47" s="5">
        <v>43402.867013888892</v>
      </c>
      <c r="S47" s="5">
        <v>43473.713923611111</v>
      </c>
      <c r="T47" t="s">
        <v>1</v>
      </c>
      <c r="U47" t="s">
        <v>5020</v>
      </c>
      <c r="V47" s="3" t="s">
        <v>321</v>
      </c>
      <c r="W47" s="3" t="s">
        <v>5001</v>
      </c>
      <c r="AM47" s="5"/>
      <c r="AN47" s="5"/>
    </row>
    <row r="48" spans="2:40" x14ac:dyDescent="0.25">
      <c r="B48" t="s">
        <v>4971</v>
      </c>
      <c r="C48">
        <v>121560</v>
      </c>
      <c r="D48" t="s">
        <v>4974</v>
      </c>
      <c r="E48" t="s">
        <v>4303</v>
      </c>
      <c r="F48" t="s">
        <v>319</v>
      </c>
      <c r="G48" t="s">
        <v>304</v>
      </c>
      <c r="H48" t="s">
        <v>116</v>
      </c>
      <c r="I48" t="s">
        <v>31</v>
      </c>
      <c r="J48" t="s">
        <v>32</v>
      </c>
      <c r="K48" t="s">
        <v>44</v>
      </c>
      <c r="L48" t="s">
        <v>380</v>
      </c>
      <c r="M48" t="s">
        <v>4972</v>
      </c>
      <c r="N48" t="s">
        <v>510</v>
      </c>
      <c r="P48" t="s">
        <v>4949</v>
      </c>
      <c r="Q48" t="s">
        <v>5158</v>
      </c>
      <c r="R48" s="5">
        <v>43402.788807870369</v>
      </c>
      <c r="S48" s="5">
        <v>43454.681342592594</v>
      </c>
      <c r="T48" t="s">
        <v>288</v>
      </c>
      <c r="U48" t="s">
        <v>5159</v>
      </c>
      <c r="V48" s="3" t="s">
        <v>321</v>
      </c>
      <c r="W48" s="3" t="s">
        <v>4171</v>
      </c>
      <c r="AM48" s="5"/>
      <c r="AN48" s="5"/>
    </row>
    <row r="49" spans="2:40" x14ac:dyDescent="0.25">
      <c r="B49" t="s">
        <v>4971</v>
      </c>
      <c r="C49">
        <v>121559</v>
      </c>
      <c r="D49" t="s">
        <v>4973</v>
      </c>
      <c r="E49" t="s">
        <v>4303</v>
      </c>
      <c r="F49" t="s">
        <v>319</v>
      </c>
      <c r="G49" t="s">
        <v>304</v>
      </c>
      <c r="H49" t="s">
        <v>116</v>
      </c>
      <c r="I49" t="s">
        <v>31</v>
      </c>
      <c r="J49" t="s">
        <v>32</v>
      </c>
      <c r="K49" t="s">
        <v>44</v>
      </c>
      <c r="L49" t="s">
        <v>380</v>
      </c>
      <c r="M49" t="s">
        <v>4972</v>
      </c>
      <c r="N49" t="s">
        <v>46</v>
      </c>
      <c r="P49" t="s">
        <v>4949</v>
      </c>
      <c r="Q49" t="s">
        <v>5158</v>
      </c>
      <c r="R49" s="5">
        <v>43402.788819444446</v>
      </c>
      <c r="S49" s="5">
        <v>43454.68246527778</v>
      </c>
      <c r="T49" t="s">
        <v>288</v>
      </c>
      <c r="U49" t="s">
        <v>35</v>
      </c>
      <c r="V49" s="3" t="s">
        <v>321</v>
      </c>
      <c r="W49" s="3" t="s">
        <v>4098</v>
      </c>
      <c r="AM49" s="5"/>
      <c r="AN49" s="5"/>
    </row>
    <row r="50" spans="2:40" x14ac:dyDescent="0.25">
      <c r="B50" t="s">
        <v>4971</v>
      </c>
      <c r="C50">
        <v>121558</v>
      </c>
      <c r="D50" t="s">
        <v>5047</v>
      </c>
      <c r="E50" t="s">
        <v>4303</v>
      </c>
      <c r="F50" t="s">
        <v>305</v>
      </c>
      <c r="G50" t="s">
        <v>304</v>
      </c>
      <c r="H50" t="s">
        <v>116</v>
      </c>
      <c r="I50" t="s">
        <v>31</v>
      </c>
      <c r="J50" t="s">
        <v>32</v>
      </c>
      <c r="K50" t="s">
        <v>44</v>
      </c>
      <c r="L50" t="s">
        <v>380</v>
      </c>
      <c r="M50" t="s">
        <v>4972</v>
      </c>
      <c r="N50" t="s">
        <v>4884</v>
      </c>
      <c r="P50" t="s">
        <v>4949</v>
      </c>
      <c r="Q50" t="s">
        <v>5158</v>
      </c>
      <c r="R50" s="5">
        <v>43402.772106481483</v>
      </c>
      <c r="S50" s="5">
        <v>43474.724247685182</v>
      </c>
      <c r="T50" t="s">
        <v>2960</v>
      </c>
      <c r="U50" t="s">
        <v>35</v>
      </c>
      <c r="V50" s="3" t="s">
        <v>321</v>
      </c>
      <c r="W50" s="3" t="s">
        <v>5001</v>
      </c>
      <c r="AM50" s="5"/>
      <c r="AN50" s="5"/>
    </row>
    <row r="51" spans="2:40" x14ac:dyDescent="0.25">
      <c r="B51" t="s">
        <v>4948</v>
      </c>
      <c r="C51">
        <v>121543</v>
      </c>
      <c r="D51" t="s">
        <v>4970</v>
      </c>
      <c r="E51" t="s">
        <v>288</v>
      </c>
      <c r="F51" t="s">
        <v>305</v>
      </c>
      <c r="G51" t="s">
        <v>353</v>
      </c>
      <c r="H51" t="s">
        <v>56</v>
      </c>
      <c r="I51" t="s">
        <v>31</v>
      </c>
      <c r="J51" t="s">
        <v>32</v>
      </c>
      <c r="K51" t="s">
        <v>51</v>
      </c>
      <c r="L51" t="s">
        <v>96</v>
      </c>
      <c r="M51" t="s">
        <v>269</v>
      </c>
      <c r="N51" t="s">
        <v>46</v>
      </c>
      <c r="P51" t="s">
        <v>4949</v>
      </c>
      <c r="Q51" t="s">
        <v>2854</v>
      </c>
      <c r="R51" s="5">
        <v>43402.554351851853</v>
      </c>
      <c r="S51" s="5">
        <v>43438.141770833332</v>
      </c>
      <c r="T51" t="s">
        <v>288</v>
      </c>
      <c r="U51" t="s">
        <v>35</v>
      </c>
      <c r="V51" s="3" t="s">
        <v>321</v>
      </c>
      <c r="W51" s="3" t="s">
        <v>4171</v>
      </c>
      <c r="AM51" s="5"/>
      <c r="AN51" s="5"/>
    </row>
    <row r="52" spans="2:40" x14ac:dyDescent="0.25">
      <c r="B52" t="s">
        <v>4948</v>
      </c>
      <c r="C52">
        <v>121542</v>
      </c>
      <c r="D52" t="s">
        <v>4969</v>
      </c>
      <c r="E52" t="s">
        <v>3671</v>
      </c>
      <c r="F52" t="s">
        <v>305</v>
      </c>
      <c r="G52" t="s">
        <v>353</v>
      </c>
      <c r="H52" t="s">
        <v>56</v>
      </c>
      <c r="I52" t="s">
        <v>31</v>
      </c>
      <c r="J52" t="s">
        <v>32</v>
      </c>
      <c r="K52" t="s">
        <v>51</v>
      </c>
      <c r="L52" t="s">
        <v>96</v>
      </c>
      <c r="M52" t="s">
        <v>269</v>
      </c>
      <c r="N52" t="s">
        <v>46</v>
      </c>
      <c r="P52" t="s">
        <v>4949</v>
      </c>
      <c r="Q52" t="s">
        <v>3748</v>
      </c>
      <c r="R52" s="5">
        <v>43402.554351851853</v>
      </c>
      <c r="S52" s="5">
        <v>43441.168981481482</v>
      </c>
      <c r="T52" t="s">
        <v>288</v>
      </c>
      <c r="U52" t="s">
        <v>35</v>
      </c>
      <c r="V52" s="3" t="s">
        <v>321</v>
      </c>
      <c r="W52" s="3" t="s">
        <v>4098</v>
      </c>
      <c r="AM52" s="5"/>
      <c r="AN52" s="5"/>
    </row>
    <row r="53" spans="2:40" x14ac:dyDescent="0.25">
      <c r="B53" t="s">
        <v>2841</v>
      </c>
      <c r="C53">
        <v>121539</v>
      </c>
      <c r="D53" t="s">
        <v>4968</v>
      </c>
      <c r="E53" t="s">
        <v>4763</v>
      </c>
      <c r="F53" t="s">
        <v>4087</v>
      </c>
      <c r="H53" t="s">
        <v>56</v>
      </c>
      <c r="I53" t="s">
        <v>68</v>
      </c>
      <c r="J53" t="s">
        <v>43</v>
      </c>
      <c r="K53" t="s">
        <v>33</v>
      </c>
      <c r="L53" t="s">
        <v>4851</v>
      </c>
      <c r="M53" t="s">
        <v>4851</v>
      </c>
      <c r="N53" t="s">
        <v>46</v>
      </c>
      <c r="P53" t="s">
        <v>2708</v>
      </c>
      <c r="R53" s="5">
        <v>43402.497835648152</v>
      </c>
      <c r="S53" s="5">
        <v>43402.498715277776</v>
      </c>
      <c r="T53" t="s">
        <v>4460</v>
      </c>
      <c r="U53" t="s">
        <v>35</v>
      </c>
      <c r="V53" s="3" t="s">
        <v>35</v>
      </c>
      <c r="W53" s="3" t="s">
        <v>35</v>
      </c>
      <c r="AM53" s="5"/>
      <c r="AN53" s="5"/>
    </row>
    <row r="54" spans="2:40" x14ac:dyDescent="0.25">
      <c r="B54" t="s">
        <v>2841</v>
      </c>
      <c r="C54">
        <v>121537</v>
      </c>
      <c r="D54" t="s">
        <v>4967</v>
      </c>
      <c r="E54" t="s">
        <v>4763</v>
      </c>
      <c r="F54" t="s">
        <v>4087</v>
      </c>
      <c r="H54" t="s">
        <v>56</v>
      </c>
      <c r="I54" t="s">
        <v>68</v>
      </c>
      <c r="J54" t="s">
        <v>43</v>
      </c>
      <c r="K54" t="s">
        <v>33</v>
      </c>
      <c r="L54" t="s">
        <v>4851</v>
      </c>
      <c r="M54" t="s">
        <v>4851</v>
      </c>
      <c r="N54" t="s">
        <v>46</v>
      </c>
      <c r="P54" t="s">
        <v>56</v>
      </c>
      <c r="R54" s="5">
        <v>43402.482106481482</v>
      </c>
      <c r="S54" s="5">
        <v>43402.499548611115</v>
      </c>
      <c r="T54" t="s">
        <v>4460</v>
      </c>
      <c r="U54" t="s">
        <v>35</v>
      </c>
      <c r="V54" s="3" t="s">
        <v>35</v>
      </c>
      <c r="W54" s="3" t="s">
        <v>35</v>
      </c>
      <c r="AM54" s="5"/>
      <c r="AN54" s="5"/>
    </row>
    <row r="55" spans="2:40" x14ac:dyDescent="0.25">
      <c r="B55" t="s">
        <v>4906</v>
      </c>
      <c r="C55">
        <v>121504</v>
      </c>
      <c r="D55" t="s">
        <v>4966</v>
      </c>
      <c r="E55" t="s">
        <v>4717</v>
      </c>
      <c r="F55" t="s">
        <v>42</v>
      </c>
      <c r="H55" t="s">
        <v>54</v>
      </c>
      <c r="I55" t="s">
        <v>31</v>
      </c>
      <c r="J55" t="s">
        <v>43</v>
      </c>
      <c r="K55" t="s">
        <v>44</v>
      </c>
      <c r="L55" t="s">
        <v>34</v>
      </c>
      <c r="M55" t="s">
        <v>274</v>
      </c>
      <c r="N55" t="s">
        <v>60</v>
      </c>
      <c r="O55" t="s">
        <v>5157</v>
      </c>
      <c r="P55" t="s">
        <v>4436</v>
      </c>
      <c r="R55" s="5">
        <v>43399.685196759259</v>
      </c>
      <c r="S55" s="5">
        <v>43472.706203703703</v>
      </c>
      <c r="T55" t="s">
        <v>53</v>
      </c>
      <c r="U55" t="s">
        <v>35</v>
      </c>
      <c r="V55" s="3" t="s">
        <v>35</v>
      </c>
      <c r="W55" s="3" t="s">
        <v>4176</v>
      </c>
      <c r="AM55" s="5"/>
      <c r="AN55" s="5"/>
    </row>
    <row r="56" spans="2:40" x14ac:dyDescent="0.25">
      <c r="B56" t="s">
        <v>4906</v>
      </c>
      <c r="C56">
        <v>121503</v>
      </c>
      <c r="D56" t="s">
        <v>4964</v>
      </c>
      <c r="E56" t="s">
        <v>4717</v>
      </c>
      <c r="F56" t="s">
        <v>67</v>
      </c>
      <c r="H56" t="s">
        <v>54</v>
      </c>
      <c r="I56" t="s">
        <v>31</v>
      </c>
      <c r="J56" t="s">
        <v>43</v>
      </c>
      <c r="K56" t="s">
        <v>44</v>
      </c>
      <c r="L56" t="s">
        <v>34</v>
      </c>
      <c r="M56" t="s">
        <v>274</v>
      </c>
      <c r="N56" t="s">
        <v>60</v>
      </c>
      <c r="O56" t="s">
        <v>5229</v>
      </c>
      <c r="P56" t="s">
        <v>4436</v>
      </c>
      <c r="R56" s="5">
        <v>43399.685196759259</v>
      </c>
      <c r="S56" s="5">
        <v>43482.782777777778</v>
      </c>
      <c r="T56" t="s">
        <v>53</v>
      </c>
      <c r="U56" t="s">
        <v>35</v>
      </c>
      <c r="V56" s="3" t="s">
        <v>35</v>
      </c>
      <c r="W56" s="3" t="s">
        <v>4098</v>
      </c>
      <c r="AM56" s="5"/>
      <c r="AN56" s="5"/>
    </row>
    <row r="57" spans="2:40" x14ac:dyDescent="0.25">
      <c r="B57" t="s">
        <v>4906</v>
      </c>
      <c r="C57">
        <v>121502</v>
      </c>
      <c r="D57" t="s">
        <v>4963</v>
      </c>
      <c r="E57" t="s">
        <v>4717</v>
      </c>
      <c r="F57" t="s">
        <v>42</v>
      </c>
      <c r="H57" t="s">
        <v>54</v>
      </c>
      <c r="I57" t="s">
        <v>31</v>
      </c>
      <c r="J57" t="s">
        <v>43</v>
      </c>
      <c r="K57" t="s">
        <v>44</v>
      </c>
      <c r="L57" t="s">
        <v>34</v>
      </c>
      <c r="M57" t="s">
        <v>274</v>
      </c>
      <c r="N57" t="s">
        <v>60</v>
      </c>
      <c r="O57" t="s">
        <v>5228</v>
      </c>
      <c r="P57" t="s">
        <v>4436</v>
      </c>
      <c r="R57" s="5">
        <v>43399.680069444446</v>
      </c>
      <c r="S57" s="5">
        <v>43482.418530092589</v>
      </c>
      <c r="T57" t="s">
        <v>53</v>
      </c>
      <c r="U57" t="s">
        <v>35</v>
      </c>
      <c r="V57" s="3" t="s">
        <v>35</v>
      </c>
      <c r="W57" s="3" t="s">
        <v>4143</v>
      </c>
      <c r="AM57" s="5"/>
      <c r="AN57" s="5"/>
    </row>
    <row r="58" spans="2:40" x14ac:dyDescent="0.25">
      <c r="B58" t="s">
        <v>4891</v>
      </c>
      <c r="C58">
        <v>121415</v>
      </c>
      <c r="D58" t="s">
        <v>4955</v>
      </c>
      <c r="E58" t="s">
        <v>387</v>
      </c>
      <c r="F58" t="s">
        <v>67</v>
      </c>
      <c r="H58" t="s">
        <v>54</v>
      </c>
      <c r="I58" t="s">
        <v>68</v>
      </c>
      <c r="J58" t="s">
        <v>43</v>
      </c>
      <c r="K58" t="s">
        <v>33</v>
      </c>
      <c r="L58" t="s">
        <v>73</v>
      </c>
      <c r="M58" t="s">
        <v>263</v>
      </c>
      <c r="N58" t="s">
        <v>60</v>
      </c>
      <c r="P58" t="s">
        <v>4436</v>
      </c>
      <c r="R58" s="5">
        <v>43398.093148148146</v>
      </c>
      <c r="S58" s="5">
        <v>43398.093148148146</v>
      </c>
      <c r="T58" t="s">
        <v>53</v>
      </c>
      <c r="U58" t="s">
        <v>35</v>
      </c>
      <c r="V58" s="3" t="s">
        <v>35</v>
      </c>
      <c r="W58" s="3" t="s">
        <v>4171</v>
      </c>
      <c r="AM58" s="5"/>
      <c r="AN58" s="5"/>
    </row>
    <row r="59" spans="2:40" x14ac:dyDescent="0.25">
      <c r="B59" t="s">
        <v>4891</v>
      </c>
      <c r="C59">
        <v>121414</v>
      </c>
      <c r="D59" t="s">
        <v>4954</v>
      </c>
      <c r="E59" t="s">
        <v>94</v>
      </c>
      <c r="F59" t="s">
        <v>67</v>
      </c>
      <c r="H59" t="s">
        <v>54</v>
      </c>
      <c r="I59" t="s">
        <v>68</v>
      </c>
      <c r="J59" t="s">
        <v>43</v>
      </c>
      <c r="K59" t="s">
        <v>33</v>
      </c>
      <c r="L59" t="s">
        <v>73</v>
      </c>
      <c r="M59" t="s">
        <v>263</v>
      </c>
      <c r="N59" t="s">
        <v>60</v>
      </c>
      <c r="P59" t="s">
        <v>4436</v>
      </c>
      <c r="R59" s="5">
        <v>43398.093159722222</v>
      </c>
      <c r="S59" s="5">
        <v>43398.093148148146</v>
      </c>
      <c r="T59" t="s">
        <v>53</v>
      </c>
      <c r="U59" t="s">
        <v>35</v>
      </c>
      <c r="V59" s="3" t="s">
        <v>35</v>
      </c>
      <c r="W59" s="3" t="s">
        <v>4098</v>
      </c>
      <c r="AM59" s="5"/>
      <c r="AN59" s="5"/>
    </row>
    <row r="60" spans="2:40" x14ac:dyDescent="0.25">
      <c r="B60" t="s">
        <v>254</v>
      </c>
      <c r="C60">
        <v>121413</v>
      </c>
      <c r="D60" t="s">
        <v>4953</v>
      </c>
      <c r="E60" t="s">
        <v>387</v>
      </c>
      <c r="F60" t="s">
        <v>67</v>
      </c>
      <c r="H60" t="s">
        <v>54</v>
      </c>
      <c r="I60" t="s">
        <v>31</v>
      </c>
      <c r="J60" t="s">
        <v>32</v>
      </c>
      <c r="K60" t="s">
        <v>33</v>
      </c>
      <c r="L60" t="s">
        <v>73</v>
      </c>
      <c r="M60" t="s">
        <v>263</v>
      </c>
      <c r="N60" t="s">
        <v>4195</v>
      </c>
      <c r="P60" t="s">
        <v>190</v>
      </c>
      <c r="Q60" t="s">
        <v>190</v>
      </c>
      <c r="R60" s="5">
        <v>43397.986331018517</v>
      </c>
      <c r="S60" s="5">
        <v>43403.729560185187</v>
      </c>
      <c r="T60" t="s">
        <v>53</v>
      </c>
      <c r="U60" t="s">
        <v>35</v>
      </c>
      <c r="V60" s="3" t="s">
        <v>321</v>
      </c>
      <c r="W60" s="3" t="s">
        <v>4410</v>
      </c>
      <c r="AM60" s="5"/>
      <c r="AN60" s="5"/>
    </row>
    <row r="61" spans="2:40" x14ac:dyDescent="0.25">
      <c r="B61" t="s">
        <v>4365</v>
      </c>
      <c r="C61">
        <v>121411</v>
      </c>
      <c r="D61" t="s">
        <v>4952</v>
      </c>
      <c r="E61" t="s">
        <v>194</v>
      </c>
      <c r="F61" t="s">
        <v>29</v>
      </c>
      <c r="H61" t="s">
        <v>116</v>
      </c>
      <c r="I61" t="s">
        <v>31</v>
      </c>
      <c r="J61" t="s">
        <v>32</v>
      </c>
      <c r="K61" t="s">
        <v>33</v>
      </c>
      <c r="L61" t="s">
        <v>195</v>
      </c>
      <c r="M61" t="s">
        <v>284</v>
      </c>
      <c r="N61" t="s">
        <v>4921</v>
      </c>
      <c r="P61" t="s">
        <v>69</v>
      </c>
      <c r="Q61" t="s">
        <v>4367</v>
      </c>
      <c r="R61" s="5">
        <v>43397.982581018521</v>
      </c>
      <c r="S61" s="5">
        <v>43411.687708333331</v>
      </c>
      <c r="T61" t="s">
        <v>53</v>
      </c>
      <c r="U61" t="s">
        <v>35</v>
      </c>
      <c r="V61" s="3" t="s">
        <v>321</v>
      </c>
      <c r="W61" s="3" t="s">
        <v>4410</v>
      </c>
      <c r="AM61" s="5"/>
      <c r="AN61" s="5"/>
    </row>
    <row r="62" spans="2:40" x14ac:dyDescent="0.25">
      <c r="B62" t="s">
        <v>4718</v>
      </c>
      <c r="C62">
        <v>121399</v>
      </c>
      <c r="D62" t="s">
        <v>4951</v>
      </c>
      <c r="E62" t="s">
        <v>4887</v>
      </c>
      <c r="F62" t="s">
        <v>67</v>
      </c>
      <c r="H62" t="s">
        <v>116</v>
      </c>
      <c r="I62" t="s">
        <v>31</v>
      </c>
      <c r="J62" t="s">
        <v>43</v>
      </c>
      <c r="K62" t="s">
        <v>51</v>
      </c>
      <c r="L62" t="s">
        <v>52</v>
      </c>
      <c r="M62" t="s">
        <v>408</v>
      </c>
      <c r="N62" t="s">
        <v>518</v>
      </c>
      <c r="P62" t="s">
        <v>3698</v>
      </c>
      <c r="R62" s="5">
        <v>43397.818240740744</v>
      </c>
      <c r="S62" s="5">
        <v>43397.946053240739</v>
      </c>
      <c r="T62" t="s">
        <v>53</v>
      </c>
      <c r="U62" t="s">
        <v>35</v>
      </c>
      <c r="V62" s="3" t="s">
        <v>321</v>
      </c>
      <c r="W62" s="3" t="s">
        <v>4410</v>
      </c>
      <c r="AM62" s="5"/>
      <c r="AN62" s="5"/>
    </row>
    <row r="63" spans="2:40" x14ac:dyDescent="0.25">
      <c r="B63" t="s">
        <v>4454</v>
      </c>
      <c r="C63">
        <v>121343</v>
      </c>
      <c r="D63" t="s">
        <v>4950</v>
      </c>
      <c r="E63" t="s">
        <v>288</v>
      </c>
      <c r="F63" t="s">
        <v>67</v>
      </c>
      <c r="H63" t="s">
        <v>116</v>
      </c>
      <c r="I63" t="s">
        <v>31</v>
      </c>
      <c r="J63" t="s">
        <v>32</v>
      </c>
      <c r="K63" t="s">
        <v>33</v>
      </c>
      <c r="L63" t="s">
        <v>380</v>
      </c>
      <c r="M63" t="s">
        <v>434</v>
      </c>
      <c r="N63" t="s">
        <v>4922</v>
      </c>
      <c r="P63" t="s">
        <v>69</v>
      </c>
      <c r="R63" s="5">
        <v>43396.925451388888</v>
      </c>
      <c r="S63" s="5">
        <v>43397.910740740743</v>
      </c>
      <c r="T63" t="s">
        <v>53</v>
      </c>
      <c r="U63" t="s">
        <v>35</v>
      </c>
      <c r="V63" s="3" t="s">
        <v>321</v>
      </c>
      <c r="W63" s="3" t="s">
        <v>4410</v>
      </c>
      <c r="AM63" s="5"/>
      <c r="AN63" s="5"/>
    </row>
    <row r="64" spans="2:40" x14ac:dyDescent="0.25">
      <c r="B64" t="s">
        <v>4948</v>
      </c>
      <c r="C64">
        <v>121342</v>
      </c>
      <c r="D64" t="s">
        <v>4961</v>
      </c>
      <c r="E64" t="s">
        <v>131</v>
      </c>
      <c r="F64" t="s">
        <v>305</v>
      </c>
      <c r="G64" t="s">
        <v>353</v>
      </c>
      <c r="H64" t="s">
        <v>56</v>
      </c>
      <c r="I64" t="s">
        <v>31</v>
      </c>
      <c r="J64" t="s">
        <v>32</v>
      </c>
      <c r="K64" t="s">
        <v>51</v>
      </c>
      <c r="L64" t="s">
        <v>73</v>
      </c>
      <c r="M64" t="s">
        <v>263</v>
      </c>
      <c r="N64" t="s">
        <v>4962</v>
      </c>
      <c r="P64" t="s">
        <v>4949</v>
      </c>
      <c r="Q64" t="s">
        <v>3748</v>
      </c>
      <c r="R64" s="5">
        <v>43396.922662037039</v>
      </c>
      <c r="S64" s="5">
        <v>43441.168946759259</v>
      </c>
      <c r="T64" t="s">
        <v>1</v>
      </c>
      <c r="U64" t="s">
        <v>35</v>
      </c>
      <c r="V64" s="3" t="s">
        <v>321</v>
      </c>
      <c r="W64" s="3" t="s">
        <v>4410</v>
      </c>
      <c r="AM64" s="5"/>
      <c r="AN64" s="5"/>
    </row>
    <row r="65" spans="2:43" x14ac:dyDescent="0.25">
      <c r="B65" t="s">
        <v>4768</v>
      </c>
      <c r="C65">
        <v>121338</v>
      </c>
      <c r="D65" t="s">
        <v>4947</v>
      </c>
      <c r="E65" t="s">
        <v>288</v>
      </c>
      <c r="F65" t="s">
        <v>305</v>
      </c>
      <c r="G65" t="s">
        <v>337</v>
      </c>
      <c r="H65" t="s">
        <v>54</v>
      </c>
      <c r="I65" t="s">
        <v>31</v>
      </c>
      <c r="J65" t="s">
        <v>32</v>
      </c>
      <c r="K65" t="s">
        <v>33</v>
      </c>
      <c r="L65" t="s">
        <v>96</v>
      </c>
      <c r="M65" t="s">
        <v>275</v>
      </c>
      <c r="N65" t="s">
        <v>4884</v>
      </c>
      <c r="P65" t="s">
        <v>307</v>
      </c>
      <c r="Q65" t="s">
        <v>3748</v>
      </c>
      <c r="R65" s="5">
        <v>43396.721759259257</v>
      </c>
      <c r="S65" s="5">
        <v>43403.879745370374</v>
      </c>
      <c r="T65" t="s">
        <v>53</v>
      </c>
      <c r="U65" t="s">
        <v>35</v>
      </c>
      <c r="V65" s="3" t="s">
        <v>321</v>
      </c>
      <c r="W65" s="3" t="s">
        <v>4670</v>
      </c>
      <c r="AM65" s="5"/>
      <c r="AN65" s="5"/>
    </row>
    <row r="66" spans="2:43" x14ac:dyDescent="0.25">
      <c r="B66" t="s">
        <v>4878</v>
      </c>
      <c r="C66">
        <v>121337</v>
      </c>
      <c r="D66" t="s">
        <v>4946</v>
      </c>
      <c r="E66" t="s">
        <v>435</v>
      </c>
      <c r="F66" t="s">
        <v>67</v>
      </c>
      <c r="H66" t="s">
        <v>54</v>
      </c>
      <c r="I66" t="s">
        <v>68</v>
      </c>
      <c r="J66" t="s">
        <v>58</v>
      </c>
      <c r="K66" t="s">
        <v>44</v>
      </c>
      <c r="L66" t="s">
        <v>73</v>
      </c>
      <c r="M66" t="s">
        <v>263</v>
      </c>
      <c r="N66" t="s">
        <v>60</v>
      </c>
      <c r="P66" t="s">
        <v>4171</v>
      </c>
      <c r="R66" s="5">
        <v>43396.715208333335</v>
      </c>
      <c r="S66" s="5">
        <v>43396.715208333335</v>
      </c>
      <c r="T66" t="s">
        <v>435</v>
      </c>
      <c r="U66" t="s">
        <v>35</v>
      </c>
      <c r="V66" s="3" t="s">
        <v>35</v>
      </c>
      <c r="W66" s="3" t="s">
        <v>4410</v>
      </c>
      <c r="AM66" s="5"/>
      <c r="AN66" s="5"/>
    </row>
    <row r="67" spans="2:43" x14ac:dyDescent="0.25">
      <c r="B67" t="s">
        <v>4878</v>
      </c>
      <c r="C67">
        <v>121336</v>
      </c>
      <c r="D67" t="s">
        <v>4945</v>
      </c>
      <c r="E67" t="s">
        <v>435</v>
      </c>
      <c r="F67" t="s">
        <v>67</v>
      </c>
      <c r="H67" t="s">
        <v>54</v>
      </c>
      <c r="I67" t="s">
        <v>68</v>
      </c>
      <c r="J67" t="s">
        <v>58</v>
      </c>
      <c r="K67" t="s">
        <v>44</v>
      </c>
      <c r="L67" t="s">
        <v>73</v>
      </c>
      <c r="M67" t="s">
        <v>263</v>
      </c>
      <c r="N67" t="s">
        <v>60</v>
      </c>
      <c r="P67" t="s">
        <v>4171</v>
      </c>
      <c r="R67" s="5">
        <v>43396.715208333335</v>
      </c>
      <c r="S67" s="5">
        <v>43396.716215277775</v>
      </c>
      <c r="T67" t="s">
        <v>435</v>
      </c>
      <c r="U67" t="s">
        <v>35</v>
      </c>
      <c r="V67" s="3" t="s">
        <v>35</v>
      </c>
      <c r="W67" s="3" t="s">
        <v>4098</v>
      </c>
      <c r="AM67" s="5"/>
      <c r="AN67" s="5"/>
    </row>
    <row r="68" spans="2:43" x14ac:dyDescent="0.25">
      <c r="B68" t="s">
        <v>4878</v>
      </c>
      <c r="C68">
        <v>121335</v>
      </c>
      <c r="D68" t="s">
        <v>4944</v>
      </c>
      <c r="E68" t="s">
        <v>435</v>
      </c>
      <c r="F68" t="s">
        <v>305</v>
      </c>
      <c r="G68" t="s">
        <v>304</v>
      </c>
      <c r="H68" t="s">
        <v>54</v>
      </c>
      <c r="I68" t="s">
        <v>68</v>
      </c>
      <c r="J68" t="s">
        <v>58</v>
      </c>
      <c r="K68" t="s">
        <v>44</v>
      </c>
      <c r="L68" t="s">
        <v>73</v>
      </c>
      <c r="M68" t="s">
        <v>263</v>
      </c>
      <c r="N68" t="s">
        <v>60</v>
      </c>
      <c r="P68" t="s">
        <v>4171</v>
      </c>
      <c r="Q68" t="s">
        <v>3762</v>
      </c>
      <c r="R68" s="5">
        <v>43396.710312499999</v>
      </c>
      <c r="S68" s="5">
        <v>43445.421701388892</v>
      </c>
      <c r="T68" t="s">
        <v>435</v>
      </c>
      <c r="U68" t="s">
        <v>4978</v>
      </c>
      <c r="V68" s="3" t="s">
        <v>35</v>
      </c>
      <c r="W68" s="3" t="s">
        <v>4171</v>
      </c>
      <c r="AM68" s="5"/>
      <c r="AN68" s="5"/>
    </row>
    <row r="69" spans="2:43" x14ac:dyDescent="0.25">
      <c r="B69" t="s">
        <v>4983</v>
      </c>
      <c r="C69">
        <v>121206</v>
      </c>
      <c r="D69" t="s">
        <v>4985</v>
      </c>
      <c r="E69" t="s">
        <v>167</v>
      </c>
      <c r="F69" t="s">
        <v>305</v>
      </c>
      <c r="G69" t="s">
        <v>353</v>
      </c>
      <c r="H69" t="s">
        <v>56</v>
      </c>
      <c r="I69" t="s">
        <v>68</v>
      </c>
      <c r="J69" t="s">
        <v>43</v>
      </c>
      <c r="K69" t="s">
        <v>33</v>
      </c>
      <c r="L69" t="s">
        <v>34</v>
      </c>
      <c r="M69" t="s">
        <v>3704</v>
      </c>
      <c r="N69" t="s">
        <v>46</v>
      </c>
      <c r="O69" t="s">
        <v>4986</v>
      </c>
      <c r="P69" t="s">
        <v>307</v>
      </c>
      <c r="R69" s="5">
        <v>43392.798541666663</v>
      </c>
      <c r="S69" s="5">
        <v>43441.168923611112</v>
      </c>
      <c r="T69" t="s">
        <v>1</v>
      </c>
      <c r="U69" t="s">
        <v>35</v>
      </c>
      <c r="V69" s="3" t="s">
        <v>35</v>
      </c>
      <c r="W69" s="3" t="s">
        <v>4349</v>
      </c>
      <c r="AM69" s="5"/>
      <c r="AN69" s="5"/>
    </row>
    <row r="70" spans="2:43" x14ac:dyDescent="0.25">
      <c r="B70" t="s">
        <v>5052</v>
      </c>
      <c r="C70">
        <v>121205</v>
      </c>
      <c r="D70" t="s">
        <v>5155</v>
      </c>
      <c r="E70" t="s">
        <v>5054</v>
      </c>
      <c r="F70" t="s">
        <v>42</v>
      </c>
      <c r="H70" t="s">
        <v>116</v>
      </c>
      <c r="I70" t="s">
        <v>31</v>
      </c>
      <c r="J70" t="s">
        <v>32</v>
      </c>
      <c r="K70" t="s">
        <v>33</v>
      </c>
      <c r="L70" t="s">
        <v>34</v>
      </c>
      <c r="M70" t="s">
        <v>279</v>
      </c>
      <c r="N70" t="s">
        <v>60</v>
      </c>
      <c r="P70" t="s">
        <v>307</v>
      </c>
      <c r="R70" s="5">
        <v>43392.786863425928</v>
      </c>
      <c r="S70" s="5">
        <v>43437.920613425929</v>
      </c>
      <c r="T70" t="s">
        <v>1</v>
      </c>
      <c r="U70" t="s">
        <v>35</v>
      </c>
      <c r="V70" s="3" t="s">
        <v>321</v>
      </c>
      <c r="W70" s="3" t="s">
        <v>4176</v>
      </c>
      <c r="AM70" s="5"/>
      <c r="AN70" s="5"/>
      <c r="AQ70" s="6"/>
    </row>
    <row r="71" spans="2:43" x14ac:dyDescent="0.25">
      <c r="B71" t="s">
        <v>4940</v>
      </c>
      <c r="C71">
        <v>121204</v>
      </c>
      <c r="D71" t="s">
        <v>5154</v>
      </c>
      <c r="E71" t="s">
        <v>4941</v>
      </c>
      <c r="F71" t="s">
        <v>4919</v>
      </c>
      <c r="G71" t="s">
        <v>328</v>
      </c>
      <c r="H71" t="s">
        <v>54</v>
      </c>
      <c r="I71" t="s">
        <v>31</v>
      </c>
      <c r="J71" t="s">
        <v>32</v>
      </c>
      <c r="K71" t="s">
        <v>33</v>
      </c>
      <c r="L71" t="s">
        <v>4942</v>
      </c>
      <c r="M71" t="s">
        <v>4943</v>
      </c>
      <c r="N71" t="s">
        <v>60</v>
      </c>
      <c r="P71" t="s">
        <v>307</v>
      </c>
      <c r="Q71" t="s">
        <v>307</v>
      </c>
      <c r="R71" s="5">
        <v>43392.765833333331</v>
      </c>
      <c r="S71" s="5">
        <v>43483.147361111114</v>
      </c>
      <c r="T71" t="s">
        <v>1</v>
      </c>
      <c r="U71" t="s">
        <v>35</v>
      </c>
      <c r="V71" s="3" t="s">
        <v>35</v>
      </c>
      <c r="W71" s="3" t="s">
        <v>4171</v>
      </c>
      <c r="AM71" s="5"/>
      <c r="AN71" s="5"/>
      <c r="AQ71" s="6"/>
    </row>
    <row r="72" spans="2:43" x14ac:dyDescent="0.25">
      <c r="B72" t="s">
        <v>4938</v>
      </c>
      <c r="C72">
        <v>121024</v>
      </c>
      <c r="D72" t="s">
        <v>4939</v>
      </c>
      <c r="E72" t="s">
        <v>134</v>
      </c>
      <c r="F72" t="s">
        <v>319</v>
      </c>
      <c r="G72" t="s">
        <v>304</v>
      </c>
      <c r="H72" t="s">
        <v>30</v>
      </c>
      <c r="I72" t="s">
        <v>68</v>
      </c>
      <c r="J72" t="s">
        <v>43</v>
      </c>
      <c r="K72" t="s">
        <v>33</v>
      </c>
      <c r="L72" t="s">
        <v>34</v>
      </c>
      <c r="M72" t="s">
        <v>278</v>
      </c>
      <c r="N72" t="s">
        <v>46</v>
      </c>
      <c r="O72" t="s">
        <v>5042</v>
      </c>
      <c r="P72" t="s">
        <v>190</v>
      </c>
      <c r="Q72" t="s">
        <v>3509</v>
      </c>
      <c r="R72" s="5">
        <v>43388.673171296294</v>
      </c>
      <c r="S72" s="5">
        <v>43409.99423611111</v>
      </c>
      <c r="T72" t="s">
        <v>1</v>
      </c>
      <c r="U72" t="s">
        <v>35</v>
      </c>
      <c r="V72" s="3" t="s">
        <v>35</v>
      </c>
      <c r="W72" s="3" t="s">
        <v>4176</v>
      </c>
      <c r="AM72" s="5"/>
      <c r="AN72" s="5"/>
      <c r="AQ72" s="6"/>
    </row>
    <row r="73" spans="2:43" x14ac:dyDescent="0.25">
      <c r="B73" t="s">
        <v>4880</v>
      </c>
      <c r="C73">
        <v>120919</v>
      </c>
      <c r="D73" t="s">
        <v>4937</v>
      </c>
      <c r="E73" t="s">
        <v>4882</v>
      </c>
      <c r="F73" t="s">
        <v>67</v>
      </c>
      <c r="H73" t="s">
        <v>116</v>
      </c>
      <c r="I73" t="s">
        <v>31</v>
      </c>
      <c r="J73" t="s">
        <v>32</v>
      </c>
      <c r="K73" t="s">
        <v>51</v>
      </c>
      <c r="L73" t="s">
        <v>52</v>
      </c>
      <c r="M73" t="s">
        <v>3445</v>
      </c>
      <c r="N73" t="s">
        <v>518</v>
      </c>
      <c r="P73" t="s">
        <v>3698</v>
      </c>
      <c r="R73" s="5">
        <v>43385.281944444447</v>
      </c>
      <c r="S73" s="5">
        <v>43397.946053240739</v>
      </c>
      <c r="T73" t="s">
        <v>4882</v>
      </c>
      <c r="U73" t="s">
        <v>35</v>
      </c>
      <c r="V73" s="3" t="s">
        <v>321</v>
      </c>
      <c r="W73" s="3" t="s">
        <v>4410</v>
      </c>
      <c r="AM73" s="5"/>
      <c r="AN73" s="5"/>
      <c r="AQ73" s="6"/>
    </row>
    <row r="74" spans="2:43" x14ac:dyDescent="0.25">
      <c r="B74" t="s">
        <v>4878</v>
      </c>
      <c r="C74">
        <v>120879</v>
      </c>
      <c r="D74" t="s">
        <v>4936</v>
      </c>
      <c r="E74" t="s">
        <v>435</v>
      </c>
      <c r="F74" t="s">
        <v>305</v>
      </c>
      <c r="G74" t="s">
        <v>304</v>
      </c>
      <c r="H74" t="s">
        <v>54</v>
      </c>
      <c r="I74" t="s">
        <v>68</v>
      </c>
      <c r="J74" t="s">
        <v>43</v>
      </c>
      <c r="K74" t="s">
        <v>33</v>
      </c>
      <c r="L74" t="s">
        <v>73</v>
      </c>
      <c r="M74" t="s">
        <v>263</v>
      </c>
      <c r="N74" t="s">
        <v>60</v>
      </c>
      <c r="P74" t="s">
        <v>4436</v>
      </c>
      <c r="Q74" t="s">
        <v>3762</v>
      </c>
      <c r="R74" s="5">
        <v>43384.613877314812</v>
      </c>
      <c r="S74" s="5">
        <v>43447.691458333335</v>
      </c>
      <c r="T74" t="s">
        <v>301</v>
      </c>
      <c r="U74" t="s">
        <v>35</v>
      </c>
      <c r="V74" s="3" t="s">
        <v>35</v>
      </c>
      <c r="W74" s="3" t="s">
        <v>4929</v>
      </c>
      <c r="AM74" s="5"/>
      <c r="AN74" s="5"/>
      <c r="AQ74" s="6"/>
    </row>
    <row r="75" spans="2:43" x14ac:dyDescent="0.25">
      <c r="B75" t="s">
        <v>4409</v>
      </c>
      <c r="C75">
        <v>120878</v>
      </c>
      <c r="D75" t="s">
        <v>4935</v>
      </c>
      <c r="E75" t="s">
        <v>435</v>
      </c>
      <c r="F75" t="s">
        <v>67</v>
      </c>
      <c r="H75" t="s">
        <v>116</v>
      </c>
      <c r="I75" t="s">
        <v>31</v>
      </c>
      <c r="J75" t="s">
        <v>32</v>
      </c>
      <c r="K75" t="s">
        <v>33</v>
      </c>
      <c r="L75" t="s">
        <v>73</v>
      </c>
      <c r="M75" t="s">
        <v>295</v>
      </c>
      <c r="N75" t="s">
        <v>60</v>
      </c>
      <c r="P75" t="s">
        <v>69</v>
      </c>
      <c r="R75" s="5">
        <v>43384.599687499998</v>
      </c>
      <c r="S75" s="5">
        <v>43397.946006944447</v>
      </c>
      <c r="T75" t="s">
        <v>301</v>
      </c>
      <c r="U75" t="s">
        <v>35</v>
      </c>
      <c r="V75" s="3" t="s">
        <v>321</v>
      </c>
      <c r="W75" s="3" t="s">
        <v>4410</v>
      </c>
      <c r="AM75" s="5"/>
      <c r="AN75" s="5"/>
      <c r="AQ75" s="6"/>
    </row>
    <row r="76" spans="2:43" x14ac:dyDescent="0.25">
      <c r="B76" t="s">
        <v>2841</v>
      </c>
      <c r="C76">
        <v>120846</v>
      </c>
      <c r="D76" t="s">
        <v>4934</v>
      </c>
      <c r="E76" t="s">
        <v>4763</v>
      </c>
      <c r="F76" t="s">
        <v>4087</v>
      </c>
      <c r="H76" t="s">
        <v>56</v>
      </c>
      <c r="I76" t="s">
        <v>68</v>
      </c>
      <c r="J76" t="s">
        <v>43</v>
      </c>
      <c r="K76" t="s">
        <v>33</v>
      </c>
      <c r="L76" t="s">
        <v>4851</v>
      </c>
      <c r="M76" t="s">
        <v>4851</v>
      </c>
      <c r="N76" t="s">
        <v>46</v>
      </c>
      <c r="P76" t="s">
        <v>56</v>
      </c>
      <c r="R76" s="5">
        <v>43384.279606481483</v>
      </c>
      <c r="S76" s="5">
        <v>43384.280381944445</v>
      </c>
      <c r="T76" t="s">
        <v>3693</v>
      </c>
      <c r="U76" t="s">
        <v>35</v>
      </c>
      <c r="V76" s="3" t="s">
        <v>35</v>
      </c>
      <c r="W76" s="3" t="s">
        <v>35</v>
      </c>
      <c r="AM76" s="5"/>
      <c r="AN76" s="5"/>
      <c r="AQ76" s="6"/>
    </row>
    <row r="77" spans="2:43" x14ac:dyDescent="0.25">
      <c r="B77" t="s">
        <v>4454</v>
      </c>
      <c r="C77">
        <v>120837</v>
      </c>
      <c r="D77" t="s">
        <v>4933</v>
      </c>
      <c r="E77" t="s">
        <v>288</v>
      </c>
      <c r="F77" t="s">
        <v>305</v>
      </c>
      <c r="G77" t="s">
        <v>337</v>
      </c>
      <c r="H77" t="s">
        <v>116</v>
      </c>
      <c r="I77" t="s">
        <v>31</v>
      </c>
      <c r="J77" t="s">
        <v>32</v>
      </c>
      <c r="K77" t="s">
        <v>33</v>
      </c>
      <c r="L77" t="s">
        <v>380</v>
      </c>
      <c r="M77" t="s">
        <v>434</v>
      </c>
      <c r="N77" t="s">
        <v>46</v>
      </c>
      <c r="P77" t="s">
        <v>69</v>
      </c>
      <c r="Q77" t="s">
        <v>3708</v>
      </c>
      <c r="R77" s="5">
        <v>43384.020196759258</v>
      </c>
      <c r="S77" s="5">
        <v>43423.863541666666</v>
      </c>
      <c r="T77" t="s">
        <v>288</v>
      </c>
      <c r="U77" t="s">
        <v>35</v>
      </c>
      <c r="V77" s="3" t="s">
        <v>321</v>
      </c>
      <c r="W77" s="3" t="s">
        <v>4156</v>
      </c>
      <c r="AM77" s="5"/>
      <c r="AN77" s="5"/>
      <c r="AQ77" s="6"/>
    </row>
    <row r="78" spans="2:43" x14ac:dyDescent="0.25">
      <c r="B78" t="s">
        <v>4957</v>
      </c>
      <c r="C78">
        <v>120669</v>
      </c>
      <c r="D78" t="s">
        <v>5153</v>
      </c>
      <c r="E78" t="s">
        <v>192</v>
      </c>
      <c r="F78" t="s">
        <v>305</v>
      </c>
      <c r="G78" t="s">
        <v>304</v>
      </c>
      <c r="H78" t="s">
        <v>116</v>
      </c>
      <c r="I78" t="s">
        <v>68</v>
      </c>
      <c r="J78" t="s">
        <v>43</v>
      </c>
      <c r="K78" t="s">
        <v>33</v>
      </c>
      <c r="L78" t="s">
        <v>52</v>
      </c>
      <c r="M78" t="s">
        <v>4959</v>
      </c>
      <c r="N78" t="s">
        <v>4884</v>
      </c>
      <c r="P78" t="s">
        <v>307</v>
      </c>
      <c r="R78" s="5">
        <v>43381.582488425927</v>
      </c>
      <c r="S78" s="5">
        <v>43448.273287037038</v>
      </c>
      <c r="T78" t="s">
        <v>192</v>
      </c>
      <c r="U78" t="s">
        <v>35</v>
      </c>
      <c r="V78" s="3" t="s">
        <v>35</v>
      </c>
      <c r="W78" s="3" t="s">
        <v>4929</v>
      </c>
      <c r="AM78" s="5"/>
      <c r="AN78" s="5"/>
      <c r="AQ78" s="6"/>
    </row>
    <row r="79" spans="2:43" x14ac:dyDescent="0.25">
      <c r="B79" t="s">
        <v>4957</v>
      </c>
      <c r="C79">
        <v>120668</v>
      </c>
      <c r="D79" t="s">
        <v>4958</v>
      </c>
      <c r="E79" t="s">
        <v>4214</v>
      </c>
      <c r="F79" t="s">
        <v>67</v>
      </c>
      <c r="H79" t="s">
        <v>116</v>
      </c>
      <c r="I79" t="s">
        <v>68</v>
      </c>
      <c r="J79" t="s">
        <v>43</v>
      </c>
      <c r="K79" t="s">
        <v>33</v>
      </c>
      <c r="L79" t="s">
        <v>52</v>
      </c>
      <c r="M79" t="s">
        <v>4959</v>
      </c>
      <c r="N79" t="s">
        <v>46</v>
      </c>
      <c r="P79" t="s">
        <v>307</v>
      </c>
      <c r="R79" s="5">
        <v>43381.582488425927</v>
      </c>
      <c r="S79" s="5">
        <v>43440.553726851853</v>
      </c>
      <c r="T79" t="s">
        <v>192</v>
      </c>
      <c r="U79" t="s">
        <v>35</v>
      </c>
      <c r="V79" s="3" t="s">
        <v>35</v>
      </c>
      <c r="W79" s="3" t="s">
        <v>4098</v>
      </c>
      <c r="AM79" s="5"/>
      <c r="AN79" s="5"/>
      <c r="AQ79" s="6"/>
    </row>
    <row r="80" spans="2:43" x14ac:dyDescent="0.25">
      <c r="B80" t="s">
        <v>2841</v>
      </c>
      <c r="C80">
        <v>120402</v>
      </c>
      <c r="D80" t="s">
        <v>4912</v>
      </c>
      <c r="E80" t="s">
        <v>4763</v>
      </c>
      <c r="F80" t="s">
        <v>4087</v>
      </c>
      <c r="H80" t="s">
        <v>56</v>
      </c>
      <c r="I80" t="s">
        <v>68</v>
      </c>
      <c r="J80" t="s">
        <v>43</v>
      </c>
      <c r="K80" t="s">
        <v>33</v>
      </c>
      <c r="L80" t="s">
        <v>4851</v>
      </c>
      <c r="M80" t="s">
        <v>4851</v>
      </c>
      <c r="N80" t="s">
        <v>46</v>
      </c>
      <c r="P80" t="s">
        <v>56</v>
      </c>
      <c r="R80" s="5">
        <v>43376.298657407409</v>
      </c>
      <c r="S80" s="5">
        <v>43376.300138888888</v>
      </c>
      <c r="T80" t="s">
        <v>4767</v>
      </c>
      <c r="U80" t="s">
        <v>35</v>
      </c>
      <c r="V80" s="3" t="s">
        <v>35</v>
      </c>
      <c r="W80" s="3" t="s">
        <v>35</v>
      </c>
      <c r="AM80" s="5"/>
      <c r="AN80" s="5"/>
      <c r="AQ80" s="6"/>
    </row>
    <row r="81" spans="2:43" x14ac:dyDescent="0.25">
      <c r="B81" t="s">
        <v>4906</v>
      </c>
      <c r="C81">
        <v>120392</v>
      </c>
      <c r="D81" t="s">
        <v>4911</v>
      </c>
      <c r="E81" t="s">
        <v>4717</v>
      </c>
      <c r="F81" t="s">
        <v>42</v>
      </c>
      <c r="H81" t="s">
        <v>54</v>
      </c>
      <c r="I81" t="s">
        <v>68</v>
      </c>
      <c r="J81" t="s">
        <v>58</v>
      </c>
      <c r="K81" t="s">
        <v>44</v>
      </c>
      <c r="L81" t="s">
        <v>34</v>
      </c>
      <c r="M81" t="s">
        <v>266</v>
      </c>
      <c r="N81" t="s">
        <v>46</v>
      </c>
      <c r="P81" t="s">
        <v>307</v>
      </c>
      <c r="R81" s="5">
        <v>43375.87090277778</v>
      </c>
      <c r="S81" s="5">
        <v>43482.866724537038</v>
      </c>
      <c r="T81" t="s">
        <v>53</v>
      </c>
      <c r="U81" t="s">
        <v>35</v>
      </c>
      <c r="V81" s="3" t="s">
        <v>35</v>
      </c>
      <c r="W81" s="3" t="s">
        <v>5222</v>
      </c>
      <c r="AM81" s="5"/>
      <c r="AN81" s="5"/>
      <c r="AQ81" s="6"/>
    </row>
    <row r="82" spans="2:43" x14ac:dyDescent="0.25">
      <c r="B82" t="s">
        <v>2841</v>
      </c>
      <c r="C82">
        <v>120226</v>
      </c>
      <c r="D82" t="s">
        <v>4910</v>
      </c>
      <c r="E82" t="s">
        <v>4763</v>
      </c>
      <c r="F82" t="s">
        <v>4087</v>
      </c>
      <c r="H82" t="s">
        <v>56</v>
      </c>
      <c r="I82" t="s">
        <v>68</v>
      </c>
      <c r="J82" t="s">
        <v>43</v>
      </c>
      <c r="K82" t="s">
        <v>33</v>
      </c>
      <c r="L82" t="s">
        <v>4851</v>
      </c>
      <c r="M82" t="s">
        <v>4851</v>
      </c>
      <c r="N82" t="s">
        <v>46</v>
      </c>
      <c r="P82" t="s">
        <v>56</v>
      </c>
      <c r="R82" s="5">
        <v>43370.297337962962</v>
      </c>
      <c r="S82" s="5">
        <v>43370.465219907404</v>
      </c>
      <c r="T82" t="s">
        <v>4320</v>
      </c>
      <c r="U82" t="s">
        <v>35</v>
      </c>
      <c r="V82" s="3" t="s">
        <v>35</v>
      </c>
      <c r="W82" s="3" t="s">
        <v>35</v>
      </c>
      <c r="AM82" s="5"/>
      <c r="AN82" s="5"/>
      <c r="AQ82" s="6"/>
    </row>
    <row r="83" spans="2:43" x14ac:dyDescent="0.25">
      <c r="B83" t="s">
        <v>4878</v>
      </c>
      <c r="C83">
        <v>120222</v>
      </c>
      <c r="D83" t="s">
        <v>4909</v>
      </c>
      <c r="E83" t="s">
        <v>435</v>
      </c>
      <c r="F83" t="s">
        <v>305</v>
      </c>
      <c r="G83" t="s">
        <v>304</v>
      </c>
      <c r="H83" t="s">
        <v>116</v>
      </c>
      <c r="I83" t="s">
        <v>68</v>
      </c>
      <c r="J83" t="s">
        <v>43</v>
      </c>
      <c r="K83" t="s">
        <v>33</v>
      </c>
      <c r="L83" t="s">
        <v>73</v>
      </c>
      <c r="M83" t="s">
        <v>263</v>
      </c>
      <c r="N83" t="s">
        <v>4956</v>
      </c>
      <c r="P83" t="s">
        <v>4436</v>
      </c>
      <c r="Q83" t="s">
        <v>3762</v>
      </c>
      <c r="R83" s="5">
        <v>43369.9140625</v>
      </c>
      <c r="S83" s="5">
        <v>43431.528078703705</v>
      </c>
      <c r="T83" t="s">
        <v>435</v>
      </c>
      <c r="U83" t="s">
        <v>4931</v>
      </c>
      <c r="V83" s="3" t="s">
        <v>35</v>
      </c>
      <c r="W83" s="3" t="s">
        <v>4171</v>
      </c>
      <c r="AM83" s="5"/>
      <c r="AN83" s="5"/>
      <c r="AQ83" s="6"/>
    </row>
    <row r="84" spans="2:43" x14ac:dyDescent="0.25">
      <c r="B84" t="s">
        <v>4878</v>
      </c>
      <c r="C84">
        <v>120221</v>
      </c>
      <c r="D84" t="s">
        <v>4908</v>
      </c>
      <c r="E84" t="s">
        <v>435</v>
      </c>
      <c r="F84" t="s">
        <v>67</v>
      </c>
      <c r="H84" t="s">
        <v>54</v>
      </c>
      <c r="I84" t="s">
        <v>68</v>
      </c>
      <c r="J84" t="s">
        <v>43</v>
      </c>
      <c r="K84" t="s">
        <v>33</v>
      </c>
      <c r="L84" t="s">
        <v>73</v>
      </c>
      <c r="M84" t="s">
        <v>263</v>
      </c>
      <c r="N84" t="s">
        <v>60</v>
      </c>
      <c r="P84" t="s">
        <v>4436</v>
      </c>
      <c r="R84" s="5">
        <v>43369.9140625</v>
      </c>
      <c r="S84" s="5">
        <v>43396.716215277775</v>
      </c>
      <c r="T84" t="s">
        <v>435</v>
      </c>
      <c r="U84" t="s">
        <v>35</v>
      </c>
      <c r="V84" s="3" t="s">
        <v>35</v>
      </c>
      <c r="W84" s="3" t="s">
        <v>4098</v>
      </c>
      <c r="AM84" s="5"/>
      <c r="AN84" s="5"/>
      <c r="AQ84" s="6"/>
    </row>
    <row r="85" spans="2:43" x14ac:dyDescent="0.25">
      <c r="B85" t="s">
        <v>4906</v>
      </c>
      <c r="C85">
        <v>120218</v>
      </c>
      <c r="D85" t="s">
        <v>5152</v>
      </c>
      <c r="E85" t="s">
        <v>4717</v>
      </c>
      <c r="F85" t="s">
        <v>42</v>
      </c>
      <c r="H85" t="s">
        <v>54</v>
      </c>
      <c r="I85" t="s">
        <v>31</v>
      </c>
      <c r="J85" t="s">
        <v>43</v>
      </c>
      <c r="K85" t="s">
        <v>44</v>
      </c>
      <c r="L85" t="s">
        <v>34</v>
      </c>
      <c r="M85" t="s">
        <v>274</v>
      </c>
      <c r="N85" t="s">
        <v>60</v>
      </c>
      <c r="P85" t="s">
        <v>4436</v>
      </c>
      <c r="R85" s="5">
        <v>43369.864525462966</v>
      </c>
      <c r="S85" s="5">
        <v>43441.391192129631</v>
      </c>
      <c r="T85" t="s">
        <v>1</v>
      </c>
      <c r="U85" t="s">
        <v>35</v>
      </c>
      <c r="V85" s="3" t="s">
        <v>35</v>
      </c>
      <c r="W85" s="3" t="s">
        <v>4176</v>
      </c>
      <c r="AM85" s="5"/>
      <c r="AN85" s="5"/>
      <c r="AQ85" s="6"/>
    </row>
    <row r="86" spans="2:43" x14ac:dyDescent="0.25">
      <c r="B86" t="s">
        <v>2841</v>
      </c>
      <c r="C86">
        <v>120095</v>
      </c>
      <c r="D86" t="s">
        <v>4905</v>
      </c>
      <c r="E86" t="s">
        <v>4763</v>
      </c>
      <c r="F86" t="s">
        <v>4087</v>
      </c>
      <c r="H86" t="s">
        <v>56</v>
      </c>
      <c r="I86" t="s">
        <v>68</v>
      </c>
      <c r="J86" t="s">
        <v>58</v>
      </c>
      <c r="K86" t="s">
        <v>44</v>
      </c>
      <c r="L86" t="s">
        <v>4851</v>
      </c>
      <c r="M86" t="s">
        <v>4851</v>
      </c>
      <c r="N86" t="s">
        <v>46</v>
      </c>
      <c r="P86" t="s">
        <v>4893</v>
      </c>
      <c r="R86" s="5">
        <v>43368.282349537039</v>
      </c>
      <c r="S86" s="5">
        <v>43368.491469907407</v>
      </c>
      <c r="T86" t="s">
        <v>3367</v>
      </c>
      <c r="U86" t="s">
        <v>35</v>
      </c>
      <c r="V86" s="3" t="s">
        <v>35</v>
      </c>
      <c r="W86" s="3" t="s">
        <v>35</v>
      </c>
      <c r="AM86" s="5"/>
      <c r="AN86" s="5"/>
      <c r="AQ86" s="6"/>
    </row>
    <row r="87" spans="2:43" x14ac:dyDescent="0.25">
      <c r="B87" t="s">
        <v>4902</v>
      </c>
      <c r="C87">
        <v>120093</v>
      </c>
      <c r="D87" t="s">
        <v>4903</v>
      </c>
      <c r="E87" t="s">
        <v>4</v>
      </c>
      <c r="F87" t="s">
        <v>305</v>
      </c>
      <c r="G87" t="s">
        <v>328</v>
      </c>
      <c r="H87" t="s">
        <v>54</v>
      </c>
      <c r="I87" t="s">
        <v>31</v>
      </c>
      <c r="J87" t="s">
        <v>43</v>
      </c>
      <c r="K87" t="s">
        <v>44</v>
      </c>
      <c r="L87" t="s">
        <v>52</v>
      </c>
      <c r="M87" t="s">
        <v>4092</v>
      </c>
      <c r="N87" t="s">
        <v>60</v>
      </c>
      <c r="P87" t="s">
        <v>3698</v>
      </c>
      <c r="Q87" t="s">
        <v>5151</v>
      </c>
      <c r="R87" s="5">
        <v>43368.268645833334</v>
      </c>
      <c r="S87" s="5">
        <v>43483.147870370369</v>
      </c>
      <c r="T87" t="s">
        <v>4</v>
      </c>
      <c r="U87" t="s">
        <v>35</v>
      </c>
      <c r="V87" s="3" t="s">
        <v>35</v>
      </c>
      <c r="W87" s="3" t="s">
        <v>4410</v>
      </c>
      <c r="AM87" s="5"/>
      <c r="AN87" s="5"/>
      <c r="AQ87" s="6"/>
    </row>
    <row r="88" spans="2:43" x14ac:dyDescent="0.25">
      <c r="B88" t="s">
        <v>4880</v>
      </c>
      <c r="C88">
        <v>120030</v>
      </c>
      <c r="D88" t="s">
        <v>4901</v>
      </c>
      <c r="E88" t="s">
        <v>577</v>
      </c>
      <c r="F88" t="s">
        <v>67</v>
      </c>
      <c r="H88" t="s">
        <v>116</v>
      </c>
      <c r="I88" t="s">
        <v>31</v>
      </c>
      <c r="J88" t="s">
        <v>32</v>
      </c>
      <c r="K88" t="s">
        <v>51</v>
      </c>
      <c r="L88" t="s">
        <v>52</v>
      </c>
      <c r="M88" t="s">
        <v>3445</v>
      </c>
      <c r="N88" t="s">
        <v>2885</v>
      </c>
      <c r="P88" t="s">
        <v>3698</v>
      </c>
      <c r="R88" s="5">
        <v>43364.987708333334</v>
      </c>
      <c r="S88" s="5">
        <v>43474.394143518519</v>
      </c>
      <c r="T88" t="s">
        <v>53</v>
      </c>
      <c r="U88" t="s">
        <v>5150</v>
      </c>
      <c r="V88" s="3" t="s">
        <v>321</v>
      </c>
      <c r="W88" s="3" t="s">
        <v>4171</v>
      </c>
      <c r="AM88" s="5"/>
      <c r="AN88" s="5"/>
      <c r="AQ88" s="6"/>
    </row>
    <row r="89" spans="2:43" x14ac:dyDescent="0.25">
      <c r="B89" t="s">
        <v>4880</v>
      </c>
      <c r="C89">
        <v>120029</v>
      </c>
      <c r="D89" t="s">
        <v>4900</v>
      </c>
      <c r="E89" t="s">
        <v>4882</v>
      </c>
      <c r="F89" t="s">
        <v>67</v>
      </c>
      <c r="H89" t="s">
        <v>116</v>
      </c>
      <c r="I89" t="s">
        <v>31</v>
      </c>
      <c r="J89" t="s">
        <v>32</v>
      </c>
      <c r="K89" t="s">
        <v>51</v>
      </c>
      <c r="L89" t="s">
        <v>52</v>
      </c>
      <c r="M89" t="s">
        <v>3445</v>
      </c>
      <c r="N89" t="s">
        <v>60</v>
      </c>
      <c r="P89" t="s">
        <v>3698</v>
      </c>
      <c r="R89" s="5">
        <v>43364.987719907411</v>
      </c>
      <c r="S89" s="5">
        <v>43385.281944444447</v>
      </c>
      <c r="T89" t="s">
        <v>53</v>
      </c>
      <c r="U89" t="s">
        <v>35</v>
      </c>
      <c r="V89" s="3" t="s">
        <v>321</v>
      </c>
      <c r="W89" s="3" t="s">
        <v>4098</v>
      </c>
      <c r="AM89" s="5"/>
      <c r="AN89" s="5"/>
      <c r="AQ89" s="6"/>
    </row>
    <row r="90" spans="2:43" x14ac:dyDescent="0.25">
      <c r="B90" t="s">
        <v>4751</v>
      </c>
      <c r="C90">
        <v>120027</v>
      </c>
      <c r="D90" t="s">
        <v>4752</v>
      </c>
      <c r="E90" t="s">
        <v>4717</v>
      </c>
      <c r="F90" t="s">
        <v>67</v>
      </c>
      <c r="H90" t="s">
        <v>116</v>
      </c>
      <c r="I90" t="s">
        <v>31</v>
      </c>
      <c r="J90" t="s">
        <v>32</v>
      </c>
      <c r="K90" t="s">
        <v>44</v>
      </c>
      <c r="L90" t="s">
        <v>34</v>
      </c>
      <c r="M90" t="s">
        <v>274</v>
      </c>
      <c r="N90" t="s">
        <v>518</v>
      </c>
      <c r="P90" t="s">
        <v>69</v>
      </c>
      <c r="R90" s="5">
        <v>43364.931388888886</v>
      </c>
      <c r="S90" s="5">
        <v>43473.26866898148</v>
      </c>
      <c r="T90" t="s">
        <v>53</v>
      </c>
      <c r="U90" t="s">
        <v>35</v>
      </c>
      <c r="V90" s="3" t="s">
        <v>321</v>
      </c>
      <c r="W90" s="3" t="s">
        <v>4176</v>
      </c>
      <c r="AM90" s="5"/>
      <c r="AN90" s="5"/>
      <c r="AQ90" s="6"/>
    </row>
    <row r="91" spans="2:43" x14ac:dyDescent="0.25">
      <c r="B91" t="s">
        <v>4452</v>
      </c>
      <c r="C91">
        <v>120025</v>
      </c>
      <c r="D91" t="s">
        <v>4453</v>
      </c>
      <c r="E91" t="s">
        <v>134</v>
      </c>
      <c r="F91" t="s">
        <v>305</v>
      </c>
      <c r="G91" t="s">
        <v>304</v>
      </c>
      <c r="H91" t="s">
        <v>116</v>
      </c>
      <c r="I91" t="s">
        <v>31</v>
      </c>
      <c r="J91" t="s">
        <v>32</v>
      </c>
      <c r="K91" t="s">
        <v>44</v>
      </c>
      <c r="L91" t="s">
        <v>34</v>
      </c>
      <c r="M91" t="s">
        <v>279</v>
      </c>
      <c r="N91" t="s">
        <v>4922</v>
      </c>
      <c r="O91" t="s">
        <v>4759</v>
      </c>
      <c r="P91" t="s">
        <v>69</v>
      </c>
      <c r="Q91" t="s">
        <v>69</v>
      </c>
      <c r="R91" s="5">
        <v>43364.929803240739</v>
      </c>
      <c r="S91" s="5">
        <v>43473.7106712963</v>
      </c>
      <c r="T91" t="s">
        <v>53</v>
      </c>
      <c r="U91" t="s">
        <v>5149</v>
      </c>
      <c r="V91" s="3" t="s">
        <v>321</v>
      </c>
      <c r="W91" s="3" t="s">
        <v>4176</v>
      </c>
      <c r="AM91" s="5"/>
      <c r="AN91" s="5"/>
      <c r="AQ91" s="6"/>
    </row>
    <row r="92" spans="2:43" x14ac:dyDescent="0.25">
      <c r="B92" t="s">
        <v>2841</v>
      </c>
      <c r="C92">
        <v>119972</v>
      </c>
      <c r="D92" t="s">
        <v>4898</v>
      </c>
      <c r="E92" t="s">
        <v>4763</v>
      </c>
      <c r="F92" t="s">
        <v>4087</v>
      </c>
      <c r="H92" t="s">
        <v>56</v>
      </c>
      <c r="I92" t="s">
        <v>68</v>
      </c>
      <c r="J92" t="s">
        <v>43</v>
      </c>
      <c r="K92" t="s">
        <v>33</v>
      </c>
      <c r="L92" t="s">
        <v>4851</v>
      </c>
      <c r="M92" t="s">
        <v>4851</v>
      </c>
      <c r="N92" t="s">
        <v>46</v>
      </c>
      <c r="P92" t="s">
        <v>4459</v>
      </c>
      <c r="R92" s="5">
        <v>43364.225891203707</v>
      </c>
      <c r="S92" s="5">
        <v>43364.227314814816</v>
      </c>
      <c r="T92" t="s">
        <v>4320</v>
      </c>
      <c r="U92" t="s">
        <v>35</v>
      </c>
      <c r="V92" s="3" t="s">
        <v>35</v>
      </c>
      <c r="W92" s="3" t="s">
        <v>35</v>
      </c>
      <c r="AM92" s="5"/>
      <c r="AN92" s="5"/>
      <c r="AQ92" s="6"/>
    </row>
    <row r="93" spans="2:43" x14ac:dyDescent="0.25">
      <c r="B93" t="s">
        <v>4770</v>
      </c>
      <c r="C93">
        <v>119965</v>
      </c>
      <c r="D93" t="s">
        <v>4897</v>
      </c>
      <c r="E93" t="s">
        <v>387</v>
      </c>
      <c r="F93" t="s">
        <v>67</v>
      </c>
      <c r="H93" t="s">
        <v>54</v>
      </c>
      <c r="I93" t="s">
        <v>31</v>
      </c>
      <c r="J93" t="s">
        <v>43</v>
      </c>
      <c r="K93" t="s">
        <v>44</v>
      </c>
      <c r="L93" t="s">
        <v>73</v>
      </c>
      <c r="M93" t="s">
        <v>263</v>
      </c>
      <c r="N93" t="s">
        <v>4925</v>
      </c>
      <c r="P93" t="s">
        <v>190</v>
      </c>
      <c r="R93" s="5">
        <v>43363.89434027778</v>
      </c>
      <c r="S93" s="5">
        <v>43397.954155092593</v>
      </c>
      <c r="T93" t="s">
        <v>131</v>
      </c>
      <c r="U93" t="s">
        <v>35</v>
      </c>
      <c r="V93" s="3" t="s">
        <v>35</v>
      </c>
      <c r="W93" s="3" t="s">
        <v>4410</v>
      </c>
      <c r="AM93" s="5"/>
      <c r="AN93" s="5"/>
      <c r="AQ93" s="6"/>
    </row>
    <row r="94" spans="2:43" x14ac:dyDescent="0.25">
      <c r="B94" t="s">
        <v>4770</v>
      </c>
      <c r="C94">
        <v>119964</v>
      </c>
      <c r="D94" t="s">
        <v>4896</v>
      </c>
      <c r="E94" t="s">
        <v>387</v>
      </c>
      <c r="F94" t="s">
        <v>67</v>
      </c>
      <c r="H94" t="s">
        <v>56</v>
      </c>
      <c r="I94" t="s">
        <v>31</v>
      </c>
      <c r="J94" t="s">
        <v>43</v>
      </c>
      <c r="K94" t="s">
        <v>44</v>
      </c>
      <c r="L94" t="s">
        <v>73</v>
      </c>
      <c r="M94" t="s">
        <v>263</v>
      </c>
      <c r="N94" t="s">
        <v>60</v>
      </c>
      <c r="P94" t="s">
        <v>190</v>
      </c>
      <c r="R94" s="5">
        <v>43363.89434027778</v>
      </c>
      <c r="S94" s="5">
        <v>43398.851678240739</v>
      </c>
      <c r="T94" t="s">
        <v>131</v>
      </c>
      <c r="U94" t="s">
        <v>35</v>
      </c>
      <c r="V94" s="3" t="s">
        <v>35</v>
      </c>
      <c r="W94" s="3" t="s">
        <v>4098</v>
      </c>
      <c r="AM94" s="5"/>
      <c r="AN94" s="5"/>
      <c r="AQ94" s="6"/>
    </row>
    <row r="95" spans="2:43" x14ac:dyDescent="0.25">
      <c r="B95" t="s">
        <v>4889</v>
      </c>
      <c r="C95">
        <v>119954</v>
      </c>
      <c r="D95" t="s">
        <v>4895</v>
      </c>
      <c r="E95" t="s">
        <v>387</v>
      </c>
      <c r="F95" t="s">
        <v>67</v>
      </c>
      <c r="H95" t="s">
        <v>54</v>
      </c>
      <c r="I95" t="s">
        <v>31</v>
      </c>
      <c r="J95" t="s">
        <v>32</v>
      </c>
      <c r="K95" t="s">
        <v>33</v>
      </c>
      <c r="L95" t="s">
        <v>73</v>
      </c>
      <c r="M95" t="s">
        <v>263</v>
      </c>
      <c r="N95" t="s">
        <v>60</v>
      </c>
      <c r="P95" t="s">
        <v>4436</v>
      </c>
      <c r="R95" s="5">
        <v>43363.635150462964</v>
      </c>
      <c r="S95" s="5">
        <v>43480.673391203702</v>
      </c>
      <c r="T95" t="s">
        <v>301</v>
      </c>
      <c r="U95" t="s">
        <v>5226</v>
      </c>
      <c r="V95" s="3" t="s">
        <v>35</v>
      </c>
      <c r="W95" s="3" t="s">
        <v>4171</v>
      </c>
      <c r="AM95" s="5"/>
      <c r="AN95" s="5"/>
      <c r="AQ95" s="6"/>
    </row>
    <row r="96" spans="2:43" x14ac:dyDescent="0.25">
      <c r="B96" t="s">
        <v>4889</v>
      </c>
      <c r="C96">
        <v>119953</v>
      </c>
      <c r="D96" t="s">
        <v>4894</v>
      </c>
      <c r="E96" t="s">
        <v>94</v>
      </c>
      <c r="F96" t="s">
        <v>67</v>
      </c>
      <c r="H96" t="s">
        <v>54</v>
      </c>
      <c r="I96" t="s">
        <v>31</v>
      </c>
      <c r="J96" t="s">
        <v>32</v>
      </c>
      <c r="K96" t="s">
        <v>33</v>
      </c>
      <c r="L96" t="s">
        <v>73</v>
      </c>
      <c r="M96" t="s">
        <v>263</v>
      </c>
      <c r="N96" t="s">
        <v>60</v>
      </c>
      <c r="P96" t="s">
        <v>4436</v>
      </c>
      <c r="R96" s="5">
        <v>43363.635150462964</v>
      </c>
      <c r="S96" s="5">
        <v>43382.660995370374</v>
      </c>
      <c r="T96" t="s">
        <v>301</v>
      </c>
      <c r="U96" t="s">
        <v>35</v>
      </c>
      <c r="V96" s="3" t="s">
        <v>35</v>
      </c>
      <c r="W96" s="3" t="s">
        <v>4098</v>
      </c>
      <c r="AM96" s="5"/>
      <c r="AN96" s="5"/>
      <c r="AQ96" s="6"/>
    </row>
    <row r="97" spans="2:43" x14ac:dyDescent="0.25">
      <c r="B97" t="s">
        <v>4979</v>
      </c>
      <c r="C97">
        <v>119952</v>
      </c>
      <c r="D97" t="s">
        <v>4982</v>
      </c>
      <c r="E97" t="s">
        <v>387</v>
      </c>
      <c r="F97" t="s">
        <v>67</v>
      </c>
      <c r="H97" t="s">
        <v>54</v>
      </c>
      <c r="I97" t="s">
        <v>31</v>
      </c>
      <c r="J97" t="s">
        <v>32</v>
      </c>
      <c r="K97" t="s">
        <v>44</v>
      </c>
      <c r="L97" t="s">
        <v>73</v>
      </c>
      <c r="M97" t="s">
        <v>263</v>
      </c>
      <c r="N97" t="s">
        <v>60</v>
      </c>
      <c r="P97" t="s">
        <v>4436</v>
      </c>
      <c r="R97" s="5">
        <v>43363.634710648148</v>
      </c>
      <c r="S97" s="5">
        <v>43480.493946759256</v>
      </c>
      <c r="T97" t="s">
        <v>301</v>
      </c>
      <c r="U97" t="s">
        <v>5227</v>
      </c>
      <c r="V97" s="3" t="s">
        <v>35</v>
      </c>
      <c r="W97" s="3" t="s">
        <v>4171</v>
      </c>
      <c r="AM97" s="5"/>
      <c r="AN97" s="5"/>
      <c r="AQ97" s="6"/>
    </row>
    <row r="98" spans="2:43" x14ac:dyDescent="0.25">
      <c r="B98" t="s">
        <v>4979</v>
      </c>
      <c r="C98">
        <v>119951</v>
      </c>
      <c r="D98" t="s">
        <v>4981</v>
      </c>
      <c r="E98" t="s">
        <v>3313</v>
      </c>
      <c r="F98" t="s">
        <v>67</v>
      </c>
      <c r="H98" t="s">
        <v>54</v>
      </c>
      <c r="I98" t="s">
        <v>31</v>
      </c>
      <c r="J98" t="s">
        <v>32</v>
      </c>
      <c r="K98" t="s">
        <v>44</v>
      </c>
      <c r="L98" t="s">
        <v>73</v>
      </c>
      <c r="M98" t="s">
        <v>263</v>
      </c>
      <c r="N98" t="s">
        <v>60</v>
      </c>
      <c r="P98" t="s">
        <v>4436</v>
      </c>
      <c r="R98" s="5">
        <v>43363.634710648148</v>
      </c>
      <c r="S98" s="5">
        <v>43404.831747685188</v>
      </c>
      <c r="T98" t="s">
        <v>301</v>
      </c>
      <c r="U98" t="s">
        <v>35</v>
      </c>
      <c r="V98" s="3" t="s">
        <v>35</v>
      </c>
      <c r="W98" s="3" t="s">
        <v>4098</v>
      </c>
      <c r="AM98" s="5"/>
      <c r="AN98" s="5"/>
      <c r="AQ98" s="6"/>
    </row>
    <row r="99" spans="2:43" x14ac:dyDescent="0.25">
      <c r="B99" t="s">
        <v>2841</v>
      </c>
      <c r="C99">
        <v>119927</v>
      </c>
      <c r="D99" t="s">
        <v>4892</v>
      </c>
      <c r="E99" t="s">
        <v>4763</v>
      </c>
      <c r="F99" t="s">
        <v>4087</v>
      </c>
      <c r="H99" t="s">
        <v>56</v>
      </c>
      <c r="I99" t="s">
        <v>68</v>
      </c>
      <c r="J99" t="s">
        <v>58</v>
      </c>
      <c r="K99" t="s">
        <v>44</v>
      </c>
      <c r="L99" t="s">
        <v>4851</v>
      </c>
      <c r="M99" t="s">
        <v>4851</v>
      </c>
      <c r="N99" t="s">
        <v>46</v>
      </c>
      <c r="P99" t="s">
        <v>4893</v>
      </c>
      <c r="R99" s="5">
        <v>43363.41207175926</v>
      </c>
      <c r="S99" s="5">
        <v>43363.413553240738</v>
      </c>
      <c r="T99" t="s">
        <v>4460</v>
      </c>
      <c r="U99" t="s">
        <v>35</v>
      </c>
      <c r="V99" s="3" t="s">
        <v>35</v>
      </c>
      <c r="W99" s="3" t="s">
        <v>35</v>
      </c>
      <c r="AM99" s="5"/>
      <c r="AN99" s="5"/>
      <c r="AQ99" s="6"/>
    </row>
    <row r="100" spans="2:43" x14ac:dyDescent="0.25">
      <c r="B100" t="s">
        <v>4891</v>
      </c>
      <c r="C100">
        <v>119897</v>
      </c>
      <c r="D100" t="s">
        <v>4932</v>
      </c>
      <c r="E100" t="s">
        <v>94</v>
      </c>
      <c r="F100" t="s">
        <v>67</v>
      </c>
      <c r="H100" t="s">
        <v>54</v>
      </c>
      <c r="I100" t="s">
        <v>68</v>
      </c>
      <c r="J100" t="s">
        <v>43</v>
      </c>
      <c r="K100" t="s">
        <v>33</v>
      </c>
      <c r="L100" t="s">
        <v>73</v>
      </c>
      <c r="M100" t="s">
        <v>263</v>
      </c>
      <c r="N100" t="s">
        <v>60</v>
      </c>
      <c r="P100" t="s">
        <v>4436</v>
      </c>
      <c r="R100" s="5">
        <v>43362.794918981483</v>
      </c>
      <c r="S100" s="5">
        <v>43398.093159722222</v>
      </c>
      <c r="T100" t="s">
        <v>1</v>
      </c>
      <c r="U100" t="s">
        <v>35</v>
      </c>
      <c r="V100" s="3" t="s">
        <v>35</v>
      </c>
      <c r="W100" s="3" t="s">
        <v>4410</v>
      </c>
      <c r="AM100" s="5"/>
      <c r="AN100" s="5"/>
      <c r="AQ100" s="6"/>
    </row>
    <row r="101" spans="2:43" x14ac:dyDescent="0.25">
      <c r="B101" t="s">
        <v>4889</v>
      </c>
      <c r="C101">
        <v>119896</v>
      </c>
      <c r="D101" t="s">
        <v>4890</v>
      </c>
      <c r="E101" t="s">
        <v>94</v>
      </c>
      <c r="F101" t="s">
        <v>67</v>
      </c>
      <c r="H101" t="s">
        <v>54</v>
      </c>
      <c r="I101" t="s">
        <v>31</v>
      </c>
      <c r="J101" t="s">
        <v>32</v>
      </c>
      <c r="K101" t="s">
        <v>33</v>
      </c>
      <c r="L101" t="s">
        <v>73</v>
      </c>
      <c r="M101" t="s">
        <v>263</v>
      </c>
      <c r="N101" t="s">
        <v>60</v>
      </c>
      <c r="P101" t="s">
        <v>4436</v>
      </c>
      <c r="R101" s="5">
        <v>43362.779120370367</v>
      </c>
      <c r="S101" s="5">
        <v>43363.68476851852</v>
      </c>
      <c r="T101" t="s">
        <v>1</v>
      </c>
      <c r="U101" t="s">
        <v>35</v>
      </c>
      <c r="V101" s="3" t="s">
        <v>35</v>
      </c>
      <c r="W101" s="3" t="s">
        <v>4410</v>
      </c>
      <c r="AM101" s="5"/>
      <c r="AN101" s="5"/>
      <c r="AQ101" s="6"/>
    </row>
    <row r="102" spans="2:43" x14ac:dyDescent="0.25">
      <c r="B102" t="s">
        <v>4718</v>
      </c>
      <c r="C102">
        <v>119872</v>
      </c>
      <c r="D102" t="s">
        <v>4888</v>
      </c>
      <c r="E102" t="s">
        <v>4887</v>
      </c>
      <c r="F102" t="s">
        <v>305</v>
      </c>
      <c r="G102" t="s">
        <v>337</v>
      </c>
      <c r="H102" t="s">
        <v>116</v>
      </c>
      <c r="I102" t="s">
        <v>31</v>
      </c>
      <c r="J102" t="s">
        <v>43</v>
      </c>
      <c r="K102" t="s">
        <v>51</v>
      </c>
      <c r="L102" t="s">
        <v>52</v>
      </c>
      <c r="M102" t="s">
        <v>408</v>
      </c>
      <c r="N102" t="s">
        <v>60</v>
      </c>
      <c r="P102" t="s">
        <v>3698</v>
      </c>
      <c r="Q102" t="s">
        <v>4215</v>
      </c>
      <c r="R102" s="5">
        <v>43362.431747685187</v>
      </c>
      <c r="S102" s="5">
        <v>43439.150023148148</v>
      </c>
      <c r="T102" t="s">
        <v>4887</v>
      </c>
      <c r="U102" t="s">
        <v>35</v>
      </c>
      <c r="V102" s="3" t="s">
        <v>321</v>
      </c>
      <c r="W102" s="3" t="s">
        <v>4670</v>
      </c>
      <c r="AM102" s="5"/>
      <c r="AN102" s="5"/>
      <c r="AQ102" s="6"/>
    </row>
    <row r="103" spans="2:43" x14ac:dyDescent="0.25">
      <c r="B103" t="s">
        <v>4718</v>
      </c>
      <c r="C103">
        <v>119871</v>
      </c>
      <c r="D103" t="s">
        <v>4886</v>
      </c>
      <c r="E103" t="s">
        <v>2399</v>
      </c>
      <c r="F103" t="s">
        <v>67</v>
      </c>
      <c r="H103" t="s">
        <v>116</v>
      </c>
      <c r="I103" t="s">
        <v>31</v>
      </c>
      <c r="J103" t="s">
        <v>43</v>
      </c>
      <c r="K103" t="s">
        <v>51</v>
      </c>
      <c r="L103" t="s">
        <v>45</v>
      </c>
      <c r="M103" t="s">
        <v>408</v>
      </c>
      <c r="N103" t="s">
        <v>60</v>
      </c>
      <c r="P103" t="s">
        <v>3698</v>
      </c>
      <c r="R103" s="5">
        <v>43362.431747685187</v>
      </c>
      <c r="S103" s="5">
        <v>43397.818240740744</v>
      </c>
      <c r="T103" t="s">
        <v>4887</v>
      </c>
      <c r="U103" t="s">
        <v>35</v>
      </c>
      <c r="V103" s="3" t="s">
        <v>321</v>
      </c>
      <c r="W103" s="3" t="s">
        <v>4098</v>
      </c>
      <c r="AM103" s="5"/>
      <c r="AN103" s="5"/>
      <c r="AQ103" s="6"/>
    </row>
    <row r="104" spans="2:43" x14ac:dyDescent="0.25">
      <c r="B104" t="s">
        <v>2841</v>
      </c>
      <c r="C104">
        <v>119781</v>
      </c>
      <c r="D104" t="s">
        <v>4885</v>
      </c>
      <c r="E104" t="s">
        <v>4763</v>
      </c>
      <c r="F104" t="s">
        <v>4087</v>
      </c>
      <c r="H104" t="s">
        <v>56</v>
      </c>
      <c r="I104" t="s">
        <v>68</v>
      </c>
      <c r="J104" t="s">
        <v>43</v>
      </c>
      <c r="K104" t="s">
        <v>33</v>
      </c>
      <c r="L104" t="s">
        <v>4851</v>
      </c>
      <c r="M104" t="s">
        <v>4851</v>
      </c>
      <c r="N104" t="s">
        <v>46</v>
      </c>
      <c r="P104" t="s">
        <v>4459</v>
      </c>
      <c r="R104" s="5">
        <v>43361.201770833337</v>
      </c>
      <c r="S104" s="5">
        <v>43361.202673611115</v>
      </c>
      <c r="T104" t="s">
        <v>4784</v>
      </c>
      <c r="U104" t="s">
        <v>35</v>
      </c>
      <c r="V104" s="3" t="s">
        <v>35</v>
      </c>
      <c r="W104" s="3" t="s">
        <v>35</v>
      </c>
      <c r="AM104" s="5"/>
      <c r="AN104" s="5"/>
      <c r="AQ104" s="6"/>
    </row>
    <row r="105" spans="2:43" x14ac:dyDescent="0.25">
      <c r="B105" t="s">
        <v>4715</v>
      </c>
      <c r="C105">
        <v>119774</v>
      </c>
      <c r="D105" t="s">
        <v>4883</v>
      </c>
      <c r="E105" t="s">
        <v>134</v>
      </c>
      <c r="F105" t="s">
        <v>305</v>
      </c>
      <c r="G105" t="s">
        <v>304</v>
      </c>
      <c r="H105" t="s">
        <v>116</v>
      </c>
      <c r="I105" t="s">
        <v>31</v>
      </c>
      <c r="J105" t="s">
        <v>32</v>
      </c>
      <c r="K105" t="s">
        <v>51</v>
      </c>
      <c r="L105" t="s">
        <v>96</v>
      </c>
      <c r="M105" t="s">
        <v>269</v>
      </c>
      <c r="N105" t="s">
        <v>4884</v>
      </c>
      <c r="P105" t="s">
        <v>307</v>
      </c>
      <c r="Q105" t="s">
        <v>3698</v>
      </c>
      <c r="R105" s="5">
        <v>43360.675543981481</v>
      </c>
      <c r="S105" s="5">
        <v>43376.585046296299</v>
      </c>
      <c r="T105" t="s">
        <v>53</v>
      </c>
      <c r="U105" t="s">
        <v>35</v>
      </c>
      <c r="V105" s="3" t="s">
        <v>321</v>
      </c>
      <c r="W105" s="3" t="s">
        <v>4436</v>
      </c>
      <c r="AM105" s="5"/>
      <c r="AN105" s="5"/>
      <c r="AQ105" s="6"/>
    </row>
    <row r="106" spans="2:43" x14ac:dyDescent="0.25">
      <c r="B106" t="s">
        <v>4880</v>
      </c>
      <c r="C106">
        <v>119665</v>
      </c>
      <c r="D106" t="s">
        <v>4881</v>
      </c>
      <c r="E106" t="s">
        <v>4882</v>
      </c>
      <c r="F106" t="s">
        <v>305</v>
      </c>
      <c r="G106" t="s">
        <v>337</v>
      </c>
      <c r="H106" t="s">
        <v>116</v>
      </c>
      <c r="I106" t="s">
        <v>31</v>
      </c>
      <c r="J106" t="s">
        <v>32</v>
      </c>
      <c r="K106" t="s">
        <v>51</v>
      </c>
      <c r="L106" t="s">
        <v>52</v>
      </c>
      <c r="M106" t="s">
        <v>3445</v>
      </c>
      <c r="N106" t="s">
        <v>60</v>
      </c>
      <c r="P106" t="s">
        <v>3698</v>
      </c>
      <c r="Q106" t="s">
        <v>528</v>
      </c>
      <c r="R106" s="5">
        <v>43357.314641203702</v>
      </c>
      <c r="S106" s="5">
        <v>43439.149988425925</v>
      </c>
      <c r="T106" t="s">
        <v>4</v>
      </c>
      <c r="U106" t="s">
        <v>35</v>
      </c>
      <c r="V106" s="3" t="s">
        <v>321</v>
      </c>
      <c r="W106" s="3" t="s">
        <v>4670</v>
      </c>
      <c r="AM106" s="5"/>
      <c r="AN106" s="5"/>
      <c r="AQ106" s="6"/>
    </row>
    <row r="107" spans="2:43" x14ac:dyDescent="0.25">
      <c r="B107" t="s">
        <v>4979</v>
      </c>
      <c r="C107">
        <v>119609</v>
      </c>
      <c r="D107" t="s">
        <v>4980</v>
      </c>
      <c r="E107" t="s">
        <v>3313</v>
      </c>
      <c r="F107" t="s">
        <v>67</v>
      </c>
      <c r="H107" t="s">
        <v>54</v>
      </c>
      <c r="I107" t="s">
        <v>31</v>
      </c>
      <c r="J107" t="s">
        <v>32</v>
      </c>
      <c r="K107" t="s">
        <v>44</v>
      </c>
      <c r="L107" t="s">
        <v>73</v>
      </c>
      <c r="M107" t="s">
        <v>263</v>
      </c>
      <c r="N107" t="s">
        <v>60</v>
      </c>
      <c r="P107" t="s">
        <v>4436</v>
      </c>
      <c r="R107" s="5">
        <v>43355.871898148151</v>
      </c>
      <c r="S107" s="5">
        <v>43404.831458333334</v>
      </c>
      <c r="T107" t="s">
        <v>1</v>
      </c>
      <c r="U107" t="s">
        <v>35</v>
      </c>
      <c r="V107" s="3" t="s">
        <v>35</v>
      </c>
      <c r="W107" s="3" t="s">
        <v>4410</v>
      </c>
      <c r="AM107" s="5"/>
      <c r="AN107" s="5"/>
      <c r="AQ107" s="6"/>
    </row>
    <row r="108" spans="2:43" x14ac:dyDescent="0.25">
      <c r="B108" t="s">
        <v>4878</v>
      </c>
      <c r="C108">
        <v>119600</v>
      </c>
      <c r="D108" t="s">
        <v>4879</v>
      </c>
      <c r="E108" t="s">
        <v>435</v>
      </c>
      <c r="F108" t="s">
        <v>305</v>
      </c>
      <c r="G108" t="s">
        <v>337</v>
      </c>
      <c r="H108" t="s">
        <v>54</v>
      </c>
      <c r="I108" t="s">
        <v>68</v>
      </c>
      <c r="J108" t="s">
        <v>43</v>
      </c>
      <c r="K108" t="s">
        <v>33</v>
      </c>
      <c r="L108" t="s">
        <v>73</v>
      </c>
      <c r="M108" t="s">
        <v>263</v>
      </c>
      <c r="N108" t="s">
        <v>60</v>
      </c>
      <c r="P108" t="s">
        <v>4436</v>
      </c>
      <c r="Q108" t="s">
        <v>3260</v>
      </c>
      <c r="R108" s="5">
        <v>43355.761064814818</v>
      </c>
      <c r="S108" s="5">
        <v>43384.621400462966</v>
      </c>
      <c r="T108" t="s">
        <v>1</v>
      </c>
      <c r="U108" t="s">
        <v>35</v>
      </c>
      <c r="V108" s="3" t="s">
        <v>35</v>
      </c>
      <c r="W108" s="3" t="s">
        <v>4670</v>
      </c>
      <c r="AM108" s="5"/>
      <c r="AN108" s="5"/>
      <c r="AQ108" s="6"/>
    </row>
    <row r="109" spans="2:43" x14ac:dyDescent="0.25">
      <c r="B109" t="s">
        <v>4875</v>
      </c>
      <c r="C109">
        <v>119599</v>
      </c>
      <c r="D109" t="s">
        <v>4877</v>
      </c>
      <c r="E109" t="s">
        <v>94</v>
      </c>
      <c r="F109" t="s">
        <v>319</v>
      </c>
      <c r="G109" t="s">
        <v>304</v>
      </c>
      <c r="H109" t="s">
        <v>54</v>
      </c>
      <c r="I109" t="s">
        <v>31</v>
      </c>
      <c r="J109" t="s">
        <v>43</v>
      </c>
      <c r="K109" t="s">
        <v>44</v>
      </c>
      <c r="L109" t="s">
        <v>73</v>
      </c>
      <c r="M109" t="s">
        <v>263</v>
      </c>
      <c r="N109" t="s">
        <v>4956</v>
      </c>
      <c r="P109" t="s">
        <v>4436</v>
      </c>
      <c r="Q109" t="s">
        <v>2481</v>
      </c>
      <c r="R109" s="5">
        <v>43355.756481481483</v>
      </c>
      <c r="S109" s="5">
        <v>43424.544328703705</v>
      </c>
      <c r="T109" t="s">
        <v>301</v>
      </c>
      <c r="U109" t="s">
        <v>4931</v>
      </c>
      <c r="V109" s="3" t="s">
        <v>35</v>
      </c>
      <c r="W109" s="3" t="s">
        <v>4171</v>
      </c>
      <c r="AM109" s="5"/>
      <c r="AN109" s="5"/>
      <c r="AQ109" s="6"/>
    </row>
    <row r="110" spans="2:43" x14ac:dyDescent="0.25">
      <c r="B110" t="s">
        <v>4875</v>
      </c>
      <c r="C110">
        <v>119598</v>
      </c>
      <c r="D110" t="s">
        <v>4876</v>
      </c>
      <c r="E110" t="s">
        <v>94</v>
      </c>
      <c r="F110" t="s">
        <v>305</v>
      </c>
      <c r="G110" t="s">
        <v>304</v>
      </c>
      <c r="H110" t="s">
        <v>54</v>
      </c>
      <c r="I110" t="s">
        <v>31</v>
      </c>
      <c r="J110" t="s">
        <v>43</v>
      </c>
      <c r="K110" t="s">
        <v>44</v>
      </c>
      <c r="L110" t="s">
        <v>73</v>
      </c>
      <c r="M110" t="s">
        <v>263</v>
      </c>
      <c r="N110" t="s">
        <v>46</v>
      </c>
      <c r="P110" t="s">
        <v>4436</v>
      </c>
      <c r="Q110" t="s">
        <v>2481</v>
      </c>
      <c r="R110" s="5">
        <v>43355.756481481483</v>
      </c>
      <c r="S110" s="5">
        <v>43396.477627314816</v>
      </c>
      <c r="T110" t="s">
        <v>301</v>
      </c>
      <c r="U110" t="s">
        <v>35</v>
      </c>
      <c r="V110" s="3" t="s">
        <v>35</v>
      </c>
      <c r="W110" s="3" t="s">
        <v>4098</v>
      </c>
      <c r="AM110" s="5"/>
      <c r="AN110" s="5"/>
      <c r="AQ110" s="6"/>
    </row>
    <row r="111" spans="2:43" x14ac:dyDescent="0.25">
      <c r="B111" t="s">
        <v>4875</v>
      </c>
      <c r="C111">
        <v>119597</v>
      </c>
      <c r="D111" t="s">
        <v>4930</v>
      </c>
      <c r="E111" t="s">
        <v>94</v>
      </c>
      <c r="F111" t="s">
        <v>305</v>
      </c>
      <c r="G111" t="s">
        <v>304</v>
      </c>
      <c r="H111" t="s">
        <v>54</v>
      </c>
      <c r="I111" t="s">
        <v>31</v>
      </c>
      <c r="J111" t="s">
        <v>43</v>
      </c>
      <c r="K111" t="s">
        <v>44</v>
      </c>
      <c r="L111" t="s">
        <v>73</v>
      </c>
      <c r="M111" t="s">
        <v>263</v>
      </c>
      <c r="N111" t="s">
        <v>60</v>
      </c>
      <c r="P111" t="s">
        <v>4436</v>
      </c>
      <c r="Q111" t="s">
        <v>2481</v>
      </c>
      <c r="R111" s="5">
        <v>43355.738946759258</v>
      </c>
      <c r="S111" s="5">
        <v>43412.770138888889</v>
      </c>
      <c r="T111" t="s">
        <v>1</v>
      </c>
      <c r="U111" t="s">
        <v>35</v>
      </c>
      <c r="V111" s="3" t="s">
        <v>35</v>
      </c>
      <c r="W111" s="3" t="s">
        <v>4929</v>
      </c>
      <c r="AM111" s="5"/>
      <c r="AN111" s="5"/>
      <c r="AQ111" s="6"/>
    </row>
    <row r="112" spans="2:43" x14ac:dyDescent="0.25">
      <c r="B112" t="s">
        <v>4865</v>
      </c>
      <c r="C112">
        <v>119530</v>
      </c>
      <c r="D112" t="s">
        <v>4928</v>
      </c>
      <c r="E112" t="s">
        <v>560</v>
      </c>
      <c r="F112" t="s">
        <v>305</v>
      </c>
      <c r="G112" t="s">
        <v>304</v>
      </c>
      <c r="H112" t="s">
        <v>54</v>
      </c>
      <c r="I112" t="s">
        <v>31</v>
      </c>
      <c r="J112" t="s">
        <v>32</v>
      </c>
      <c r="K112" t="s">
        <v>33</v>
      </c>
      <c r="L112" t="s">
        <v>73</v>
      </c>
      <c r="M112" t="s">
        <v>4205</v>
      </c>
      <c r="N112" t="s">
        <v>60</v>
      </c>
      <c r="P112" t="s">
        <v>4436</v>
      </c>
      <c r="Q112" t="s">
        <v>4735</v>
      </c>
      <c r="R112" s="5">
        <v>43354.947789351849</v>
      </c>
      <c r="S112" s="5">
        <v>43446.696747685186</v>
      </c>
      <c r="T112" t="s">
        <v>301</v>
      </c>
      <c r="U112" t="s">
        <v>35</v>
      </c>
      <c r="V112" s="3" t="s">
        <v>35</v>
      </c>
      <c r="W112" s="3" t="s">
        <v>4929</v>
      </c>
      <c r="AM112" s="5"/>
      <c r="AN112" s="5"/>
      <c r="AQ112" s="6"/>
    </row>
    <row r="113" spans="2:43" x14ac:dyDescent="0.25">
      <c r="B113" t="s">
        <v>2841</v>
      </c>
      <c r="C113">
        <v>119478</v>
      </c>
      <c r="D113" t="s">
        <v>4874</v>
      </c>
      <c r="E113" t="s">
        <v>4763</v>
      </c>
      <c r="F113" t="s">
        <v>4087</v>
      </c>
      <c r="H113" t="s">
        <v>56</v>
      </c>
      <c r="I113" t="s">
        <v>68</v>
      </c>
      <c r="J113" t="s">
        <v>43</v>
      </c>
      <c r="K113" t="s">
        <v>33</v>
      </c>
      <c r="L113" t="s">
        <v>4851</v>
      </c>
      <c r="M113" t="s">
        <v>4851</v>
      </c>
      <c r="N113" t="s">
        <v>46</v>
      </c>
      <c r="P113" t="s">
        <v>56</v>
      </c>
      <c r="R113" s="5">
        <v>43354.228298611109</v>
      </c>
      <c r="S113" s="5">
        <v>43354.22892361111</v>
      </c>
      <c r="T113" t="s">
        <v>4460</v>
      </c>
      <c r="U113" t="s">
        <v>35</v>
      </c>
      <c r="V113" s="3" t="s">
        <v>35</v>
      </c>
      <c r="W113" s="3" t="s">
        <v>35</v>
      </c>
      <c r="AM113" s="5"/>
      <c r="AN113" s="5"/>
      <c r="AQ113" s="6"/>
    </row>
    <row r="114" spans="2:43" x14ac:dyDescent="0.25">
      <c r="B114" t="s">
        <v>5025</v>
      </c>
      <c r="C114">
        <v>119462</v>
      </c>
      <c r="D114" t="s">
        <v>5223</v>
      </c>
      <c r="E114" t="s">
        <v>387</v>
      </c>
      <c r="F114" t="s">
        <v>67</v>
      </c>
      <c r="H114" t="s">
        <v>54</v>
      </c>
      <c r="I114" t="s">
        <v>31</v>
      </c>
      <c r="J114" t="s">
        <v>32</v>
      </c>
      <c r="K114" t="s">
        <v>44</v>
      </c>
      <c r="L114" t="s">
        <v>73</v>
      </c>
      <c r="M114" t="s">
        <v>264</v>
      </c>
      <c r="N114" t="s">
        <v>60</v>
      </c>
      <c r="P114" t="s">
        <v>307</v>
      </c>
      <c r="R114" s="5">
        <v>43353.641064814816</v>
      </c>
      <c r="S114" s="5">
        <v>43480.505416666667</v>
      </c>
      <c r="T114" t="s">
        <v>301</v>
      </c>
      <c r="U114" t="s">
        <v>5226</v>
      </c>
      <c r="V114" s="3" t="s">
        <v>35</v>
      </c>
      <c r="W114" s="3" t="s">
        <v>4171</v>
      </c>
      <c r="AM114" s="5"/>
      <c r="AN114" s="5"/>
      <c r="AQ114" s="6"/>
    </row>
    <row r="115" spans="2:43" x14ac:dyDescent="0.25">
      <c r="B115" t="s">
        <v>5025</v>
      </c>
      <c r="C115">
        <v>119461</v>
      </c>
      <c r="D115" t="s">
        <v>5026</v>
      </c>
      <c r="E115" t="s">
        <v>131</v>
      </c>
      <c r="F115" t="s">
        <v>319</v>
      </c>
      <c r="G115" t="s">
        <v>353</v>
      </c>
      <c r="H115" t="s">
        <v>54</v>
      </c>
      <c r="I115" t="s">
        <v>31</v>
      </c>
      <c r="J115" t="s">
        <v>32</v>
      </c>
      <c r="K115" t="s">
        <v>44</v>
      </c>
      <c r="L115" t="s">
        <v>73</v>
      </c>
      <c r="M115" t="s">
        <v>264</v>
      </c>
      <c r="N115" t="s">
        <v>60</v>
      </c>
      <c r="P115" t="s">
        <v>307</v>
      </c>
      <c r="Q115" t="s">
        <v>4723</v>
      </c>
      <c r="R115" s="5">
        <v>43353.641064814816</v>
      </c>
      <c r="S115" s="5">
        <v>43480.671203703707</v>
      </c>
      <c r="T115" t="s">
        <v>301</v>
      </c>
      <c r="U115" t="s">
        <v>35</v>
      </c>
      <c r="V115" s="3" t="s">
        <v>35</v>
      </c>
      <c r="W115" s="3" t="s">
        <v>4098</v>
      </c>
      <c r="AM115" s="5"/>
      <c r="AN115" s="5"/>
      <c r="AQ115" s="6"/>
    </row>
    <row r="116" spans="2:43" x14ac:dyDescent="0.25">
      <c r="B116" t="s">
        <v>2841</v>
      </c>
      <c r="C116">
        <v>119432</v>
      </c>
      <c r="D116" t="s">
        <v>4873</v>
      </c>
      <c r="E116" t="s">
        <v>4763</v>
      </c>
      <c r="F116" t="s">
        <v>4087</v>
      </c>
      <c r="H116" t="s">
        <v>56</v>
      </c>
      <c r="I116" t="s">
        <v>68</v>
      </c>
      <c r="J116" t="s">
        <v>43</v>
      </c>
      <c r="K116" t="s">
        <v>33</v>
      </c>
      <c r="L116" t="s">
        <v>4851</v>
      </c>
      <c r="M116" t="s">
        <v>4851</v>
      </c>
      <c r="N116" t="s">
        <v>46</v>
      </c>
      <c r="P116" t="s">
        <v>56</v>
      </c>
      <c r="R116" s="5">
        <v>43353.282951388886</v>
      </c>
      <c r="S116" s="5">
        <v>43353.287314814814</v>
      </c>
      <c r="T116" t="s">
        <v>4767</v>
      </c>
      <c r="U116" t="s">
        <v>35</v>
      </c>
      <c r="V116" s="3" t="s">
        <v>35</v>
      </c>
      <c r="W116" s="3" t="s">
        <v>35</v>
      </c>
      <c r="AM116" s="5"/>
      <c r="AN116" s="5"/>
      <c r="AQ116" s="6"/>
    </row>
    <row r="117" spans="2:43" x14ac:dyDescent="0.25">
      <c r="B117" t="s">
        <v>2841</v>
      </c>
      <c r="C117">
        <v>119429</v>
      </c>
      <c r="D117" t="s">
        <v>4872</v>
      </c>
      <c r="E117" t="s">
        <v>4763</v>
      </c>
      <c r="F117" t="s">
        <v>4087</v>
      </c>
      <c r="H117" t="s">
        <v>56</v>
      </c>
      <c r="I117" t="s">
        <v>68</v>
      </c>
      <c r="J117" t="s">
        <v>43</v>
      </c>
      <c r="K117" t="s">
        <v>33</v>
      </c>
      <c r="L117" t="s">
        <v>4851</v>
      </c>
      <c r="M117" t="s">
        <v>4851</v>
      </c>
      <c r="N117" t="s">
        <v>46</v>
      </c>
      <c r="P117" t="s">
        <v>4459</v>
      </c>
      <c r="R117" s="5">
        <v>43353.26462962963</v>
      </c>
      <c r="S117" s="5">
        <v>43353.573703703703</v>
      </c>
      <c r="T117" t="s">
        <v>4784</v>
      </c>
      <c r="U117" t="s">
        <v>35</v>
      </c>
      <c r="V117" s="3" t="s">
        <v>35</v>
      </c>
      <c r="W117" s="3" t="s">
        <v>35</v>
      </c>
      <c r="AM117" s="5"/>
      <c r="AN117" s="5"/>
      <c r="AQ117" s="6"/>
    </row>
    <row r="118" spans="2:43" x14ac:dyDescent="0.25">
      <c r="B118" t="s">
        <v>4865</v>
      </c>
      <c r="C118">
        <v>119356</v>
      </c>
      <c r="D118" t="s">
        <v>4870</v>
      </c>
      <c r="E118" t="s">
        <v>560</v>
      </c>
      <c r="F118" t="s">
        <v>305</v>
      </c>
      <c r="G118" t="s">
        <v>304</v>
      </c>
      <c r="H118" t="s">
        <v>116</v>
      </c>
      <c r="I118" t="s">
        <v>31</v>
      </c>
      <c r="J118" t="s">
        <v>32</v>
      </c>
      <c r="K118" t="s">
        <v>33</v>
      </c>
      <c r="L118" t="s">
        <v>73</v>
      </c>
      <c r="M118" t="s">
        <v>4205</v>
      </c>
      <c r="N118" t="s">
        <v>3724</v>
      </c>
      <c r="P118" t="s">
        <v>4436</v>
      </c>
      <c r="Q118" t="s">
        <v>4735</v>
      </c>
      <c r="R118" s="5">
        <v>43349.743159722224</v>
      </c>
      <c r="S118" s="5">
        <v>43424.486273148148</v>
      </c>
      <c r="T118" t="s">
        <v>301</v>
      </c>
      <c r="U118" t="s">
        <v>4871</v>
      </c>
      <c r="V118" s="3" t="s">
        <v>35</v>
      </c>
      <c r="W118" s="3" t="s">
        <v>4171</v>
      </c>
      <c r="AM118" s="5"/>
      <c r="AN118" s="5"/>
      <c r="AQ118" s="6"/>
    </row>
    <row r="119" spans="2:43" x14ac:dyDescent="0.25">
      <c r="B119" t="s">
        <v>4865</v>
      </c>
      <c r="C119">
        <v>119355</v>
      </c>
      <c r="D119" t="s">
        <v>4869</v>
      </c>
      <c r="E119" t="s">
        <v>560</v>
      </c>
      <c r="F119" t="s">
        <v>305</v>
      </c>
      <c r="G119" t="s">
        <v>304</v>
      </c>
      <c r="H119" t="s">
        <v>54</v>
      </c>
      <c r="I119" t="s">
        <v>31</v>
      </c>
      <c r="J119" t="s">
        <v>32</v>
      </c>
      <c r="K119" t="s">
        <v>33</v>
      </c>
      <c r="L119" t="s">
        <v>73</v>
      </c>
      <c r="M119" t="s">
        <v>4205</v>
      </c>
      <c r="N119" t="s">
        <v>60</v>
      </c>
      <c r="P119" t="s">
        <v>4436</v>
      </c>
      <c r="Q119" t="s">
        <v>4735</v>
      </c>
      <c r="R119" s="5">
        <v>43349.743159722224</v>
      </c>
      <c r="S119" s="5">
        <v>43389.653912037036</v>
      </c>
      <c r="T119" t="s">
        <v>301</v>
      </c>
      <c r="U119" t="s">
        <v>35</v>
      </c>
      <c r="V119" s="3" t="s">
        <v>35</v>
      </c>
      <c r="W119" s="3" t="s">
        <v>4098</v>
      </c>
      <c r="AM119" s="5"/>
      <c r="AN119" s="5"/>
      <c r="AQ119" s="6"/>
    </row>
    <row r="120" spans="2:43" x14ac:dyDescent="0.25">
      <c r="B120" t="s">
        <v>4865</v>
      </c>
      <c r="C120">
        <v>119236</v>
      </c>
      <c r="D120" t="s">
        <v>4866</v>
      </c>
      <c r="E120" t="s">
        <v>560</v>
      </c>
      <c r="F120" t="s">
        <v>305</v>
      </c>
      <c r="G120" t="s">
        <v>304</v>
      </c>
      <c r="H120" t="s">
        <v>54</v>
      </c>
      <c r="I120" t="s">
        <v>31</v>
      </c>
      <c r="J120" t="s">
        <v>32</v>
      </c>
      <c r="K120" t="s">
        <v>33</v>
      </c>
      <c r="L120" t="s">
        <v>73</v>
      </c>
      <c r="M120" t="s">
        <v>4205</v>
      </c>
      <c r="N120" t="s">
        <v>60</v>
      </c>
      <c r="P120" t="s">
        <v>4436</v>
      </c>
      <c r="Q120" t="s">
        <v>4868</v>
      </c>
      <c r="R120" s="5">
        <v>43348.586041666669</v>
      </c>
      <c r="S120" s="5">
        <v>43369.793368055558</v>
      </c>
      <c r="T120" t="s">
        <v>1</v>
      </c>
      <c r="U120" t="s">
        <v>35</v>
      </c>
      <c r="V120" s="3" t="s">
        <v>35</v>
      </c>
      <c r="W120" s="3" t="s">
        <v>4867</v>
      </c>
      <c r="AM120" s="5"/>
      <c r="AN120" s="5"/>
      <c r="AQ120" s="6"/>
    </row>
    <row r="121" spans="2:43" x14ac:dyDescent="0.25">
      <c r="B121" t="s">
        <v>4819</v>
      </c>
      <c r="C121">
        <v>118971</v>
      </c>
      <c r="D121" t="s">
        <v>4862</v>
      </c>
      <c r="E121" t="s">
        <v>3671</v>
      </c>
      <c r="F121" t="s">
        <v>305</v>
      </c>
      <c r="G121" t="s">
        <v>304</v>
      </c>
      <c r="H121" t="s">
        <v>116</v>
      </c>
      <c r="I121" t="s">
        <v>31</v>
      </c>
      <c r="J121" t="s">
        <v>32</v>
      </c>
      <c r="K121" t="s">
        <v>44</v>
      </c>
      <c r="L121" t="s">
        <v>96</v>
      </c>
      <c r="M121" t="s">
        <v>267</v>
      </c>
      <c r="N121" t="s">
        <v>4863</v>
      </c>
      <c r="P121" t="s">
        <v>307</v>
      </c>
      <c r="Q121" t="s">
        <v>3748</v>
      </c>
      <c r="R121" s="5">
        <v>43343.85255787037</v>
      </c>
      <c r="S121" s="5">
        <v>43363.550370370373</v>
      </c>
      <c r="T121" t="s">
        <v>53</v>
      </c>
      <c r="U121" t="s">
        <v>4864</v>
      </c>
      <c r="V121" s="3" t="s">
        <v>35</v>
      </c>
      <c r="W121" s="3" t="s">
        <v>4670</v>
      </c>
      <c r="AM121" s="5"/>
      <c r="AN121" s="5"/>
      <c r="AQ121" s="6"/>
    </row>
    <row r="122" spans="2:43" x14ac:dyDescent="0.25">
      <c r="B122" t="s">
        <v>4819</v>
      </c>
      <c r="C122">
        <v>118970</v>
      </c>
      <c r="D122" t="s">
        <v>4861</v>
      </c>
      <c r="E122" t="s">
        <v>3671</v>
      </c>
      <c r="F122" t="s">
        <v>67</v>
      </c>
      <c r="H122" t="s">
        <v>116</v>
      </c>
      <c r="I122" t="s">
        <v>31</v>
      </c>
      <c r="J122" t="s">
        <v>32</v>
      </c>
      <c r="K122" t="s">
        <v>44</v>
      </c>
      <c r="L122" t="s">
        <v>96</v>
      </c>
      <c r="M122" t="s">
        <v>267</v>
      </c>
      <c r="N122" t="s">
        <v>46</v>
      </c>
      <c r="O122" t="s">
        <v>4822</v>
      </c>
      <c r="P122" t="s">
        <v>307</v>
      </c>
      <c r="Q122" t="s">
        <v>3748</v>
      </c>
      <c r="R122" s="5">
        <v>43343.852569444447</v>
      </c>
      <c r="S122" s="5">
        <v>43480.671203703707</v>
      </c>
      <c r="T122" t="s">
        <v>53</v>
      </c>
      <c r="U122" t="s">
        <v>35</v>
      </c>
      <c r="V122" s="3" t="s">
        <v>35</v>
      </c>
      <c r="W122" s="3" t="s">
        <v>4098</v>
      </c>
      <c r="AM122" s="5"/>
      <c r="AN122" s="5"/>
      <c r="AQ122" s="6"/>
    </row>
    <row r="123" spans="2:43" x14ac:dyDescent="0.25">
      <c r="B123" t="s">
        <v>4819</v>
      </c>
      <c r="C123">
        <v>118969</v>
      </c>
      <c r="D123" t="s">
        <v>4860</v>
      </c>
      <c r="E123" t="s">
        <v>288</v>
      </c>
      <c r="F123" t="s">
        <v>305</v>
      </c>
      <c r="G123" t="s">
        <v>353</v>
      </c>
      <c r="H123" t="s">
        <v>116</v>
      </c>
      <c r="I123" t="s">
        <v>31</v>
      </c>
      <c r="J123" t="s">
        <v>32</v>
      </c>
      <c r="K123" t="s">
        <v>51</v>
      </c>
      <c r="L123" t="s">
        <v>96</v>
      </c>
      <c r="M123" t="s">
        <v>269</v>
      </c>
      <c r="N123" t="s">
        <v>46</v>
      </c>
      <c r="P123" t="s">
        <v>307</v>
      </c>
      <c r="Q123" t="s">
        <v>3748</v>
      </c>
      <c r="R123" s="5">
        <v>43343.8205787037</v>
      </c>
      <c r="S123" s="5">
        <v>43382.161574074074</v>
      </c>
      <c r="T123" t="s">
        <v>1</v>
      </c>
      <c r="U123" t="s">
        <v>35</v>
      </c>
      <c r="V123" s="3" t="s">
        <v>321</v>
      </c>
      <c r="W123" s="3" t="s">
        <v>4171</v>
      </c>
      <c r="AM123" s="5"/>
      <c r="AN123" s="5"/>
      <c r="AQ123" s="6"/>
    </row>
    <row r="124" spans="2:43" x14ac:dyDescent="0.25">
      <c r="B124" t="s">
        <v>4857</v>
      </c>
      <c r="C124">
        <v>118939</v>
      </c>
      <c r="D124" t="s">
        <v>4858</v>
      </c>
      <c r="E124" t="s">
        <v>173</v>
      </c>
      <c r="F124" t="s">
        <v>42</v>
      </c>
      <c r="H124" t="s">
        <v>56</v>
      </c>
      <c r="I124" t="s">
        <v>68</v>
      </c>
      <c r="J124" t="s">
        <v>43</v>
      </c>
      <c r="K124" t="s">
        <v>33</v>
      </c>
      <c r="L124" t="s">
        <v>52</v>
      </c>
      <c r="M124" t="s">
        <v>4859</v>
      </c>
      <c r="N124" t="s">
        <v>46</v>
      </c>
      <c r="O124" t="s">
        <v>5024</v>
      </c>
      <c r="P124" t="s">
        <v>3698</v>
      </c>
      <c r="R124" s="5">
        <v>43343.394131944442</v>
      </c>
      <c r="S124" s="5">
        <v>43431.352025462962</v>
      </c>
      <c r="T124" t="s">
        <v>173</v>
      </c>
      <c r="U124" t="s">
        <v>35</v>
      </c>
      <c r="V124" s="3" t="s">
        <v>35</v>
      </c>
      <c r="W124" s="3" t="s">
        <v>4171</v>
      </c>
      <c r="AM124" s="5"/>
      <c r="AN124" s="5"/>
      <c r="AQ124" s="6"/>
    </row>
    <row r="125" spans="2:43" x14ac:dyDescent="0.25">
      <c r="B125" t="s">
        <v>2841</v>
      </c>
      <c r="C125">
        <v>118924</v>
      </c>
      <c r="D125" t="s">
        <v>4856</v>
      </c>
      <c r="E125" t="s">
        <v>4763</v>
      </c>
      <c r="F125" t="s">
        <v>4087</v>
      </c>
      <c r="H125" t="s">
        <v>56</v>
      </c>
      <c r="I125" t="s">
        <v>68</v>
      </c>
      <c r="J125" t="s">
        <v>58</v>
      </c>
      <c r="K125" t="s">
        <v>44</v>
      </c>
      <c r="L125" t="s">
        <v>4851</v>
      </c>
      <c r="M125" t="s">
        <v>4851</v>
      </c>
      <c r="N125" t="s">
        <v>46</v>
      </c>
      <c r="P125" t="s">
        <v>2708</v>
      </c>
      <c r="R125" s="5">
        <v>43343.286400462966</v>
      </c>
      <c r="S125" s="5">
        <v>43348.65587962963</v>
      </c>
      <c r="T125" t="s">
        <v>4460</v>
      </c>
      <c r="U125" t="s">
        <v>35</v>
      </c>
      <c r="V125" s="3" t="s">
        <v>35</v>
      </c>
      <c r="W125" s="3" t="s">
        <v>35</v>
      </c>
      <c r="AM125" s="5"/>
      <c r="AN125" s="5"/>
      <c r="AQ125" s="6"/>
    </row>
    <row r="126" spans="2:43" x14ac:dyDescent="0.25">
      <c r="B126" t="s">
        <v>2841</v>
      </c>
      <c r="C126">
        <v>118861</v>
      </c>
      <c r="D126" t="s">
        <v>4855</v>
      </c>
      <c r="E126" t="s">
        <v>4763</v>
      </c>
      <c r="F126" t="s">
        <v>4087</v>
      </c>
      <c r="H126" t="s">
        <v>56</v>
      </c>
      <c r="I126" t="s">
        <v>31</v>
      </c>
      <c r="J126" t="s">
        <v>32</v>
      </c>
      <c r="K126" t="s">
        <v>33</v>
      </c>
      <c r="L126" t="s">
        <v>4851</v>
      </c>
      <c r="M126" t="s">
        <v>4851</v>
      </c>
      <c r="N126" t="s">
        <v>46</v>
      </c>
      <c r="P126" t="s">
        <v>4179</v>
      </c>
      <c r="R126" s="5">
        <v>43342.305752314816</v>
      </c>
      <c r="S126" s="5">
        <v>43348.656909722224</v>
      </c>
      <c r="T126" t="s">
        <v>4460</v>
      </c>
      <c r="U126" t="s">
        <v>35</v>
      </c>
      <c r="V126" s="3" t="s">
        <v>35</v>
      </c>
      <c r="W126" s="3" t="s">
        <v>35</v>
      </c>
      <c r="AM126" s="5"/>
      <c r="AN126" s="5"/>
      <c r="AQ126" s="6"/>
    </row>
    <row r="127" spans="2:43" x14ac:dyDescent="0.25">
      <c r="B127" t="s">
        <v>4776</v>
      </c>
      <c r="C127">
        <v>118833</v>
      </c>
      <c r="D127" t="s">
        <v>4790</v>
      </c>
      <c r="E127" t="s">
        <v>335</v>
      </c>
      <c r="F127" t="s">
        <v>305</v>
      </c>
      <c r="G127" t="s">
        <v>304</v>
      </c>
      <c r="H127" t="s">
        <v>56</v>
      </c>
      <c r="I127" t="s">
        <v>68</v>
      </c>
      <c r="J127" t="s">
        <v>58</v>
      </c>
      <c r="K127" t="s">
        <v>51</v>
      </c>
      <c r="L127" t="s">
        <v>96</v>
      </c>
      <c r="M127" t="s">
        <v>267</v>
      </c>
      <c r="N127" t="s">
        <v>46</v>
      </c>
      <c r="P127" t="s">
        <v>307</v>
      </c>
      <c r="Q127" t="s">
        <v>4723</v>
      </c>
      <c r="R127" s="5">
        <v>43341.538032407407</v>
      </c>
      <c r="S127" s="5">
        <v>43425.265231481484</v>
      </c>
      <c r="T127" t="s">
        <v>288</v>
      </c>
      <c r="U127" t="s">
        <v>35</v>
      </c>
      <c r="V127" s="3" t="s">
        <v>35</v>
      </c>
      <c r="W127" s="3" t="s">
        <v>4171</v>
      </c>
      <c r="AM127" s="5"/>
      <c r="AN127" s="5"/>
      <c r="AQ127" s="6"/>
    </row>
    <row r="128" spans="2:43" x14ac:dyDescent="0.25">
      <c r="B128" t="s">
        <v>4776</v>
      </c>
      <c r="C128">
        <v>118832</v>
      </c>
      <c r="D128" t="s">
        <v>4789</v>
      </c>
      <c r="E128" t="s">
        <v>335</v>
      </c>
      <c r="F128" t="s">
        <v>319</v>
      </c>
      <c r="G128" t="s">
        <v>304</v>
      </c>
      <c r="H128" t="s">
        <v>56</v>
      </c>
      <c r="I128" t="s">
        <v>68</v>
      </c>
      <c r="J128" t="s">
        <v>58</v>
      </c>
      <c r="K128" t="s">
        <v>51</v>
      </c>
      <c r="L128" t="s">
        <v>96</v>
      </c>
      <c r="M128" t="s">
        <v>267</v>
      </c>
      <c r="N128" t="s">
        <v>46</v>
      </c>
      <c r="P128" t="s">
        <v>307</v>
      </c>
      <c r="Q128" t="s">
        <v>4723</v>
      </c>
      <c r="R128" s="5">
        <v>43341.538032407407</v>
      </c>
      <c r="S128" s="5">
        <v>43431.834270833337</v>
      </c>
      <c r="T128" t="s">
        <v>288</v>
      </c>
      <c r="U128" t="s">
        <v>35</v>
      </c>
      <c r="V128" s="3" t="s">
        <v>35</v>
      </c>
      <c r="W128" s="3" t="s">
        <v>4098</v>
      </c>
      <c r="AM128" s="5"/>
      <c r="AN128" s="5"/>
      <c r="AQ128" s="6"/>
    </row>
    <row r="129" spans="2:43" x14ac:dyDescent="0.25">
      <c r="B129" t="s">
        <v>4787</v>
      </c>
      <c r="C129">
        <v>118674</v>
      </c>
      <c r="D129" t="s">
        <v>4788</v>
      </c>
      <c r="E129" t="s">
        <v>435</v>
      </c>
      <c r="F129" t="s">
        <v>42</v>
      </c>
      <c r="H129" t="s">
        <v>54</v>
      </c>
      <c r="I129" t="s">
        <v>31</v>
      </c>
      <c r="J129" t="s">
        <v>43</v>
      </c>
      <c r="K129" t="s">
        <v>44</v>
      </c>
      <c r="L129" t="s">
        <v>73</v>
      </c>
      <c r="M129" t="s">
        <v>263</v>
      </c>
      <c r="N129" t="s">
        <v>60</v>
      </c>
      <c r="P129" t="s">
        <v>4459</v>
      </c>
      <c r="R129" s="5">
        <v>43339.924050925925</v>
      </c>
      <c r="S129" s="5">
        <v>43360.885949074072</v>
      </c>
      <c r="T129" t="s">
        <v>2850</v>
      </c>
      <c r="U129" t="s">
        <v>35</v>
      </c>
      <c r="V129" s="3" t="s">
        <v>35</v>
      </c>
      <c r="W129" s="3" t="s">
        <v>4331</v>
      </c>
      <c r="AM129" s="5"/>
      <c r="AN129" s="5"/>
      <c r="AQ129" s="6"/>
    </row>
    <row r="130" spans="2:43" x14ac:dyDescent="0.25">
      <c r="B130" t="s">
        <v>2841</v>
      </c>
      <c r="C130">
        <v>118601</v>
      </c>
      <c r="D130" t="s">
        <v>4785</v>
      </c>
      <c r="E130" t="s">
        <v>4763</v>
      </c>
      <c r="F130" t="s">
        <v>305</v>
      </c>
      <c r="G130" t="s">
        <v>337</v>
      </c>
      <c r="H130" t="s">
        <v>56</v>
      </c>
      <c r="I130" t="s">
        <v>68</v>
      </c>
      <c r="J130" t="s">
        <v>32</v>
      </c>
      <c r="K130" t="s">
        <v>33</v>
      </c>
      <c r="L130" t="s">
        <v>34</v>
      </c>
      <c r="M130" t="s">
        <v>258</v>
      </c>
      <c r="N130" t="s">
        <v>46</v>
      </c>
      <c r="P130" t="s">
        <v>4786</v>
      </c>
      <c r="Q130" t="s">
        <v>2416</v>
      </c>
      <c r="R130" s="5">
        <v>43336.514317129629</v>
      </c>
      <c r="S130" s="5">
        <v>43379.153506944444</v>
      </c>
      <c r="T130" t="s">
        <v>4460</v>
      </c>
      <c r="U130" t="s">
        <v>35</v>
      </c>
      <c r="V130" s="3" t="s">
        <v>35</v>
      </c>
      <c r="W130" s="3" t="s">
        <v>4143</v>
      </c>
      <c r="AM130" s="5"/>
      <c r="AN130" s="5"/>
      <c r="AQ130" s="6"/>
    </row>
    <row r="131" spans="2:43" x14ac:dyDescent="0.25">
      <c r="B131" t="s">
        <v>2841</v>
      </c>
      <c r="C131">
        <v>118562</v>
      </c>
      <c r="D131" t="s">
        <v>4782</v>
      </c>
      <c r="E131" t="s">
        <v>4763</v>
      </c>
      <c r="F131" t="s">
        <v>4087</v>
      </c>
      <c r="H131" t="s">
        <v>56</v>
      </c>
      <c r="I131" t="s">
        <v>31</v>
      </c>
      <c r="J131" t="s">
        <v>32</v>
      </c>
      <c r="K131" t="s">
        <v>33</v>
      </c>
      <c r="L131" t="s">
        <v>4851</v>
      </c>
      <c r="M131" t="s">
        <v>4851</v>
      </c>
      <c r="N131" t="s">
        <v>46</v>
      </c>
      <c r="O131" t="s">
        <v>4783</v>
      </c>
      <c r="P131" t="s">
        <v>56</v>
      </c>
      <c r="R131" s="5">
        <v>43336.268101851849</v>
      </c>
      <c r="S131" s="5">
        <v>43348.651631944442</v>
      </c>
      <c r="T131" t="s">
        <v>4784</v>
      </c>
      <c r="U131" t="s">
        <v>35</v>
      </c>
      <c r="V131" s="3" t="s">
        <v>35</v>
      </c>
      <c r="W131" s="3" t="s">
        <v>35</v>
      </c>
      <c r="AM131" s="5"/>
      <c r="AN131" s="5"/>
      <c r="AQ131" s="6"/>
    </row>
    <row r="132" spans="2:43" x14ac:dyDescent="0.25">
      <c r="B132" t="s">
        <v>2841</v>
      </c>
      <c r="C132">
        <v>118501</v>
      </c>
      <c r="D132" t="s">
        <v>4781</v>
      </c>
      <c r="E132" t="s">
        <v>4763</v>
      </c>
      <c r="F132" t="s">
        <v>4087</v>
      </c>
      <c r="H132" t="s">
        <v>56</v>
      </c>
      <c r="I132" t="s">
        <v>31</v>
      </c>
      <c r="J132" t="s">
        <v>32</v>
      </c>
      <c r="K132" t="s">
        <v>33</v>
      </c>
      <c r="L132" t="s">
        <v>4851</v>
      </c>
      <c r="M132" t="s">
        <v>4851</v>
      </c>
      <c r="N132" t="s">
        <v>46</v>
      </c>
      <c r="P132" t="s">
        <v>3691</v>
      </c>
      <c r="R132" s="5">
        <v>43335.286249999997</v>
      </c>
      <c r="S132" s="5">
        <v>43348.655312499999</v>
      </c>
      <c r="T132" t="s">
        <v>3693</v>
      </c>
      <c r="U132" t="s">
        <v>35</v>
      </c>
      <c r="V132" s="3" t="s">
        <v>35</v>
      </c>
      <c r="W132" s="3" t="s">
        <v>35</v>
      </c>
      <c r="AM132" s="5"/>
      <c r="AN132" s="5"/>
      <c r="AQ132" s="6"/>
    </row>
    <row r="133" spans="2:43" x14ac:dyDescent="0.25">
      <c r="B133" t="s">
        <v>2841</v>
      </c>
      <c r="C133">
        <v>118337</v>
      </c>
      <c r="D133" t="s">
        <v>4779</v>
      </c>
      <c r="E133" t="s">
        <v>4763</v>
      </c>
      <c r="F133" t="s">
        <v>4087</v>
      </c>
      <c r="H133" t="s">
        <v>56</v>
      </c>
      <c r="I133" t="s">
        <v>31</v>
      </c>
      <c r="J133" t="s">
        <v>32</v>
      </c>
      <c r="K133" t="s">
        <v>33</v>
      </c>
      <c r="L133" t="s">
        <v>4851</v>
      </c>
      <c r="M133" t="s">
        <v>4851</v>
      </c>
      <c r="N133" t="s">
        <v>46</v>
      </c>
      <c r="O133" t="s">
        <v>4780</v>
      </c>
      <c r="P133" t="s">
        <v>56</v>
      </c>
      <c r="R133" s="5">
        <v>43332.399525462963</v>
      </c>
      <c r="S133" s="5">
        <v>43348.651689814818</v>
      </c>
      <c r="T133" t="s">
        <v>4460</v>
      </c>
      <c r="U133" t="s">
        <v>35</v>
      </c>
      <c r="V133" s="3" t="s">
        <v>35</v>
      </c>
      <c r="W133" s="3" t="s">
        <v>35</v>
      </c>
      <c r="AM133" s="5"/>
      <c r="AN133" s="5"/>
      <c r="AQ133" s="6"/>
    </row>
    <row r="134" spans="2:43" x14ac:dyDescent="0.25">
      <c r="B134" t="s">
        <v>2841</v>
      </c>
      <c r="C134">
        <v>118266</v>
      </c>
      <c r="D134" t="s">
        <v>4778</v>
      </c>
      <c r="E134" t="s">
        <v>3917</v>
      </c>
      <c r="F134" t="s">
        <v>305</v>
      </c>
      <c r="G134" t="s">
        <v>328</v>
      </c>
      <c r="H134" t="s">
        <v>56</v>
      </c>
      <c r="I134" t="s">
        <v>31</v>
      </c>
      <c r="J134" t="s">
        <v>32</v>
      </c>
      <c r="K134" t="s">
        <v>33</v>
      </c>
      <c r="L134" t="s">
        <v>34</v>
      </c>
      <c r="M134" t="s">
        <v>258</v>
      </c>
      <c r="N134" t="s">
        <v>46</v>
      </c>
      <c r="P134" t="s">
        <v>56</v>
      </c>
      <c r="Q134" t="s">
        <v>2028</v>
      </c>
      <c r="R134" s="5">
        <v>43329.176064814812</v>
      </c>
      <c r="S134" s="5">
        <v>43333.406851851854</v>
      </c>
      <c r="T134" t="s">
        <v>4320</v>
      </c>
      <c r="U134" t="s">
        <v>35</v>
      </c>
      <c r="V134" s="3" t="s">
        <v>35</v>
      </c>
      <c r="W134" s="3" t="s">
        <v>4143</v>
      </c>
      <c r="AM134" s="5"/>
      <c r="AN134" s="5"/>
      <c r="AQ134" s="6"/>
    </row>
    <row r="135" spans="2:43" x14ac:dyDescent="0.25">
      <c r="B135" t="s">
        <v>4369</v>
      </c>
      <c r="C135">
        <v>118265</v>
      </c>
      <c r="D135" t="s">
        <v>4777</v>
      </c>
      <c r="E135" t="s">
        <v>387</v>
      </c>
      <c r="F135" t="s">
        <v>305</v>
      </c>
      <c r="G135" t="s">
        <v>304</v>
      </c>
      <c r="H135" t="s">
        <v>116</v>
      </c>
      <c r="I135" t="s">
        <v>31</v>
      </c>
      <c r="J135" t="s">
        <v>43</v>
      </c>
      <c r="K135" t="s">
        <v>44</v>
      </c>
      <c r="L135" t="s">
        <v>73</v>
      </c>
      <c r="M135" t="s">
        <v>263</v>
      </c>
      <c r="N135" t="s">
        <v>4854</v>
      </c>
      <c r="P135" t="s">
        <v>4171</v>
      </c>
      <c r="Q135" t="s">
        <v>307</v>
      </c>
      <c r="R135" s="5">
        <v>43328.914259259262</v>
      </c>
      <c r="S135" s="5">
        <v>43376.586759259262</v>
      </c>
      <c r="T135" t="s">
        <v>301</v>
      </c>
      <c r="U135" t="s">
        <v>35</v>
      </c>
      <c r="V135" s="3" t="s">
        <v>35</v>
      </c>
      <c r="W135" s="3" t="s">
        <v>4707</v>
      </c>
      <c r="AM135" s="5"/>
      <c r="AN135" s="5"/>
      <c r="AQ135" s="6"/>
    </row>
    <row r="136" spans="2:43" x14ac:dyDescent="0.25">
      <c r="B136" t="s">
        <v>4776</v>
      </c>
      <c r="C136">
        <v>118257</v>
      </c>
      <c r="D136" t="s">
        <v>5046</v>
      </c>
      <c r="E136" t="s">
        <v>335</v>
      </c>
      <c r="F136" t="s">
        <v>305</v>
      </c>
      <c r="G136" t="s">
        <v>304</v>
      </c>
      <c r="H136" t="s">
        <v>54</v>
      </c>
      <c r="I136" t="s">
        <v>68</v>
      </c>
      <c r="J136" t="s">
        <v>58</v>
      </c>
      <c r="K136" t="s">
        <v>51</v>
      </c>
      <c r="L136" t="s">
        <v>96</v>
      </c>
      <c r="M136" t="s">
        <v>267</v>
      </c>
      <c r="N136" t="s">
        <v>5005</v>
      </c>
      <c r="P136" t="s">
        <v>307</v>
      </c>
      <c r="Q136" t="s">
        <v>4723</v>
      </c>
      <c r="R136" s="5">
        <v>43328.638009259259</v>
      </c>
      <c r="S136" s="5">
        <v>43474.827210648145</v>
      </c>
      <c r="T136" t="s">
        <v>1</v>
      </c>
      <c r="U136" t="s">
        <v>5020</v>
      </c>
      <c r="V136" s="3" t="s">
        <v>35</v>
      </c>
      <c r="W136" s="3" t="s">
        <v>5001</v>
      </c>
      <c r="AM136" s="5"/>
      <c r="AN136" s="5"/>
      <c r="AQ136" s="6"/>
    </row>
    <row r="137" spans="2:43" x14ac:dyDescent="0.25">
      <c r="B137" t="s">
        <v>4715</v>
      </c>
      <c r="C137">
        <v>118256</v>
      </c>
      <c r="D137" t="s">
        <v>4775</v>
      </c>
      <c r="E137" t="s">
        <v>3671</v>
      </c>
      <c r="F137" t="s">
        <v>305</v>
      </c>
      <c r="G137" t="s">
        <v>304</v>
      </c>
      <c r="H137" t="s">
        <v>116</v>
      </c>
      <c r="I137" t="s">
        <v>31</v>
      </c>
      <c r="J137" t="s">
        <v>32</v>
      </c>
      <c r="K137" t="s">
        <v>51</v>
      </c>
      <c r="L137" t="s">
        <v>96</v>
      </c>
      <c r="M137" t="s">
        <v>269</v>
      </c>
      <c r="N137" t="s">
        <v>60</v>
      </c>
      <c r="P137" t="s">
        <v>307</v>
      </c>
      <c r="Q137" t="s">
        <v>307</v>
      </c>
      <c r="R137" s="5">
        <v>43328.628263888888</v>
      </c>
      <c r="S137" s="5">
        <v>43349.566018518519</v>
      </c>
      <c r="T137" t="s">
        <v>288</v>
      </c>
      <c r="U137" t="s">
        <v>35</v>
      </c>
      <c r="V137" s="3" t="s">
        <v>321</v>
      </c>
      <c r="W137" s="3" t="s">
        <v>4707</v>
      </c>
      <c r="AM137" s="5"/>
      <c r="AN137" s="5"/>
      <c r="AQ137" s="6"/>
    </row>
    <row r="138" spans="2:43" x14ac:dyDescent="0.25">
      <c r="B138" t="s">
        <v>4715</v>
      </c>
      <c r="C138">
        <v>118255</v>
      </c>
      <c r="D138" t="s">
        <v>4774</v>
      </c>
      <c r="E138" t="s">
        <v>3671</v>
      </c>
      <c r="F138" t="s">
        <v>67</v>
      </c>
      <c r="H138" t="s">
        <v>116</v>
      </c>
      <c r="I138" t="s">
        <v>31</v>
      </c>
      <c r="J138" t="s">
        <v>32</v>
      </c>
      <c r="K138" t="s">
        <v>51</v>
      </c>
      <c r="L138" t="s">
        <v>96</v>
      </c>
      <c r="M138" t="s">
        <v>269</v>
      </c>
      <c r="N138" t="s">
        <v>60</v>
      </c>
      <c r="P138" t="s">
        <v>307</v>
      </c>
      <c r="Q138" t="s">
        <v>3698</v>
      </c>
      <c r="R138" s="5">
        <v>43328.628263888888</v>
      </c>
      <c r="S138" s="5">
        <v>43360.675543981481</v>
      </c>
      <c r="T138" t="s">
        <v>288</v>
      </c>
      <c r="U138" t="s">
        <v>35</v>
      </c>
      <c r="V138" s="3" t="s">
        <v>321</v>
      </c>
      <c r="W138" s="3" t="s">
        <v>4098</v>
      </c>
      <c r="AM138" s="5"/>
      <c r="AN138" s="5"/>
      <c r="AQ138" s="6"/>
    </row>
    <row r="139" spans="2:43" x14ac:dyDescent="0.25">
      <c r="B139" t="s">
        <v>4768</v>
      </c>
      <c r="C139">
        <v>118251</v>
      </c>
      <c r="D139" t="s">
        <v>5045</v>
      </c>
      <c r="E139" t="s">
        <v>2996</v>
      </c>
      <c r="F139" t="s">
        <v>305</v>
      </c>
      <c r="G139" t="s">
        <v>304</v>
      </c>
      <c r="H139" t="s">
        <v>54</v>
      </c>
      <c r="I139" t="s">
        <v>31</v>
      </c>
      <c r="J139" t="s">
        <v>32</v>
      </c>
      <c r="K139" t="s">
        <v>33</v>
      </c>
      <c r="L139" t="s">
        <v>96</v>
      </c>
      <c r="M139" t="s">
        <v>275</v>
      </c>
      <c r="N139" t="s">
        <v>5004</v>
      </c>
      <c r="P139" t="s">
        <v>307</v>
      </c>
      <c r="Q139" t="s">
        <v>3748</v>
      </c>
      <c r="R139" s="5">
        <v>43328.608877314815</v>
      </c>
      <c r="S139" s="5">
        <v>43473.71402777778</v>
      </c>
      <c r="T139" t="s">
        <v>288</v>
      </c>
      <c r="U139" t="s">
        <v>5027</v>
      </c>
      <c r="V139" s="3" t="s">
        <v>321</v>
      </c>
      <c r="W139" s="3" t="s">
        <v>5001</v>
      </c>
      <c r="AM139" s="5"/>
      <c r="AN139" s="5"/>
      <c r="AQ139" s="6"/>
    </row>
    <row r="140" spans="2:43" x14ac:dyDescent="0.25">
      <c r="B140" t="s">
        <v>4768</v>
      </c>
      <c r="C140">
        <v>118250</v>
      </c>
      <c r="D140" t="s">
        <v>4773</v>
      </c>
      <c r="E140" t="s">
        <v>2996</v>
      </c>
      <c r="F140" t="s">
        <v>67</v>
      </c>
      <c r="H140" t="s">
        <v>54</v>
      </c>
      <c r="I140" t="s">
        <v>31</v>
      </c>
      <c r="J140" t="s">
        <v>32</v>
      </c>
      <c r="K140" t="s">
        <v>33</v>
      </c>
      <c r="L140" t="s">
        <v>96</v>
      </c>
      <c r="M140" t="s">
        <v>275</v>
      </c>
      <c r="N140" t="s">
        <v>331</v>
      </c>
      <c r="P140" t="s">
        <v>307</v>
      </c>
      <c r="R140" s="5">
        <v>43328.608877314815</v>
      </c>
      <c r="S140" s="5">
        <v>43396.721759259257</v>
      </c>
      <c r="T140" t="s">
        <v>288</v>
      </c>
      <c r="U140" t="s">
        <v>35</v>
      </c>
      <c r="V140" s="3" t="s">
        <v>321</v>
      </c>
      <c r="W140" s="3" t="s">
        <v>4098</v>
      </c>
      <c r="AM140" s="5"/>
      <c r="AN140" s="5"/>
      <c r="AQ140" s="6"/>
    </row>
    <row r="141" spans="2:43" x14ac:dyDescent="0.25">
      <c r="B141" t="s">
        <v>2841</v>
      </c>
      <c r="C141">
        <v>118131</v>
      </c>
      <c r="D141" t="s">
        <v>4771</v>
      </c>
      <c r="E141" t="s">
        <v>4763</v>
      </c>
      <c r="F141" t="s">
        <v>42</v>
      </c>
      <c r="H141" t="s">
        <v>56</v>
      </c>
      <c r="I141" t="s">
        <v>31</v>
      </c>
      <c r="J141" t="s">
        <v>32</v>
      </c>
      <c r="K141" t="s">
        <v>33</v>
      </c>
      <c r="L141" t="s">
        <v>4851</v>
      </c>
      <c r="M141" t="s">
        <v>4851</v>
      </c>
      <c r="N141" t="s">
        <v>60</v>
      </c>
      <c r="O141" t="s">
        <v>4772</v>
      </c>
      <c r="P141" t="s">
        <v>4459</v>
      </c>
      <c r="R141" s="5">
        <v>43326.429837962962</v>
      </c>
      <c r="S141" s="5">
        <v>43348.655555555553</v>
      </c>
      <c r="T141" t="s">
        <v>4320</v>
      </c>
      <c r="U141" t="s">
        <v>35</v>
      </c>
      <c r="V141" s="3" t="s">
        <v>35</v>
      </c>
      <c r="W141" s="3" t="s">
        <v>35</v>
      </c>
      <c r="AM141" s="5"/>
      <c r="AN141" s="5"/>
      <c r="AQ141" s="6"/>
    </row>
    <row r="142" spans="2:43" x14ac:dyDescent="0.25">
      <c r="B142" t="s">
        <v>4770</v>
      </c>
      <c r="C142">
        <v>118102</v>
      </c>
      <c r="D142" t="s">
        <v>4852</v>
      </c>
      <c r="E142" t="s">
        <v>387</v>
      </c>
      <c r="F142" t="s">
        <v>319</v>
      </c>
      <c r="G142" t="s">
        <v>304</v>
      </c>
      <c r="H142" t="s">
        <v>54</v>
      </c>
      <c r="I142" t="s">
        <v>31</v>
      </c>
      <c r="J142" t="s">
        <v>43</v>
      </c>
      <c r="K142" t="s">
        <v>44</v>
      </c>
      <c r="L142" t="s">
        <v>73</v>
      </c>
      <c r="M142" t="s">
        <v>263</v>
      </c>
      <c r="N142" t="s">
        <v>572</v>
      </c>
      <c r="P142" t="s">
        <v>190</v>
      </c>
      <c r="Q142" t="s">
        <v>190</v>
      </c>
      <c r="R142" s="5">
        <v>43325.924328703702</v>
      </c>
      <c r="S142" s="5">
        <v>43433.638009259259</v>
      </c>
      <c r="T142" t="s">
        <v>1</v>
      </c>
      <c r="U142" t="s">
        <v>4853</v>
      </c>
      <c r="V142" s="3" t="s">
        <v>35</v>
      </c>
      <c r="W142" s="3" t="s">
        <v>4171</v>
      </c>
      <c r="AM142" s="5"/>
      <c r="AN142" s="5"/>
      <c r="AQ142" s="6"/>
    </row>
    <row r="143" spans="2:43" x14ac:dyDescent="0.25">
      <c r="B143" t="s">
        <v>4768</v>
      </c>
      <c r="C143">
        <v>118098</v>
      </c>
      <c r="D143" t="s">
        <v>4769</v>
      </c>
      <c r="E143" t="s">
        <v>2996</v>
      </c>
      <c r="F143" t="s">
        <v>305</v>
      </c>
      <c r="G143" t="s">
        <v>304</v>
      </c>
      <c r="H143" t="s">
        <v>116</v>
      </c>
      <c r="I143" t="s">
        <v>31</v>
      </c>
      <c r="J143" t="s">
        <v>32</v>
      </c>
      <c r="K143" t="s">
        <v>33</v>
      </c>
      <c r="L143" t="s">
        <v>96</v>
      </c>
      <c r="M143" t="s">
        <v>275</v>
      </c>
      <c r="N143" t="s">
        <v>4821</v>
      </c>
      <c r="P143" t="s">
        <v>307</v>
      </c>
      <c r="Q143" t="s">
        <v>3748</v>
      </c>
      <c r="R143" s="5">
        <v>43325.869166666664</v>
      </c>
      <c r="S143" s="5">
        <v>43431.134212962963</v>
      </c>
      <c r="T143" t="s">
        <v>1</v>
      </c>
      <c r="U143" t="s">
        <v>4927</v>
      </c>
      <c r="V143" s="3" t="s">
        <v>321</v>
      </c>
      <c r="W143" s="3" t="s">
        <v>4171</v>
      </c>
      <c r="AM143" s="5"/>
      <c r="AN143" s="5"/>
      <c r="AQ143" s="6"/>
    </row>
    <row r="144" spans="2:43" x14ac:dyDescent="0.25">
      <c r="B144" t="s">
        <v>2841</v>
      </c>
      <c r="C144">
        <v>118061</v>
      </c>
      <c r="D144" t="s">
        <v>4765</v>
      </c>
      <c r="E144" t="s">
        <v>4763</v>
      </c>
      <c r="F144" t="s">
        <v>4087</v>
      </c>
      <c r="H144" t="s">
        <v>56</v>
      </c>
      <c r="I144" t="s">
        <v>31</v>
      </c>
      <c r="J144" t="s">
        <v>32</v>
      </c>
      <c r="K144" t="s">
        <v>33</v>
      </c>
      <c r="L144" t="s">
        <v>4851</v>
      </c>
      <c r="M144" t="s">
        <v>4851</v>
      </c>
      <c r="N144" t="s">
        <v>46</v>
      </c>
      <c r="O144" t="s">
        <v>4766</v>
      </c>
      <c r="P144" t="s">
        <v>4459</v>
      </c>
      <c r="R144" s="5">
        <v>43325.332627314812</v>
      </c>
      <c r="S144" s="5">
        <v>43348.657175925924</v>
      </c>
      <c r="T144" t="s">
        <v>4767</v>
      </c>
      <c r="U144" t="s">
        <v>35</v>
      </c>
      <c r="V144" s="3" t="s">
        <v>35</v>
      </c>
      <c r="W144" s="3" t="s">
        <v>35</v>
      </c>
      <c r="AM144" s="5"/>
      <c r="AN144" s="5"/>
      <c r="AQ144" s="6"/>
    </row>
    <row r="145" spans="2:43" x14ac:dyDescent="0.25">
      <c r="B145" t="s">
        <v>2841</v>
      </c>
      <c r="C145">
        <v>118053</v>
      </c>
      <c r="D145" t="s">
        <v>4762</v>
      </c>
      <c r="E145" t="s">
        <v>4763</v>
      </c>
      <c r="F145" t="s">
        <v>42</v>
      </c>
      <c r="H145" t="s">
        <v>56</v>
      </c>
      <c r="I145" t="s">
        <v>31</v>
      </c>
      <c r="J145" t="s">
        <v>32</v>
      </c>
      <c r="K145" t="s">
        <v>33</v>
      </c>
      <c r="L145" t="s">
        <v>4851</v>
      </c>
      <c r="M145" t="s">
        <v>4851</v>
      </c>
      <c r="N145" t="s">
        <v>46</v>
      </c>
      <c r="O145" t="s">
        <v>4764</v>
      </c>
      <c r="P145" t="s">
        <v>56</v>
      </c>
      <c r="R145" s="5">
        <v>43325.236018518517</v>
      </c>
      <c r="S145" s="5">
        <v>43348.651701388888</v>
      </c>
      <c r="T145" t="s">
        <v>4320</v>
      </c>
      <c r="U145" t="s">
        <v>35</v>
      </c>
      <c r="V145" s="3" t="s">
        <v>35</v>
      </c>
      <c r="W145" s="3" t="s">
        <v>35</v>
      </c>
      <c r="AM145" s="5"/>
      <c r="AN145" s="5"/>
      <c r="AQ145" s="6"/>
    </row>
    <row r="146" spans="2:43" x14ac:dyDescent="0.25">
      <c r="B146" t="s">
        <v>4708</v>
      </c>
      <c r="C146">
        <v>118049</v>
      </c>
      <c r="D146" t="s">
        <v>4761</v>
      </c>
      <c r="E146" t="s">
        <v>136</v>
      </c>
      <c r="F146" t="s">
        <v>305</v>
      </c>
      <c r="G146" t="s">
        <v>304</v>
      </c>
      <c r="H146" t="s">
        <v>116</v>
      </c>
      <c r="I146" t="s">
        <v>31</v>
      </c>
      <c r="J146" t="s">
        <v>32</v>
      </c>
      <c r="K146" t="s">
        <v>44</v>
      </c>
      <c r="L146" t="s">
        <v>34</v>
      </c>
      <c r="M146" t="s">
        <v>274</v>
      </c>
      <c r="N146" t="s">
        <v>518</v>
      </c>
      <c r="P146" t="s">
        <v>69</v>
      </c>
      <c r="Q146" t="s">
        <v>69</v>
      </c>
      <c r="R146" s="5">
        <v>43322.990081018521</v>
      </c>
      <c r="S146" s="5">
        <v>43433.295578703706</v>
      </c>
      <c r="T146" t="s">
        <v>53</v>
      </c>
      <c r="U146" t="s">
        <v>4850</v>
      </c>
      <c r="V146" s="3" t="s">
        <v>321</v>
      </c>
      <c r="W146" s="3" t="s">
        <v>4143</v>
      </c>
      <c r="AM146" s="5"/>
      <c r="AN146" s="5"/>
      <c r="AQ146" s="6"/>
    </row>
    <row r="147" spans="2:43" x14ac:dyDescent="0.25">
      <c r="B147" t="s">
        <v>4751</v>
      </c>
      <c r="C147">
        <v>118048</v>
      </c>
      <c r="D147" t="s">
        <v>4760</v>
      </c>
      <c r="E147" t="s">
        <v>136</v>
      </c>
      <c r="F147" t="s">
        <v>42</v>
      </c>
      <c r="H147" t="s">
        <v>116</v>
      </c>
      <c r="I147" t="s">
        <v>31</v>
      </c>
      <c r="J147" t="s">
        <v>32</v>
      </c>
      <c r="K147" t="s">
        <v>44</v>
      </c>
      <c r="L147" t="s">
        <v>34</v>
      </c>
      <c r="M147" t="s">
        <v>274</v>
      </c>
      <c r="N147" t="s">
        <v>46</v>
      </c>
      <c r="O147" t="s">
        <v>4926</v>
      </c>
      <c r="P147" t="s">
        <v>69</v>
      </c>
      <c r="R147" s="5">
        <v>43322.990081018521</v>
      </c>
      <c r="S147" s="5">
        <v>43402.979027777779</v>
      </c>
      <c r="T147" t="s">
        <v>53</v>
      </c>
      <c r="U147" t="s">
        <v>35</v>
      </c>
      <c r="V147" s="3" t="s">
        <v>321</v>
      </c>
      <c r="W147" s="3" t="s">
        <v>4098</v>
      </c>
      <c r="AM147" s="5"/>
      <c r="AN147" s="5"/>
      <c r="AQ147" s="6"/>
    </row>
    <row r="148" spans="2:43" x14ac:dyDescent="0.25">
      <c r="B148" t="s">
        <v>4708</v>
      </c>
      <c r="C148">
        <v>118047</v>
      </c>
      <c r="D148" t="s">
        <v>4758</v>
      </c>
      <c r="E148" t="s">
        <v>4717</v>
      </c>
      <c r="F148" t="s">
        <v>305</v>
      </c>
      <c r="G148" t="s">
        <v>353</v>
      </c>
      <c r="H148" t="s">
        <v>54</v>
      </c>
      <c r="I148" t="s">
        <v>31</v>
      </c>
      <c r="J148" t="s">
        <v>32</v>
      </c>
      <c r="K148" t="s">
        <v>33</v>
      </c>
      <c r="L148" t="s">
        <v>34</v>
      </c>
      <c r="M148" t="s">
        <v>274</v>
      </c>
      <c r="N148" t="s">
        <v>46</v>
      </c>
      <c r="O148" t="s">
        <v>4759</v>
      </c>
      <c r="P148" t="s">
        <v>69</v>
      </c>
      <c r="Q148" t="s">
        <v>69</v>
      </c>
      <c r="R148" s="5">
        <v>43322.986192129632</v>
      </c>
      <c r="S148" s="5">
        <v>43369.793611111112</v>
      </c>
      <c r="T148" t="s">
        <v>53</v>
      </c>
      <c r="U148" t="s">
        <v>35</v>
      </c>
      <c r="V148" s="3" t="s">
        <v>321</v>
      </c>
      <c r="W148" s="3" t="s">
        <v>4672</v>
      </c>
      <c r="AM148" s="5"/>
      <c r="AN148" s="5"/>
      <c r="AQ148" s="6"/>
    </row>
    <row r="149" spans="2:43" x14ac:dyDescent="0.25">
      <c r="B149" t="s">
        <v>4708</v>
      </c>
      <c r="C149">
        <v>118046</v>
      </c>
      <c r="D149" t="s">
        <v>4757</v>
      </c>
      <c r="E149" t="s">
        <v>4717</v>
      </c>
      <c r="F149" t="s">
        <v>305</v>
      </c>
      <c r="G149" t="s">
        <v>353</v>
      </c>
      <c r="H149" t="s">
        <v>116</v>
      </c>
      <c r="I149" t="s">
        <v>31</v>
      </c>
      <c r="J149" t="s">
        <v>32</v>
      </c>
      <c r="K149" t="s">
        <v>33</v>
      </c>
      <c r="L149" t="s">
        <v>34</v>
      </c>
      <c r="M149" t="s">
        <v>274</v>
      </c>
      <c r="N149" t="s">
        <v>60</v>
      </c>
      <c r="O149" t="s">
        <v>533</v>
      </c>
      <c r="P149" t="s">
        <v>69</v>
      </c>
      <c r="Q149" t="s">
        <v>69</v>
      </c>
      <c r="R149" s="5">
        <v>43322.984548611108</v>
      </c>
      <c r="S149" s="5">
        <v>43480.613136574073</v>
      </c>
      <c r="T149" t="s">
        <v>53</v>
      </c>
      <c r="U149" t="s">
        <v>35</v>
      </c>
      <c r="V149" s="3" t="s">
        <v>321</v>
      </c>
      <c r="W149" s="3" t="s">
        <v>5222</v>
      </c>
      <c r="AM149" s="5"/>
      <c r="AN149" s="5"/>
      <c r="AQ149" s="6"/>
    </row>
    <row r="150" spans="2:43" x14ac:dyDescent="0.25">
      <c r="B150" t="s">
        <v>4269</v>
      </c>
      <c r="C150">
        <v>118045</v>
      </c>
      <c r="D150" t="s">
        <v>4755</v>
      </c>
      <c r="E150" t="s">
        <v>4717</v>
      </c>
      <c r="F150" t="s">
        <v>305</v>
      </c>
      <c r="G150" t="s">
        <v>353</v>
      </c>
      <c r="H150" t="s">
        <v>116</v>
      </c>
      <c r="I150" t="s">
        <v>31</v>
      </c>
      <c r="J150" t="s">
        <v>32</v>
      </c>
      <c r="K150" t="s">
        <v>33</v>
      </c>
      <c r="L150" t="s">
        <v>34</v>
      </c>
      <c r="M150" t="s">
        <v>274</v>
      </c>
      <c r="N150" t="s">
        <v>46</v>
      </c>
      <c r="O150" t="s">
        <v>4756</v>
      </c>
      <c r="P150" t="s">
        <v>69</v>
      </c>
      <c r="Q150" t="s">
        <v>69</v>
      </c>
      <c r="R150" s="5">
        <v>43322.984560185185</v>
      </c>
      <c r="S150" s="5">
        <v>43376.793680555558</v>
      </c>
      <c r="T150" t="s">
        <v>53</v>
      </c>
      <c r="U150" t="s">
        <v>35</v>
      </c>
      <c r="V150" s="3" t="s">
        <v>321</v>
      </c>
      <c r="W150" s="3" t="s">
        <v>4098</v>
      </c>
      <c r="AM150" s="5"/>
      <c r="AN150" s="5"/>
      <c r="AQ150" s="6"/>
    </row>
    <row r="151" spans="2:43" x14ac:dyDescent="0.25">
      <c r="B151" t="s">
        <v>4746</v>
      </c>
      <c r="C151">
        <v>118043</v>
      </c>
      <c r="D151" t="s">
        <v>5147</v>
      </c>
      <c r="E151" t="s">
        <v>1</v>
      </c>
      <c r="F151" t="s">
        <v>305</v>
      </c>
      <c r="G151" t="s">
        <v>304</v>
      </c>
      <c r="H151" t="s">
        <v>116</v>
      </c>
      <c r="I151" t="s">
        <v>31</v>
      </c>
      <c r="J151" t="s">
        <v>43</v>
      </c>
      <c r="K151" t="s">
        <v>51</v>
      </c>
      <c r="L151" t="s">
        <v>34</v>
      </c>
      <c r="M151" t="s">
        <v>266</v>
      </c>
      <c r="N151" t="s">
        <v>510</v>
      </c>
      <c r="O151" t="s">
        <v>5148</v>
      </c>
      <c r="P151" t="s">
        <v>69</v>
      </c>
      <c r="R151" s="5">
        <v>43322.977824074071</v>
      </c>
      <c r="S151" s="5">
        <v>43480.614849537036</v>
      </c>
      <c r="T151" t="s">
        <v>53</v>
      </c>
      <c r="U151" t="s">
        <v>4850</v>
      </c>
      <c r="V151" s="3" t="s">
        <v>35</v>
      </c>
      <c r="W151" s="3" t="s">
        <v>5222</v>
      </c>
      <c r="AM151" s="5"/>
      <c r="AN151" s="5"/>
      <c r="AQ151" s="6"/>
    </row>
    <row r="152" spans="2:43" x14ac:dyDescent="0.25">
      <c r="B152" t="s">
        <v>4746</v>
      </c>
      <c r="C152">
        <v>118042</v>
      </c>
      <c r="D152" t="s">
        <v>4753</v>
      </c>
      <c r="E152" t="s">
        <v>2189</v>
      </c>
      <c r="F152" t="s">
        <v>319</v>
      </c>
      <c r="G152" t="s">
        <v>304</v>
      </c>
      <c r="H152" t="s">
        <v>54</v>
      </c>
      <c r="I152" t="s">
        <v>31</v>
      </c>
      <c r="J152" t="s">
        <v>43</v>
      </c>
      <c r="K152" t="s">
        <v>51</v>
      </c>
      <c r="L152" t="s">
        <v>34</v>
      </c>
      <c r="M152" t="s">
        <v>266</v>
      </c>
      <c r="N152" t="s">
        <v>46</v>
      </c>
      <c r="O152" t="s">
        <v>4754</v>
      </c>
      <c r="P152" t="s">
        <v>69</v>
      </c>
      <c r="Q152" t="s">
        <v>5022</v>
      </c>
      <c r="R152" s="5">
        <v>43322.977824074071</v>
      </c>
      <c r="S152" s="5">
        <v>43444.828865740739</v>
      </c>
      <c r="T152" t="s">
        <v>53</v>
      </c>
      <c r="U152" t="s">
        <v>35</v>
      </c>
      <c r="V152" s="3" t="s">
        <v>35</v>
      </c>
      <c r="W152" s="3" t="s">
        <v>4098</v>
      </c>
      <c r="AM152" s="5"/>
      <c r="AN152" s="5"/>
      <c r="AQ152" s="6"/>
    </row>
    <row r="153" spans="2:43" x14ac:dyDescent="0.25">
      <c r="B153" t="s">
        <v>4718</v>
      </c>
      <c r="C153">
        <v>117690</v>
      </c>
      <c r="D153" t="s">
        <v>4849</v>
      </c>
      <c r="E153" t="s">
        <v>2399</v>
      </c>
      <c r="F153" t="s">
        <v>42</v>
      </c>
      <c r="H153" t="s">
        <v>116</v>
      </c>
      <c r="I153" t="s">
        <v>31</v>
      </c>
      <c r="J153" t="s">
        <v>43</v>
      </c>
      <c r="K153" t="s">
        <v>51</v>
      </c>
      <c r="L153" t="s">
        <v>45</v>
      </c>
      <c r="M153" t="s">
        <v>408</v>
      </c>
      <c r="N153" t="s">
        <v>2885</v>
      </c>
      <c r="P153" t="s">
        <v>307</v>
      </c>
      <c r="R153" s="5">
        <v>43315.73474537037</v>
      </c>
      <c r="S153" s="5">
        <v>43474.367604166669</v>
      </c>
      <c r="T153" t="s">
        <v>1</v>
      </c>
      <c r="U153" t="s">
        <v>5139</v>
      </c>
      <c r="V153" s="3" t="s">
        <v>321</v>
      </c>
      <c r="W153" s="3" t="s">
        <v>4171</v>
      </c>
      <c r="AM153" s="5"/>
      <c r="AN153" s="5"/>
      <c r="AQ153" s="6"/>
    </row>
    <row r="154" spans="2:43" x14ac:dyDescent="0.25">
      <c r="B154" t="s">
        <v>4751</v>
      </c>
      <c r="C154">
        <v>117638</v>
      </c>
      <c r="D154" t="s">
        <v>4848</v>
      </c>
      <c r="E154" t="s">
        <v>136</v>
      </c>
      <c r="F154" t="s">
        <v>305</v>
      </c>
      <c r="G154" t="s">
        <v>337</v>
      </c>
      <c r="H154" t="s">
        <v>116</v>
      </c>
      <c r="I154" t="s">
        <v>31</v>
      </c>
      <c r="J154" t="s">
        <v>32</v>
      </c>
      <c r="K154" t="s">
        <v>44</v>
      </c>
      <c r="L154" t="s">
        <v>34</v>
      </c>
      <c r="M154" t="s">
        <v>274</v>
      </c>
      <c r="N154" t="s">
        <v>60</v>
      </c>
      <c r="O154" t="s">
        <v>4832</v>
      </c>
      <c r="P154" t="s">
        <v>69</v>
      </c>
      <c r="Q154" t="s">
        <v>528</v>
      </c>
      <c r="R154" s="5">
        <v>43314.977453703701</v>
      </c>
      <c r="S154" s="5">
        <v>43420.148715277777</v>
      </c>
      <c r="T154" t="s">
        <v>53</v>
      </c>
      <c r="U154" t="s">
        <v>35</v>
      </c>
      <c r="V154" s="3" t="s">
        <v>321</v>
      </c>
      <c r="W154" s="3" t="s">
        <v>4670</v>
      </c>
      <c r="AM154" s="5"/>
      <c r="AN154" s="5"/>
      <c r="AQ154" s="6"/>
    </row>
    <row r="155" spans="2:43" x14ac:dyDescent="0.25">
      <c r="B155" t="s">
        <v>4269</v>
      </c>
      <c r="C155">
        <v>117633</v>
      </c>
      <c r="D155" t="s">
        <v>4750</v>
      </c>
      <c r="E155" t="s">
        <v>4717</v>
      </c>
      <c r="F155" t="s">
        <v>305</v>
      </c>
      <c r="G155" t="s">
        <v>353</v>
      </c>
      <c r="H155" t="s">
        <v>116</v>
      </c>
      <c r="I155" t="s">
        <v>31</v>
      </c>
      <c r="J155" t="s">
        <v>32</v>
      </c>
      <c r="K155" t="s">
        <v>33</v>
      </c>
      <c r="L155" t="s">
        <v>34</v>
      </c>
      <c r="M155" t="s">
        <v>274</v>
      </c>
      <c r="N155" t="s">
        <v>60</v>
      </c>
      <c r="P155" t="s">
        <v>69</v>
      </c>
      <c r="Q155" t="s">
        <v>69</v>
      </c>
      <c r="R155" s="5">
        <v>43314.925127314818</v>
      </c>
      <c r="S155" s="5">
        <v>43376.793645833335</v>
      </c>
      <c r="T155" t="s">
        <v>53</v>
      </c>
      <c r="U155" t="s">
        <v>35</v>
      </c>
      <c r="V155" s="3" t="s">
        <v>321</v>
      </c>
      <c r="W155" s="3" t="s">
        <v>4176</v>
      </c>
      <c r="AM155" s="5"/>
      <c r="AN155" s="5"/>
      <c r="AQ155" s="6"/>
    </row>
    <row r="156" spans="2:43" x14ac:dyDescent="0.25">
      <c r="B156" t="s">
        <v>4749</v>
      </c>
      <c r="C156">
        <v>117632</v>
      </c>
      <c r="D156" t="s">
        <v>4716</v>
      </c>
      <c r="E156" t="s">
        <v>405</v>
      </c>
      <c r="F156" t="s">
        <v>305</v>
      </c>
      <c r="G156" t="s">
        <v>337</v>
      </c>
      <c r="H156" t="s">
        <v>54</v>
      </c>
      <c r="I156" t="s">
        <v>68</v>
      </c>
      <c r="J156" t="s">
        <v>43</v>
      </c>
      <c r="K156" t="s">
        <v>33</v>
      </c>
      <c r="L156" t="s">
        <v>34</v>
      </c>
      <c r="M156" t="s">
        <v>3704</v>
      </c>
      <c r="N156" t="s">
        <v>60</v>
      </c>
      <c r="P156" t="s">
        <v>69</v>
      </c>
      <c r="Q156" t="s">
        <v>3509</v>
      </c>
      <c r="R156" s="5">
        <v>43314.891898148147</v>
      </c>
      <c r="S156" s="5">
        <v>43480.61310185185</v>
      </c>
      <c r="T156" t="s">
        <v>53</v>
      </c>
      <c r="U156" t="s">
        <v>35</v>
      </c>
      <c r="V156" s="3" t="s">
        <v>35</v>
      </c>
      <c r="W156" s="3" t="s">
        <v>5222</v>
      </c>
      <c r="AM156" s="5"/>
      <c r="AN156" s="5"/>
      <c r="AQ156" s="6"/>
    </row>
    <row r="157" spans="2:43" x14ac:dyDescent="0.25">
      <c r="B157" t="s">
        <v>4715</v>
      </c>
      <c r="C157">
        <v>117625</v>
      </c>
      <c r="D157" t="s">
        <v>4748</v>
      </c>
      <c r="E157" t="s">
        <v>3671</v>
      </c>
      <c r="F157" t="s">
        <v>319</v>
      </c>
      <c r="G157" t="s">
        <v>304</v>
      </c>
      <c r="H157" t="s">
        <v>116</v>
      </c>
      <c r="I157" t="s">
        <v>31</v>
      </c>
      <c r="J157" t="s">
        <v>32</v>
      </c>
      <c r="K157" t="s">
        <v>51</v>
      </c>
      <c r="L157" t="s">
        <v>96</v>
      </c>
      <c r="M157" t="s">
        <v>269</v>
      </c>
      <c r="N157" t="s">
        <v>510</v>
      </c>
      <c r="P157" t="s">
        <v>307</v>
      </c>
      <c r="Q157" t="s">
        <v>4723</v>
      </c>
      <c r="R157" s="5">
        <v>43314.633553240739</v>
      </c>
      <c r="S157" s="5">
        <v>43397.978888888887</v>
      </c>
      <c r="T157" t="s">
        <v>1</v>
      </c>
      <c r="U157" t="s">
        <v>35</v>
      </c>
      <c r="V157" s="3" t="s">
        <v>321</v>
      </c>
      <c r="W157" s="3" t="s">
        <v>4171</v>
      </c>
      <c r="AM157" s="5"/>
      <c r="AN157" s="5"/>
      <c r="AQ157" s="6"/>
    </row>
    <row r="158" spans="2:43" x14ac:dyDescent="0.25">
      <c r="B158" t="s">
        <v>4746</v>
      </c>
      <c r="C158">
        <v>117578</v>
      </c>
      <c r="D158" t="s">
        <v>4747</v>
      </c>
      <c r="E158" t="s">
        <v>134</v>
      </c>
      <c r="F158" t="s">
        <v>305</v>
      </c>
      <c r="G158" t="s">
        <v>304</v>
      </c>
      <c r="H158" t="s">
        <v>54</v>
      </c>
      <c r="I158" t="s">
        <v>31</v>
      </c>
      <c r="J158" t="s">
        <v>43</v>
      </c>
      <c r="K158" t="s">
        <v>51</v>
      </c>
      <c r="L158" t="s">
        <v>34</v>
      </c>
      <c r="M158" t="s">
        <v>266</v>
      </c>
      <c r="N158" t="s">
        <v>4925</v>
      </c>
      <c r="O158" t="s">
        <v>5146</v>
      </c>
      <c r="P158" t="s">
        <v>69</v>
      </c>
      <c r="Q158" t="s">
        <v>5019</v>
      </c>
      <c r="R158" s="5">
        <v>43313.80982638889</v>
      </c>
      <c r="S158" s="5">
        <v>43473.714224537034</v>
      </c>
      <c r="T158" t="s">
        <v>1</v>
      </c>
      <c r="U158" t="s">
        <v>5020</v>
      </c>
      <c r="V158" s="3" t="s">
        <v>35</v>
      </c>
      <c r="W158" s="3" t="s">
        <v>4176</v>
      </c>
      <c r="AM158" s="5"/>
      <c r="AN158" s="5"/>
      <c r="AQ158" s="6"/>
    </row>
    <row r="159" spans="2:43" x14ac:dyDescent="0.25">
      <c r="B159" t="s">
        <v>4713</v>
      </c>
      <c r="C159">
        <v>117576</v>
      </c>
      <c r="D159" t="s">
        <v>4714</v>
      </c>
      <c r="E159" t="s">
        <v>5145</v>
      </c>
      <c r="F159" t="s">
        <v>42</v>
      </c>
      <c r="H159" t="s">
        <v>30</v>
      </c>
      <c r="I159" t="s">
        <v>68</v>
      </c>
      <c r="J159" t="s">
        <v>58</v>
      </c>
      <c r="K159" t="s">
        <v>44</v>
      </c>
      <c r="L159" t="s">
        <v>34</v>
      </c>
      <c r="M159" t="s">
        <v>422</v>
      </c>
      <c r="N159" t="s">
        <v>46</v>
      </c>
      <c r="O159" t="s">
        <v>4745</v>
      </c>
      <c r="P159" t="s">
        <v>69</v>
      </c>
      <c r="R159" s="5">
        <v>43313.783321759256</v>
      </c>
      <c r="S159" s="5">
        <v>43481.030856481484</v>
      </c>
      <c r="T159" t="s">
        <v>1</v>
      </c>
      <c r="U159" t="s">
        <v>35</v>
      </c>
      <c r="V159" s="3" t="s">
        <v>35</v>
      </c>
      <c r="W159" s="3" t="s">
        <v>5222</v>
      </c>
      <c r="AM159" s="5"/>
      <c r="AN159" s="5"/>
      <c r="AQ159" s="6"/>
    </row>
    <row r="160" spans="2:43" x14ac:dyDescent="0.25">
      <c r="B160" t="s">
        <v>4842</v>
      </c>
      <c r="C160">
        <v>117554</v>
      </c>
      <c r="D160" t="s">
        <v>4843</v>
      </c>
      <c r="E160" t="s">
        <v>4080</v>
      </c>
      <c r="F160" t="s">
        <v>305</v>
      </c>
      <c r="G160" t="s">
        <v>304</v>
      </c>
      <c r="H160" t="s">
        <v>116</v>
      </c>
      <c r="I160" t="s">
        <v>31</v>
      </c>
      <c r="J160" t="s">
        <v>32</v>
      </c>
      <c r="K160" t="s">
        <v>44</v>
      </c>
      <c r="L160" t="s">
        <v>45</v>
      </c>
      <c r="M160" t="s">
        <v>4844</v>
      </c>
      <c r="N160" t="s">
        <v>4845</v>
      </c>
      <c r="P160" t="s">
        <v>4171</v>
      </c>
      <c r="Q160" t="s">
        <v>4846</v>
      </c>
      <c r="R160" s="5">
        <v>43313.449236111112</v>
      </c>
      <c r="S160" s="5">
        <v>43355.131874999999</v>
      </c>
      <c r="T160" t="s">
        <v>4847</v>
      </c>
      <c r="U160" t="s">
        <v>35</v>
      </c>
      <c r="V160" s="3" t="s">
        <v>4057</v>
      </c>
      <c r="W160" s="3" t="s">
        <v>4171</v>
      </c>
      <c r="AM160" s="5"/>
      <c r="AN160" s="5"/>
      <c r="AQ160" s="6"/>
    </row>
    <row r="161" spans="2:43" x14ac:dyDescent="0.25">
      <c r="B161" t="s">
        <v>4698</v>
      </c>
      <c r="C161">
        <v>117511</v>
      </c>
      <c r="D161" t="s">
        <v>4712</v>
      </c>
      <c r="E161" t="s">
        <v>577</v>
      </c>
      <c r="F161" t="s">
        <v>319</v>
      </c>
      <c r="G161" t="s">
        <v>304</v>
      </c>
      <c r="H161" t="s">
        <v>116</v>
      </c>
      <c r="I161" t="s">
        <v>31</v>
      </c>
      <c r="J161" t="s">
        <v>32</v>
      </c>
      <c r="K161" t="s">
        <v>44</v>
      </c>
      <c r="L161" t="s">
        <v>52</v>
      </c>
      <c r="M161" t="s">
        <v>4092</v>
      </c>
      <c r="N161" t="s">
        <v>510</v>
      </c>
      <c r="P161" t="s">
        <v>3698</v>
      </c>
      <c r="Q161" t="s">
        <v>4323</v>
      </c>
      <c r="R161" s="5">
        <v>43312.679409722223</v>
      </c>
      <c r="S161" s="5">
        <v>43406.510879629626</v>
      </c>
      <c r="T161" t="s">
        <v>53</v>
      </c>
      <c r="U161" t="s">
        <v>4744</v>
      </c>
      <c r="V161" s="3" t="s">
        <v>321</v>
      </c>
      <c r="W161" s="3" t="s">
        <v>4171</v>
      </c>
      <c r="AM161" s="5"/>
      <c r="AN161" s="5"/>
      <c r="AQ161" s="6"/>
    </row>
    <row r="162" spans="2:43" x14ac:dyDescent="0.25">
      <c r="B162" t="s">
        <v>4698</v>
      </c>
      <c r="C162">
        <v>117510</v>
      </c>
      <c r="D162" t="s">
        <v>4711</v>
      </c>
      <c r="E162" t="s">
        <v>577</v>
      </c>
      <c r="F162" t="s">
        <v>305</v>
      </c>
      <c r="G162" t="s">
        <v>304</v>
      </c>
      <c r="H162" t="s">
        <v>116</v>
      </c>
      <c r="I162" t="s">
        <v>31</v>
      </c>
      <c r="J162" t="s">
        <v>32</v>
      </c>
      <c r="K162" t="s">
        <v>44</v>
      </c>
      <c r="L162" t="s">
        <v>52</v>
      </c>
      <c r="M162" t="s">
        <v>4092</v>
      </c>
      <c r="N162" t="s">
        <v>572</v>
      </c>
      <c r="P162" t="s">
        <v>3698</v>
      </c>
      <c r="Q162" t="s">
        <v>4743</v>
      </c>
      <c r="R162" s="5">
        <v>43312.678773148145</v>
      </c>
      <c r="S162" s="5">
        <v>43404.256053240744</v>
      </c>
      <c r="T162" t="s">
        <v>53</v>
      </c>
      <c r="U162" t="s">
        <v>35</v>
      </c>
      <c r="V162" s="3" t="s">
        <v>321</v>
      </c>
      <c r="W162" s="3" t="s">
        <v>4439</v>
      </c>
      <c r="AM162" s="5"/>
      <c r="AN162" s="5"/>
      <c r="AQ162" s="6"/>
    </row>
    <row r="163" spans="2:43" x14ac:dyDescent="0.25">
      <c r="B163" t="s">
        <v>4698</v>
      </c>
      <c r="C163">
        <v>117509</v>
      </c>
      <c r="D163" t="s">
        <v>4710</v>
      </c>
      <c r="E163" t="s">
        <v>577</v>
      </c>
      <c r="F163" t="s">
        <v>67</v>
      </c>
      <c r="H163" t="s">
        <v>116</v>
      </c>
      <c r="I163" t="s">
        <v>31</v>
      </c>
      <c r="J163" t="s">
        <v>32</v>
      </c>
      <c r="K163" t="s">
        <v>44</v>
      </c>
      <c r="L163" t="s">
        <v>52</v>
      </c>
      <c r="M163" t="s">
        <v>4092</v>
      </c>
      <c r="N163" t="s">
        <v>572</v>
      </c>
      <c r="P163" t="s">
        <v>3698</v>
      </c>
      <c r="R163" s="5">
        <v>43312.678773148145</v>
      </c>
      <c r="S163" s="5">
        <v>43404.565937500003</v>
      </c>
      <c r="T163" t="s">
        <v>53</v>
      </c>
      <c r="U163" t="s">
        <v>35</v>
      </c>
      <c r="V163" s="3" t="s">
        <v>321</v>
      </c>
      <c r="W163" s="3" t="s">
        <v>4098</v>
      </c>
      <c r="AM163" s="5"/>
      <c r="AN163" s="5"/>
      <c r="AQ163" s="6"/>
    </row>
    <row r="164" spans="2:43" x14ac:dyDescent="0.25">
      <c r="B164" t="s">
        <v>4708</v>
      </c>
      <c r="C164">
        <v>117416</v>
      </c>
      <c r="D164" t="s">
        <v>4739</v>
      </c>
      <c r="E164" t="s">
        <v>4740</v>
      </c>
      <c r="F164" t="s">
        <v>42</v>
      </c>
      <c r="H164" t="s">
        <v>54</v>
      </c>
      <c r="I164" t="s">
        <v>68</v>
      </c>
      <c r="J164" t="s">
        <v>43</v>
      </c>
      <c r="K164" t="s">
        <v>33</v>
      </c>
      <c r="L164" t="s">
        <v>4741</v>
      </c>
      <c r="M164" t="s">
        <v>4742</v>
      </c>
      <c r="N164" t="s">
        <v>60</v>
      </c>
      <c r="O164" t="s">
        <v>4709</v>
      </c>
      <c r="P164" t="s">
        <v>69</v>
      </c>
      <c r="R164" s="5">
        <v>43311.246932870374</v>
      </c>
      <c r="S164" s="5">
        <v>43438.396469907406</v>
      </c>
      <c r="T164" t="s">
        <v>4</v>
      </c>
      <c r="U164" t="s">
        <v>35</v>
      </c>
      <c r="V164" s="3" t="s">
        <v>35</v>
      </c>
      <c r="W164" s="3" t="s">
        <v>4171</v>
      </c>
      <c r="AM164" s="5"/>
      <c r="AN164" s="5"/>
      <c r="AQ164" s="6"/>
    </row>
    <row r="165" spans="2:43" x14ac:dyDescent="0.25">
      <c r="B165" t="s">
        <v>4698</v>
      </c>
      <c r="C165">
        <v>117351</v>
      </c>
      <c r="D165" t="s">
        <v>4706</v>
      </c>
      <c r="E165" t="s">
        <v>577</v>
      </c>
      <c r="F165" t="s">
        <v>305</v>
      </c>
      <c r="G165" t="s">
        <v>304</v>
      </c>
      <c r="H165" t="s">
        <v>116</v>
      </c>
      <c r="I165" t="s">
        <v>31</v>
      </c>
      <c r="J165" t="s">
        <v>32</v>
      </c>
      <c r="K165" t="s">
        <v>44</v>
      </c>
      <c r="L165" t="s">
        <v>52</v>
      </c>
      <c r="M165" t="s">
        <v>4092</v>
      </c>
      <c r="N165" t="s">
        <v>572</v>
      </c>
      <c r="P165" t="s">
        <v>3698</v>
      </c>
      <c r="Q165" t="s">
        <v>4323</v>
      </c>
      <c r="R165" s="5">
        <v>43307.808854166666</v>
      </c>
      <c r="S165" s="5">
        <v>43368.237256944441</v>
      </c>
      <c r="T165" t="s">
        <v>1</v>
      </c>
      <c r="U165" t="s">
        <v>35</v>
      </c>
      <c r="V165" s="3" t="s">
        <v>321</v>
      </c>
      <c r="W165" s="3" t="s">
        <v>4707</v>
      </c>
      <c r="AM165" s="5"/>
      <c r="AN165" s="5"/>
      <c r="AQ165" s="6"/>
    </row>
    <row r="166" spans="2:43" x14ac:dyDescent="0.25">
      <c r="B166" t="s">
        <v>4442</v>
      </c>
      <c r="C166">
        <v>117349</v>
      </c>
      <c r="D166" t="s">
        <v>4697</v>
      </c>
      <c r="E166" t="s">
        <v>53</v>
      </c>
      <c r="F166" t="s">
        <v>319</v>
      </c>
      <c r="G166" t="s">
        <v>304</v>
      </c>
      <c r="H166" t="s">
        <v>56</v>
      </c>
      <c r="I166" t="s">
        <v>68</v>
      </c>
      <c r="J166" t="s">
        <v>43</v>
      </c>
      <c r="K166" t="s">
        <v>33</v>
      </c>
      <c r="L166" t="s">
        <v>34</v>
      </c>
      <c r="M166" t="s">
        <v>278</v>
      </c>
      <c r="N166" t="s">
        <v>46</v>
      </c>
      <c r="P166" t="s">
        <v>4171</v>
      </c>
      <c r="Q166" t="s">
        <v>4443</v>
      </c>
      <c r="R166" s="5">
        <v>43307.660682870373</v>
      </c>
      <c r="S166" s="5">
        <v>43480.608425925922</v>
      </c>
      <c r="T166" t="s">
        <v>53</v>
      </c>
      <c r="U166" t="s">
        <v>4737</v>
      </c>
      <c r="V166" s="3" t="s">
        <v>35</v>
      </c>
      <c r="W166" s="3" t="s">
        <v>5222</v>
      </c>
      <c r="AM166" s="5"/>
      <c r="AN166" s="5"/>
      <c r="AQ166" s="6"/>
    </row>
    <row r="167" spans="2:43" x14ac:dyDescent="0.25">
      <c r="B167" t="s">
        <v>4244</v>
      </c>
      <c r="C167">
        <v>117287</v>
      </c>
      <c r="D167" t="s">
        <v>4696</v>
      </c>
      <c r="E167" t="s">
        <v>387</v>
      </c>
      <c r="F167" t="s">
        <v>67</v>
      </c>
      <c r="H167" t="s">
        <v>54</v>
      </c>
      <c r="I167" t="s">
        <v>31</v>
      </c>
      <c r="J167" t="s">
        <v>43</v>
      </c>
      <c r="K167" t="s">
        <v>44</v>
      </c>
      <c r="L167" t="s">
        <v>73</v>
      </c>
      <c r="M167" t="s">
        <v>263</v>
      </c>
      <c r="N167" t="s">
        <v>60</v>
      </c>
      <c r="P167" t="s">
        <v>69</v>
      </c>
      <c r="R167" s="5">
        <v>43306.960266203707</v>
      </c>
      <c r="S167" s="5">
        <v>43480.511192129627</v>
      </c>
      <c r="T167" t="s">
        <v>131</v>
      </c>
      <c r="U167" t="s">
        <v>5150</v>
      </c>
      <c r="V167" s="3" t="s">
        <v>35</v>
      </c>
      <c r="W167" s="3" t="s">
        <v>4171</v>
      </c>
      <c r="AM167" s="5"/>
      <c r="AN167" s="5"/>
      <c r="AQ167" s="6"/>
    </row>
    <row r="168" spans="2:43" x14ac:dyDescent="0.25">
      <c r="B168" t="s">
        <v>4948</v>
      </c>
      <c r="C168">
        <v>117103</v>
      </c>
      <c r="D168" t="s">
        <v>5044</v>
      </c>
      <c r="E168" t="s">
        <v>387</v>
      </c>
      <c r="F168" t="s">
        <v>305</v>
      </c>
      <c r="G168" t="s">
        <v>304</v>
      </c>
      <c r="H168" t="s">
        <v>116</v>
      </c>
      <c r="I168" t="s">
        <v>31</v>
      </c>
      <c r="J168" t="s">
        <v>43</v>
      </c>
      <c r="K168" t="s">
        <v>44</v>
      </c>
      <c r="L168" t="s">
        <v>73</v>
      </c>
      <c r="M168" t="s">
        <v>263</v>
      </c>
      <c r="N168" t="s">
        <v>5003</v>
      </c>
      <c r="P168" t="s">
        <v>4171</v>
      </c>
      <c r="Q168" t="s">
        <v>3287</v>
      </c>
      <c r="R168" s="5">
        <v>43301.573773148149</v>
      </c>
      <c r="S168" s="5">
        <v>43473.714317129627</v>
      </c>
      <c r="T168" t="s">
        <v>301</v>
      </c>
      <c r="U168" t="s">
        <v>5020</v>
      </c>
      <c r="V168" s="3" t="s">
        <v>321</v>
      </c>
      <c r="W168" s="3" t="s">
        <v>5001</v>
      </c>
      <c r="AM168" s="5"/>
      <c r="AN168" s="5"/>
      <c r="AQ168" s="6"/>
    </row>
    <row r="169" spans="2:43" x14ac:dyDescent="0.25">
      <c r="B169" t="s">
        <v>4948</v>
      </c>
      <c r="C169">
        <v>117102</v>
      </c>
      <c r="D169" t="s">
        <v>5002</v>
      </c>
      <c r="E169" t="s">
        <v>387</v>
      </c>
      <c r="F169" t="s">
        <v>42</v>
      </c>
      <c r="H169" t="s">
        <v>116</v>
      </c>
      <c r="I169" t="s">
        <v>31</v>
      </c>
      <c r="J169" t="s">
        <v>43</v>
      </c>
      <c r="K169" t="s">
        <v>44</v>
      </c>
      <c r="L169" t="s">
        <v>73</v>
      </c>
      <c r="M169" t="s">
        <v>263</v>
      </c>
      <c r="N169" t="s">
        <v>60</v>
      </c>
      <c r="O169" t="s">
        <v>5000</v>
      </c>
      <c r="P169" t="s">
        <v>4171</v>
      </c>
      <c r="R169" s="5">
        <v>43301.573784722219</v>
      </c>
      <c r="S169" s="5">
        <v>43410.694305555553</v>
      </c>
      <c r="T169" t="s">
        <v>301</v>
      </c>
      <c r="U169" t="s">
        <v>35</v>
      </c>
      <c r="V169" s="3" t="s">
        <v>321</v>
      </c>
      <c r="W169" s="3" t="s">
        <v>4098</v>
      </c>
      <c r="AM169" s="5"/>
      <c r="AN169" s="5"/>
      <c r="AQ169" s="6"/>
    </row>
    <row r="170" spans="2:43" x14ac:dyDescent="0.25">
      <c r="B170" t="s">
        <v>2841</v>
      </c>
      <c r="C170">
        <v>117071</v>
      </c>
      <c r="D170" t="s">
        <v>4695</v>
      </c>
      <c r="E170" t="s">
        <v>387</v>
      </c>
      <c r="F170" t="s">
        <v>4087</v>
      </c>
      <c r="H170" t="s">
        <v>54</v>
      </c>
      <c r="I170" t="s">
        <v>31</v>
      </c>
      <c r="J170" t="s">
        <v>32</v>
      </c>
      <c r="K170" t="s">
        <v>33</v>
      </c>
      <c r="L170" t="s">
        <v>73</v>
      </c>
      <c r="M170" t="s">
        <v>273</v>
      </c>
      <c r="N170" t="s">
        <v>60</v>
      </c>
      <c r="P170" t="s">
        <v>4459</v>
      </c>
      <c r="R170" s="5">
        <v>43301.267071759263</v>
      </c>
      <c r="S170" s="5">
        <v>43382.687835648147</v>
      </c>
      <c r="T170" t="s">
        <v>4460</v>
      </c>
      <c r="U170" t="s">
        <v>35</v>
      </c>
      <c r="V170" s="3" t="s">
        <v>35</v>
      </c>
      <c r="W170" s="3" t="s">
        <v>4168</v>
      </c>
      <c r="AM170" s="5"/>
      <c r="AN170" s="5"/>
      <c r="AQ170" s="6"/>
    </row>
    <row r="171" spans="2:43" x14ac:dyDescent="0.25">
      <c r="B171" t="s">
        <v>4472</v>
      </c>
      <c r="C171">
        <v>117047</v>
      </c>
      <c r="D171" t="s">
        <v>4693</v>
      </c>
      <c r="E171" t="s">
        <v>288</v>
      </c>
      <c r="F171" t="s">
        <v>305</v>
      </c>
      <c r="G171" t="s">
        <v>310</v>
      </c>
      <c r="H171" t="s">
        <v>116</v>
      </c>
      <c r="I171" t="s">
        <v>31</v>
      </c>
      <c r="J171" t="s">
        <v>32</v>
      </c>
      <c r="K171" t="s">
        <v>51</v>
      </c>
      <c r="L171" t="s">
        <v>96</v>
      </c>
      <c r="M171" t="s">
        <v>269</v>
      </c>
      <c r="N171" t="s">
        <v>60</v>
      </c>
      <c r="P171" t="s">
        <v>3698</v>
      </c>
      <c r="Q171" t="s">
        <v>4694</v>
      </c>
      <c r="R171" s="5">
        <v>43300.528981481482</v>
      </c>
      <c r="S171" s="5">
        <v>43313.476446759261</v>
      </c>
      <c r="T171" t="s">
        <v>301</v>
      </c>
      <c r="U171" t="s">
        <v>35</v>
      </c>
      <c r="V171" s="3" t="s">
        <v>321</v>
      </c>
      <c r="W171" s="3" t="s">
        <v>4169</v>
      </c>
      <c r="AM171" s="5"/>
      <c r="AN171" s="5"/>
      <c r="AQ171" s="6"/>
    </row>
    <row r="172" spans="2:43" x14ac:dyDescent="0.25">
      <c r="B172" t="s">
        <v>4685</v>
      </c>
      <c r="C172">
        <v>116989</v>
      </c>
      <c r="D172" t="s">
        <v>4691</v>
      </c>
      <c r="E172" t="s">
        <v>4204</v>
      </c>
      <c r="F172" t="s">
        <v>305</v>
      </c>
      <c r="G172" t="s">
        <v>304</v>
      </c>
      <c r="H172" t="s">
        <v>116</v>
      </c>
      <c r="I172" t="s">
        <v>31</v>
      </c>
      <c r="J172" t="s">
        <v>32</v>
      </c>
      <c r="K172" t="s">
        <v>44</v>
      </c>
      <c r="L172" t="s">
        <v>96</v>
      </c>
      <c r="M172" t="s">
        <v>4205</v>
      </c>
      <c r="N172" t="s">
        <v>4841</v>
      </c>
      <c r="P172" t="s">
        <v>3698</v>
      </c>
      <c r="Q172" t="s">
        <v>2305</v>
      </c>
      <c r="R172" s="5">
        <v>43299.855740740742</v>
      </c>
      <c r="S172" s="5">
        <v>43404.452777777777</v>
      </c>
      <c r="T172" t="s">
        <v>301</v>
      </c>
      <c r="U172" t="s">
        <v>4692</v>
      </c>
      <c r="V172" s="3" t="s">
        <v>321</v>
      </c>
      <c r="W172" s="3" t="s">
        <v>4171</v>
      </c>
      <c r="AM172" s="5"/>
      <c r="AN172" s="5"/>
      <c r="AQ172" s="6"/>
    </row>
    <row r="173" spans="2:43" x14ac:dyDescent="0.25">
      <c r="B173" t="s">
        <v>4685</v>
      </c>
      <c r="C173">
        <v>116988</v>
      </c>
      <c r="D173" t="s">
        <v>4690</v>
      </c>
      <c r="E173" t="s">
        <v>4204</v>
      </c>
      <c r="F173" t="s">
        <v>67</v>
      </c>
      <c r="H173" t="s">
        <v>116</v>
      </c>
      <c r="I173" t="s">
        <v>31</v>
      </c>
      <c r="J173" t="s">
        <v>32</v>
      </c>
      <c r="K173" t="s">
        <v>44</v>
      </c>
      <c r="L173" t="s">
        <v>96</v>
      </c>
      <c r="M173" t="s">
        <v>4205</v>
      </c>
      <c r="N173" t="s">
        <v>60</v>
      </c>
      <c r="P173" t="s">
        <v>3698</v>
      </c>
      <c r="R173" s="5">
        <v>43299.855740740742</v>
      </c>
      <c r="S173" s="5">
        <v>43382.66133101852</v>
      </c>
      <c r="T173" t="s">
        <v>301</v>
      </c>
      <c r="U173" t="s">
        <v>35</v>
      </c>
      <c r="V173" s="3" t="s">
        <v>321</v>
      </c>
      <c r="W173" s="3" t="s">
        <v>4098</v>
      </c>
      <c r="AM173" s="5"/>
      <c r="AN173" s="5"/>
      <c r="AQ173" s="6"/>
    </row>
    <row r="174" spans="2:43" x14ac:dyDescent="0.25">
      <c r="B174" t="s">
        <v>4688</v>
      </c>
      <c r="C174">
        <v>116987</v>
      </c>
      <c r="D174" t="s">
        <v>4689</v>
      </c>
      <c r="E174" t="s">
        <v>335</v>
      </c>
      <c r="F174" t="s">
        <v>319</v>
      </c>
      <c r="G174" t="s">
        <v>353</v>
      </c>
      <c r="H174" t="s">
        <v>56</v>
      </c>
      <c r="I174" t="s">
        <v>68</v>
      </c>
      <c r="J174" t="s">
        <v>43</v>
      </c>
      <c r="K174" t="s">
        <v>33</v>
      </c>
      <c r="L174" t="s">
        <v>195</v>
      </c>
      <c r="M174" t="s">
        <v>2976</v>
      </c>
      <c r="N174" t="s">
        <v>46</v>
      </c>
      <c r="P174" t="s">
        <v>190</v>
      </c>
      <c r="Q174" t="s">
        <v>1503</v>
      </c>
      <c r="R174" s="5">
        <v>43299.794525462959</v>
      </c>
      <c r="S174" s="5">
        <v>43473.664189814815</v>
      </c>
      <c r="T174" t="s">
        <v>1</v>
      </c>
      <c r="U174" t="s">
        <v>35</v>
      </c>
      <c r="V174" s="3" t="s">
        <v>35</v>
      </c>
      <c r="W174" s="3" t="s">
        <v>4171</v>
      </c>
      <c r="AM174" s="5"/>
      <c r="AN174" s="5"/>
      <c r="AQ174" s="6"/>
    </row>
    <row r="175" spans="2:43" x14ac:dyDescent="0.25">
      <c r="B175" t="s">
        <v>4704</v>
      </c>
      <c r="C175">
        <v>116986</v>
      </c>
      <c r="D175" t="s">
        <v>4705</v>
      </c>
      <c r="E175" t="s">
        <v>2850</v>
      </c>
      <c r="F175" t="s">
        <v>305</v>
      </c>
      <c r="G175" t="s">
        <v>337</v>
      </c>
      <c r="H175" t="s">
        <v>56</v>
      </c>
      <c r="I175" t="s">
        <v>68</v>
      </c>
      <c r="J175" t="s">
        <v>43</v>
      </c>
      <c r="K175" t="s">
        <v>33</v>
      </c>
      <c r="L175" t="s">
        <v>34</v>
      </c>
      <c r="M175" t="s">
        <v>3780</v>
      </c>
      <c r="N175" t="s">
        <v>46</v>
      </c>
      <c r="O175" t="s">
        <v>4923</v>
      </c>
      <c r="P175" t="s">
        <v>4459</v>
      </c>
      <c r="Q175" t="s">
        <v>4924</v>
      </c>
      <c r="R175" s="5">
        <v>43299.771423611113</v>
      </c>
      <c r="S175" s="5">
        <v>43480.613067129627</v>
      </c>
      <c r="T175" t="s">
        <v>2850</v>
      </c>
      <c r="U175" t="s">
        <v>35</v>
      </c>
      <c r="V175" s="3" t="s">
        <v>35</v>
      </c>
      <c r="W175" s="3" t="s">
        <v>5222</v>
      </c>
      <c r="AM175" s="5"/>
      <c r="AN175" s="5"/>
      <c r="AQ175" s="6"/>
    </row>
    <row r="176" spans="2:43" x14ac:dyDescent="0.25">
      <c r="B176" t="s">
        <v>4686</v>
      </c>
      <c r="C176">
        <v>116874</v>
      </c>
      <c r="D176" t="s">
        <v>4687</v>
      </c>
      <c r="E176" t="s">
        <v>2996</v>
      </c>
      <c r="F176" t="s">
        <v>305</v>
      </c>
      <c r="G176" t="s">
        <v>304</v>
      </c>
      <c r="H176" t="s">
        <v>116</v>
      </c>
      <c r="I176" t="s">
        <v>31</v>
      </c>
      <c r="J176" t="s">
        <v>32</v>
      </c>
      <c r="K176" t="s">
        <v>33</v>
      </c>
      <c r="L176" t="s">
        <v>96</v>
      </c>
      <c r="M176" t="s">
        <v>269</v>
      </c>
      <c r="N176" t="s">
        <v>572</v>
      </c>
      <c r="P176" t="s">
        <v>3698</v>
      </c>
      <c r="Q176" t="s">
        <v>2973</v>
      </c>
      <c r="R176" s="5">
        <v>43297.709039351852</v>
      </c>
      <c r="S176" s="5">
        <v>43361.54991898148</v>
      </c>
      <c r="T176" t="s">
        <v>1</v>
      </c>
      <c r="U176" t="s">
        <v>35</v>
      </c>
      <c r="V176" s="3" t="s">
        <v>321</v>
      </c>
      <c r="W176" s="3" t="s">
        <v>307</v>
      </c>
      <c r="AM176" s="5"/>
      <c r="AN176" s="5"/>
      <c r="AQ176" s="6"/>
    </row>
    <row r="177" spans="2:43" x14ac:dyDescent="0.25">
      <c r="B177" t="s">
        <v>4685</v>
      </c>
      <c r="C177">
        <v>116805</v>
      </c>
      <c r="D177" t="s">
        <v>4738</v>
      </c>
      <c r="E177" t="s">
        <v>4204</v>
      </c>
      <c r="F177" t="s">
        <v>305</v>
      </c>
      <c r="G177" t="s">
        <v>304</v>
      </c>
      <c r="H177" t="s">
        <v>116</v>
      </c>
      <c r="I177" t="s">
        <v>31</v>
      </c>
      <c r="J177" t="s">
        <v>32</v>
      </c>
      <c r="K177" t="s">
        <v>44</v>
      </c>
      <c r="L177" t="s">
        <v>96</v>
      </c>
      <c r="M177" t="s">
        <v>4205</v>
      </c>
      <c r="N177" t="s">
        <v>4840</v>
      </c>
      <c r="P177" t="s">
        <v>3698</v>
      </c>
      <c r="Q177" t="s">
        <v>2305</v>
      </c>
      <c r="R177" s="5">
        <v>43294.685787037037</v>
      </c>
      <c r="S177" s="5">
        <v>43353.958831018521</v>
      </c>
      <c r="T177" t="s">
        <v>1</v>
      </c>
      <c r="U177" t="s">
        <v>35</v>
      </c>
      <c r="V177" s="3" t="s">
        <v>321</v>
      </c>
      <c r="W177" s="3" t="s">
        <v>4439</v>
      </c>
      <c r="AM177" s="5"/>
      <c r="AN177" s="5"/>
      <c r="AQ177" s="6"/>
    </row>
    <row r="178" spans="2:43" x14ac:dyDescent="0.25">
      <c r="B178" t="s">
        <v>4472</v>
      </c>
      <c r="C178">
        <v>116735</v>
      </c>
      <c r="D178" t="s">
        <v>4684</v>
      </c>
      <c r="E178" t="s">
        <v>183</v>
      </c>
      <c r="F178" t="s">
        <v>305</v>
      </c>
      <c r="G178" t="s">
        <v>304</v>
      </c>
      <c r="H178" t="s">
        <v>116</v>
      </c>
      <c r="I178" t="s">
        <v>31</v>
      </c>
      <c r="J178" t="s">
        <v>32</v>
      </c>
      <c r="K178" t="s">
        <v>51</v>
      </c>
      <c r="L178" t="s">
        <v>96</v>
      </c>
      <c r="M178" t="s">
        <v>269</v>
      </c>
      <c r="N178" t="s">
        <v>4703</v>
      </c>
      <c r="P178" t="s">
        <v>3698</v>
      </c>
      <c r="Q178" t="s">
        <v>4723</v>
      </c>
      <c r="R178" s="5">
        <v>43293.852916666663</v>
      </c>
      <c r="S178" s="5">
        <v>43325.145104166666</v>
      </c>
      <c r="T178" t="s">
        <v>53</v>
      </c>
      <c r="U178" t="s">
        <v>35</v>
      </c>
      <c r="V178" s="3" t="s">
        <v>321</v>
      </c>
      <c r="W178" s="3" t="s">
        <v>4439</v>
      </c>
      <c r="AM178" s="5"/>
      <c r="AN178" s="5"/>
      <c r="AQ178" s="6"/>
    </row>
    <row r="179" spans="2:43" x14ac:dyDescent="0.25">
      <c r="B179" t="s">
        <v>4472</v>
      </c>
      <c r="C179">
        <v>116733</v>
      </c>
      <c r="D179" t="s">
        <v>4683</v>
      </c>
      <c r="E179" t="s">
        <v>288</v>
      </c>
      <c r="F179" t="s">
        <v>305</v>
      </c>
      <c r="G179" t="s">
        <v>337</v>
      </c>
      <c r="H179" t="s">
        <v>116</v>
      </c>
      <c r="I179" t="s">
        <v>31</v>
      </c>
      <c r="J179" t="s">
        <v>32</v>
      </c>
      <c r="K179" t="s">
        <v>51</v>
      </c>
      <c r="L179" t="s">
        <v>96</v>
      </c>
      <c r="M179" t="s">
        <v>269</v>
      </c>
      <c r="N179" t="s">
        <v>60</v>
      </c>
      <c r="P179" t="s">
        <v>3698</v>
      </c>
      <c r="Q179" t="s">
        <v>3708</v>
      </c>
      <c r="R179" s="5">
        <v>43293.851597222223</v>
      </c>
      <c r="S179" s="5">
        <v>43423.872430555559</v>
      </c>
      <c r="T179" t="s">
        <v>53</v>
      </c>
      <c r="U179" t="s">
        <v>35</v>
      </c>
      <c r="V179" s="3" t="s">
        <v>321</v>
      </c>
      <c r="W179" s="3" t="s">
        <v>4158</v>
      </c>
      <c r="AM179" s="5"/>
      <c r="AN179" s="5"/>
      <c r="AQ179" s="6"/>
    </row>
    <row r="180" spans="2:43" x14ac:dyDescent="0.25">
      <c r="B180" t="s">
        <v>4472</v>
      </c>
      <c r="C180">
        <v>116732</v>
      </c>
      <c r="D180" t="s">
        <v>4682</v>
      </c>
      <c r="E180" t="s">
        <v>183</v>
      </c>
      <c r="F180" t="s">
        <v>319</v>
      </c>
      <c r="G180" t="s">
        <v>304</v>
      </c>
      <c r="H180" t="s">
        <v>116</v>
      </c>
      <c r="I180" t="s">
        <v>31</v>
      </c>
      <c r="J180" t="s">
        <v>32</v>
      </c>
      <c r="K180" t="s">
        <v>51</v>
      </c>
      <c r="L180" t="s">
        <v>96</v>
      </c>
      <c r="M180" t="s">
        <v>269</v>
      </c>
      <c r="N180" t="s">
        <v>60</v>
      </c>
      <c r="P180" t="s">
        <v>3698</v>
      </c>
      <c r="Q180" t="s">
        <v>3708</v>
      </c>
      <c r="R180" s="5">
        <v>43293.8516087963</v>
      </c>
      <c r="S180" s="5">
        <v>43423.913090277776</v>
      </c>
      <c r="T180" t="s">
        <v>53</v>
      </c>
      <c r="U180" t="s">
        <v>35</v>
      </c>
      <c r="V180" s="3" t="s">
        <v>321</v>
      </c>
      <c r="W180" s="3" t="s">
        <v>4098</v>
      </c>
      <c r="AM180" s="5"/>
      <c r="AN180" s="5"/>
      <c r="AQ180" s="6"/>
    </row>
    <row r="181" spans="2:43" x14ac:dyDescent="0.25">
      <c r="B181" t="s">
        <v>4680</v>
      </c>
      <c r="C181">
        <v>116675</v>
      </c>
      <c r="D181" t="s">
        <v>4681</v>
      </c>
      <c r="E181" t="s">
        <v>110</v>
      </c>
      <c r="F181" t="s">
        <v>305</v>
      </c>
      <c r="G181" t="s">
        <v>304</v>
      </c>
      <c r="H181" t="s">
        <v>30</v>
      </c>
      <c r="I181" t="s">
        <v>68</v>
      </c>
      <c r="J181" t="s">
        <v>58</v>
      </c>
      <c r="K181" t="s">
        <v>44</v>
      </c>
      <c r="L181" t="s">
        <v>73</v>
      </c>
      <c r="M181" t="s">
        <v>263</v>
      </c>
      <c r="N181" t="s">
        <v>46</v>
      </c>
      <c r="P181" t="s">
        <v>3698</v>
      </c>
      <c r="Q181" t="s">
        <v>3698</v>
      </c>
      <c r="R181" s="5">
        <v>43293.277581018519</v>
      </c>
      <c r="S181" s="5">
        <v>43402.398379629631</v>
      </c>
      <c r="T181" t="s">
        <v>4</v>
      </c>
      <c r="U181" t="s">
        <v>4724</v>
      </c>
      <c r="V181" s="3" t="s">
        <v>35</v>
      </c>
      <c r="W181" s="3" t="s">
        <v>4171</v>
      </c>
      <c r="AM181" s="5"/>
      <c r="AN181" s="5"/>
      <c r="AQ181" s="6"/>
    </row>
    <row r="182" spans="2:43" x14ac:dyDescent="0.25">
      <c r="B182" t="s">
        <v>4472</v>
      </c>
      <c r="C182">
        <v>116320</v>
      </c>
      <c r="D182" t="s">
        <v>4677</v>
      </c>
      <c r="E182" t="s">
        <v>183</v>
      </c>
      <c r="F182" t="s">
        <v>319</v>
      </c>
      <c r="G182" t="s">
        <v>304</v>
      </c>
      <c r="H182" t="s">
        <v>116</v>
      </c>
      <c r="I182" t="s">
        <v>31</v>
      </c>
      <c r="J182" t="s">
        <v>32</v>
      </c>
      <c r="K182" t="s">
        <v>51</v>
      </c>
      <c r="L182" t="s">
        <v>96</v>
      </c>
      <c r="M182" t="s">
        <v>269</v>
      </c>
      <c r="N182" t="s">
        <v>510</v>
      </c>
      <c r="P182" t="s">
        <v>3698</v>
      </c>
      <c r="Q182" t="s">
        <v>4678</v>
      </c>
      <c r="R182" s="5">
        <v>43284.803587962961</v>
      </c>
      <c r="S182" s="5">
        <v>43312.735810185186</v>
      </c>
      <c r="T182" t="s">
        <v>1</v>
      </c>
      <c r="U182" t="s">
        <v>4679</v>
      </c>
      <c r="V182" s="3" t="s">
        <v>321</v>
      </c>
      <c r="W182" s="3" t="s">
        <v>4171</v>
      </c>
      <c r="AM182" s="5"/>
      <c r="AN182" s="5"/>
      <c r="AQ182" s="6"/>
    </row>
    <row r="183" spans="2:43" x14ac:dyDescent="0.25">
      <c r="B183" t="s">
        <v>4402</v>
      </c>
      <c r="C183">
        <v>116225</v>
      </c>
      <c r="D183" t="s">
        <v>4470</v>
      </c>
      <c r="E183" t="s">
        <v>4471</v>
      </c>
      <c r="F183" t="s">
        <v>319</v>
      </c>
      <c r="G183" t="s">
        <v>304</v>
      </c>
      <c r="H183" t="s">
        <v>116</v>
      </c>
      <c r="I183" t="s">
        <v>31</v>
      </c>
      <c r="J183" t="s">
        <v>32</v>
      </c>
      <c r="K183" t="s">
        <v>33</v>
      </c>
      <c r="L183" t="s">
        <v>45</v>
      </c>
      <c r="M183" t="s">
        <v>4220</v>
      </c>
      <c r="N183" t="s">
        <v>60</v>
      </c>
      <c r="P183" t="s">
        <v>56</v>
      </c>
      <c r="Q183" t="s">
        <v>4406</v>
      </c>
      <c r="R183" s="5">
        <v>43283.275578703702</v>
      </c>
      <c r="S183" s="5">
        <v>43283.27684027778</v>
      </c>
      <c r="T183" t="s">
        <v>192</v>
      </c>
      <c r="U183" t="s">
        <v>35</v>
      </c>
      <c r="V183" s="3" t="s">
        <v>321</v>
      </c>
      <c r="W183" s="3" t="s">
        <v>190</v>
      </c>
      <c r="AM183" s="5"/>
      <c r="AN183" s="5"/>
      <c r="AQ183" s="6"/>
    </row>
    <row r="184" spans="2:43" x14ac:dyDescent="0.25">
      <c r="B184" t="s">
        <v>2841</v>
      </c>
      <c r="C184">
        <v>116215</v>
      </c>
      <c r="D184" t="s">
        <v>4469</v>
      </c>
      <c r="E184" t="s">
        <v>387</v>
      </c>
      <c r="F184" t="s">
        <v>4087</v>
      </c>
      <c r="H184" t="s">
        <v>54</v>
      </c>
      <c r="I184" t="s">
        <v>31</v>
      </c>
      <c r="J184" t="s">
        <v>32</v>
      </c>
      <c r="K184" t="s">
        <v>33</v>
      </c>
      <c r="L184" t="s">
        <v>73</v>
      </c>
      <c r="M184" t="s">
        <v>273</v>
      </c>
      <c r="N184" t="s">
        <v>60</v>
      </c>
      <c r="P184" t="s">
        <v>4459</v>
      </c>
      <c r="R184" s="5">
        <v>43283.155335648145</v>
      </c>
      <c r="S184" s="5">
        <v>43388.636655092596</v>
      </c>
      <c r="T184" t="s">
        <v>3367</v>
      </c>
      <c r="U184" t="s">
        <v>35</v>
      </c>
      <c r="V184" s="3" t="s">
        <v>35</v>
      </c>
      <c r="W184" s="3" t="s">
        <v>4168</v>
      </c>
      <c r="AM184" s="5"/>
      <c r="AN184" s="5"/>
      <c r="AQ184" s="6"/>
    </row>
    <row r="185" spans="2:43" x14ac:dyDescent="0.25">
      <c r="B185" t="s">
        <v>4466</v>
      </c>
      <c r="C185">
        <v>115807</v>
      </c>
      <c r="D185" t="s">
        <v>4467</v>
      </c>
      <c r="E185" t="s">
        <v>387</v>
      </c>
      <c r="F185" t="s">
        <v>67</v>
      </c>
      <c r="H185" t="s">
        <v>30</v>
      </c>
      <c r="I185" t="s">
        <v>68</v>
      </c>
      <c r="J185" t="s">
        <v>43</v>
      </c>
      <c r="K185" t="s">
        <v>33</v>
      </c>
      <c r="L185" t="s">
        <v>73</v>
      </c>
      <c r="M185" t="s">
        <v>263</v>
      </c>
      <c r="N185" t="s">
        <v>60</v>
      </c>
      <c r="O185" t="s">
        <v>4468</v>
      </c>
      <c r="P185" t="s">
        <v>3698</v>
      </c>
      <c r="R185" s="5">
        <v>43276.362002314818</v>
      </c>
      <c r="S185" s="5">
        <v>43382.661006944443</v>
      </c>
      <c r="T185" t="s">
        <v>4</v>
      </c>
      <c r="U185" t="s">
        <v>35</v>
      </c>
      <c r="V185" s="3" t="s">
        <v>35</v>
      </c>
      <c r="W185" s="3" t="s">
        <v>4171</v>
      </c>
      <c r="AM185" s="5"/>
      <c r="AN185" s="5"/>
      <c r="AQ185" s="6"/>
    </row>
    <row r="186" spans="2:43" x14ac:dyDescent="0.25">
      <c r="B186" t="s">
        <v>2841</v>
      </c>
      <c r="C186">
        <v>115560</v>
      </c>
      <c r="D186" t="s">
        <v>4465</v>
      </c>
      <c r="E186" t="s">
        <v>387</v>
      </c>
      <c r="F186" t="s">
        <v>4087</v>
      </c>
      <c r="H186" t="s">
        <v>54</v>
      </c>
      <c r="I186" t="s">
        <v>31</v>
      </c>
      <c r="J186" t="s">
        <v>32</v>
      </c>
      <c r="K186" t="s">
        <v>33</v>
      </c>
      <c r="L186" t="s">
        <v>73</v>
      </c>
      <c r="M186" t="s">
        <v>273</v>
      </c>
      <c r="N186" t="s">
        <v>60</v>
      </c>
      <c r="P186" t="s">
        <v>449</v>
      </c>
      <c r="R186" s="5">
        <v>43271.216944444444</v>
      </c>
      <c r="S186" s="5">
        <v>43382.759988425925</v>
      </c>
      <c r="T186" t="s">
        <v>4241</v>
      </c>
      <c r="U186" t="s">
        <v>35</v>
      </c>
      <c r="V186" s="3" t="s">
        <v>35</v>
      </c>
      <c r="W186" s="3" t="s">
        <v>4168</v>
      </c>
      <c r="AM186" s="5"/>
      <c r="AN186" s="5"/>
      <c r="AQ186" s="6"/>
    </row>
    <row r="187" spans="2:43" x14ac:dyDescent="0.25">
      <c r="B187" t="s">
        <v>4059</v>
      </c>
      <c r="C187">
        <v>115369</v>
      </c>
      <c r="D187" t="s">
        <v>4464</v>
      </c>
      <c r="E187" t="s">
        <v>387</v>
      </c>
      <c r="F187" t="s">
        <v>67</v>
      </c>
      <c r="H187" t="s">
        <v>54</v>
      </c>
      <c r="I187" t="s">
        <v>31</v>
      </c>
      <c r="J187" t="s">
        <v>43</v>
      </c>
      <c r="K187" t="s">
        <v>51</v>
      </c>
      <c r="L187" t="s">
        <v>73</v>
      </c>
      <c r="M187" t="s">
        <v>263</v>
      </c>
      <c r="N187" t="s">
        <v>4921</v>
      </c>
      <c r="P187" t="s">
        <v>69</v>
      </c>
      <c r="R187" s="5">
        <v>43265.890451388892</v>
      </c>
      <c r="S187" s="5">
        <v>43397.934016203704</v>
      </c>
      <c r="T187" t="s">
        <v>53</v>
      </c>
      <c r="U187" t="s">
        <v>35</v>
      </c>
      <c r="V187" s="3" t="s">
        <v>35</v>
      </c>
      <c r="W187" s="3" t="s">
        <v>4410</v>
      </c>
      <c r="AM187" s="5"/>
      <c r="AN187" s="5"/>
      <c r="AQ187" s="6"/>
    </row>
    <row r="188" spans="2:43" x14ac:dyDescent="0.25">
      <c r="B188" t="s">
        <v>4278</v>
      </c>
      <c r="C188">
        <v>115368</v>
      </c>
      <c r="D188" t="s">
        <v>4463</v>
      </c>
      <c r="E188" t="s">
        <v>288</v>
      </c>
      <c r="F188" t="s">
        <v>67</v>
      </c>
      <c r="H188" t="s">
        <v>54</v>
      </c>
      <c r="I188" t="s">
        <v>31</v>
      </c>
      <c r="J188" t="s">
        <v>43</v>
      </c>
      <c r="K188" t="s">
        <v>44</v>
      </c>
      <c r="L188" t="s">
        <v>96</v>
      </c>
      <c r="M188" t="s">
        <v>281</v>
      </c>
      <c r="N188" t="s">
        <v>4921</v>
      </c>
      <c r="P188" t="s">
        <v>69</v>
      </c>
      <c r="R188" s="5">
        <v>43265.887453703705</v>
      </c>
      <c r="S188" s="5">
        <v>43397.954212962963</v>
      </c>
      <c r="T188" t="s">
        <v>53</v>
      </c>
      <c r="U188" t="s">
        <v>35</v>
      </c>
      <c r="V188" s="3" t="s">
        <v>35</v>
      </c>
      <c r="W188" s="3" t="s">
        <v>4410</v>
      </c>
      <c r="AM188" s="5"/>
      <c r="AN188" s="5"/>
      <c r="AQ188" s="6"/>
    </row>
    <row r="189" spans="2:43" x14ac:dyDescent="0.25">
      <c r="B189" t="s">
        <v>4452</v>
      </c>
      <c r="C189">
        <v>115000</v>
      </c>
      <c r="D189" t="s">
        <v>4462</v>
      </c>
      <c r="E189" t="s">
        <v>134</v>
      </c>
      <c r="F189" t="s">
        <v>319</v>
      </c>
      <c r="G189" t="s">
        <v>304</v>
      </c>
      <c r="H189" t="s">
        <v>116</v>
      </c>
      <c r="I189" t="s">
        <v>31</v>
      </c>
      <c r="J189" t="s">
        <v>32</v>
      </c>
      <c r="K189" t="s">
        <v>44</v>
      </c>
      <c r="L189" t="s">
        <v>34</v>
      </c>
      <c r="M189" t="s">
        <v>279</v>
      </c>
      <c r="N189" t="s">
        <v>510</v>
      </c>
      <c r="O189" t="s">
        <v>533</v>
      </c>
      <c r="P189" t="s">
        <v>69</v>
      </c>
      <c r="Q189" t="s">
        <v>69</v>
      </c>
      <c r="R189" s="5">
        <v>43258.87605324074</v>
      </c>
      <c r="S189" s="5">
        <v>43420.585046296299</v>
      </c>
      <c r="T189" t="s">
        <v>53</v>
      </c>
      <c r="U189" t="s">
        <v>35</v>
      </c>
      <c r="V189" s="3" t="s">
        <v>321</v>
      </c>
      <c r="W189" s="3" t="s">
        <v>4143</v>
      </c>
      <c r="AM189" s="5"/>
      <c r="AN189" s="5"/>
      <c r="AQ189" s="6"/>
    </row>
    <row r="190" spans="2:43" x14ac:dyDescent="0.25">
      <c r="B190" t="s">
        <v>4452</v>
      </c>
      <c r="C190">
        <v>114999</v>
      </c>
      <c r="D190" t="s">
        <v>4461</v>
      </c>
      <c r="E190" t="s">
        <v>136</v>
      </c>
      <c r="F190" t="s">
        <v>319</v>
      </c>
      <c r="G190" t="s">
        <v>304</v>
      </c>
      <c r="H190" t="s">
        <v>116</v>
      </c>
      <c r="I190" t="s">
        <v>31</v>
      </c>
      <c r="J190" t="s">
        <v>32</v>
      </c>
      <c r="K190" t="s">
        <v>44</v>
      </c>
      <c r="L190" t="s">
        <v>34</v>
      </c>
      <c r="M190" t="s">
        <v>279</v>
      </c>
      <c r="N190" t="s">
        <v>60</v>
      </c>
      <c r="O190" t="s">
        <v>5100</v>
      </c>
      <c r="P190" t="s">
        <v>69</v>
      </c>
      <c r="Q190" t="s">
        <v>69</v>
      </c>
      <c r="R190" s="5">
        <v>43258.876064814816</v>
      </c>
      <c r="S190" s="5">
        <v>43430.701678240737</v>
      </c>
      <c r="T190" t="s">
        <v>53</v>
      </c>
      <c r="U190" t="s">
        <v>35</v>
      </c>
      <c r="V190" s="3" t="s">
        <v>321</v>
      </c>
      <c r="W190" s="3" t="s">
        <v>4098</v>
      </c>
      <c r="AM190" s="5"/>
      <c r="AN190" s="5"/>
      <c r="AQ190" s="6"/>
    </row>
    <row r="191" spans="2:43" x14ac:dyDescent="0.25">
      <c r="B191" t="s">
        <v>4454</v>
      </c>
      <c r="C191">
        <v>114903</v>
      </c>
      <c r="D191" t="s">
        <v>4838</v>
      </c>
      <c r="E191" t="s">
        <v>335</v>
      </c>
      <c r="F191" t="s">
        <v>305</v>
      </c>
      <c r="G191" t="s">
        <v>337</v>
      </c>
      <c r="H191" t="s">
        <v>116</v>
      </c>
      <c r="I191" t="s">
        <v>31</v>
      </c>
      <c r="J191" t="s">
        <v>32</v>
      </c>
      <c r="K191" t="s">
        <v>33</v>
      </c>
      <c r="L191" t="s">
        <v>380</v>
      </c>
      <c r="M191" t="s">
        <v>434</v>
      </c>
      <c r="N191" t="s">
        <v>60</v>
      </c>
      <c r="O191" t="s">
        <v>4839</v>
      </c>
      <c r="P191" t="s">
        <v>69</v>
      </c>
      <c r="Q191" t="s">
        <v>1503</v>
      </c>
      <c r="R191" s="5">
        <v>43257.616030092591</v>
      </c>
      <c r="S191" s="5">
        <v>43439.149942129632</v>
      </c>
      <c r="T191" t="s">
        <v>288</v>
      </c>
      <c r="U191" t="s">
        <v>35</v>
      </c>
      <c r="V191" s="3" t="s">
        <v>321</v>
      </c>
      <c r="W191" s="3" t="s">
        <v>4670</v>
      </c>
      <c r="AM191" s="5"/>
      <c r="AN191" s="5"/>
      <c r="AQ191" s="6"/>
    </row>
    <row r="192" spans="2:43" x14ac:dyDescent="0.25">
      <c r="B192" t="s">
        <v>4454</v>
      </c>
      <c r="C192">
        <v>114902</v>
      </c>
      <c r="D192" t="s">
        <v>4676</v>
      </c>
      <c r="E192" t="s">
        <v>288</v>
      </c>
      <c r="F192" t="s">
        <v>67</v>
      </c>
      <c r="H192" t="s">
        <v>116</v>
      </c>
      <c r="I192" t="s">
        <v>31</v>
      </c>
      <c r="J192" t="s">
        <v>32</v>
      </c>
      <c r="K192" t="s">
        <v>33</v>
      </c>
      <c r="L192" t="s">
        <v>380</v>
      </c>
      <c r="M192" t="s">
        <v>434</v>
      </c>
      <c r="N192" t="s">
        <v>46</v>
      </c>
      <c r="P192" t="s">
        <v>69</v>
      </c>
      <c r="R192" s="5">
        <v>43257.616041666668</v>
      </c>
      <c r="S192" s="5">
        <v>43396.925451388888</v>
      </c>
      <c r="T192" t="s">
        <v>288</v>
      </c>
      <c r="U192" t="s">
        <v>35</v>
      </c>
      <c r="V192" s="3" t="s">
        <v>321</v>
      </c>
      <c r="W192" s="3" t="s">
        <v>4098</v>
      </c>
      <c r="AM192" s="5"/>
      <c r="AN192" s="5"/>
      <c r="AQ192" s="6"/>
    </row>
    <row r="193" spans="2:43" x14ac:dyDescent="0.25">
      <c r="B193" t="s">
        <v>2841</v>
      </c>
      <c r="C193">
        <v>114796</v>
      </c>
      <c r="D193" t="s">
        <v>4458</v>
      </c>
      <c r="E193" t="s">
        <v>387</v>
      </c>
      <c r="F193" t="s">
        <v>4087</v>
      </c>
      <c r="H193" t="s">
        <v>54</v>
      </c>
      <c r="I193" t="s">
        <v>31</v>
      </c>
      <c r="J193" t="s">
        <v>32</v>
      </c>
      <c r="K193" t="s">
        <v>33</v>
      </c>
      <c r="L193" t="s">
        <v>73</v>
      </c>
      <c r="M193" t="s">
        <v>273</v>
      </c>
      <c r="N193" t="s">
        <v>60</v>
      </c>
      <c r="P193" t="s">
        <v>4459</v>
      </c>
      <c r="R193" s="5">
        <v>43256.266469907408</v>
      </c>
      <c r="S193" s="5">
        <v>43388.636469907404</v>
      </c>
      <c r="T193" t="s">
        <v>4460</v>
      </c>
      <c r="U193" t="s">
        <v>35</v>
      </c>
      <c r="V193" s="3" t="s">
        <v>35</v>
      </c>
      <c r="W193" s="3" t="s">
        <v>4168</v>
      </c>
      <c r="AM193" s="5"/>
      <c r="AN193" s="5"/>
      <c r="AQ193" s="6"/>
    </row>
    <row r="194" spans="2:43" x14ac:dyDescent="0.25">
      <c r="B194" t="s">
        <v>4455</v>
      </c>
      <c r="C194">
        <v>114788</v>
      </c>
      <c r="D194" t="s">
        <v>4456</v>
      </c>
      <c r="E194" t="s">
        <v>1</v>
      </c>
      <c r="F194" t="s">
        <v>319</v>
      </c>
      <c r="G194" t="s">
        <v>328</v>
      </c>
      <c r="H194" t="s">
        <v>54</v>
      </c>
      <c r="I194" t="s">
        <v>31</v>
      </c>
      <c r="J194" t="s">
        <v>32</v>
      </c>
      <c r="K194" t="s">
        <v>33</v>
      </c>
      <c r="L194" t="s">
        <v>34</v>
      </c>
      <c r="M194" t="s">
        <v>258</v>
      </c>
      <c r="N194" t="s">
        <v>60</v>
      </c>
      <c r="O194" t="s">
        <v>4457</v>
      </c>
      <c r="P194" t="s">
        <v>69</v>
      </c>
      <c r="Q194" t="s">
        <v>4215</v>
      </c>
      <c r="R194" s="5">
        <v>43255.864293981482</v>
      </c>
      <c r="S194" s="5">
        <v>43469.868576388886</v>
      </c>
      <c r="T194" t="s">
        <v>1</v>
      </c>
      <c r="U194" t="s">
        <v>35</v>
      </c>
      <c r="V194" s="3" t="s">
        <v>35</v>
      </c>
      <c r="W194" s="3" t="s">
        <v>4143</v>
      </c>
      <c r="AM194" s="5"/>
      <c r="AN194" s="5"/>
      <c r="AQ194" s="6"/>
    </row>
    <row r="195" spans="2:43" x14ac:dyDescent="0.25">
      <c r="B195" t="s">
        <v>4983</v>
      </c>
      <c r="C195">
        <v>114771</v>
      </c>
      <c r="D195" t="s">
        <v>4984</v>
      </c>
      <c r="E195" t="s">
        <v>405</v>
      </c>
      <c r="F195" t="s">
        <v>67</v>
      </c>
      <c r="H195" t="s">
        <v>54</v>
      </c>
      <c r="I195" t="s">
        <v>31</v>
      </c>
      <c r="J195" t="s">
        <v>32</v>
      </c>
      <c r="K195" t="s">
        <v>33</v>
      </c>
      <c r="L195" t="s">
        <v>34</v>
      </c>
      <c r="M195" t="s">
        <v>3704</v>
      </c>
      <c r="N195" t="s">
        <v>60</v>
      </c>
      <c r="P195" t="s">
        <v>307</v>
      </c>
      <c r="R195" s="5">
        <v>43255.583449074074</v>
      </c>
      <c r="S195" s="5">
        <v>43404.851134259261</v>
      </c>
      <c r="T195" t="s">
        <v>53</v>
      </c>
      <c r="U195" t="s">
        <v>35</v>
      </c>
      <c r="V195" s="3" t="s">
        <v>35</v>
      </c>
      <c r="W195" s="3" t="s">
        <v>4175</v>
      </c>
      <c r="AM195" s="5"/>
      <c r="AN195" s="5"/>
      <c r="AQ195" s="6"/>
    </row>
    <row r="196" spans="2:43" x14ac:dyDescent="0.25">
      <c r="B196" t="s">
        <v>4454</v>
      </c>
      <c r="C196">
        <v>114646</v>
      </c>
      <c r="D196" t="s">
        <v>4675</v>
      </c>
      <c r="E196" t="s">
        <v>134</v>
      </c>
      <c r="F196" t="s">
        <v>305</v>
      </c>
      <c r="G196" t="s">
        <v>304</v>
      </c>
      <c r="H196" t="s">
        <v>116</v>
      </c>
      <c r="I196" t="s">
        <v>31</v>
      </c>
      <c r="J196" t="s">
        <v>32</v>
      </c>
      <c r="K196" t="s">
        <v>33</v>
      </c>
      <c r="L196" t="s">
        <v>380</v>
      </c>
      <c r="M196" t="s">
        <v>434</v>
      </c>
      <c r="N196" t="s">
        <v>518</v>
      </c>
      <c r="P196" t="s">
        <v>69</v>
      </c>
      <c r="Q196" t="s">
        <v>528</v>
      </c>
      <c r="R196" s="5">
        <v>43251.908263888887</v>
      </c>
      <c r="S196" s="5">
        <v>43432.482233796298</v>
      </c>
      <c r="T196" t="s">
        <v>1</v>
      </c>
      <c r="U196" t="s">
        <v>4737</v>
      </c>
      <c r="V196" s="3" t="s">
        <v>321</v>
      </c>
      <c r="W196" s="3" t="s">
        <v>4171</v>
      </c>
      <c r="AM196" s="5"/>
      <c r="AN196" s="5"/>
      <c r="AQ196" s="6"/>
    </row>
    <row r="197" spans="2:43" x14ac:dyDescent="0.25">
      <c r="B197" t="s">
        <v>4452</v>
      </c>
      <c r="C197">
        <v>114642</v>
      </c>
      <c r="D197" t="s">
        <v>4837</v>
      </c>
      <c r="E197" t="s">
        <v>136</v>
      </c>
      <c r="F197" t="s">
        <v>305</v>
      </c>
      <c r="G197" t="s">
        <v>337</v>
      </c>
      <c r="H197" t="s">
        <v>116</v>
      </c>
      <c r="I197" t="s">
        <v>31</v>
      </c>
      <c r="J197" t="s">
        <v>32</v>
      </c>
      <c r="K197" t="s">
        <v>44</v>
      </c>
      <c r="L197" t="s">
        <v>34</v>
      </c>
      <c r="M197" t="s">
        <v>279</v>
      </c>
      <c r="N197" t="s">
        <v>60</v>
      </c>
      <c r="O197" t="s">
        <v>533</v>
      </c>
      <c r="P197" t="s">
        <v>69</v>
      </c>
      <c r="Q197" t="s">
        <v>528</v>
      </c>
      <c r="R197" s="5">
        <v>43251.812175925923</v>
      </c>
      <c r="S197" s="5">
        <v>43470.002118055556</v>
      </c>
      <c r="T197" t="s">
        <v>1</v>
      </c>
      <c r="U197" t="s">
        <v>35</v>
      </c>
      <c r="V197" s="3" t="s">
        <v>321</v>
      </c>
      <c r="W197" s="3" t="s">
        <v>4670</v>
      </c>
      <c r="AM197" s="5"/>
      <c r="AN197" s="5"/>
      <c r="AQ197" s="6"/>
    </row>
    <row r="198" spans="2:43" x14ac:dyDescent="0.25">
      <c r="B198" t="s">
        <v>4445</v>
      </c>
      <c r="C198">
        <v>114359</v>
      </c>
      <c r="D198" t="s">
        <v>4451</v>
      </c>
      <c r="E198" t="s">
        <v>387</v>
      </c>
      <c r="F198" t="s">
        <v>67</v>
      </c>
      <c r="H198" t="s">
        <v>30</v>
      </c>
      <c r="I198" t="s">
        <v>68</v>
      </c>
      <c r="J198" t="s">
        <v>58</v>
      </c>
      <c r="K198" t="s">
        <v>44</v>
      </c>
      <c r="L198" t="s">
        <v>73</v>
      </c>
      <c r="M198" t="s">
        <v>263</v>
      </c>
      <c r="N198" t="s">
        <v>60</v>
      </c>
      <c r="P198" t="s">
        <v>3698</v>
      </c>
      <c r="R198" s="5">
        <v>43244.858402777776</v>
      </c>
      <c r="S198" s="5">
        <v>43382.661087962966</v>
      </c>
      <c r="T198" t="s">
        <v>301</v>
      </c>
      <c r="U198" t="s">
        <v>35</v>
      </c>
      <c r="V198" s="3" t="s">
        <v>35</v>
      </c>
      <c r="W198" s="3" t="s">
        <v>4171</v>
      </c>
      <c r="AM198" s="5"/>
      <c r="AN198" s="5"/>
      <c r="AQ198" s="6"/>
    </row>
    <row r="199" spans="2:43" x14ac:dyDescent="0.25">
      <c r="B199" t="s">
        <v>4445</v>
      </c>
      <c r="C199">
        <v>114358</v>
      </c>
      <c r="D199" t="s">
        <v>4450</v>
      </c>
      <c r="E199" t="s">
        <v>387</v>
      </c>
      <c r="F199" t="s">
        <v>42</v>
      </c>
      <c r="H199" t="s">
        <v>54</v>
      </c>
      <c r="I199" t="s">
        <v>68</v>
      </c>
      <c r="J199" t="s">
        <v>58</v>
      </c>
      <c r="K199" t="s">
        <v>44</v>
      </c>
      <c r="L199" t="s">
        <v>73</v>
      </c>
      <c r="M199" t="s">
        <v>263</v>
      </c>
      <c r="N199" t="s">
        <v>60</v>
      </c>
      <c r="P199" t="s">
        <v>3698</v>
      </c>
      <c r="R199" s="5">
        <v>43244.858402777776</v>
      </c>
      <c r="S199" s="5">
        <v>43382.661365740743</v>
      </c>
      <c r="T199" t="s">
        <v>301</v>
      </c>
      <c r="U199" t="s">
        <v>35</v>
      </c>
      <c r="V199" s="3" t="s">
        <v>35</v>
      </c>
      <c r="W199" s="3" t="s">
        <v>4098</v>
      </c>
      <c r="AM199" s="5"/>
      <c r="AN199" s="5"/>
      <c r="AQ199" s="6"/>
    </row>
    <row r="200" spans="2:43" x14ac:dyDescent="0.25">
      <c r="B200" t="s">
        <v>4369</v>
      </c>
      <c r="C200">
        <v>114353</v>
      </c>
      <c r="D200" t="s">
        <v>4674</v>
      </c>
      <c r="E200" t="s">
        <v>387</v>
      </c>
      <c r="F200" t="s">
        <v>305</v>
      </c>
      <c r="G200" t="s">
        <v>304</v>
      </c>
      <c r="H200" t="s">
        <v>116</v>
      </c>
      <c r="I200" t="s">
        <v>31</v>
      </c>
      <c r="J200" t="s">
        <v>43</v>
      </c>
      <c r="K200" t="s">
        <v>44</v>
      </c>
      <c r="L200" t="s">
        <v>73</v>
      </c>
      <c r="M200" t="s">
        <v>263</v>
      </c>
      <c r="N200" t="s">
        <v>4836</v>
      </c>
      <c r="P200" t="s">
        <v>4171</v>
      </c>
      <c r="Q200" t="s">
        <v>307</v>
      </c>
      <c r="R200" s="5">
        <v>43244.788784722223</v>
      </c>
      <c r="S200" s="5">
        <v>43350.692326388889</v>
      </c>
      <c r="T200" t="s">
        <v>131</v>
      </c>
      <c r="U200" t="s">
        <v>35</v>
      </c>
      <c r="V200" s="3" t="s">
        <v>321</v>
      </c>
      <c r="W200" s="3" t="s">
        <v>4439</v>
      </c>
      <c r="AM200" s="5"/>
      <c r="AN200" s="5"/>
      <c r="AQ200" s="6"/>
    </row>
    <row r="201" spans="2:43" x14ac:dyDescent="0.25">
      <c r="B201" t="s">
        <v>4369</v>
      </c>
      <c r="C201">
        <v>114352</v>
      </c>
      <c r="D201" t="s">
        <v>4673</v>
      </c>
      <c r="E201" t="s">
        <v>131</v>
      </c>
      <c r="F201" t="s">
        <v>319</v>
      </c>
      <c r="G201" t="s">
        <v>304</v>
      </c>
      <c r="H201" t="s">
        <v>116</v>
      </c>
      <c r="I201" t="s">
        <v>31</v>
      </c>
      <c r="J201" t="s">
        <v>43</v>
      </c>
      <c r="K201" t="s">
        <v>44</v>
      </c>
      <c r="L201" t="s">
        <v>73</v>
      </c>
      <c r="M201" t="s">
        <v>263</v>
      </c>
      <c r="N201" t="s">
        <v>331</v>
      </c>
      <c r="P201" t="s">
        <v>4171</v>
      </c>
      <c r="Q201" t="s">
        <v>3708</v>
      </c>
      <c r="R201" s="5">
        <v>43244.788784722223</v>
      </c>
      <c r="S201" s="5">
        <v>43423.931145833332</v>
      </c>
      <c r="T201" t="s">
        <v>131</v>
      </c>
      <c r="U201" t="s">
        <v>35</v>
      </c>
      <c r="V201" s="3" t="s">
        <v>35</v>
      </c>
      <c r="W201" s="3" t="s">
        <v>4098</v>
      </c>
      <c r="AM201" s="5"/>
      <c r="AN201" s="5"/>
      <c r="AQ201" s="6"/>
    </row>
    <row r="202" spans="2:43" x14ac:dyDescent="0.25">
      <c r="B202" t="s">
        <v>4447</v>
      </c>
      <c r="C202">
        <v>114296</v>
      </c>
      <c r="D202" t="s">
        <v>4448</v>
      </c>
      <c r="E202" t="s">
        <v>91</v>
      </c>
      <c r="F202" t="s">
        <v>305</v>
      </c>
      <c r="G202" t="s">
        <v>328</v>
      </c>
      <c r="H202" t="s">
        <v>56</v>
      </c>
      <c r="I202" t="s">
        <v>31</v>
      </c>
      <c r="J202" t="s">
        <v>43</v>
      </c>
      <c r="K202" t="s">
        <v>2156</v>
      </c>
      <c r="L202" t="s">
        <v>73</v>
      </c>
      <c r="M202" t="s">
        <v>263</v>
      </c>
      <c r="N202" t="s">
        <v>60</v>
      </c>
      <c r="O202" t="s">
        <v>4449</v>
      </c>
      <c r="P202" t="s">
        <v>3765</v>
      </c>
      <c r="Q202" t="s">
        <v>2879</v>
      </c>
      <c r="R202" s="5">
        <v>43244.41814814815</v>
      </c>
      <c r="S202" s="5">
        <v>43314.665219907409</v>
      </c>
      <c r="T202" t="s">
        <v>86</v>
      </c>
      <c r="U202" t="s">
        <v>35</v>
      </c>
      <c r="V202" s="3" t="s">
        <v>35</v>
      </c>
      <c r="W202" s="3" t="s">
        <v>4210</v>
      </c>
      <c r="AM202" s="5"/>
      <c r="AN202" s="5"/>
      <c r="AQ202" s="6"/>
    </row>
    <row r="203" spans="2:43" x14ac:dyDescent="0.25">
      <c r="B203" t="s">
        <v>4445</v>
      </c>
      <c r="C203">
        <v>114279</v>
      </c>
      <c r="D203" t="s">
        <v>4446</v>
      </c>
      <c r="E203" t="s">
        <v>387</v>
      </c>
      <c r="F203" t="s">
        <v>67</v>
      </c>
      <c r="H203" t="s">
        <v>30</v>
      </c>
      <c r="I203" t="s">
        <v>68</v>
      </c>
      <c r="J203" t="s">
        <v>58</v>
      </c>
      <c r="K203" t="s">
        <v>44</v>
      </c>
      <c r="L203" t="s">
        <v>73</v>
      </c>
      <c r="M203" t="s">
        <v>263</v>
      </c>
      <c r="N203" t="s">
        <v>60</v>
      </c>
      <c r="P203" t="s">
        <v>3698</v>
      </c>
      <c r="R203" s="5">
        <v>43244.195925925924</v>
      </c>
      <c r="S203" s="5">
        <v>43244.858807870369</v>
      </c>
      <c r="T203" t="s">
        <v>4</v>
      </c>
      <c r="U203" t="s">
        <v>35</v>
      </c>
      <c r="V203" s="3" t="s">
        <v>35</v>
      </c>
      <c r="W203" s="3" t="s">
        <v>4410</v>
      </c>
      <c r="AM203" s="5"/>
      <c r="AN203" s="5"/>
      <c r="AQ203" s="6"/>
    </row>
    <row r="204" spans="2:43" x14ac:dyDescent="0.25">
      <c r="B204" t="s">
        <v>4442</v>
      </c>
      <c r="C204">
        <v>114107</v>
      </c>
      <c r="D204" t="s">
        <v>4671</v>
      </c>
      <c r="E204" t="s">
        <v>2128</v>
      </c>
      <c r="F204" t="s">
        <v>305</v>
      </c>
      <c r="G204" t="s">
        <v>304</v>
      </c>
      <c r="H204" t="s">
        <v>116</v>
      </c>
      <c r="I204" t="s">
        <v>68</v>
      </c>
      <c r="J204" t="s">
        <v>43</v>
      </c>
      <c r="K204" t="s">
        <v>33</v>
      </c>
      <c r="L204" t="s">
        <v>34</v>
      </c>
      <c r="M204" t="s">
        <v>278</v>
      </c>
      <c r="N204" t="s">
        <v>46</v>
      </c>
      <c r="O204" t="s">
        <v>4736</v>
      </c>
      <c r="P204" t="s">
        <v>4169</v>
      </c>
      <c r="Q204" t="s">
        <v>4443</v>
      </c>
      <c r="R204" s="5">
        <v>43242.528611111113</v>
      </c>
      <c r="S204" s="5">
        <v>43384.638020833336</v>
      </c>
      <c r="T204" t="s">
        <v>4444</v>
      </c>
      <c r="U204" t="s">
        <v>35</v>
      </c>
      <c r="V204" s="3" t="s">
        <v>35</v>
      </c>
      <c r="W204" s="3" t="s">
        <v>4672</v>
      </c>
      <c r="AM204" s="5"/>
      <c r="AN204" s="5"/>
      <c r="AQ204" s="6"/>
    </row>
    <row r="205" spans="2:43" x14ac:dyDescent="0.25">
      <c r="B205" t="s">
        <v>4206</v>
      </c>
      <c r="C205">
        <v>113724</v>
      </c>
      <c r="D205" t="s">
        <v>4441</v>
      </c>
      <c r="E205" t="s">
        <v>387</v>
      </c>
      <c r="F205" t="s">
        <v>305</v>
      </c>
      <c r="G205" t="s">
        <v>337</v>
      </c>
      <c r="H205" t="s">
        <v>116</v>
      </c>
      <c r="I205" t="s">
        <v>31</v>
      </c>
      <c r="J205" t="s">
        <v>32</v>
      </c>
      <c r="K205" t="s">
        <v>44</v>
      </c>
      <c r="L205" t="s">
        <v>73</v>
      </c>
      <c r="M205" t="s">
        <v>263</v>
      </c>
      <c r="N205" t="s">
        <v>60</v>
      </c>
      <c r="P205" t="s">
        <v>3911</v>
      </c>
      <c r="Q205" t="s">
        <v>4835</v>
      </c>
      <c r="R205" s="5">
        <v>43236.445555555554</v>
      </c>
      <c r="S205" s="5">
        <v>43399.146701388891</v>
      </c>
      <c r="T205" t="s">
        <v>91</v>
      </c>
      <c r="U205" t="s">
        <v>35</v>
      </c>
      <c r="V205" s="3" t="s">
        <v>321</v>
      </c>
      <c r="W205" s="3" t="s">
        <v>4231</v>
      </c>
      <c r="AM205" s="5"/>
      <c r="AN205" s="5"/>
      <c r="AQ205" s="6"/>
    </row>
    <row r="206" spans="2:43" x14ac:dyDescent="0.25">
      <c r="B206" t="s">
        <v>4206</v>
      </c>
      <c r="C206">
        <v>113694</v>
      </c>
      <c r="D206" t="s">
        <v>4440</v>
      </c>
      <c r="E206" t="s">
        <v>387</v>
      </c>
      <c r="F206" t="s">
        <v>305</v>
      </c>
      <c r="G206" t="s">
        <v>353</v>
      </c>
      <c r="H206" t="s">
        <v>56</v>
      </c>
      <c r="I206" t="s">
        <v>31</v>
      </c>
      <c r="J206" t="s">
        <v>43</v>
      </c>
      <c r="K206" t="s">
        <v>2156</v>
      </c>
      <c r="L206" t="s">
        <v>73</v>
      </c>
      <c r="M206" t="s">
        <v>263</v>
      </c>
      <c r="N206" t="s">
        <v>46</v>
      </c>
      <c r="P206" t="s">
        <v>449</v>
      </c>
      <c r="Q206" t="s">
        <v>2854</v>
      </c>
      <c r="R206" s="5">
        <v>43235.947858796295</v>
      </c>
      <c r="S206" s="5">
        <v>43273.142997685187</v>
      </c>
      <c r="T206" t="s">
        <v>2850</v>
      </c>
      <c r="U206" t="s">
        <v>35</v>
      </c>
      <c r="V206" s="3" t="s">
        <v>35</v>
      </c>
      <c r="W206" s="3" t="s">
        <v>4231</v>
      </c>
      <c r="AM206" s="5"/>
      <c r="AN206" s="5"/>
      <c r="AQ206" s="6"/>
    </row>
    <row r="207" spans="2:43" x14ac:dyDescent="0.25">
      <c r="B207" t="s">
        <v>4287</v>
      </c>
      <c r="C207">
        <v>113602</v>
      </c>
      <c r="D207" t="s">
        <v>5043</v>
      </c>
      <c r="E207" t="s">
        <v>134</v>
      </c>
      <c r="F207" t="s">
        <v>305</v>
      </c>
      <c r="G207" t="s">
        <v>304</v>
      </c>
      <c r="H207" t="s">
        <v>116</v>
      </c>
      <c r="I207" t="s">
        <v>31</v>
      </c>
      <c r="J207" t="s">
        <v>32</v>
      </c>
      <c r="K207" t="s">
        <v>33</v>
      </c>
      <c r="L207" t="s">
        <v>408</v>
      </c>
      <c r="M207" t="s">
        <v>4290</v>
      </c>
      <c r="N207" t="s">
        <v>4922</v>
      </c>
      <c r="P207" t="s">
        <v>190</v>
      </c>
      <c r="Q207" t="s">
        <v>5099</v>
      </c>
      <c r="R207" s="5">
        <v>43235.255023148151</v>
      </c>
      <c r="S207" s="5">
        <v>43473.710358796299</v>
      </c>
      <c r="T207" t="s">
        <v>53</v>
      </c>
      <c r="U207" t="s">
        <v>5023</v>
      </c>
      <c r="V207" s="3" t="s">
        <v>321</v>
      </c>
      <c r="W207" s="3" t="s">
        <v>5001</v>
      </c>
      <c r="AM207" s="5"/>
      <c r="AN207" s="5"/>
      <c r="AQ207" s="6"/>
    </row>
    <row r="208" spans="2:43" x14ac:dyDescent="0.25">
      <c r="B208" t="s">
        <v>4434</v>
      </c>
      <c r="C208">
        <v>113600</v>
      </c>
      <c r="D208" t="s">
        <v>4438</v>
      </c>
      <c r="E208" t="s">
        <v>3671</v>
      </c>
      <c r="F208" t="s">
        <v>305</v>
      </c>
      <c r="G208" t="s">
        <v>310</v>
      </c>
      <c r="H208" t="s">
        <v>116</v>
      </c>
      <c r="I208" t="s">
        <v>31</v>
      </c>
      <c r="J208" t="s">
        <v>32</v>
      </c>
      <c r="K208" t="s">
        <v>33</v>
      </c>
      <c r="L208" t="s">
        <v>96</v>
      </c>
      <c r="M208" t="s">
        <v>269</v>
      </c>
      <c r="N208" t="s">
        <v>60</v>
      </c>
      <c r="P208" t="s">
        <v>3698</v>
      </c>
      <c r="Q208" t="s">
        <v>1503</v>
      </c>
      <c r="R208" s="5">
        <v>43235.247129629628</v>
      </c>
      <c r="S208" s="5">
        <v>43326.733576388891</v>
      </c>
      <c r="T208" t="s">
        <v>53</v>
      </c>
      <c r="U208" t="s">
        <v>35</v>
      </c>
      <c r="V208" s="3" t="s">
        <v>321</v>
      </c>
      <c r="W208" s="3" t="s">
        <v>4171</v>
      </c>
      <c r="AM208" s="5"/>
      <c r="AN208" s="5"/>
      <c r="AQ208" s="6"/>
    </row>
    <row r="209" spans="2:43" x14ac:dyDescent="0.25">
      <c r="B209" t="s">
        <v>4434</v>
      </c>
      <c r="C209">
        <v>113599</v>
      </c>
      <c r="D209" t="s">
        <v>4437</v>
      </c>
      <c r="E209" t="s">
        <v>1</v>
      </c>
      <c r="F209" t="s">
        <v>319</v>
      </c>
      <c r="G209" t="s">
        <v>304</v>
      </c>
      <c r="H209" t="s">
        <v>116</v>
      </c>
      <c r="I209" t="s">
        <v>31</v>
      </c>
      <c r="J209" t="s">
        <v>32</v>
      </c>
      <c r="K209" t="s">
        <v>33</v>
      </c>
      <c r="L209" t="s">
        <v>96</v>
      </c>
      <c r="M209" t="s">
        <v>269</v>
      </c>
      <c r="N209" t="s">
        <v>60</v>
      </c>
      <c r="P209" t="s">
        <v>3698</v>
      </c>
      <c r="Q209" t="s">
        <v>4735</v>
      </c>
      <c r="R209" s="5">
        <v>43235.247129629628</v>
      </c>
      <c r="S209" s="5">
        <v>43326.61005787037</v>
      </c>
      <c r="T209" t="s">
        <v>53</v>
      </c>
      <c r="U209" t="s">
        <v>35</v>
      </c>
      <c r="V209" s="3" t="s">
        <v>321</v>
      </c>
      <c r="W209" s="3" t="s">
        <v>4098</v>
      </c>
      <c r="AM209" s="5"/>
      <c r="AN209" s="5"/>
      <c r="AQ209" s="6"/>
    </row>
    <row r="210" spans="2:43" x14ac:dyDescent="0.25">
      <c r="B210" t="s">
        <v>4369</v>
      </c>
      <c r="C210">
        <v>113543</v>
      </c>
      <c r="D210" t="s">
        <v>4667</v>
      </c>
      <c r="E210" t="s">
        <v>131</v>
      </c>
      <c r="F210" t="s">
        <v>305</v>
      </c>
      <c r="G210" t="s">
        <v>304</v>
      </c>
      <c r="H210" t="s">
        <v>56</v>
      </c>
      <c r="I210" t="s">
        <v>31</v>
      </c>
      <c r="J210" t="s">
        <v>43</v>
      </c>
      <c r="K210" t="s">
        <v>44</v>
      </c>
      <c r="L210" t="s">
        <v>73</v>
      </c>
      <c r="M210" t="s">
        <v>263</v>
      </c>
      <c r="N210" t="s">
        <v>4834</v>
      </c>
      <c r="P210" t="s">
        <v>4171</v>
      </c>
      <c r="R210" s="5">
        <v>43234.436481481483</v>
      </c>
      <c r="S210" s="5">
        <v>43350.692453703705</v>
      </c>
      <c r="T210" t="s">
        <v>4668</v>
      </c>
      <c r="U210" t="s">
        <v>4669</v>
      </c>
      <c r="V210" s="3" t="s">
        <v>35</v>
      </c>
      <c r="W210" s="3" t="s">
        <v>4171</v>
      </c>
      <c r="AM210" s="5"/>
      <c r="AN210" s="5"/>
      <c r="AQ210" s="6"/>
    </row>
    <row r="211" spans="2:43" x14ac:dyDescent="0.25">
      <c r="B211" t="s">
        <v>4434</v>
      </c>
      <c r="C211">
        <v>113522</v>
      </c>
      <c r="D211" t="s">
        <v>4435</v>
      </c>
      <c r="E211" t="s">
        <v>3671</v>
      </c>
      <c r="F211" t="s">
        <v>305</v>
      </c>
      <c r="G211" t="s">
        <v>304</v>
      </c>
      <c r="H211" t="s">
        <v>116</v>
      </c>
      <c r="I211" t="s">
        <v>31</v>
      </c>
      <c r="J211" t="s">
        <v>32</v>
      </c>
      <c r="K211" t="s">
        <v>33</v>
      </c>
      <c r="L211" t="s">
        <v>96</v>
      </c>
      <c r="M211" t="s">
        <v>269</v>
      </c>
      <c r="N211" t="s">
        <v>60</v>
      </c>
      <c r="P211" t="s">
        <v>3698</v>
      </c>
      <c r="Q211" t="s">
        <v>69</v>
      </c>
      <c r="R211" s="5">
        <v>43231.888298611113</v>
      </c>
      <c r="S211" s="5">
        <v>43326.732916666668</v>
      </c>
      <c r="T211" t="s">
        <v>1</v>
      </c>
      <c r="U211" t="s">
        <v>35</v>
      </c>
      <c r="V211" s="3" t="s">
        <v>321</v>
      </c>
      <c r="W211" s="3" t="s">
        <v>4436</v>
      </c>
      <c r="AM211" s="5"/>
      <c r="AN211" s="5"/>
      <c r="AQ211" s="6"/>
    </row>
    <row r="212" spans="2:43" x14ac:dyDescent="0.25">
      <c r="B212" t="s">
        <v>4428</v>
      </c>
      <c r="C212">
        <v>113496</v>
      </c>
      <c r="D212" t="s">
        <v>4433</v>
      </c>
      <c r="E212" t="s">
        <v>94</v>
      </c>
      <c r="F212" t="s">
        <v>305</v>
      </c>
      <c r="G212" t="s">
        <v>310</v>
      </c>
      <c r="H212" t="s">
        <v>54</v>
      </c>
      <c r="I212" t="s">
        <v>31</v>
      </c>
      <c r="J212" t="s">
        <v>32</v>
      </c>
      <c r="K212" t="s">
        <v>33</v>
      </c>
      <c r="L212" t="s">
        <v>73</v>
      </c>
      <c r="M212" t="s">
        <v>295</v>
      </c>
      <c r="N212" t="s">
        <v>60</v>
      </c>
      <c r="P212" t="s">
        <v>3698</v>
      </c>
      <c r="Q212" t="s">
        <v>2481</v>
      </c>
      <c r="R212" s="5">
        <v>43231.616030092591</v>
      </c>
      <c r="S212" s="5">
        <v>43285.793379629627</v>
      </c>
      <c r="T212" t="s">
        <v>301</v>
      </c>
      <c r="U212" t="s">
        <v>35</v>
      </c>
      <c r="V212" s="3" t="s">
        <v>321</v>
      </c>
      <c r="W212" s="3" t="s">
        <v>4171</v>
      </c>
      <c r="AM212" s="5"/>
      <c r="AN212" s="5"/>
      <c r="AQ212" s="6"/>
    </row>
    <row r="213" spans="2:43" x14ac:dyDescent="0.25">
      <c r="B213" t="s">
        <v>4428</v>
      </c>
      <c r="C213">
        <v>113495</v>
      </c>
      <c r="D213" t="s">
        <v>4432</v>
      </c>
      <c r="E213" t="s">
        <v>94</v>
      </c>
      <c r="F213" t="s">
        <v>305</v>
      </c>
      <c r="G213" t="s">
        <v>310</v>
      </c>
      <c r="H213" t="s">
        <v>54</v>
      </c>
      <c r="I213" t="s">
        <v>31</v>
      </c>
      <c r="J213" t="s">
        <v>32</v>
      </c>
      <c r="K213" t="s">
        <v>33</v>
      </c>
      <c r="L213" t="s">
        <v>73</v>
      </c>
      <c r="M213" t="s">
        <v>295</v>
      </c>
      <c r="N213" t="s">
        <v>60</v>
      </c>
      <c r="P213" t="s">
        <v>3698</v>
      </c>
      <c r="Q213" t="s">
        <v>2481</v>
      </c>
      <c r="R213" s="5">
        <v>43231.614537037036</v>
      </c>
      <c r="S213" s="5">
        <v>43285.793344907404</v>
      </c>
      <c r="T213" t="s">
        <v>301</v>
      </c>
      <c r="U213" t="s">
        <v>35</v>
      </c>
      <c r="V213" s="3" t="s">
        <v>321</v>
      </c>
      <c r="W213" s="3" t="s">
        <v>4410</v>
      </c>
      <c r="AM213" s="5"/>
      <c r="AN213" s="5"/>
      <c r="AQ213" s="6"/>
    </row>
    <row r="214" spans="2:43" x14ac:dyDescent="0.25">
      <c r="B214" t="s">
        <v>4428</v>
      </c>
      <c r="C214">
        <v>113494</v>
      </c>
      <c r="D214" t="s">
        <v>4431</v>
      </c>
      <c r="E214" t="s">
        <v>94</v>
      </c>
      <c r="F214" t="s">
        <v>305</v>
      </c>
      <c r="G214" t="s">
        <v>310</v>
      </c>
      <c r="H214" t="s">
        <v>54</v>
      </c>
      <c r="I214" t="s">
        <v>31</v>
      </c>
      <c r="J214" t="s">
        <v>32</v>
      </c>
      <c r="K214" t="s">
        <v>33</v>
      </c>
      <c r="L214" t="s">
        <v>73</v>
      </c>
      <c r="M214" t="s">
        <v>295</v>
      </c>
      <c r="N214" t="s">
        <v>46</v>
      </c>
      <c r="P214" t="s">
        <v>3698</v>
      </c>
      <c r="Q214" t="s">
        <v>2481</v>
      </c>
      <c r="R214" s="5">
        <v>43231.614537037036</v>
      </c>
      <c r="S214" s="5">
        <v>43285.793310185189</v>
      </c>
      <c r="T214" t="s">
        <v>301</v>
      </c>
      <c r="U214" t="s">
        <v>35</v>
      </c>
      <c r="V214" s="3" t="s">
        <v>321</v>
      </c>
      <c r="W214" s="3" t="s">
        <v>4098</v>
      </c>
      <c r="AM214" s="5"/>
      <c r="AN214" s="5"/>
      <c r="AQ214" s="6"/>
    </row>
    <row r="215" spans="2:43" x14ac:dyDescent="0.25">
      <c r="B215" t="s">
        <v>506</v>
      </c>
      <c r="C215">
        <v>113462</v>
      </c>
      <c r="D215" t="s">
        <v>4430</v>
      </c>
      <c r="E215" t="s">
        <v>387</v>
      </c>
      <c r="F215" t="s">
        <v>305</v>
      </c>
      <c r="G215" t="s">
        <v>310</v>
      </c>
      <c r="H215" t="s">
        <v>116</v>
      </c>
      <c r="I215" t="s">
        <v>31</v>
      </c>
      <c r="J215" t="s">
        <v>32</v>
      </c>
      <c r="K215" t="s">
        <v>51</v>
      </c>
      <c r="L215" t="s">
        <v>73</v>
      </c>
      <c r="M215" t="s">
        <v>263</v>
      </c>
      <c r="N215" t="s">
        <v>60</v>
      </c>
      <c r="P215" t="s">
        <v>47</v>
      </c>
      <c r="Q215" t="s">
        <v>159</v>
      </c>
      <c r="R215" s="5">
        <v>43231.357361111113</v>
      </c>
      <c r="S215" s="5">
        <v>43307.617314814815</v>
      </c>
      <c r="T215" t="s">
        <v>171</v>
      </c>
      <c r="U215" t="s">
        <v>35</v>
      </c>
      <c r="V215" s="3" t="s">
        <v>321</v>
      </c>
      <c r="W215" s="3" t="s">
        <v>4171</v>
      </c>
      <c r="AM215" s="5"/>
      <c r="AN215" s="5"/>
      <c r="AQ215" s="6"/>
    </row>
    <row r="216" spans="2:43" x14ac:dyDescent="0.25">
      <c r="B216" t="s">
        <v>4428</v>
      </c>
      <c r="C216">
        <v>113447</v>
      </c>
      <c r="D216" t="s">
        <v>4429</v>
      </c>
      <c r="E216" t="s">
        <v>94</v>
      </c>
      <c r="F216" t="s">
        <v>305</v>
      </c>
      <c r="G216" t="s">
        <v>310</v>
      </c>
      <c r="H216" t="s">
        <v>54</v>
      </c>
      <c r="I216" t="s">
        <v>31</v>
      </c>
      <c r="J216" t="s">
        <v>32</v>
      </c>
      <c r="K216" t="s">
        <v>33</v>
      </c>
      <c r="L216" t="s">
        <v>73</v>
      </c>
      <c r="M216" t="s">
        <v>295</v>
      </c>
      <c r="N216" t="s">
        <v>60</v>
      </c>
      <c r="P216" t="s">
        <v>3698</v>
      </c>
      <c r="Q216" t="s">
        <v>2481</v>
      </c>
      <c r="R216" s="5">
        <v>43230.888715277775</v>
      </c>
      <c r="S216" s="5">
        <v>43237.866620370369</v>
      </c>
      <c r="T216" t="s">
        <v>1</v>
      </c>
      <c r="U216" t="s">
        <v>35</v>
      </c>
      <c r="V216" s="3" t="s">
        <v>321</v>
      </c>
      <c r="W216" s="3" t="s">
        <v>307</v>
      </c>
      <c r="AM216" s="5"/>
      <c r="AN216" s="5"/>
      <c r="AQ216" s="6"/>
    </row>
    <row r="217" spans="2:43" x14ac:dyDescent="0.25">
      <c r="B217" t="s">
        <v>4392</v>
      </c>
      <c r="C217">
        <v>113176</v>
      </c>
      <c r="D217" t="s">
        <v>4427</v>
      </c>
      <c r="E217" t="s">
        <v>164</v>
      </c>
      <c r="F217" t="s">
        <v>67</v>
      </c>
      <c r="H217" t="s">
        <v>54</v>
      </c>
      <c r="I217" t="s">
        <v>31</v>
      </c>
      <c r="J217" t="s">
        <v>43</v>
      </c>
      <c r="K217" t="s">
        <v>51</v>
      </c>
      <c r="L217" t="s">
        <v>34</v>
      </c>
      <c r="M217" t="s">
        <v>278</v>
      </c>
      <c r="N217" t="s">
        <v>4921</v>
      </c>
      <c r="O217" t="s">
        <v>533</v>
      </c>
      <c r="P217" t="s">
        <v>69</v>
      </c>
      <c r="R217" s="5">
        <v>43227.856469907405</v>
      </c>
      <c r="S217" s="5">
        <v>43397.967604166668</v>
      </c>
      <c r="T217" t="s">
        <v>53</v>
      </c>
      <c r="U217" t="s">
        <v>35</v>
      </c>
      <c r="V217" s="3" t="s">
        <v>35</v>
      </c>
      <c r="W217" s="3" t="s">
        <v>4176</v>
      </c>
      <c r="AM217" s="5"/>
      <c r="AN217" s="5"/>
      <c r="AQ217" s="6"/>
    </row>
    <row r="218" spans="2:43" x14ac:dyDescent="0.25">
      <c r="B218" t="s">
        <v>4224</v>
      </c>
      <c r="C218">
        <v>113165</v>
      </c>
      <c r="D218" t="s">
        <v>4426</v>
      </c>
      <c r="E218" t="s">
        <v>2053</v>
      </c>
      <c r="F218" t="s">
        <v>305</v>
      </c>
      <c r="G218" t="s">
        <v>304</v>
      </c>
      <c r="H218" t="s">
        <v>116</v>
      </c>
      <c r="I218" t="s">
        <v>68</v>
      </c>
      <c r="J218" t="s">
        <v>58</v>
      </c>
      <c r="K218" t="s">
        <v>44</v>
      </c>
      <c r="L218" t="s">
        <v>34</v>
      </c>
      <c r="M218" t="s">
        <v>3780</v>
      </c>
      <c r="N218" t="s">
        <v>46</v>
      </c>
      <c r="O218" t="s">
        <v>4666</v>
      </c>
      <c r="P218" t="s">
        <v>4227</v>
      </c>
      <c r="Q218" t="s">
        <v>4734</v>
      </c>
      <c r="R218" s="5">
        <v>43227.658009259256</v>
      </c>
      <c r="S218" s="5">
        <v>43473.727708333332</v>
      </c>
      <c r="T218" t="s">
        <v>1917</v>
      </c>
      <c r="U218" t="s">
        <v>35</v>
      </c>
      <c r="V218" s="3" t="s">
        <v>35</v>
      </c>
      <c r="W218" s="3" t="s">
        <v>3915</v>
      </c>
      <c r="AM218" s="5"/>
      <c r="AN218" s="5"/>
      <c r="AQ218" s="6"/>
    </row>
    <row r="219" spans="2:43" x14ac:dyDescent="0.25">
      <c r="B219" t="s">
        <v>4224</v>
      </c>
      <c r="C219">
        <v>113164</v>
      </c>
      <c r="D219" t="s">
        <v>4425</v>
      </c>
      <c r="E219" t="s">
        <v>3787</v>
      </c>
      <c r="F219" t="s">
        <v>319</v>
      </c>
      <c r="G219" t="s">
        <v>304</v>
      </c>
      <c r="H219" t="s">
        <v>54</v>
      </c>
      <c r="I219" t="s">
        <v>68</v>
      </c>
      <c r="J219" t="s">
        <v>58</v>
      </c>
      <c r="K219" t="s">
        <v>44</v>
      </c>
      <c r="L219" t="s">
        <v>34</v>
      </c>
      <c r="M219" t="s">
        <v>3780</v>
      </c>
      <c r="N219" t="s">
        <v>46</v>
      </c>
      <c r="O219" t="s">
        <v>4665</v>
      </c>
      <c r="P219" t="s">
        <v>4227</v>
      </c>
      <c r="Q219" t="s">
        <v>4734</v>
      </c>
      <c r="R219" s="5">
        <v>43227.658020833333</v>
      </c>
      <c r="S219" s="5">
        <v>43325.711585648147</v>
      </c>
      <c r="T219" t="s">
        <v>1917</v>
      </c>
      <c r="U219" t="s">
        <v>35</v>
      </c>
      <c r="V219" s="3" t="s">
        <v>35</v>
      </c>
      <c r="W219" s="3" t="s">
        <v>4098</v>
      </c>
      <c r="AM219" s="5"/>
      <c r="AN219" s="5"/>
      <c r="AQ219" s="6"/>
    </row>
    <row r="220" spans="2:43" x14ac:dyDescent="0.25">
      <c r="B220" t="s">
        <v>3524</v>
      </c>
      <c r="C220">
        <v>112996</v>
      </c>
      <c r="D220" t="s">
        <v>4424</v>
      </c>
      <c r="E220" t="s">
        <v>91</v>
      </c>
      <c r="F220" t="s">
        <v>305</v>
      </c>
      <c r="G220" t="s">
        <v>304</v>
      </c>
      <c r="H220" t="s">
        <v>54</v>
      </c>
      <c r="I220" t="s">
        <v>31</v>
      </c>
      <c r="J220" t="s">
        <v>32</v>
      </c>
      <c r="K220" t="s">
        <v>33</v>
      </c>
      <c r="L220" t="s">
        <v>73</v>
      </c>
      <c r="M220" t="s">
        <v>263</v>
      </c>
      <c r="N220" t="s">
        <v>3724</v>
      </c>
      <c r="P220" t="s">
        <v>107</v>
      </c>
      <c r="Q220" t="s">
        <v>2481</v>
      </c>
      <c r="R220" s="5">
        <v>43222.27003472222</v>
      </c>
      <c r="S220" s="5">
        <v>43360.588425925926</v>
      </c>
      <c r="T220" t="s">
        <v>91</v>
      </c>
      <c r="U220" t="s">
        <v>35</v>
      </c>
      <c r="V220" s="3" t="s">
        <v>321</v>
      </c>
      <c r="W220" s="3" t="s">
        <v>4231</v>
      </c>
      <c r="AM220" s="5"/>
      <c r="AN220" s="5"/>
      <c r="AQ220" s="6"/>
    </row>
    <row r="221" spans="2:43" x14ac:dyDescent="0.25">
      <c r="B221" t="s">
        <v>4418</v>
      </c>
      <c r="C221">
        <v>112846</v>
      </c>
      <c r="D221" t="s">
        <v>4422</v>
      </c>
      <c r="E221" t="s">
        <v>134</v>
      </c>
      <c r="F221" t="s">
        <v>305</v>
      </c>
      <c r="G221" t="s">
        <v>304</v>
      </c>
      <c r="H221" t="s">
        <v>30</v>
      </c>
      <c r="I221" t="s">
        <v>68</v>
      </c>
      <c r="J221" t="s">
        <v>58</v>
      </c>
      <c r="K221" t="s">
        <v>44</v>
      </c>
      <c r="L221" t="s">
        <v>34</v>
      </c>
      <c r="M221" t="s">
        <v>271</v>
      </c>
      <c r="N221" t="s">
        <v>46</v>
      </c>
      <c r="P221" t="s">
        <v>69</v>
      </c>
      <c r="Q221" t="s">
        <v>2416</v>
      </c>
      <c r="R221" s="5">
        <v>43216.740543981483</v>
      </c>
      <c r="S221" s="5">
        <v>43305.441550925927</v>
      </c>
      <c r="T221" t="s">
        <v>53</v>
      </c>
      <c r="U221" t="s">
        <v>4423</v>
      </c>
      <c r="V221" s="3" t="s">
        <v>35</v>
      </c>
      <c r="W221" s="3" t="s">
        <v>4143</v>
      </c>
      <c r="AM221" s="5"/>
      <c r="AN221" s="5"/>
      <c r="AQ221" s="6"/>
    </row>
    <row r="222" spans="2:43" x14ac:dyDescent="0.25">
      <c r="B222" t="s">
        <v>4418</v>
      </c>
      <c r="C222">
        <v>112845</v>
      </c>
      <c r="D222" t="s">
        <v>4421</v>
      </c>
      <c r="E222" t="s">
        <v>147</v>
      </c>
      <c r="F222" t="s">
        <v>67</v>
      </c>
      <c r="H222" t="s">
        <v>30</v>
      </c>
      <c r="I222" t="s">
        <v>68</v>
      </c>
      <c r="J222" t="s">
        <v>58</v>
      </c>
      <c r="K222" t="s">
        <v>44</v>
      </c>
      <c r="L222" t="s">
        <v>34</v>
      </c>
      <c r="M222" t="s">
        <v>271</v>
      </c>
      <c r="N222" t="s">
        <v>46</v>
      </c>
      <c r="O222" t="s">
        <v>4420</v>
      </c>
      <c r="P222" t="s">
        <v>69</v>
      </c>
      <c r="R222" s="5">
        <v>43216.740543981483</v>
      </c>
      <c r="S222" s="5">
        <v>43223.595092592594</v>
      </c>
      <c r="T222" t="s">
        <v>53</v>
      </c>
      <c r="U222" t="s">
        <v>35</v>
      </c>
      <c r="V222" s="3" t="s">
        <v>35</v>
      </c>
      <c r="W222" s="3" t="s">
        <v>4098</v>
      </c>
      <c r="AM222" s="5"/>
      <c r="AN222" s="5"/>
      <c r="AQ222" s="6"/>
    </row>
    <row r="223" spans="2:43" x14ac:dyDescent="0.25">
      <c r="B223" t="s">
        <v>4948</v>
      </c>
      <c r="C223">
        <v>112706</v>
      </c>
      <c r="D223" t="s">
        <v>4999</v>
      </c>
      <c r="E223" t="s">
        <v>131</v>
      </c>
      <c r="F223" t="s">
        <v>305</v>
      </c>
      <c r="G223" t="s">
        <v>304</v>
      </c>
      <c r="H223" t="s">
        <v>116</v>
      </c>
      <c r="I223" t="s">
        <v>31</v>
      </c>
      <c r="J223" t="s">
        <v>43</v>
      </c>
      <c r="K223" t="s">
        <v>44</v>
      </c>
      <c r="L223" t="s">
        <v>73</v>
      </c>
      <c r="M223" t="s">
        <v>263</v>
      </c>
      <c r="N223" t="s">
        <v>4821</v>
      </c>
      <c r="O223" t="s">
        <v>5000</v>
      </c>
      <c r="P223" t="s">
        <v>4171</v>
      </c>
      <c r="R223" s="5">
        <v>43214.635196759256</v>
      </c>
      <c r="S223" s="5">
        <v>43426.403240740743</v>
      </c>
      <c r="T223" t="s">
        <v>3671</v>
      </c>
      <c r="U223" t="s">
        <v>4830</v>
      </c>
      <c r="V223" s="3" t="s">
        <v>321</v>
      </c>
      <c r="W223" s="3" t="s">
        <v>4171</v>
      </c>
      <c r="AM223" s="5"/>
      <c r="AN223" s="5"/>
      <c r="AQ223" s="6"/>
    </row>
    <row r="224" spans="2:43" x14ac:dyDescent="0.25">
      <c r="B224" t="s">
        <v>4418</v>
      </c>
      <c r="C224">
        <v>112560</v>
      </c>
      <c r="D224" t="s">
        <v>4419</v>
      </c>
      <c r="E224" t="s">
        <v>147</v>
      </c>
      <c r="F224" t="s">
        <v>67</v>
      </c>
      <c r="H224" t="s">
        <v>30</v>
      </c>
      <c r="I224" t="s">
        <v>68</v>
      </c>
      <c r="J224" t="s">
        <v>58</v>
      </c>
      <c r="K224" t="s">
        <v>44</v>
      </c>
      <c r="L224" t="s">
        <v>34</v>
      </c>
      <c r="M224" t="s">
        <v>271</v>
      </c>
      <c r="N224" t="s">
        <v>4920</v>
      </c>
      <c r="O224" t="s">
        <v>4420</v>
      </c>
      <c r="P224" t="s">
        <v>69</v>
      </c>
      <c r="R224" s="5">
        <v>43210.296203703707</v>
      </c>
      <c r="S224" s="5">
        <v>43403.568206018521</v>
      </c>
      <c r="T224" t="s">
        <v>4</v>
      </c>
      <c r="U224" t="s">
        <v>35</v>
      </c>
      <c r="V224" s="3" t="s">
        <v>35</v>
      </c>
      <c r="W224" s="3" t="s">
        <v>4176</v>
      </c>
      <c r="AM224" s="5"/>
      <c r="AN224" s="5"/>
      <c r="AQ224" s="6"/>
    </row>
    <row r="225" spans="2:43" x14ac:dyDescent="0.25">
      <c r="B225" t="s">
        <v>3763</v>
      </c>
      <c r="C225">
        <v>112466</v>
      </c>
      <c r="D225" t="s">
        <v>4417</v>
      </c>
      <c r="E225" t="s">
        <v>387</v>
      </c>
      <c r="F225" t="s">
        <v>305</v>
      </c>
      <c r="G225" t="s">
        <v>337</v>
      </c>
      <c r="H225" t="s">
        <v>56</v>
      </c>
      <c r="I225" t="s">
        <v>68</v>
      </c>
      <c r="J225" t="s">
        <v>43</v>
      </c>
      <c r="K225" t="s">
        <v>33</v>
      </c>
      <c r="L225" t="s">
        <v>73</v>
      </c>
      <c r="M225" t="s">
        <v>263</v>
      </c>
      <c r="N225" t="s">
        <v>46</v>
      </c>
      <c r="P225" t="s">
        <v>3765</v>
      </c>
      <c r="Q225" t="s">
        <v>4833</v>
      </c>
      <c r="R225" s="5">
        <v>43208.452905092592</v>
      </c>
      <c r="S225" s="5">
        <v>43399.146666666667</v>
      </c>
      <c r="T225" t="s">
        <v>91</v>
      </c>
      <c r="U225" t="s">
        <v>35</v>
      </c>
      <c r="V225" s="3" t="s">
        <v>35</v>
      </c>
      <c r="W225" s="3" t="s">
        <v>4231</v>
      </c>
      <c r="AM225" s="5"/>
      <c r="AN225" s="5"/>
      <c r="AQ225" s="6"/>
    </row>
    <row r="226" spans="2:43" x14ac:dyDescent="0.25">
      <c r="B226" t="s">
        <v>3763</v>
      </c>
      <c r="C226">
        <v>112414</v>
      </c>
      <c r="D226" t="s">
        <v>4731</v>
      </c>
      <c r="E226" t="s">
        <v>490</v>
      </c>
      <c r="F226" t="s">
        <v>305</v>
      </c>
      <c r="G226" t="s">
        <v>304</v>
      </c>
      <c r="H226" t="s">
        <v>54</v>
      </c>
      <c r="I226" t="s">
        <v>68</v>
      </c>
      <c r="J226" t="s">
        <v>43</v>
      </c>
      <c r="K226" t="s">
        <v>33</v>
      </c>
      <c r="L226" t="s">
        <v>73</v>
      </c>
      <c r="M226" t="s">
        <v>263</v>
      </c>
      <c r="N226" t="s">
        <v>60</v>
      </c>
      <c r="O226" t="s">
        <v>5081</v>
      </c>
      <c r="P226" t="s">
        <v>3765</v>
      </c>
      <c r="Q226" t="s">
        <v>2854</v>
      </c>
      <c r="R226" s="5">
        <v>43207.438344907408</v>
      </c>
      <c r="S226" s="5">
        <v>43476.48337962963</v>
      </c>
      <c r="T226" t="s">
        <v>301</v>
      </c>
      <c r="U226" t="s">
        <v>35</v>
      </c>
      <c r="V226" s="3" t="s">
        <v>35</v>
      </c>
      <c r="W226" s="3" t="s">
        <v>4732</v>
      </c>
      <c r="AM226" s="5"/>
      <c r="AN226" s="5"/>
      <c r="AQ226" s="6"/>
    </row>
    <row r="227" spans="2:43" x14ac:dyDescent="0.25">
      <c r="B227" t="s">
        <v>4415</v>
      </c>
      <c r="C227">
        <v>112353</v>
      </c>
      <c r="D227" t="s">
        <v>4416</v>
      </c>
      <c r="E227" t="s">
        <v>387</v>
      </c>
      <c r="F227" t="s">
        <v>67</v>
      </c>
      <c r="H227" t="s">
        <v>30</v>
      </c>
      <c r="I227" t="s">
        <v>68</v>
      </c>
      <c r="J227" t="s">
        <v>58</v>
      </c>
      <c r="K227" t="s">
        <v>44</v>
      </c>
      <c r="L227" t="s">
        <v>73</v>
      </c>
      <c r="M227" t="s">
        <v>263</v>
      </c>
      <c r="N227" t="s">
        <v>60</v>
      </c>
      <c r="P227" t="s">
        <v>3698</v>
      </c>
      <c r="R227" s="5">
        <v>43206.363518518519</v>
      </c>
      <c r="S227" s="5">
        <v>43452.086157407408</v>
      </c>
      <c r="T227" t="s">
        <v>4</v>
      </c>
      <c r="U227" t="s">
        <v>35</v>
      </c>
      <c r="V227" s="3" t="s">
        <v>35</v>
      </c>
      <c r="W227" s="3" t="s">
        <v>4171</v>
      </c>
      <c r="AM227" s="5"/>
      <c r="AN227" s="5"/>
      <c r="AQ227" s="6"/>
    </row>
    <row r="228" spans="2:43" x14ac:dyDescent="0.25">
      <c r="B228" t="s">
        <v>3910</v>
      </c>
      <c r="C228">
        <v>112281</v>
      </c>
      <c r="D228" t="s">
        <v>4414</v>
      </c>
      <c r="E228" t="s">
        <v>3787</v>
      </c>
      <c r="F228" t="s">
        <v>67</v>
      </c>
      <c r="H228" t="s">
        <v>30</v>
      </c>
      <c r="I228" t="s">
        <v>68</v>
      </c>
      <c r="J228" t="s">
        <v>58</v>
      </c>
      <c r="K228" t="s">
        <v>44</v>
      </c>
      <c r="L228" t="s">
        <v>34</v>
      </c>
      <c r="M228" t="s">
        <v>3780</v>
      </c>
      <c r="N228" t="s">
        <v>46</v>
      </c>
      <c r="P228" t="s">
        <v>3911</v>
      </c>
      <c r="Q228" t="s">
        <v>3911</v>
      </c>
      <c r="R228" s="5">
        <v>43202.691655092596</v>
      </c>
      <c r="S228" s="5">
        <v>43412.741435185184</v>
      </c>
      <c r="T228" t="s">
        <v>1917</v>
      </c>
      <c r="U228" t="s">
        <v>35</v>
      </c>
      <c r="V228" s="3" t="s">
        <v>35</v>
      </c>
      <c r="W228" s="3" t="s">
        <v>4155</v>
      </c>
      <c r="AM228" s="5"/>
      <c r="AN228" s="5"/>
      <c r="AQ228" s="6"/>
    </row>
    <row r="229" spans="2:43" x14ac:dyDescent="0.25">
      <c r="B229" t="s">
        <v>3910</v>
      </c>
      <c r="C229">
        <v>112280</v>
      </c>
      <c r="D229" t="s">
        <v>4413</v>
      </c>
      <c r="E229" t="s">
        <v>3787</v>
      </c>
      <c r="F229" t="s">
        <v>42</v>
      </c>
      <c r="H229" t="s">
        <v>54</v>
      </c>
      <c r="I229" t="s">
        <v>68</v>
      </c>
      <c r="J229" t="s">
        <v>58</v>
      </c>
      <c r="K229" t="s">
        <v>44</v>
      </c>
      <c r="L229" t="s">
        <v>34</v>
      </c>
      <c r="M229" t="s">
        <v>3780</v>
      </c>
      <c r="N229" t="s">
        <v>46</v>
      </c>
      <c r="O229" t="s">
        <v>4659</v>
      </c>
      <c r="P229" t="s">
        <v>3911</v>
      </c>
      <c r="Q229" t="s">
        <v>3911</v>
      </c>
      <c r="R229" s="5">
        <v>43202.691666666666</v>
      </c>
      <c r="S229" s="5">
        <v>43344.652488425927</v>
      </c>
      <c r="T229" t="s">
        <v>1917</v>
      </c>
      <c r="U229" t="s">
        <v>35</v>
      </c>
      <c r="V229" s="3" t="s">
        <v>35</v>
      </c>
      <c r="W229" s="3" t="s">
        <v>4098</v>
      </c>
      <c r="AM229" s="5"/>
      <c r="AN229" s="5"/>
      <c r="AQ229" s="6"/>
    </row>
    <row r="230" spans="2:43" x14ac:dyDescent="0.25">
      <c r="B230" t="s">
        <v>4409</v>
      </c>
      <c r="C230">
        <v>112240</v>
      </c>
      <c r="D230" t="s">
        <v>4412</v>
      </c>
      <c r="E230" t="s">
        <v>335</v>
      </c>
      <c r="F230" t="s">
        <v>67</v>
      </c>
      <c r="H230" t="s">
        <v>116</v>
      </c>
      <c r="I230" t="s">
        <v>31</v>
      </c>
      <c r="J230" t="s">
        <v>32</v>
      </c>
      <c r="K230" t="s">
        <v>33</v>
      </c>
      <c r="L230" t="s">
        <v>73</v>
      </c>
      <c r="M230" t="s">
        <v>277</v>
      </c>
      <c r="N230" t="s">
        <v>518</v>
      </c>
      <c r="P230" t="s">
        <v>69</v>
      </c>
      <c r="R230" s="5">
        <v>43201.87908564815</v>
      </c>
      <c r="S230" s="5">
        <v>43483.844004629631</v>
      </c>
      <c r="T230" t="s">
        <v>53</v>
      </c>
      <c r="U230" t="s">
        <v>5150</v>
      </c>
      <c r="V230" s="3" t="s">
        <v>321</v>
      </c>
      <c r="W230" s="3" t="s">
        <v>4171</v>
      </c>
      <c r="AM230" s="5"/>
      <c r="AN230" s="5"/>
      <c r="AQ230" s="6"/>
    </row>
    <row r="231" spans="2:43" x14ac:dyDescent="0.25">
      <c r="B231" t="s">
        <v>4409</v>
      </c>
      <c r="C231">
        <v>112239</v>
      </c>
      <c r="D231" t="s">
        <v>4411</v>
      </c>
      <c r="E231" t="s">
        <v>435</v>
      </c>
      <c r="F231" t="s">
        <v>67</v>
      </c>
      <c r="H231" t="s">
        <v>116</v>
      </c>
      <c r="I231" t="s">
        <v>31</v>
      </c>
      <c r="J231" t="s">
        <v>32</v>
      </c>
      <c r="K231" t="s">
        <v>33</v>
      </c>
      <c r="L231" t="s">
        <v>73</v>
      </c>
      <c r="M231" t="s">
        <v>295</v>
      </c>
      <c r="N231" t="s">
        <v>60</v>
      </c>
      <c r="P231" t="s">
        <v>69</v>
      </c>
      <c r="R231" s="5">
        <v>43201.87909722222</v>
      </c>
      <c r="S231" s="5">
        <v>43384.599687499998</v>
      </c>
      <c r="T231" t="s">
        <v>53</v>
      </c>
      <c r="U231" t="s">
        <v>35</v>
      </c>
      <c r="V231" s="3" t="s">
        <v>321</v>
      </c>
      <c r="W231" s="3" t="s">
        <v>4098</v>
      </c>
      <c r="AM231" s="5"/>
      <c r="AN231" s="5"/>
      <c r="AQ231" s="6"/>
    </row>
    <row r="232" spans="2:43" x14ac:dyDescent="0.25">
      <c r="B232" t="s">
        <v>4409</v>
      </c>
      <c r="C232">
        <v>112236</v>
      </c>
      <c r="D232" t="s">
        <v>4831</v>
      </c>
      <c r="E232" t="s">
        <v>435</v>
      </c>
      <c r="F232" t="s">
        <v>305</v>
      </c>
      <c r="G232" t="s">
        <v>337</v>
      </c>
      <c r="H232" t="s">
        <v>116</v>
      </c>
      <c r="I232" t="s">
        <v>31</v>
      </c>
      <c r="J232" t="s">
        <v>32</v>
      </c>
      <c r="K232" t="s">
        <v>33</v>
      </c>
      <c r="L232" t="s">
        <v>73</v>
      </c>
      <c r="M232" t="s">
        <v>295</v>
      </c>
      <c r="N232" t="s">
        <v>60</v>
      </c>
      <c r="O232" t="s">
        <v>4832</v>
      </c>
      <c r="P232" t="s">
        <v>69</v>
      </c>
      <c r="Q232" t="s">
        <v>2481</v>
      </c>
      <c r="R232" s="5">
        <v>43201.812557870369</v>
      </c>
      <c r="S232" s="5">
        <v>43403.789479166669</v>
      </c>
      <c r="T232" t="s">
        <v>1</v>
      </c>
      <c r="U232" t="s">
        <v>35</v>
      </c>
      <c r="V232" s="3" t="s">
        <v>321</v>
      </c>
      <c r="W232" s="3" t="s">
        <v>4670</v>
      </c>
      <c r="AM232" s="5"/>
      <c r="AN232" s="5"/>
      <c r="AQ232" s="6"/>
    </row>
    <row r="233" spans="2:43" x14ac:dyDescent="0.25">
      <c r="B233" t="s">
        <v>4407</v>
      </c>
      <c r="C233">
        <v>112206</v>
      </c>
      <c r="D233" t="s">
        <v>4408</v>
      </c>
      <c r="E233" t="s">
        <v>387</v>
      </c>
      <c r="F233" t="s">
        <v>319</v>
      </c>
      <c r="G233" t="s">
        <v>304</v>
      </c>
      <c r="H233" t="s">
        <v>56</v>
      </c>
      <c r="I233" t="s">
        <v>68</v>
      </c>
      <c r="J233" t="s">
        <v>43</v>
      </c>
      <c r="K233" t="s">
        <v>33</v>
      </c>
      <c r="L233" t="s">
        <v>73</v>
      </c>
      <c r="M233" t="s">
        <v>263</v>
      </c>
      <c r="N233" t="s">
        <v>572</v>
      </c>
      <c r="P233" t="s">
        <v>190</v>
      </c>
      <c r="Q233" t="s">
        <v>190</v>
      </c>
      <c r="R233" s="5">
        <v>43200.870335648149</v>
      </c>
      <c r="S233" s="5">
        <v>43404.521909722222</v>
      </c>
      <c r="T233" t="s">
        <v>1</v>
      </c>
      <c r="U233" t="s">
        <v>4830</v>
      </c>
      <c r="V233" s="3" t="s">
        <v>35</v>
      </c>
      <c r="W233" s="3" t="s">
        <v>4171</v>
      </c>
      <c r="AM233" s="5"/>
      <c r="AN233" s="5"/>
      <c r="AQ233" s="6"/>
    </row>
    <row r="234" spans="2:43" x14ac:dyDescent="0.25">
      <c r="B234" t="s">
        <v>4402</v>
      </c>
      <c r="C234">
        <v>112156</v>
      </c>
      <c r="D234" t="s">
        <v>4405</v>
      </c>
      <c r="E234" t="s">
        <v>4214</v>
      </c>
      <c r="F234" t="s">
        <v>305</v>
      </c>
      <c r="G234" t="s">
        <v>310</v>
      </c>
      <c r="H234" t="s">
        <v>116</v>
      </c>
      <c r="I234" t="s">
        <v>31</v>
      </c>
      <c r="J234" t="s">
        <v>32</v>
      </c>
      <c r="K234" t="s">
        <v>33</v>
      </c>
      <c r="L234" t="s">
        <v>52</v>
      </c>
      <c r="M234" t="s">
        <v>4092</v>
      </c>
      <c r="N234" t="s">
        <v>518</v>
      </c>
      <c r="P234" t="s">
        <v>394</v>
      </c>
      <c r="Q234" t="s">
        <v>4406</v>
      </c>
      <c r="R234" s="5">
        <v>43199.690092592595</v>
      </c>
      <c r="S234" s="5">
        <v>43319.139687499999</v>
      </c>
      <c r="T234" t="s">
        <v>53</v>
      </c>
      <c r="U234" t="s">
        <v>35</v>
      </c>
      <c r="V234" s="3" t="s">
        <v>321</v>
      </c>
      <c r="W234" s="3" t="s">
        <v>4171</v>
      </c>
      <c r="AM234" s="5"/>
      <c r="AN234" s="5"/>
      <c r="AQ234" s="6"/>
    </row>
    <row r="235" spans="2:43" x14ac:dyDescent="0.25">
      <c r="B235" t="s">
        <v>4402</v>
      </c>
      <c r="C235">
        <v>112155</v>
      </c>
      <c r="D235" t="s">
        <v>4404</v>
      </c>
      <c r="E235" t="s">
        <v>4214</v>
      </c>
      <c r="F235" t="s">
        <v>42</v>
      </c>
      <c r="H235" t="s">
        <v>116</v>
      </c>
      <c r="I235" t="s">
        <v>31</v>
      </c>
      <c r="J235" t="s">
        <v>32</v>
      </c>
      <c r="K235" t="s">
        <v>33</v>
      </c>
      <c r="L235" t="s">
        <v>52</v>
      </c>
      <c r="M235" t="s">
        <v>4092</v>
      </c>
      <c r="N235" t="s">
        <v>60</v>
      </c>
      <c r="P235" t="s">
        <v>394</v>
      </c>
      <c r="R235" s="5">
        <v>43199.690092592595</v>
      </c>
      <c r="S235" s="5">
        <v>43283.275578703702</v>
      </c>
      <c r="T235" t="s">
        <v>53</v>
      </c>
      <c r="U235" t="s">
        <v>35</v>
      </c>
      <c r="V235" s="3" t="s">
        <v>321</v>
      </c>
      <c r="W235" s="3" t="s">
        <v>4098</v>
      </c>
      <c r="AM235" s="5"/>
      <c r="AN235" s="5"/>
      <c r="AQ235" s="6"/>
    </row>
    <row r="236" spans="2:43" x14ac:dyDescent="0.25">
      <c r="B236" t="s">
        <v>4402</v>
      </c>
      <c r="C236">
        <v>111958</v>
      </c>
      <c r="D236" t="s">
        <v>4403</v>
      </c>
      <c r="E236" t="s">
        <v>4214</v>
      </c>
      <c r="F236" t="s">
        <v>305</v>
      </c>
      <c r="G236" t="s">
        <v>337</v>
      </c>
      <c r="H236" t="s">
        <v>116</v>
      </c>
      <c r="I236" t="s">
        <v>31</v>
      </c>
      <c r="J236" t="s">
        <v>32</v>
      </c>
      <c r="K236" t="s">
        <v>33</v>
      </c>
      <c r="L236" t="s">
        <v>52</v>
      </c>
      <c r="M236" t="s">
        <v>4092</v>
      </c>
      <c r="N236" t="s">
        <v>60</v>
      </c>
      <c r="P236" t="s">
        <v>394</v>
      </c>
      <c r="Q236" t="s">
        <v>69</v>
      </c>
      <c r="R236" s="5">
        <v>43193.706979166665</v>
      </c>
      <c r="S236" s="5">
        <v>43237.67827546296</v>
      </c>
      <c r="T236" t="s">
        <v>1</v>
      </c>
      <c r="U236" t="s">
        <v>35</v>
      </c>
      <c r="V236" s="3" t="s">
        <v>321</v>
      </c>
      <c r="W236" s="3" t="s">
        <v>307</v>
      </c>
      <c r="AM236" s="5"/>
      <c r="AN236" s="5"/>
      <c r="AQ236" s="6"/>
    </row>
    <row r="237" spans="2:43" x14ac:dyDescent="0.25">
      <c r="B237" t="s">
        <v>210</v>
      </c>
      <c r="C237">
        <v>111883</v>
      </c>
      <c r="D237" t="s">
        <v>4401</v>
      </c>
      <c r="E237" t="s">
        <v>387</v>
      </c>
      <c r="F237" t="s">
        <v>305</v>
      </c>
      <c r="G237" t="s">
        <v>337</v>
      </c>
      <c r="H237" t="s">
        <v>54</v>
      </c>
      <c r="I237" t="s">
        <v>31</v>
      </c>
      <c r="J237" t="s">
        <v>43</v>
      </c>
      <c r="K237" t="s">
        <v>33</v>
      </c>
      <c r="L237" t="s">
        <v>73</v>
      </c>
      <c r="M237" t="s">
        <v>263</v>
      </c>
      <c r="N237" t="s">
        <v>60</v>
      </c>
      <c r="O237" t="s">
        <v>4733</v>
      </c>
      <c r="P237" t="s">
        <v>56</v>
      </c>
      <c r="Q237" t="s">
        <v>2028</v>
      </c>
      <c r="R237" s="5">
        <v>43192.495208333334</v>
      </c>
      <c r="S237" s="5">
        <v>43392.143796296295</v>
      </c>
      <c r="T237" t="s">
        <v>490</v>
      </c>
      <c r="U237" t="s">
        <v>35</v>
      </c>
      <c r="V237" s="3" t="s">
        <v>321</v>
      </c>
      <c r="W237" s="3" t="s">
        <v>4210</v>
      </c>
      <c r="AM237" s="5"/>
      <c r="AN237" s="5"/>
      <c r="AQ237" s="6"/>
    </row>
    <row r="238" spans="2:43" x14ac:dyDescent="0.25">
      <c r="B238" t="s">
        <v>4392</v>
      </c>
      <c r="C238">
        <v>111875</v>
      </c>
      <c r="D238" t="s">
        <v>4398</v>
      </c>
      <c r="E238" t="s">
        <v>147</v>
      </c>
      <c r="F238" t="s">
        <v>305</v>
      </c>
      <c r="G238" t="s">
        <v>304</v>
      </c>
      <c r="H238" t="s">
        <v>54</v>
      </c>
      <c r="I238" t="s">
        <v>68</v>
      </c>
      <c r="J238" t="s">
        <v>43</v>
      </c>
      <c r="K238" t="s">
        <v>51</v>
      </c>
      <c r="L238" t="s">
        <v>34</v>
      </c>
      <c r="M238" t="s">
        <v>278</v>
      </c>
      <c r="N238" t="s">
        <v>4399</v>
      </c>
      <c r="P238" t="s">
        <v>69</v>
      </c>
      <c r="Q238" t="s">
        <v>4400</v>
      </c>
      <c r="R238" s="5">
        <v>43190.004606481481</v>
      </c>
      <c r="S238" s="5">
        <v>43280.791863425926</v>
      </c>
      <c r="T238" t="s">
        <v>53</v>
      </c>
      <c r="U238" t="s">
        <v>35</v>
      </c>
      <c r="V238" s="3" t="s">
        <v>35</v>
      </c>
      <c r="W238" s="3" t="s">
        <v>4143</v>
      </c>
      <c r="AM238" s="5"/>
      <c r="AN238" s="5"/>
      <c r="AQ238" s="6"/>
    </row>
    <row r="239" spans="2:43" x14ac:dyDescent="0.25">
      <c r="B239" t="s">
        <v>4392</v>
      </c>
      <c r="C239">
        <v>111874</v>
      </c>
      <c r="D239" t="s">
        <v>4396</v>
      </c>
      <c r="E239" t="s">
        <v>164</v>
      </c>
      <c r="F239" t="s">
        <v>67</v>
      </c>
      <c r="H239" t="s">
        <v>54</v>
      </c>
      <c r="I239" t="s">
        <v>31</v>
      </c>
      <c r="J239" t="s">
        <v>43</v>
      </c>
      <c r="K239" t="s">
        <v>51</v>
      </c>
      <c r="L239" t="s">
        <v>34</v>
      </c>
      <c r="M239" t="s">
        <v>278</v>
      </c>
      <c r="N239" t="s">
        <v>46</v>
      </c>
      <c r="O239" t="s">
        <v>4397</v>
      </c>
      <c r="P239" t="s">
        <v>69</v>
      </c>
      <c r="R239" s="5">
        <v>43190.004618055558</v>
      </c>
      <c r="S239" s="5">
        <v>43377.121504629627</v>
      </c>
      <c r="T239" t="s">
        <v>53</v>
      </c>
      <c r="U239" t="s">
        <v>35</v>
      </c>
      <c r="V239" s="3" t="s">
        <v>35</v>
      </c>
      <c r="W239" s="3" t="s">
        <v>4098</v>
      </c>
      <c r="AM239" s="5"/>
      <c r="AN239" s="5"/>
      <c r="AQ239" s="6"/>
    </row>
    <row r="240" spans="2:43" x14ac:dyDescent="0.25">
      <c r="B240" t="s">
        <v>4392</v>
      </c>
      <c r="C240">
        <v>111871</v>
      </c>
      <c r="D240" t="s">
        <v>4393</v>
      </c>
      <c r="E240" t="s">
        <v>164</v>
      </c>
      <c r="F240" t="s">
        <v>305</v>
      </c>
      <c r="G240" t="s">
        <v>337</v>
      </c>
      <c r="H240" t="s">
        <v>54</v>
      </c>
      <c r="I240" t="s">
        <v>31</v>
      </c>
      <c r="J240" t="s">
        <v>43</v>
      </c>
      <c r="K240" t="s">
        <v>51</v>
      </c>
      <c r="L240" t="s">
        <v>34</v>
      </c>
      <c r="M240" t="s">
        <v>278</v>
      </c>
      <c r="N240" t="s">
        <v>60</v>
      </c>
      <c r="O240" t="s">
        <v>4394</v>
      </c>
      <c r="P240" t="s">
        <v>69</v>
      </c>
      <c r="Q240" t="s">
        <v>4395</v>
      </c>
      <c r="R240" s="5">
        <v>43189.818935185183</v>
      </c>
      <c r="S240" s="5">
        <v>43227.810532407406</v>
      </c>
      <c r="T240" t="s">
        <v>1</v>
      </c>
      <c r="U240" t="s">
        <v>35</v>
      </c>
      <c r="V240" s="3" t="s">
        <v>35</v>
      </c>
      <c r="W240" s="3" t="s">
        <v>307</v>
      </c>
      <c r="AM240" s="5"/>
      <c r="AN240" s="5"/>
      <c r="AQ240" s="6"/>
    </row>
    <row r="241" spans="2:43" x14ac:dyDescent="0.25">
      <c r="B241" t="s">
        <v>4828</v>
      </c>
      <c r="C241">
        <v>111866</v>
      </c>
      <c r="D241" t="s">
        <v>4829</v>
      </c>
      <c r="E241" t="s">
        <v>387</v>
      </c>
      <c r="F241" t="s">
        <v>67</v>
      </c>
      <c r="H241" t="s">
        <v>54</v>
      </c>
      <c r="I241" t="s">
        <v>68</v>
      </c>
      <c r="J241" t="s">
        <v>43</v>
      </c>
      <c r="K241" t="s">
        <v>33</v>
      </c>
      <c r="L241" t="s">
        <v>73</v>
      </c>
      <c r="M241" t="s">
        <v>263</v>
      </c>
      <c r="N241" t="s">
        <v>60</v>
      </c>
      <c r="P241" t="s">
        <v>3698</v>
      </c>
      <c r="R241" s="5">
        <v>43189.658958333333</v>
      </c>
      <c r="S241" s="5">
        <v>43382.661168981482</v>
      </c>
      <c r="T241" t="s">
        <v>1</v>
      </c>
      <c r="U241" t="s">
        <v>35</v>
      </c>
      <c r="V241" s="3" t="s">
        <v>35</v>
      </c>
      <c r="W241" s="3" t="s">
        <v>4171</v>
      </c>
      <c r="AM241" s="5"/>
      <c r="AN241" s="5"/>
      <c r="AQ241" s="6"/>
    </row>
    <row r="242" spans="2:43" x14ac:dyDescent="0.25">
      <c r="B242" t="s">
        <v>4387</v>
      </c>
      <c r="C242">
        <v>111859</v>
      </c>
      <c r="D242" t="s">
        <v>4390</v>
      </c>
      <c r="E242" t="s">
        <v>335</v>
      </c>
      <c r="F242" t="s">
        <v>305</v>
      </c>
      <c r="G242" t="s">
        <v>304</v>
      </c>
      <c r="H242" t="s">
        <v>54</v>
      </c>
      <c r="I242" t="s">
        <v>31</v>
      </c>
      <c r="J242" t="s">
        <v>43</v>
      </c>
      <c r="K242" t="s">
        <v>44</v>
      </c>
      <c r="L242" t="s">
        <v>380</v>
      </c>
      <c r="M242" t="s">
        <v>434</v>
      </c>
      <c r="N242" t="s">
        <v>4195</v>
      </c>
      <c r="P242" t="s">
        <v>65</v>
      </c>
      <c r="Q242" t="s">
        <v>528</v>
      </c>
      <c r="R242" s="5">
        <v>43189.231215277781</v>
      </c>
      <c r="S242" s="5">
        <v>43402.397986111115</v>
      </c>
      <c r="T242" t="s">
        <v>53</v>
      </c>
      <c r="U242" t="s">
        <v>4391</v>
      </c>
      <c r="V242" s="3" t="s">
        <v>35</v>
      </c>
      <c r="W242" s="3" t="s">
        <v>4171</v>
      </c>
      <c r="AM242" s="5"/>
      <c r="AN242" s="5"/>
      <c r="AQ242" s="6"/>
    </row>
    <row r="243" spans="2:43" x14ac:dyDescent="0.25">
      <c r="B243" t="s">
        <v>4387</v>
      </c>
      <c r="C243">
        <v>111858</v>
      </c>
      <c r="D243" t="s">
        <v>4389</v>
      </c>
      <c r="E243" t="s">
        <v>335</v>
      </c>
      <c r="F243" t="s">
        <v>319</v>
      </c>
      <c r="G243" t="s">
        <v>304</v>
      </c>
      <c r="H243" t="s">
        <v>54</v>
      </c>
      <c r="I243" t="s">
        <v>31</v>
      </c>
      <c r="J243" t="s">
        <v>43</v>
      </c>
      <c r="K243" t="s">
        <v>44</v>
      </c>
      <c r="L243" t="s">
        <v>380</v>
      </c>
      <c r="M243" t="s">
        <v>434</v>
      </c>
      <c r="N243" t="s">
        <v>60</v>
      </c>
      <c r="P243" t="s">
        <v>65</v>
      </c>
      <c r="Q243" t="s">
        <v>528</v>
      </c>
      <c r="R243" s="5">
        <v>43189.231215277781</v>
      </c>
      <c r="S243" s="5">
        <v>43208.958657407406</v>
      </c>
      <c r="T243" t="s">
        <v>53</v>
      </c>
      <c r="U243" t="s">
        <v>35</v>
      </c>
      <c r="V243" s="3" t="s">
        <v>35</v>
      </c>
      <c r="W243" s="3" t="s">
        <v>4098</v>
      </c>
      <c r="AM243" s="5"/>
      <c r="AN243" s="5"/>
      <c r="AQ243" s="6"/>
    </row>
    <row r="244" spans="2:43" x14ac:dyDescent="0.25">
      <c r="B244" t="s">
        <v>4387</v>
      </c>
      <c r="C244">
        <v>111857</v>
      </c>
      <c r="D244" t="s">
        <v>4388</v>
      </c>
      <c r="E244" t="s">
        <v>335</v>
      </c>
      <c r="F244" t="s">
        <v>305</v>
      </c>
      <c r="G244" t="s">
        <v>337</v>
      </c>
      <c r="H244" t="s">
        <v>54</v>
      </c>
      <c r="I244" t="s">
        <v>31</v>
      </c>
      <c r="J244" t="s">
        <v>43</v>
      </c>
      <c r="K244" t="s">
        <v>44</v>
      </c>
      <c r="L244" t="s">
        <v>380</v>
      </c>
      <c r="M244" t="s">
        <v>434</v>
      </c>
      <c r="N244" t="s">
        <v>60</v>
      </c>
      <c r="P244" t="s">
        <v>65</v>
      </c>
      <c r="Q244" t="s">
        <v>3509</v>
      </c>
      <c r="R244" s="5">
        <v>43188.907557870371</v>
      </c>
      <c r="S244" s="5">
        <v>43194.609803240739</v>
      </c>
      <c r="T244" t="s">
        <v>3</v>
      </c>
      <c r="U244" t="s">
        <v>35</v>
      </c>
      <c r="V244" s="3" t="s">
        <v>35</v>
      </c>
      <c r="W244" s="3" t="s">
        <v>307</v>
      </c>
      <c r="AM244" s="5"/>
      <c r="AN244" s="5"/>
      <c r="AQ244" s="6"/>
    </row>
    <row r="245" spans="2:43" x14ac:dyDescent="0.25">
      <c r="B245" t="s">
        <v>2841</v>
      </c>
      <c r="C245">
        <v>111791</v>
      </c>
      <c r="D245" t="s">
        <v>4385</v>
      </c>
      <c r="E245" t="s">
        <v>387</v>
      </c>
      <c r="F245" t="s">
        <v>305</v>
      </c>
      <c r="G245" t="s">
        <v>337</v>
      </c>
      <c r="H245" t="s">
        <v>54</v>
      </c>
      <c r="I245" t="s">
        <v>31</v>
      </c>
      <c r="J245" t="s">
        <v>32</v>
      </c>
      <c r="K245" t="s">
        <v>33</v>
      </c>
      <c r="L245" t="s">
        <v>73</v>
      </c>
      <c r="M245" t="s">
        <v>273</v>
      </c>
      <c r="N245" t="s">
        <v>60</v>
      </c>
      <c r="P245" t="s">
        <v>3911</v>
      </c>
      <c r="Q245" t="s">
        <v>2028</v>
      </c>
      <c r="R245" s="5">
        <v>43187.408576388887</v>
      </c>
      <c r="S245" s="5">
        <v>43388.379421296297</v>
      </c>
      <c r="T245" t="s">
        <v>4386</v>
      </c>
      <c r="U245" t="s">
        <v>35</v>
      </c>
      <c r="V245" s="3" t="s">
        <v>35</v>
      </c>
      <c r="W245" s="3" t="s">
        <v>4168</v>
      </c>
      <c r="AM245" s="5"/>
      <c r="AN245" s="5"/>
      <c r="AQ245" s="6"/>
    </row>
    <row r="246" spans="2:43" x14ac:dyDescent="0.25">
      <c r="B246" t="s">
        <v>4369</v>
      </c>
      <c r="C246">
        <v>111694</v>
      </c>
      <c r="D246" t="s">
        <v>4384</v>
      </c>
      <c r="E246" t="s">
        <v>560</v>
      </c>
      <c r="F246" t="s">
        <v>305</v>
      </c>
      <c r="G246" t="s">
        <v>353</v>
      </c>
      <c r="H246" t="s">
        <v>30</v>
      </c>
      <c r="I246" t="s">
        <v>68</v>
      </c>
      <c r="J246" t="s">
        <v>43</v>
      </c>
      <c r="K246" t="s">
        <v>33</v>
      </c>
      <c r="L246" t="s">
        <v>73</v>
      </c>
      <c r="M246" t="s">
        <v>263</v>
      </c>
      <c r="N246" t="s">
        <v>46</v>
      </c>
      <c r="P246" t="s">
        <v>3698</v>
      </c>
      <c r="Q246" t="s">
        <v>4158</v>
      </c>
      <c r="R246" s="5">
        <v>43185.853877314818</v>
      </c>
      <c r="S246" s="5">
        <v>43294.144652777781</v>
      </c>
      <c r="T246" t="s">
        <v>53</v>
      </c>
      <c r="U246" t="s">
        <v>35</v>
      </c>
      <c r="V246" s="3" t="s">
        <v>35</v>
      </c>
      <c r="W246" s="3" t="s">
        <v>4171</v>
      </c>
      <c r="AM246" s="5"/>
      <c r="AN246" s="5"/>
      <c r="AQ246" s="6"/>
    </row>
    <row r="247" spans="2:43" x14ac:dyDescent="0.25">
      <c r="B247" t="s">
        <v>4369</v>
      </c>
      <c r="C247">
        <v>111693</v>
      </c>
      <c r="D247" t="s">
        <v>4383</v>
      </c>
      <c r="E247" t="s">
        <v>387</v>
      </c>
      <c r="F247" t="s">
        <v>305</v>
      </c>
      <c r="G247" t="s">
        <v>337</v>
      </c>
      <c r="H247" t="s">
        <v>30</v>
      </c>
      <c r="I247" t="s">
        <v>68</v>
      </c>
      <c r="J247" t="s">
        <v>43</v>
      </c>
      <c r="K247" t="s">
        <v>33</v>
      </c>
      <c r="L247" t="s">
        <v>73</v>
      </c>
      <c r="M247" t="s">
        <v>263</v>
      </c>
      <c r="N247" t="s">
        <v>46</v>
      </c>
      <c r="P247" t="s">
        <v>3698</v>
      </c>
      <c r="Q247" t="s">
        <v>4215</v>
      </c>
      <c r="R247" s="5">
        <v>43185.851782407408</v>
      </c>
      <c r="S247" s="5">
        <v>43237.682847222219</v>
      </c>
      <c r="T247" t="s">
        <v>53</v>
      </c>
      <c r="U247" t="s">
        <v>35</v>
      </c>
      <c r="V247" s="3" t="s">
        <v>35</v>
      </c>
      <c r="W247" s="3" t="s">
        <v>307</v>
      </c>
      <c r="AM247" s="5"/>
      <c r="AN247" s="5"/>
      <c r="AQ247" s="6"/>
    </row>
    <row r="248" spans="2:43" x14ac:dyDescent="0.25">
      <c r="B248" t="s">
        <v>4369</v>
      </c>
      <c r="C248">
        <v>111692</v>
      </c>
      <c r="D248" t="s">
        <v>4382</v>
      </c>
      <c r="E248" t="s">
        <v>560</v>
      </c>
      <c r="F248" t="s">
        <v>305</v>
      </c>
      <c r="G248" t="s">
        <v>353</v>
      </c>
      <c r="H248" t="s">
        <v>30</v>
      </c>
      <c r="I248" t="s">
        <v>68</v>
      </c>
      <c r="J248" t="s">
        <v>43</v>
      </c>
      <c r="K248" t="s">
        <v>33</v>
      </c>
      <c r="L248" t="s">
        <v>73</v>
      </c>
      <c r="M248" t="s">
        <v>263</v>
      </c>
      <c r="N248" t="s">
        <v>60</v>
      </c>
      <c r="P248" t="s">
        <v>3698</v>
      </c>
      <c r="Q248" t="s">
        <v>3708</v>
      </c>
      <c r="R248" s="5">
        <v>43185.851793981485</v>
      </c>
      <c r="S248" s="5">
        <v>43459.155358796299</v>
      </c>
      <c r="T248" t="s">
        <v>53</v>
      </c>
      <c r="U248" t="s">
        <v>35</v>
      </c>
      <c r="V248" s="3" t="s">
        <v>35</v>
      </c>
      <c r="W248" s="3" t="s">
        <v>4098</v>
      </c>
      <c r="AM248" s="5"/>
      <c r="AN248" s="5"/>
      <c r="AQ248" s="6"/>
    </row>
    <row r="249" spans="2:43" x14ac:dyDescent="0.25">
      <c r="B249" t="s">
        <v>4376</v>
      </c>
      <c r="C249">
        <v>111643</v>
      </c>
      <c r="D249" t="s">
        <v>5144</v>
      </c>
      <c r="E249" t="s">
        <v>134</v>
      </c>
      <c r="F249" t="s">
        <v>305</v>
      </c>
      <c r="G249" t="s">
        <v>304</v>
      </c>
      <c r="H249" t="s">
        <v>54</v>
      </c>
      <c r="I249" t="s">
        <v>31</v>
      </c>
      <c r="J249" t="s">
        <v>32</v>
      </c>
      <c r="K249" t="s">
        <v>33</v>
      </c>
      <c r="L249" t="s">
        <v>34</v>
      </c>
      <c r="M249" t="s">
        <v>279</v>
      </c>
      <c r="N249" t="s">
        <v>4195</v>
      </c>
      <c r="P249" t="s">
        <v>69</v>
      </c>
      <c r="Q249" t="s">
        <v>69</v>
      </c>
      <c r="R249" s="5">
        <v>43182.963252314818</v>
      </c>
      <c r="S249" s="5">
        <v>43444.542534722219</v>
      </c>
      <c r="T249" t="s">
        <v>53</v>
      </c>
      <c r="U249" t="s">
        <v>35</v>
      </c>
      <c r="V249" s="3" t="s">
        <v>321</v>
      </c>
      <c r="W249" s="3" t="s">
        <v>4143</v>
      </c>
      <c r="AM249" s="5"/>
      <c r="AN249" s="5"/>
      <c r="AQ249" s="6"/>
    </row>
    <row r="250" spans="2:43" x14ac:dyDescent="0.25">
      <c r="B250" t="s">
        <v>4376</v>
      </c>
      <c r="C250">
        <v>111642</v>
      </c>
      <c r="D250" t="s">
        <v>4380</v>
      </c>
      <c r="E250" t="s">
        <v>4899</v>
      </c>
      <c r="F250" t="s">
        <v>42</v>
      </c>
      <c r="H250" t="s">
        <v>116</v>
      </c>
      <c r="I250" t="s">
        <v>31</v>
      </c>
      <c r="J250" t="s">
        <v>32</v>
      </c>
      <c r="K250" t="s">
        <v>33</v>
      </c>
      <c r="L250" t="s">
        <v>34</v>
      </c>
      <c r="M250" t="s">
        <v>279</v>
      </c>
      <c r="N250" t="s">
        <v>60</v>
      </c>
      <c r="O250" t="s">
        <v>4381</v>
      </c>
      <c r="P250" t="s">
        <v>69</v>
      </c>
      <c r="R250" s="5">
        <v>43182.963252314818</v>
      </c>
      <c r="S250" s="5">
        <v>43396.649178240739</v>
      </c>
      <c r="T250" t="s">
        <v>53</v>
      </c>
      <c r="U250" t="s">
        <v>35</v>
      </c>
      <c r="V250" s="3" t="s">
        <v>321</v>
      </c>
      <c r="W250" s="3" t="s">
        <v>4098</v>
      </c>
      <c r="AM250" s="5"/>
      <c r="AN250" s="5"/>
      <c r="AQ250" s="6"/>
    </row>
    <row r="251" spans="2:43" x14ac:dyDescent="0.25">
      <c r="B251" t="s">
        <v>4378</v>
      </c>
      <c r="C251">
        <v>111641</v>
      </c>
      <c r="D251" t="s">
        <v>4379</v>
      </c>
      <c r="E251" t="s">
        <v>3671</v>
      </c>
      <c r="F251" t="s">
        <v>305</v>
      </c>
      <c r="G251" t="s">
        <v>337</v>
      </c>
      <c r="H251" t="s">
        <v>116</v>
      </c>
      <c r="I251" t="s">
        <v>31</v>
      </c>
      <c r="J251" t="s">
        <v>32</v>
      </c>
      <c r="K251" t="s">
        <v>33</v>
      </c>
      <c r="L251" t="s">
        <v>96</v>
      </c>
      <c r="M251" t="s">
        <v>269</v>
      </c>
      <c r="N251" t="s">
        <v>60</v>
      </c>
      <c r="P251" t="s">
        <v>3698</v>
      </c>
      <c r="Q251" t="s">
        <v>1503</v>
      </c>
      <c r="R251" s="5">
        <v>43182.942557870374</v>
      </c>
      <c r="S251" s="5">
        <v>43258.669212962966</v>
      </c>
      <c r="T251" t="s">
        <v>1</v>
      </c>
      <c r="U251" t="s">
        <v>35</v>
      </c>
      <c r="V251" s="3" t="s">
        <v>321</v>
      </c>
      <c r="W251" s="3" t="s">
        <v>307</v>
      </c>
      <c r="AM251" s="5"/>
      <c r="AN251" s="5"/>
      <c r="AQ251" s="6"/>
    </row>
    <row r="252" spans="2:43" x14ac:dyDescent="0.25">
      <c r="B252" t="s">
        <v>4376</v>
      </c>
      <c r="C252">
        <v>111640</v>
      </c>
      <c r="D252" t="s">
        <v>4377</v>
      </c>
      <c r="E252" t="s">
        <v>136</v>
      </c>
      <c r="F252" t="s">
        <v>305</v>
      </c>
      <c r="G252" t="s">
        <v>337</v>
      </c>
      <c r="H252" t="s">
        <v>54</v>
      </c>
      <c r="I252" t="s">
        <v>31</v>
      </c>
      <c r="J252" t="s">
        <v>32</v>
      </c>
      <c r="K252" t="s">
        <v>33</v>
      </c>
      <c r="L252" t="s">
        <v>34</v>
      </c>
      <c r="M252" t="s">
        <v>279</v>
      </c>
      <c r="N252" t="s">
        <v>60</v>
      </c>
      <c r="P252" t="s">
        <v>69</v>
      </c>
      <c r="Q252" t="s">
        <v>3509</v>
      </c>
      <c r="R252" s="5">
        <v>43182.924641203703</v>
      </c>
      <c r="S252" s="5">
        <v>43238.898576388892</v>
      </c>
      <c r="T252" t="s">
        <v>1</v>
      </c>
      <c r="U252" t="s">
        <v>35</v>
      </c>
      <c r="V252" s="3" t="s">
        <v>321</v>
      </c>
      <c r="W252" s="3" t="s">
        <v>307</v>
      </c>
      <c r="AM252" s="5"/>
      <c r="AN252" s="5"/>
      <c r="AQ252" s="6"/>
    </row>
    <row r="253" spans="2:43" x14ac:dyDescent="0.25">
      <c r="B253" t="s">
        <v>4365</v>
      </c>
      <c r="C253">
        <v>111633</v>
      </c>
      <c r="D253" t="s">
        <v>4374</v>
      </c>
      <c r="E253" t="s">
        <v>194</v>
      </c>
      <c r="F253" t="s">
        <v>305</v>
      </c>
      <c r="G253" t="s">
        <v>337</v>
      </c>
      <c r="H253" t="s">
        <v>54</v>
      </c>
      <c r="I253" t="s">
        <v>31</v>
      </c>
      <c r="J253" t="s">
        <v>32</v>
      </c>
      <c r="K253" t="s">
        <v>33</v>
      </c>
      <c r="L253" t="s">
        <v>195</v>
      </c>
      <c r="M253" t="s">
        <v>284</v>
      </c>
      <c r="N253" t="s">
        <v>60</v>
      </c>
      <c r="O253" t="s">
        <v>4375</v>
      </c>
      <c r="P253" t="s">
        <v>69</v>
      </c>
      <c r="Q253" t="s">
        <v>3509</v>
      </c>
      <c r="R253" s="5">
        <v>43182.680578703701</v>
      </c>
      <c r="S253" s="5">
        <v>43202.867847222224</v>
      </c>
      <c r="T253" t="s">
        <v>53</v>
      </c>
      <c r="U253" t="s">
        <v>35</v>
      </c>
      <c r="V253" s="3" t="s">
        <v>321</v>
      </c>
      <c r="W253" s="3" t="s">
        <v>307</v>
      </c>
      <c r="AM253" s="5"/>
      <c r="AN253" s="5"/>
      <c r="AQ253" s="6"/>
    </row>
    <row r="254" spans="2:43" x14ac:dyDescent="0.25">
      <c r="B254" t="s">
        <v>4365</v>
      </c>
      <c r="C254">
        <v>111632</v>
      </c>
      <c r="D254" t="s">
        <v>4372</v>
      </c>
      <c r="E254" t="s">
        <v>194</v>
      </c>
      <c r="F254" t="s">
        <v>29</v>
      </c>
      <c r="H254" t="s">
        <v>116</v>
      </c>
      <c r="I254" t="s">
        <v>31</v>
      </c>
      <c r="J254" t="s">
        <v>32</v>
      </c>
      <c r="K254" t="s">
        <v>33</v>
      </c>
      <c r="L254" t="s">
        <v>195</v>
      </c>
      <c r="M254" t="s">
        <v>284</v>
      </c>
      <c r="N254" t="s">
        <v>46</v>
      </c>
      <c r="O254" t="s">
        <v>4373</v>
      </c>
      <c r="P254" t="s">
        <v>69</v>
      </c>
      <c r="Q254" t="s">
        <v>4367</v>
      </c>
      <c r="R254" s="5">
        <v>43182.680590277778</v>
      </c>
      <c r="S254" s="5">
        <v>43411.687858796293</v>
      </c>
      <c r="T254" t="s">
        <v>53</v>
      </c>
      <c r="U254" t="s">
        <v>35</v>
      </c>
      <c r="V254" s="3" t="s">
        <v>321</v>
      </c>
      <c r="W254" s="3" t="s">
        <v>4098</v>
      </c>
      <c r="AM254" s="5"/>
      <c r="AN254" s="5"/>
      <c r="AQ254" s="6"/>
    </row>
    <row r="255" spans="2:43" x14ac:dyDescent="0.25">
      <c r="B255" t="s">
        <v>4341</v>
      </c>
      <c r="C255">
        <v>111511</v>
      </c>
      <c r="D255" t="s">
        <v>4371</v>
      </c>
      <c r="E255" t="s">
        <v>91</v>
      </c>
      <c r="F255" t="s">
        <v>305</v>
      </c>
      <c r="G255" t="s">
        <v>304</v>
      </c>
      <c r="H255" t="s">
        <v>54</v>
      </c>
      <c r="I255" t="s">
        <v>31</v>
      </c>
      <c r="J255" t="s">
        <v>43</v>
      </c>
      <c r="K255" t="s">
        <v>44</v>
      </c>
      <c r="L255" t="s">
        <v>73</v>
      </c>
      <c r="M255" t="s">
        <v>263</v>
      </c>
      <c r="N255" t="s">
        <v>60</v>
      </c>
      <c r="P255" t="s">
        <v>449</v>
      </c>
      <c r="Q255" t="s">
        <v>3509</v>
      </c>
      <c r="R255" s="5">
        <v>43180.529432870368</v>
      </c>
      <c r="S255" s="5">
        <v>43265.444143518522</v>
      </c>
      <c r="T255" t="s">
        <v>91</v>
      </c>
      <c r="U255" t="s">
        <v>35</v>
      </c>
      <c r="V255" s="3" t="s">
        <v>35</v>
      </c>
      <c r="W255" s="3" t="s">
        <v>4236</v>
      </c>
      <c r="AM255" s="5"/>
      <c r="AN255" s="5"/>
      <c r="AQ255" s="6"/>
    </row>
    <row r="256" spans="2:43" x14ac:dyDescent="0.25">
      <c r="B256" t="s">
        <v>4369</v>
      </c>
      <c r="C256">
        <v>111459</v>
      </c>
      <c r="D256" t="s">
        <v>4370</v>
      </c>
      <c r="E256" t="s">
        <v>560</v>
      </c>
      <c r="F256" t="s">
        <v>305</v>
      </c>
      <c r="G256" t="s">
        <v>337</v>
      </c>
      <c r="H256" t="s">
        <v>30</v>
      </c>
      <c r="I256" t="s">
        <v>68</v>
      </c>
      <c r="J256" t="s">
        <v>43</v>
      </c>
      <c r="K256" t="s">
        <v>33</v>
      </c>
      <c r="L256" t="s">
        <v>73</v>
      </c>
      <c r="M256" t="s">
        <v>263</v>
      </c>
      <c r="N256" t="s">
        <v>46</v>
      </c>
      <c r="P256" t="s">
        <v>3698</v>
      </c>
      <c r="Q256" t="s">
        <v>3708</v>
      </c>
      <c r="R256" s="5">
        <v>43179.904027777775</v>
      </c>
      <c r="S256" s="5">
        <v>43423.872465277775</v>
      </c>
      <c r="T256" t="s">
        <v>1</v>
      </c>
      <c r="U256" t="s">
        <v>35</v>
      </c>
      <c r="V256" s="3" t="s">
        <v>35</v>
      </c>
      <c r="W256" s="3" t="s">
        <v>4158</v>
      </c>
      <c r="AM256" s="5"/>
      <c r="AN256" s="5"/>
      <c r="AQ256" s="6"/>
    </row>
    <row r="257" spans="2:43" x14ac:dyDescent="0.25">
      <c r="B257" t="s">
        <v>2841</v>
      </c>
      <c r="C257">
        <v>111366</v>
      </c>
      <c r="D257" t="s">
        <v>4368</v>
      </c>
      <c r="E257" t="s">
        <v>387</v>
      </c>
      <c r="F257" t="s">
        <v>305</v>
      </c>
      <c r="G257" t="s">
        <v>337</v>
      </c>
      <c r="H257" t="s">
        <v>54</v>
      </c>
      <c r="I257" t="s">
        <v>31</v>
      </c>
      <c r="J257" t="s">
        <v>32</v>
      </c>
      <c r="K257" t="s">
        <v>33</v>
      </c>
      <c r="L257" t="s">
        <v>73</v>
      </c>
      <c r="M257" t="s">
        <v>273</v>
      </c>
      <c r="N257" t="s">
        <v>60</v>
      </c>
      <c r="P257" t="s">
        <v>2166</v>
      </c>
      <c r="Q257" t="s">
        <v>2028</v>
      </c>
      <c r="R257" s="5">
        <v>43178.437974537039</v>
      </c>
      <c r="S257" s="5">
        <v>43388.37940972222</v>
      </c>
      <c r="T257" t="s">
        <v>3367</v>
      </c>
      <c r="U257" t="s">
        <v>35</v>
      </c>
      <c r="V257" s="3" t="s">
        <v>35</v>
      </c>
      <c r="W257" s="3" t="s">
        <v>4168</v>
      </c>
      <c r="AM257" s="5"/>
      <c r="AN257" s="5"/>
      <c r="AQ257" s="6"/>
    </row>
    <row r="258" spans="2:43" x14ac:dyDescent="0.25">
      <c r="B258" t="s">
        <v>4365</v>
      </c>
      <c r="C258">
        <v>111173</v>
      </c>
      <c r="D258" t="s">
        <v>4366</v>
      </c>
      <c r="E258" t="s">
        <v>194</v>
      </c>
      <c r="F258" t="s">
        <v>305</v>
      </c>
      <c r="G258" t="s">
        <v>304</v>
      </c>
      <c r="H258" t="s">
        <v>54</v>
      </c>
      <c r="I258" t="s">
        <v>31</v>
      </c>
      <c r="J258" t="s">
        <v>32</v>
      </c>
      <c r="K258" t="s">
        <v>33</v>
      </c>
      <c r="L258" t="s">
        <v>195</v>
      </c>
      <c r="M258" t="s">
        <v>284</v>
      </c>
      <c r="N258" t="s">
        <v>4195</v>
      </c>
      <c r="P258" t="s">
        <v>69</v>
      </c>
      <c r="Q258" t="s">
        <v>4367</v>
      </c>
      <c r="R258" s="5">
        <v>43171.89503472222</v>
      </c>
      <c r="S258" s="5">
        <v>43446.50172453704</v>
      </c>
      <c r="T258" t="s">
        <v>1</v>
      </c>
      <c r="U258" t="s">
        <v>35</v>
      </c>
      <c r="V258" s="3" t="s">
        <v>321</v>
      </c>
      <c r="W258" s="3" t="s">
        <v>4171</v>
      </c>
      <c r="AM258" s="5"/>
      <c r="AN258" s="5"/>
      <c r="AQ258" s="6"/>
    </row>
    <row r="259" spans="2:43" x14ac:dyDescent="0.25">
      <c r="B259" t="s">
        <v>4357</v>
      </c>
      <c r="C259">
        <v>110955</v>
      </c>
      <c r="D259" t="s">
        <v>4364</v>
      </c>
      <c r="E259" t="s">
        <v>288</v>
      </c>
      <c r="F259" t="s">
        <v>319</v>
      </c>
      <c r="G259" t="s">
        <v>304</v>
      </c>
      <c r="H259" t="s">
        <v>116</v>
      </c>
      <c r="I259" t="s">
        <v>31</v>
      </c>
      <c r="J259" t="s">
        <v>43</v>
      </c>
      <c r="K259" t="s">
        <v>44</v>
      </c>
      <c r="L259" t="s">
        <v>96</v>
      </c>
      <c r="M259" t="s">
        <v>281</v>
      </c>
      <c r="N259" t="s">
        <v>60</v>
      </c>
      <c r="P259" t="s">
        <v>3698</v>
      </c>
      <c r="Q259" t="s">
        <v>3748</v>
      </c>
      <c r="R259" s="5">
        <v>43165.007303240738</v>
      </c>
      <c r="S259" s="5">
        <v>43208.754606481481</v>
      </c>
      <c r="T259" t="s">
        <v>53</v>
      </c>
      <c r="U259" t="s">
        <v>35</v>
      </c>
      <c r="V259" s="3" t="s">
        <v>321</v>
      </c>
      <c r="W259" s="3" t="s">
        <v>4158</v>
      </c>
      <c r="AM259" s="5"/>
      <c r="AN259" s="5"/>
      <c r="AQ259" s="6"/>
    </row>
    <row r="260" spans="2:43" x14ac:dyDescent="0.25">
      <c r="B260" t="s">
        <v>4357</v>
      </c>
      <c r="C260">
        <v>110951</v>
      </c>
      <c r="D260" t="s">
        <v>4363</v>
      </c>
      <c r="E260" t="s">
        <v>3671</v>
      </c>
      <c r="F260" t="s">
        <v>319</v>
      </c>
      <c r="G260" t="s">
        <v>304</v>
      </c>
      <c r="H260" t="s">
        <v>116</v>
      </c>
      <c r="I260" t="s">
        <v>31</v>
      </c>
      <c r="J260" t="s">
        <v>43</v>
      </c>
      <c r="K260" t="s">
        <v>44</v>
      </c>
      <c r="L260" t="s">
        <v>96</v>
      </c>
      <c r="M260" t="s">
        <v>281</v>
      </c>
      <c r="N260" t="s">
        <v>3513</v>
      </c>
      <c r="P260" t="s">
        <v>3698</v>
      </c>
      <c r="Q260" t="s">
        <v>4360</v>
      </c>
      <c r="R260" s="5">
        <v>43164.78806712963</v>
      </c>
      <c r="S260" s="5">
        <v>43404.616064814814</v>
      </c>
      <c r="T260" t="s">
        <v>288</v>
      </c>
      <c r="U260" t="s">
        <v>35</v>
      </c>
      <c r="V260" s="3" t="s">
        <v>321</v>
      </c>
      <c r="W260" s="3" t="s">
        <v>4171</v>
      </c>
      <c r="AM260" s="5"/>
      <c r="AN260" s="5"/>
      <c r="AQ260" s="6"/>
    </row>
    <row r="261" spans="2:43" x14ac:dyDescent="0.25">
      <c r="B261" t="s">
        <v>4357</v>
      </c>
      <c r="C261">
        <v>110950</v>
      </c>
      <c r="D261" t="s">
        <v>4362</v>
      </c>
      <c r="E261" t="s">
        <v>3671</v>
      </c>
      <c r="F261" t="s">
        <v>319</v>
      </c>
      <c r="G261" t="s">
        <v>304</v>
      </c>
      <c r="H261" t="s">
        <v>56</v>
      </c>
      <c r="I261" t="s">
        <v>31</v>
      </c>
      <c r="J261" t="s">
        <v>43</v>
      </c>
      <c r="K261" t="s">
        <v>44</v>
      </c>
      <c r="L261" t="s">
        <v>96</v>
      </c>
      <c r="M261" t="s">
        <v>281</v>
      </c>
      <c r="N261" t="s">
        <v>60</v>
      </c>
      <c r="P261" t="s">
        <v>3698</v>
      </c>
      <c r="Q261" t="s">
        <v>3698</v>
      </c>
      <c r="R261" s="5">
        <v>43164.788078703707</v>
      </c>
      <c r="S261" s="5">
        <v>43328.681030092594</v>
      </c>
      <c r="T261" t="s">
        <v>288</v>
      </c>
      <c r="U261" t="s">
        <v>35</v>
      </c>
      <c r="V261" s="3" t="s">
        <v>321</v>
      </c>
      <c r="W261" s="3" t="s">
        <v>4098</v>
      </c>
      <c r="AM261" s="5"/>
      <c r="AN261" s="5"/>
      <c r="AQ261" s="6"/>
    </row>
    <row r="262" spans="2:43" x14ac:dyDescent="0.25">
      <c r="B262" t="s">
        <v>4357</v>
      </c>
      <c r="C262">
        <v>110892</v>
      </c>
      <c r="D262" t="s">
        <v>4358</v>
      </c>
      <c r="E262" t="s">
        <v>3671</v>
      </c>
      <c r="F262" t="s">
        <v>305</v>
      </c>
      <c r="G262" t="s">
        <v>304</v>
      </c>
      <c r="H262" t="s">
        <v>116</v>
      </c>
      <c r="I262" t="s">
        <v>31</v>
      </c>
      <c r="J262" t="s">
        <v>43</v>
      </c>
      <c r="K262" t="s">
        <v>44</v>
      </c>
      <c r="L262" t="s">
        <v>96</v>
      </c>
      <c r="M262" t="s">
        <v>281</v>
      </c>
      <c r="N262" t="s">
        <v>4359</v>
      </c>
      <c r="P262" t="s">
        <v>3698</v>
      </c>
      <c r="Q262" t="s">
        <v>4360</v>
      </c>
      <c r="R262" s="5">
        <v>43160.782951388886</v>
      </c>
      <c r="S262" s="5">
        <v>43360.67732638889</v>
      </c>
      <c r="T262" t="s">
        <v>3</v>
      </c>
      <c r="U262" t="s">
        <v>4361</v>
      </c>
      <c r="V262" s="3" t="s">
        <v>321</v>
      </c>
      <c r="W262" s="3" t="s">
        <v>307</v>
      </c>
      <c r="AM262" s="5"/>
      <c r="AN262" s="5"/>
      <c r="AQ262" s="6"/>
    </row>
    <row r="263" spans="2:43" x14ac:dyDescent="0.25">
      <c r="B263" t="s">
        <v>3886</v>
      </c>
      <c r="C263">
        <v>110857</v>
      </c>
      <c r="D263" t="s">
        <v>4355</v>
      </c>
      <c r="E263" t="s">
        <v>2053</v>
      </c>
      <c r="F263" t="s">
        <v>305</v>
      </c>
      <c r="G263" t="s">
        <v>304</v>
      </c>
      <c r="H263" t="s">
        <v>116</v>
      </c>
      <c r="I263" t="s">
        <v>68</v>
      </c>
      <c r="J263" t="s">
        <v>58</v>
      </c>
      <c r="K263" t="s">
        <v>51</v>
      </c>
      <c r="L263" t="s">
        <v>34</v>
      </c>
      <c r="M263" t="s">
        <v>3780</v>
      </c>
      <c r="N263" t="s">
        <v>510</v>
      </c>
      <c r="O263" t="s">
        <v>4356</v>
      </c>
      <c r="P263" t="s">
        <v>3887</v>
      </c>
      <c r="Q263" t="s">
        <v>85</v>
      </c>
      <c r="R263" s="5">
        <v>43159.976979166669</v>
      </c>
      <c r="S263" s="5">
        <v>43433.66982638889</v>
      </c>
      <c r="T263" t="s">
        <v>1917</v>
      </c>
      <c r="U263" t="s">
        <v>35</v>
      </c>
      <c r="V263" s="3" t="s">
        <v>35</v>
      </c>
      <c r="W263" s="3" t="s">
        <v>3915</v>
      </c>
      <c r="AM263" s="5"/>
      <c r="AN263" s="5"/>
      <c r="AQ263" s="6"/>
    </row>
    <row r="264" spans="2:43" x14ac:dyDescent="0.25">
      <c r="B264" t="s">
        <v>3886</v>
      </c>
      <c r="C264">
        <v>110856</v>
      </c>
      <c r="D264" t="s">
        <v>4354</v>
      </c>
      <c r="E264" t="s">
        <v>3787</v>
      </c>
      <c r="F264" t="s">
        <v>319</v>
      </c>
      <c r="G264" t="s">
        <v>304</v>
      </c>
      <c r="H264" t="s">
        <v>30</v>
      </c>
      <c r="I264" t="s">
        <v>68</v>
      </c>
      <c r="J264" t="s">
        <v>58</v>
      </c>
      <c r="K264" t="s">
        <v>51</v>
      </c>
      <c r="L264" t="s">
        <v>34</v>
      </c>
      <c r="M264" t="s">
        <v>3780</v>
      </c>
      <c r="N264" t="s">
        <v>46</v>
      </c>
      <c r="O264" t="s">
        <v>4664</v>
      </c>
      <c r="P264" t="s">
        <v>3887</v>
      </c>
      <c r="Q264" t="s">
        <v>85</v>
      </c>
      <c r="R264" s="5">
        <v>43159.976990740739</v>
      </c>
      <c r="S264" s="5">
        <v>43325.591516203705</v>
      </c>
      <c r="T264" t="s">
        <v>1917</v>
      </c>
      <c r="U264" t="s">
        <v>35</v>
      </c>
      <c r="V264" s="3" t="s">
        <v>35</v>
      </c>
      <c r="W264" s="3" t="s">
        <v>4098</v>
      </c>
      <c r="AM264" s="5"/>
      <c r="AN264" s="5"/>
      <c r="AQ264" s="6"/>
    </row>
    <row r="265" spans="2:43" x14ac:dyDescent="0.25">
      <c r="B265" t="s">
        <v>4352</v>
      </c>
      <c r="C265">
        <v>110692</v>
      </c>
      <c r="D265" t="s">
        <v>5143</v>
      </c>
      <c r="E265" t="s">
        <v>64</v>
      </c>
      <c r="F265" t="s">
        <v>67</v>
      </c>
      <c r="H265" t="s">
        <v>56</v>
      </c>
      <c r="I265" t="s">
        <v>68</v>
      </c>
      <c r="J265" t="s">
        <v>43</v>
      </c>
      <c r="K265" t="s">
        <v>33</v>
      </c>
      <c r="L265" t="s">
        <v>73</v>
      </c>
      <c r="M265" t="s">
        <v>263</v>
      </c>
      <c r="N265" t="s">
        <v>46</v>
      </c>
      <c r="P265" t="s">
        <v>69</v>
      </c>
      <c r="R265" s="5">
        <v>43154.692025462966</v>
      </c>
      <c r="S265" s="5">
        <v>43444.994398148148</v>
      </c>
      <c r="T265" t="s">
        <v>5</v>
      </c>
      <c r="U265" t="s">
        <v>35</v>
      </c>
      <c r="V265" s="3" t="s">
        <v>35</v>
      </c>
      <c r="W265" s="3" t="s">
        <v>4410</v>
      </c>
      <c r="AM265" s="5"/>
      <c r="AN265" s="5"/>
      <c r="AQ265" s="6"/>
    </row>
    <row r="266" spans="2:43" x14ac:dyDescent="0.25">
      <c r="B266" t="s">
        <v>4347</v>
      </c>
      <c r="C266">
        <v>110690</v>
      </c>
      <c r="D266" t="s">
        <v>4348</v>
      </c>
      <c r="E266" t="s">
        <v>86</v>
      </c>
      <c r="F266" t="s">
        <v>305</v>
      </c>
      <c r="G266" t="s">
        <v>304</v>
      </c>
      <c r="H266" t="s">
        <v>56</v>
      </c>
      <c r="I266" t="s">
        <v>31</v>
      </c>
      <c r="J266" t="s">
        <v>32</v>
      </c>
      <c r="K266" t="s">
        <v>33</v>
      </c>
      <c r="L266" t="s">
        <v>34</v>
      </c>
      <c r="M266" t="s">
        <v>3704</v>
      </c>
      <c r="N266" t="s">
        <v>46</v>
      </c>
      <c r="O266" t="s">
        <v>4350</v>
      </c>
      <c r="P266" t="s">
        <v>3428</v>
      </c>
      <c r="Q266" t="s">
        <v>4351</v>
      </c>
      <c r="R266" s="5">
        <v>43154.667222222219</v>
      </c>
      <c r="S266" s="5">
        <v>43447.642685185187</v>
      </c>
      <c r="T266" t="s">
        <v>86</v>
      </c>
      <c r="U266" t="s">
        <v>35</v>
      </c>
      <c r="V266" s="3" t="s">
        <v>35</v>
      </c>
      <c r="W266" s="3" t="s">
        <v>4349</v>
      </c>
      <c r="AM266" s="5"/>
      <c r="AN266" s="5"/>
      <c r="AQ266" s="6"/>
    </row>
    <row r="267" spans="2:43" x14ac:dyDescent="0.25">
      <c r="B267" t="s">
        <v>3774</v>
      </c>
      <c r="C267">
        <v>110653</v>
      </c>
      <c r="D267" t="s">
        <v>4346</v>
      </c>
      <c r="E267" t="s">
        <v>387</v>
      </c>
      <c r="F267" t="s">
        <v>319</v>
      </c>
      <c r="G267" t="s">
        <v>304</v>
      </c>
      <c r="H267" t="s">
        <v>30</v>
      </c>
      <c r="I267" t="s">
        <v>68</v>
      </c>
      <c r="J267" t="s">
        <v>43</v>
      </c>
      <c r="K267" t="s">
        <v>33</v>
      </c>
      <c r="L267" t="s">
        <v>73</v>
      </c>
      <c r="M267" t="s">
        <v>263</v>
      </c>
      <c r="N267" t="s">
        <v>60</v>
      </c>
      <c r="P267" t="s">
        <v>307</v>
      </c>
      <c r="Q267" t="s">
        <v>3762</v>
      </c>
      <c r="R267" s="5">
        <v>43153.847418981481</v>
      </c>
      <c r="S267" s="5">
        <v>43215.98332175926</v>
      </c>
      <c r="T267" t="s">
        <v>70</v>
      </c>
      <c r="U267" t="s">
        <v>35</v>
      </c>
      <c r="V267" s="3" t="s">
        <v>35</v>
      </c>
      <c r="W267" s="3" t="s">
        <v>4172</v>
      </c>
      <c r="AM267" s="5"/>
      <c r="AN267" s="5"/>
      <c r="AQ267" s="6"/>
    </row>
    <row r="268" spans="2:43" x14ac:dyDescent="0.25">
      <c r="B268" t="s">
        <v>4341</v>
      </c>
      <c r="C268">
        <v>110641</v>
      </c>
      <c r="D268" t="s">
        <v>4345</v>
      </c>
      <c r="E268" t="s">
        <v>387</v>
      </c>
      <c r="F268" t="s">
        <v>305</v>
      </c>
      <c r="G268" t="s">
        <v>304</v>
      </c>
      <c r="H268" t="s">
        <v>54</v>
      </c>
      <c r="I268" t="s">
        <v>31</v>
      </c>
      <c r="J268" t="s">
        <v>43</v>
      </c>
      <c r="K268" t="s">
        <v>44</v>
      </c>
      <c r="L268" t="s">
        <v>73</v>
      </c>
      <c r="M268" t="s">
        <v>263</v>
      </c>
      <c r="N268" t="s">
        <v>60</v>
      </c>
      <c r="P268" t="s">
        <v>449</v>
      </c>
      <c r="Q268" t="s">
        <v>2854</v>
      </c>
      <c r="R268" s="5">
        <v>43153.502071759256</v>
      </c>
      <c r="S268" s="5">
        <v>43360.579189814816</v>
      </c>
      <c r="T268" t="s">
        <v>301</v>
      </c>
      <c r="U268" t="s">
        <v>35</v>
      </c>
      <c r="V268" s="3" t="s">
        <v>35</v>
      </c>
      <c r="W268" s="3" t="s">
        <v>4231</v>
      </c>
      <c r="AM268" s="5"/>
      <c r="AN268" s="5"/>
      <c r="AQ268" s="6"/>
    </row>
    <row r="269" spans="2:43" x14ac:dyDescent="0.25">
      <c r="B269" t="s">
        <v>2841</v>
      </c>
      <c r="C269">
        <v>110523</v>
      </c>
      <c r="D269" t="s">
        <v>4343</v>
      </c>
      <c r="E269" t="s">
        <v>387</v>
      </c>
      <c r="F269" t="s">
        <v>305</v>
      </c>
      <c r="G269" t="s">
        <v>337</v>
      </c>
      <c r="H269" t="s">
        <v>54</v>
      </c>
      <c r="I269" t="s">
        <v>31</v>
      </c>
      <c r="J269" t="s">
        <v>32</v>
      </c>
      <c r="K269" t="s">
        <v>33</v>
      </c>
      <c r="L269" t="s">
        <v>73</v>
      </c>
      <c r="M269" t="s">
        <v>273</v>
      </c>
      <c r="N269" t="s">
        <v>60</v>
      </c>
      <c r="P269" t="s">
        <v>3911</v>
      </c>
      <c r="Q269" t="s">
        <v>2028</v>
      </c>
      <c r="R269" s="5">
        <v>43150.289270833331</v>
      </c>
      <c r="S269" s="5">
        <v>43388.379421296297</v>
      </c>
      <c r="T269" t="s">
        <v>4344</v>
      </c>
      <c r="U269" t="s">
        <v>35</v>
      </c>
      <c r="V269" s="3" t="s">
        <v>35</v>
      </c>
      <c r="W269" s="3" t="s">
        <v>4168</v>
      </c>
      <c r="AM269" s="5"/>
      <c r="AN269" s="5"/>
      <c r="AQ269" s="6"/>
    </row>
    <row r="270" spans="2:43" x14ac:dyDescent="0.25">
      <c r="B270" t="s">
        <v>4341</v>
      </c>
      <c r="C270">
        <v>110510</v>
      </c>
      <c r="D270" t="s">
        <v>4342</v>
      </c>
      <c r="E270" t="s">
        <v>387</v>
      </c>
      <c r="F270" t="s">
        <v>319</v>
      </c>
      <c r="G270" t="s">
        <v>304</v>
      </c>
      <c r="H270" t="s">
        <v>54</v>
      </c>
      <c r="I270" t="s">
        <v>31</v>
      </c>
      <c r="J270" t="s">
        <v>43</v>
      </c>
      <c r="K270" t="s">
        <v>44</v>
      </c>
      <c r="L270" t="s">
        <v>73</v>
      </c>
      <c r="M270" t="s">
        <v>263</v>
      </c>
      <c r="N270" t="s">
        <v>60</v>
      </c>
      <c r="P270" t="s">
        <v>449</v>
      </c>
      <c r="Q270" t="s">
        <v>2854</v>
      </c>
      <c r="R270" s="5">
        <v>43147.700474537036</v>
      </c>
      <c r="S270" s="5">
        <v>43353.404479166667</v>
      </c>
      <c r="T270" t="s">
        <v>86</v>
      </c>
      <c r="U270" t="s">
        <v>35</v>
      </c>
      <c r="V270" s="3" t="s">
        <v>35</v>
      </c>
      <c r="W270" s="3" t="s">
        <v>4098</v>
      </c>
      <c r="AM270" s="5"/>
      <c r="AN270" s="5"/>
      <c r="AQ270" s="6"/>
    </row>
    <row r="271" spans="2:43" x14ac:dyDescent="0.25">
      <c r="B271" t="s">
        <v>2841</v>
      </c>
      <c r="C271">
        <v>110498</v>
      </c>
      <c r="D271" t="s">
        <v>4663</v>
      </c>
      <c r="E271" t="s">
        <v>387</v>
      </c>
      <c r="F271" t="s">
        <v>4087</v>
      </c>
      <c r="H271" t="s">
        <v>54</v>
      </c>
      <c r="I271" t="s">
        <v>31</v>
      </c>
      <c r="J271" t="s">
        <v>32</v>
      </c>
      <c r="K271" t="s">
        <v>33</v>
      </c>
      <c r="L271" t="s">
        <v>73</v>
      </c>
      <c r="M271" t="s">
        <v>273</v>
      </c>
      <c r="N271" t="s">
        <v>60</v>
      </c>
      <c r="P271" t="s">
        <v>4459</v>
      </c>
      <c r="R271" s="5">
        <v>43147.512499999997</v>
      </c>
      <c r="S271" s="5">
        <v>43388.636724537035</v>
      </c>
      <c r="T271" t="s">
        <v>4460</v>
      </c>
      <c r="U271" t="s">
        <v>35</v>
      </c>
      <c r="V271" s="3" t="s">
        <v>35</v>
      </c>
      <c r="W271" s="3" t="s">
        <v>4168</v>
      </c>
      <c r="AM271" s="5"/>
      <c r="AN271" s="5"/>
      <c r="AQ271" s="6"/>
    </row>
    <row r="272" spans="2:43" x14ac:dyDescent="0.25">
      <c r="B272" t="s">
        <v>4957</v>
      </c>
      <c r="C272">
        <v>110483</v>
      </c>
      <c r="D272" t="s">
        <v>5140</v>
      </c>
      <c r="E272" t="s">
        <v>4214</v>
      </c>
      <c r="F272" t="s">
        <v>305</v>
      </c>
      <c r="G272" t="s">
        <v>304</v>
      </c>
      <c r="H272" t="s">
        <v>116</v>
      </c>
      <c r="I272" t="s">
        <v>68</v>
      </c>
      <c r="J272" t="s">
        <v>43</v>
      </c>
      <c r="K272" t="s">
        <v>33</v>
      </c>
      <c r="L272" t="s">
        <v>52</v>
      </c>
      <c r="M272" t="s">
        <v>4959</v>
      </c>
      <c r="N272" t="s">
        <v>4840</v>
      </c>
      <c r="P272" t="s">
        <v>307</v>
      </c>
      <c r="R272" s="5">
        <v>43147.234837962962</v>
      </c>
      <c r="S272" s="5">
        <v>43440.550127314818</v>
      </c>
      <c r="T272" t="s">
        <v>5141</v>
      </c>
      <c r="U272" t="s">
        <v>5142</v>
      </c>
      <c r="V272" s="3" t="s">
        <v>35</v>
      </c>
      <c r="W272" s="3" t="s">
        <v>4171</v>
      </c>
      <c r="AM272" s="5"/>
      <c r="AN272" s="5"/>
      <c r="AQ272" s="6"/>
    </row>
    <row r="273" spans="2:43" x14ac:dyDescent="0.25">
      <c r="B273" t="s">
        <v>448</v>
      </c>
      <c r="C273">
        <v>110384</v>
      </c>
      <c r="D273" t="s">
        <v>4339</v>
      </c>
      <c r="E273" t="s">
        <v>387</v>
      </c>
      <c r="F273" t="s">
        <v>305</v>
      </c>
      <c r="G273" t="s">
        <v>304</v>
      </c>
      <c r="H273" t="s">
        <v>54</v>
      </c>
      <c r="I273" t="s">
        <v>31</v>
      </c>
      <c r="J273" t="s">
        <v>43</v>
      </c>
      <c r="K273" t="s">
        <v>51</v>
      </c>
      <c r="L273" t="s">
        <v>73</v>
      </c>
      <c r="M273" t="s">
        <v>264</v>
      </c>
      <c r="N273" t="s">
        <v>60</v>
      </c>
      <c r="P273" t="s">
        <v>449</v>
      </c>
      <c r="Q273" t="s">
        <v>2854</v>
      </c>
      <c r="R273" s="5">
        <v>43145.253148148149</v>
      </c>
      <c r="S273" s="5">
        <v>43271.51866898148</v>
      </c>
      <c r="T273" t="s">
        <v>4340</v>
      </c>
      <c r="U273" t="s">
        <v>35</v>
      </c>
      <c r="V273" s="3" t="s">
        <v>35</v>
      </c>
      <c r="W273" s="3" t="s">
        <v>4236</v>
      </c>
      <c r="AM273" s="5"/>
      <c r="AN273" s="5"/>
      <c r="AQ273" s="6"/>
    </row>
    <row r="274" spans="2:43" x14ac:dyDescent="0.25">
      <c r="B274" t="s">
        <v>5136</v>
      </c>
      <c r="C274">
        <v>110370</v>
      </c>
      <c r="D274" t="s">
        <v>5137</v>
      </c>
      <c r="E274" t="s">
        <v>4941</v>
      </c>
      <c r="F274" t="s">
        <v>67</v>
      </c>
      <c r="H274" t="s">
        <v>54</v>
      </c>
      <c r="I274" t="s">
        <v>31</v>
      </c>
      <c r="J274" t="s">
        <v>43</v>
      </c>
      <c r="K274" t="s">
        <v>44</v>
      </c>
      <c r="L274" t="s">
        <v>4942</v>
      </c>
      <c r="M274" t="s">
        <v>5138</v>
      </c>
      <c r="N274" t="s">
        <v>579</v>
      </c>
      <c r="P274" t="s">
        <v>307</v>
      </c>
      <c r="R274" s="5">
        <v>43144.743344907409</v>
      </c>
      <c r="S274" s="5">
        <v>43479.43304398148</v>
      </c>
      <c r="T274" t="s">
        <v>1747</v>
      </c>
      <c r="U274" t="s">
        <v>5150</v>
      </c>
      <c r="V274" s="3" t="s">
        <v>35</v>
      </c>
      <c r="W274" s="3" t="s">
        <v>4171</v>
      </c>
      <c r="AM274" s="5"/>
      <c r="AN274" s="5"/>
      <c r="AQ274" s="6"/>
    </row>
    <row r="275" spans="2:43" x14ac:dyDescent="0.25">
      <c r="B275" t="s">
        <v>4253</v>
      </c>
      <c r="C275">
        <v>110330</v>
      </c>
      <c r="D275" t="s">
        <v>4338</v>
      </c>
      <c r="E275" t="s">
        <v>2960</v>
      </c>
      <c r="F275" t="s">
        <v>305</v>
      </c>
      <c r="G275" t="s">
        <v>353</v>
      </c>
      <c r="H275" t="s">
        <v>116</v>
      </c>
      <c r="I275" t="s">
        <v>31</v>
      </c>
      <c r="J275" t="s">
        <v>32</v>
      </c>
      <c r="K275" t="s">
        <v>51</v>
      </c>
      <c r="L275" t="s">
        <v>73</v>
      </c>
      <c r="M275" t="s">
        <v>3648</v>
      </c>
      <c r="N275" t="s">
        <v>60</v>
      </c>
      <c r="P275" t="s">
        <v>3698</v>
      </c>
      <c r="Q275" t="s">
        <v>69</v>
      </c>
      <c r="R275" s="5">
        <v>43143.778333333335</v>
      </c>
      <c r="S275" s="5">
        <v>43192.159224537034</v>
      </c>
      <c r="T275" t="s">
        <v>4204</v>
      </c>
      <c r="U275" t="s">
        <v>35</v>
      </c>
      <c r="V275" s="3" t="s">
        <v>321</v>
      </c>
      <c r="W275" s="3" t="s">
        <v>4172</v>
      </c>
      <c r="AM275" s="5"/>
      <c r="AN275" s="5"/>
      <c r="AQ275" s="6"/>
    </row>
    <row r="276" spans="2:43" x14ac:dyDescent="0.25">
      <c r="B276" t="s">
        <v>4334</v>
      </c>
      <c r="C276">
        <v>110257</v>
      </c>
      <c r="D276" t="s">
        <v>4335</v>
      </c>
      <c r="E276" t="s">
        <v>4336</v>
      </c>
      <c r="F276" t="s">
        <v>305</v>
      </c>
      <c r="G276" t="s">
        <v>353</v>
      </c>
      <c r="H276" t="s">
        <v>30</v>
      </c>
      <c r="I276" t="s">
        <v>68</v>
      </c>
      <c r="J276" t="s">
        <v>58</v>
      </c>
      <c r="K276" t="s">
        <v>51</v>
      </c>
      <c r="L276" t="s">
        <v>34</v>
      </c>
      <c r="M276" t="s">
        <v>3780</v>
      </c>
      <c r="N276" t="s">
        <v>46</v>
      </c>
      <c r="O276" t="s">
        <v>4337</v>
      </c>
      <c r="P276" t="s">
        <v>4179</v>
      </c>
      <c r="Q276" t="s">
        <v>2416</v>
      </c>
      <c r="R276" s="5">
        <v>43140.427071759259</v>
      </c>
      <c r="S276" s="5">
        <v>43217.140509259261</v>
      </c>
      <c r="T276" t="s">
        <v>171</v>
      </c>
      <c r="U276" t="s">
        <v>35</v>
      </c>
      <c r="V276" s="3" t="s">
        <v>35</v>
      </c>
      <c r="W276" s="3" t="s">
        <v>4155</v>
      </c>
      <c r="AM276" s="5"/>
      <c r="AN276" s="5"/>
      <c r="AQ276" s="6"/>
    </row>
    <row r="277" spans="2:43" x14ac:dyDescent="0.25">
      <c r="B277" t="s">
        <v>4201</v>
      </c>
      <c r="C277">
        <v>110239</v>
      </c>
      <c r="D277" t="s">
        <v>4333</v>
      </c>
      <c r="E277" t="s">
        <v>560</v>
      </c>
      <c r="F277" t="s">
        <v>319</v>
      </c>
      <c r="G277" t="s">
        <v>304</v>
      </c>
      <c r="H277" t="s">
        <v>56</v>
      </c>
      <c r="I277" t="s">
        <v>31</v>
      </c>
      <c r="J277" t="s">
        <v>43</v>
      </c>
      <c r="K277" t="s">
        <v>51</v>
      </c>
      <c r="L277" t="s">
        <v>73</v>
      </c>
      <c r="M277" t="s">
        <v>4205</v>
      </c>
      <c r="N277" t="s">
        <v>121</v>
      </c>
      <c r="P277" t="s">
        <v>3698</v>
      </c>
      <c r="Q277" t="s">
        <v>2305</v>
      </c>
      <c r="R277" s="5">
        <v>43139.916527777779</v>
      </c>
      <c r="S277" s="5">
        <v>43215.911099537036</v>
      </c>
      <c r="T277" t="s">
        <v>560</v>
      </c>
      <c r="U277" t="s">
        <v>35</v>
      </c>
      <c r="V277" s="3" t="s">
        <v>35</v>
      </c>
      <c r="W277" s="3" t="s">
        <v>4172</v>
      </c>
      <c r="AM277" s="5"/>
      <c r="AN277" s="5"/>
      <c r="AQ277" s="6"/>
    </row>
    <row r="278" spans="2:43" x14ac:dyDescent="0.25">
      <c r="B278" t="s">
        <v>3524</v>
      </c>
      <c r="C278">
        <v>110126</v>
      </c>
      <c r="D278" t="s">
        <v>4330</v>
      </c>
      <c r="E278" t="s">
        <v>387</v>
      </c>
      <c r="F278" t="s">
        <v>305</v>
      </c>
      <c r="G278" t="s">
        <v>337</v>
      </c>
      <c r="H278" t="s">
        <v>54</v>
      </c>
      <c r="I278" t="s">
        <v>31</v>
      </c>
      <c r="J278" t="s">
        <v>32</v>
      </c>
      <c r="K278" t="s">
        <v>44</v>
      </c>
      <c r="L278" t="s">
        <v>73</v>
      </c>
      <c r="M278" t="s">
        <v>263</v>
      </c>
      <c r="N278" t="s">
        <v>4332</v>
      </c>
      <c r="O278" t="s">
        <v>3682</v>
      </c>
      <c r="P278" t="s">
        <v>107</v>
      </c>
      <c r="Q278" t="s">
        <v>2481</v>
      </c>
      <c r="R278" s="5">
        <v>43137.667175925926</v>
      </c>
      <c r="S278" s="5">
        <v>43333.575104166666</v>
      </c>
      <c r="T278" t="s">
        <v>301</v>
      </c>
      <c r="U278" t="s">
        <v>35</v>
      </c>
      <c r="V278" s="3" t="s">
        <v>321</v>
      </c>
      <c r="W278" s="3" t="s">
        <v>4331</v>
      </c>
      <c r="AM278" s="5"/>
      <c r="AN278" s="5"/>
      <c r="AQ278" s="6"/>
    </row>
    <row r="279" spans="2:43" x14ac:dyDescent="0.25">
      <c r="B279" t="s">
        <v>4287</v>
      </c>
      <c r="C279">
        <v>110115</v>
      </c>
      <c r="D279" t="s">
        <v>4329</v>
      </c>
      <c r="E279" t="s">
        <v>134</v>
      </c>
      <c r="F279" t="s">
        <v>319</v>
      </c>
      <c r="G279" t="s">
        <v>304</v>
      </c>
      <c r="H279" t="s">
        <v>116</v>
      </c>
      <c r="I279" t="s">
        <v>31</v>
      </c>
      <c r="J279" t="s">
        <v>32</v>
      </c>
      <c r="K279" t="s">
        <v>33</v>
      </c>
      <c r="L279" t="s">
        <v>408</v>
      </c>
      <c r="M279" t="s">
        <v>4290</v>
      </c>
      <c r="N279" t="s">
        <v>510</v>
      </c>
      <c r="P279" t="s">
        <v>190</v>
      </c>
      <c r="Q279" t="s">
        <v>2416</v>
      </c>
      <c r="R279" s="5">
        <v>43137.49559027778</v>
      </c>
      <c r="S279" s="5">
        <v>43423.495219907411</v>
      </c>
      <c r="T279" t="s">
        <v>4289</v>
      </c>
      <c r="U279" t="s">
        <v>4219</v>
      </c>
      <c r="V279" s="3" t="s">
        <v>321</v>
      </c>
      <c r="W279" s="3" t="s">
        <v>4171</v>
      </c>
      <c r="AM279" s="5"/>
      <c r="AN279" s="5"/>
      <c r="AQ279" s="6"/>
    </row>
    <row r="280" spans="2:43" x14ac:dyDescent="0.25">
      <c r="B280" t="s">
        <v>4287</v>
      </c>
      <c r="C280">
        <v>110114</v>
      </c>
      <c r="D280" t="s">
        <v>4328</v>
      </c>
      <c r="E280" t="s">
        <v>4289</v>
      </c>
      <c r="F280" t="s">
        <v>67</v>
      </c>
      <c r="H280" t="s">
        <v>116</v>
      </c>
      <c r="I280" t="s">
        <v>31</v>
      </c>
      <c r="J280" t="s">
        <v>32</v>
      </c>
      <c r="K280" t="s">
        <v>33</v>
      </c>
      <c r="L280" t="s">
        <v>408</v>
      </c>
      <c r="M280" t="s">
        <v>4290</v>
      </c>
      <c r="N280" t="s">
        <v>60</v>
      </c>
      <c r="P280" t="s">
        <v>190</v>
      </c>
      <c r="R280" s="5">
        <v>43137.495613425926</v>
      </c>
      <c r="S280" s="5">
        <v>43235.255023148151</v>
      </c>
      <c r="T280" t="s">
        <v>4289</v>
      </c>
      <c r="U280" t="s">
        <v>35</v>
      </c>
      <c r="V280" s="3" t="s">
        <v>321</v>
      </c>
      <c r="W280" s="3" t="s">
        <v>4098</v>
      </c>
      <c r="AM280" s="5"/>
      <c r="AN280" s="5"/>
      <c r="AQ280" s="6"/>
    </row>
    <row r="281" spans="2:43" x14ac:dyDescent="0.25">
      <c r="B281" t="s">
        <v>2841</v>
      </c>
      <c r="C281">
        <v>110100</v>
      </c>
      <c r="D281" t="s">
        <v>4327</v>
      </c>
      <c r="E281" t="s">
        <v>301</v>
      </c>
      <c r="F281" t="s">
        <v>305</v>
      </c>
      <c r="G281" t="s">
        <v>337</v>
      </c>
      <c r="H281" t="s">
        <v>56</v>
      </c>
      <c r="I281" t="s">
        <v>31</v>
      </c>
      <c r="J281" t="s">
        <v>32</v>
      </c>
      <c r="K281" t="s">
        <v>33</v>
      </c>
      <c r="L281" t="s">
        <v>73</v>
      </c>
      <c r="M281" t="s">
        <v>273</v>
      </c>
      <c r="N281" t="s">
        <v>46</v>
      </c>
      <c r="P281" t="s">
        <v>3498</v>
      </c>
      <c r="Q281" t="s">
        <v>2028</v>
      </c>
      <c r="R281" s="5">
        <v>43137.228680555556</v>
      </c>
      <c r="S281" s="5">
        <v>43388.379421296297</v>
      </c>
      <c r="T281" t="s">
        <v>4241</v>
      </c>
      <c r="U281" t="s">
        <v>35</v>
      </c>
      <c r="V281" s="3" t="s">
        <v>35</v>
      </c>
      <c r="W281" s="3" t="s">
        <v>35</v>
      </c>
      <c r="AM281" s="5"/>
      <c r="AN281" s="5"/>
      <c r="AQ281" s="6"/>
    </row>
    <row r="282" spans="2:43" x14ac:dyDescent="0.25">
      <c r="B282" t="s">
        <v>4201</v>
      </c>
      <c r="C282">
        <v>110084</v>
      </c>
      <c r="D282" t="s">
        <v>4326</v>
      </c>
      <c r="E282" t="s">
        <v>560</v>
      </c>
      <c r="F282" t="s">
        <v>305</v>
      </c>
      <c r="G282" t="s">
        <v>353</v>
      </c>
      <c r="H282" t="s">
        <v>56</v>
      </c>
      <c r="I282" t="s">
        <v>31</v>
      </c>
      <c r="J282" t="s">
        <v>43</v>
      </c>
      <c r="K282" t="s">
        <v>51</v>
      </c>
      <c r="L282" t="s">
        <v>73</v>
      </c>
      <c r="M282" t="s">
        <v>4205</v>
      </c>
      <c r="N282" t="s">
        <v>60</v>
      </c>
      <c r="P282" t="s">
        <v>3698</v>
      </c>
      <c r="Q282" t="s">
        <v>2305</v>
      </c>
      <c r="R282" s="5">
        <v>43136.793402777781</v>
      </c>
      <c r="S282" s="5">
        <v>43215.911099537036</v>
      </c>
      <c r="T282" t="s">
        <v>301</v>
      </c>
      <c r="U282" t="s">
        <v>35</v>
      </c>
      <c r="V282" s="3" t="s">
        <v>35</v>
      </c>
      <c r="W282" s="3" t="s">
        <v>4171</v>
      </c>
      <c r="AM282" s="5"/>
      <c r="AN282" s="5"/>
      <c r="AQ282" s="6"/>
    </row>
    <row r="283" spans="2:43" x14ac:dyDescent="0.25">
      <c r="B283" t="s">
        <v>4201</v>
      </c>
      <c r="C283">
        <v>110083</v>
      </c>
      <c r="D283" t="s">
        <v>4325</v>
      </c>
      <c r="E283" t="s">
        <v>560</v>
      </c>
      <c r="F283" t="s">
        <v>305</v>
      </c>
      <c r="G283" t="s">
        <v>353</v>
      </c>
      <c r="H283" t="s">
        <v>54</v>
      </c>
      <c r="I283" t="s">
        <v>31</v>
      </c>
      <c r="J283" t="s">
        <v>43</v>
      </c>
      <c r="K283" t="s">
        <v>51</v>
      </c>
      <c r="L283" t="s">
        <v>73</v>
      </c>
      <c r="M283" t="s">
        <v>4205</v>
      </c>
      <c r="N283" t="s">
        <v>60</v>
      </c>
      <c r="P283" t="s">
        <v>3698</v>
      </c>
      <c r="Q283" t="s">
        <v>2305</v>
      </c>
      <c r="R283" s="5">
        <v>43136.79210648148</v>
      </c>
      <c r="S283" s="5">
        <v>43215.911111111112</v>
      </c>
      <c r="T283" t="s">
        <v>301</v>
      </c>
      <c r="U283" t="s">
        <v>4249</v>
      </c>
      <c r="V283" s="3" t="s">
        <v>35</v>
      </c>
      <c r="W283" s="3" t="s">
        <v>307</v>
      </c>
      <c r="AM283" s="5"/>
      <c r="AN283" s="5"/>
      <c r="AQ283" s="6"/>
    </row>
    <row r="284" spans="2:43" x14ac:dyDescent="0.25">
      <c r="B284" t="s">
        <v>4201</v>
      </c>
      <c r="C284">
        <v>110034</v>
      </c>
      <c r="D284" t="s">
        <v>4324</v>
      </c>
      <c r="E284" t="s">
        <v>560</v>
      </c>
      <c r="F284" t="s">
        <v>319</v>
      </c>
      <c r="G284" t="s">
        <v>304</v>
      </c>
      <c r="H284" t="s">
        <v>56</v>
      </c>
      <c r="I284" t="s">
        <v>31</v>
      </c>
      <c r="J284" t="s">
        <v>43</v>
      </c>
      <c r="K284" t="s">
        <v>51</v>
      </c>
      <c r="L284" t="s">
        <v>73</v>
      </c>
      <c r="M284" t="s">
        <v>4205</v>
      </c>
      <c r="N284" t="s">
        <v>60</v>
      </c>
      <c r="P284" t="s">
        <v>3698</v>
      </c>
      <c r="Q284" t="s">
        <v>2305</v>
      </c>
      <c r="R284" s="5">
        <v>43132.907592592594</v>
      </c>
      <c r="S284" s="5">
        <v>43215.911111111112</v>
      </c>
      <c r="T284" t="s">
        <v>1</v>
      </c>
      <c r="U284" t="s">
        <v>35</v>
      </c>
      <c r="V284" s="3" t="s">
        <v>35</v>
      </c>
      <c r="W284" s="3" t="s">
        <v>4098</v>
      </c>
      <c r="AM284" s="5"/>
      <c r="AN284" s="5"/>
      <c r="AQ284" s="6"/>
    </row>
    <row r="285" spans="2:43" x14ac:dyDescent="0.25">
      <c r="B285" t="s">
        <v>4321</v>
      </c>
      <c r="C285">
        <v>110032</v>
      </c>
      <c r="D285" t="s">
        <v>4322</v>
      </c>
      <c r="E285" t="s">
        <v>2399</v>
      </c>
      <c r="F285" t="s">
        <v>305</v>
      </c>
      <c r="G285" t="s">
        <v>328</v>
      </c>
      <c r="H285" t="s">
        <v>116</v>
      </c>
      <c r="I285" t="s">
        <v>31</v>
      </c>
      <c r="J285" t="s">
        <v>32</v>
      </c>
      <c r="K285" t="s">
        <v>33</v>
      </c>
      <c r="L285" t="s">
        <v>52</v>
      </c>
      <c r="M285" t="s">
        <v>3445</v>
      </c>
      <c r="N285" t="s">
        <v>60</v>
      </c>
      <c r="P285" t="s">
        <v>3698</v>
      </c>
      <c r="Q285" t="s">
        <v>4323</v>
      </c>
      <c r="R285" s="5">
        <v>43132.772164351853</v>
      </c>
      <c r="S285" s="5">
        <v>43192.161122685182</v>
      </c>
      <c r="T285" t="s">
        <v>1</v>
      </c>
      <c r="U285" t="s">
        <v>35</v>
      </c>
      <c r="V285" s="3" t="s">
        <v>4057</v>
      </c>
      <c r="W285" s="3" t="s">
        <v>307</v>
      </c>
      <c r="AM285" s="5"/>
      <c r="AN285" s="5"/>
      <c r="AQ285" s="6"/>
    </row>
    <row r="286" spans="2:43" x14ac:dyDescent="0.25">
      <c r="B286" t="s">
        <v>2841</v>
      </c>
      <c r="C286">
        <v>110012</v>
      </c>
      <c r="D286" t="s">
        <v>4319</v>
      </c>
      <c r="E286" t="s">
        <v>387</v>
      </c>
      <c r="F286" t="s">
        <v>305</v>
      </c>
      <c r="G286" t="s">
        <v>337</v>
      </c>
      <c r="H286" t="s">
        <v>54</v>
      </c>
      <c r="I286" t="s">
        <v>31</v>
      </c>
      <c r="J286" t="s">
        <v>32</v>
      </c>
      <c r="K286" t="s">
        <v>33</v>
      </c>
      <c r="L286" t="s">
        <v>73</v>
      </c>
      <c r="M286" t="s">
        <v>273</v>
      </c>
      <c r="N286" t="s">
        <v>60</v>
      </c>
      <c r="P286" t="s">
        <v>3498</v>
      </c>
      <c r="Q286" t="s">
        <v>2028</v>
      </c>
      <c r="R286" s="5">
        <v>43132.384027777778</v>
      </c>
      <c r="S286" s="5">
        <v>43388.379421296297</v>
      </c>
      <c r="T286" t="s">
        <v>4320</v>
      </c>
      <c r="U286" t="s">
        <v>35</v>
      </c>
      <c r="V286" s="3" t="s">
        <v>35</v>
      </c>
      <c r="W286" s="3" t="s">
        <v>4168</v>
      </c>
      <c r="AM286" s="5"/>
      <c r="AN286" s="5"/>
      <c r="AQ286" s="6"/>
    </row>
    <row r="287" spans="2:43" x14ac:dyDescent="0.25">
      <c r="B287" t="s">
        <v>4317</v>
      </c>
      <c r="C287">
        <v>109909</v>
      </c>
      <c r="D287" t="s">
        <v>4318</v>
      </c>
      <c r="E287" t="s">
        <v>91</v>
      </c>
      <c r="F287" t="s">
        <v>67</v>
      </c>
      <c r="H287" t="s">
        <v>54</v>
      </c>
      <c r="I287" t="s">
        <v>68</v>
      </c>
      <c r="J287" t="s">
        <v>43</v>
      </c>
      <c r="K287" t="s">
        <v>33</v>
      </c>
      <c r="L287" t="s">
        <v>73</v>
      </c>
      <c r="M287" t="s">
        <v>263</v>
      </c>
      <c r="N287" t="s">
        <v>60</v>
      </c>
      <c r="P287" t="s">
        <v>3698</v>
      </c>
      <c r="R287" s="5">
        <v>43130.649328703701</v>
      </c>
      <c r="S287" s="5">
        <v>43157.601076388892</v>
      </c>
      <c r="T287" t="s">
        <v>1</v>
      </c>
      <c r="U287" t="s">
        <v>35</v>
      </c>
      <c r="V287" s="3" t="s">
        <v>35</v>
      </c>
      <c r="W287" s="3" t="s">
        <v>4166</v>
      </c>
      <c r="AM287" s="5"/>
      <c r="AN287" s="5"/>
      <c r="AQ287" s="6"/>
    </row>
    <row r="288" spans="2:43" x14ac:dyDescent="0.25">
      <c r="B288" t="s">
        <v>4315</v>
      </c>
      <c r="C288">
        <v>109907</v>
      </c>
      <c r="D288" t="s">
        <v>4316</v>
      </c>
      <c r="E288" t="s">
        <v>387</v>
      </c>
      <c r="F288" t="s">
        <v>305</v>
      </c>
      <c r="G288" t="s">
        <v>353</v>
      </c>
      <c r="H288" t="s">
        <v>56</v>
      </c>
      <c r="I288" t="s">
        <v>68</v>
      </c>
      <c r="J288" t="s">
        <v>58</v>
      </c>
      <c r="K288" t="s">
        <v>44</v>
      </c>
      <c r="L288" t="s">
        <v>73</v>
      </c>
      <c r="M288" t="s">
        <v>263</v>
      </c>
      <c r="N288" t="s">
        <v>60</v>
      </c>
      <c r="P288" t="s">
        <v>449</v>
      </c>
      <c r="Q288" t="s">
        <v>3287</v>
      </c>
      <c r="R288" s="5">
        <v>43130.635648148149</v>
      </c>
      <c r="S288" s="5">
        <v>43192.158912037034</v>
      </c>
      <c r="T288" t="s">
        <v>86</v>
      </c>
      <c r="U288" t="s">
        <v>35</v>
      </c>
      <c r="V288" s="3" t="s">
        <v>35</v>
      </c>
      <c r="W288" s="3" t="s">
        <v>4180</v>
      </c>
      <c r="AM288" s="5"/>
      <c r="AN288" s="5"/>
      <c r="AQ288" s="6"/>
    </row>
    <row r="289" spans="2:43" x14ac:dyDescent="0.25">
      <c r="B289" t="s">
        <v>4275</v>
      </c>
      <c r="C289">
        <v>109884</v>
      </c>
      <c r="D289" t="s">
        <v>4314</v>
      </c>
      <c r="E289" t="s">
        <v>5</v>
      </c>
      <c r="F289" t="s">
        <v>305</v>
      </c>
      <c r="G289" t="s">
        <v>395</v>
      </c>
      <c r="H289" t="s">
        <v>56</v>
      </c>
      <c r="I289" t="s">
        <v>31</v>
      </c>
      <c r="J289" t="s">
        <v>43</v>
      </c>
      <c r="K289" t="s">
        <v>2156</v>
      </c>
      <c r="L289" t="s">
        <v>34</v>
      </c>
      <c r="M289" t="s">
        <v>258</v>
      </c>
      <c r="N289" t="s">
        <v>60</v>
      </c>
      <c r="P289" t="s">
        <v>69</v>
      </c>
      <c r="Q289" t="s">
        <v>159</v>
      </c>
      <c r="R289" s="5">
        <v>43130.398159722223</v>
      </c>
      <c r="S289" s="5">
        <v>43132.317361111112</v>
      </c>
      <c r="T289" t="s">
        <v>5</v>
      </c>
      <c r="U289" t="s">
        <v>35</v>
      </c>
      <c r="V289" s="3" t="s">
        <v>35</v>
      </c>
      <c r="W289" s="3" t="s">
        <v>4176</v>
      </c>
      <c r="AM289" s="5"/>
      <c r="AN289" s="5"/>
      <c r="AQ289" s="6"/>
    </row>
    <row r="290" spans="2:43" x14ac:dyDescent="0.25">
      <c r="B290" t="s">
        <v>4311</v>
      </c>
      <c r="C290">
        <v>109875</v>
      </c>
      <c r="D290" t="s">
        <v>4312</v>
      </c>
      <c r="E290" t="s">
        <v>112</v>
      </c>
      <c r="F290" t="s">
        <v>42</v>
      </c>
      <c r="H290" t="s">
        <v>54</v>
      </c>
      <c r="I290" t="s">
        <v>68</v>
      </c>
      <c r="J290" t="s">
        <v>58</v>
      </c>
      <c r="K290" t="s">
        <v>51</v>
      </c>
      <c r="L290" t="s">
        <v>73</v>
      </c>
      <c r="M290" t="s">
        <v>263</v>
      </c>
      <c r="N290" t="s">
        <v>60</v>
      </c>
      <c r="P290" t="s">
        <v>4133</v>
      </c>
      <c r="R290" s="5">
        <v>43130.026192129626</v>
      </c>
      <c r="S290" s="5">
        <v>43382.690300925926</v>
      </c>
      <c r="T290" t="s">
        <v>4313</v>
      </c>
      <c r="U290" t="s">
        <v>35</v>
      </c>
      <c r="V290" s="3" t="s">
        <v>35</v>
      </c>
      <c r="W290" s="3" t="s">
        <v>3028</v>
      </c>
      <c r="AM290" s="5"/>
      <c r="AN290" s="5"/>
      <c r="AQ290" s="6"/>
    </row>
    <row r="291" spans="2:43" x14ac:dyDescent="0.25">
      <c r="B291" t="s">
        <v>4196</v>
      </c>
      <c r="C291">
        <v>109870</v>
      </c>
      <c r="D291" t="s">
        <v>4309</v>
      </c>
      <c r="E291" t="s">
        <v>5</v>
      </c>
      <c r="F291" t="s">
        <v>305</v>
      </c>
      <c r="G291" t="s">
        <v>304</v>
      </c>
      <c r="H291" t="s">
        <v>116</v>
      </c>
      <c r="I291" t="s">
        <v>68</v>
      </c>
      <c r="J291" t="s">
        <v>43</v>
      </c>
      <c r="K291" t="s">
        <v>33</v>
      </c>
      <c r="L291" t="s">
        <v>34</v>
      </c>
      <c r="M291" t="s">
        <v>266</v>
      </c>
      <c r="N291" t="s">
        <v>510</v>
      </c>
      <c r="O291" t="s">
        <v>4310</v>
      </c>
      <c r="P291" t="s">
        <v>69</v>
      </c>
      <c r="Q291" t="s">
        <v>1503</v>
      </c>
      <c r="R291" s="5">
        <v>43129.883819444447</v>
      </c>
      <c r="S291" s="5">
        <v>43277.572997685187</v>
      </c>
      <c r="T291" t="s">
        <v>53</v>
      </c>
      <c r="U291" t="s">
        <v>4284</v>
      </c>
      <c r="V291" s="3" t="s">
        <v>35</v>
      </c>
      <c r="W291" s="3" t="s">
        <v>4143</v>
      </c>
      <c r="AM291" s="5"/>
      <c r="AN291" s="5"/>
      <c r="AQ291" s="6"/>
    </row>
    <row r="292" spans="2:43" x14ac:dyDescent="0.25">
      <c r="B292" t="s">
        <v>4196</v>
      </c>
      <c r="C292">
        <v>109869</v>
      </c>
      <c r="D292" t="s">
        <v>4307</v>
      </c>
      <c r="E292" t="s">
        <v>136</v>
      </c>
      <c r="F292" t="s">
        <v>319</v>
      </c>
      <c r="G292" t="s">
        <v>304</v>
      </c>
      <c r="H292" t="s">
        <v>30</v>
      </c>
      <c r="I292" t="s">
        <v>68</v>
      </c>
      <c r="J292" t="s">
        <v>43</v>
      </c>
      <c r="K292" t="s">
        <v>33</v>
      </c>
      <c r="L292" t="s">
        <v>34</v>
      </c>
      <c r="M292" t="s">
        <v>266</v>
      </c>
      <c r="N292" t="s">
        <v>46</v>
      </c>
      <c r="O292" t="s">
        <v>4308</v>
      </c>
      <c r="P292" t="s">
        <v>69</v>
      </c>
      <c r="Q292" t="s">
        <v>1503</v>
      </c>
      <c r="R292" s="5">
        <v>43129.883842592593</v>
      </c>
      <c r="S292" s="5">
        <v>43140.978796296295</v>
      </c>
      <c r="T292" t="s">
        <v>53</v>
      </c>
      <c r="U292" t="s">
        <v>35</v>
      </c>
      <c r="V292" s="3" t="s">
        <v>35</v>
      </c>
      <c r="W292" s="3" t="s">
        <v>4098</v>
      </c>
      <c r="AM292" s="5"/>
      <c r="AN292" s="5"/>
      <c r="AQ292" s="6"/>
    </row>
    <row r="293" spans="2:43" x14ac:dyDescent="0.25">
      <c r="B293" t="s">
        <v>2841</v>
      </c>
      <c r="C293">
        <v>109837</v>
      </c>
      <c r="D293" t="s">
        <v>4306</v>
      </c>
      <c r="E293" t="s">
        <v>301</v>
      </c>
      <c r="F293" t="s">
        <v>305</v>
      </c>
      <c r="G293" t="s">
        <v>337</v>
      </c>
      <c r="H293" t="s">
        <v>56</v>
      </c>
      <c r="I293" t="s">
        <v>31</v>
      </c>
      <c r="J293" t="s">
        <v>32</v>
      </c>
      <c r="K293" t="s">
        <v>33</v>
      </c>
      <c r="L293" t="s">
        <v>73</v>
      </c>
      <c r="M293" t="s">
        <v>273</v>
      </c>
      <c r="N293" t="s">
        <v>46</v>
      </c>
      <c r="P293" t="s">
        <v>3498</v>
      </c>
      <c r="Q293" t="s">
        <v>2028</v>
      </c>
      <c r="R293" s="5">
        <v>43129.243310185186</v>
      </c>
      <c r="S293" s="5">
        <v>43388.379421296297</v>
      </c>
      <c r="T293" t="s">
        <v>4241</v>
      </c>
      <c r="U293" t="s">
        <v>35</v>
      </c>
      <c r="V293" s="3" t="s">
        <v>35</v>
      </c>
      <c r="W293" s="3" t="s">
        <v>35</v>
      </c>
      <c r="AM293" s="5"/>
      <c r="AN293" s="5"/>
      <c r="AQ293" s="6"/>
    </row>
    <row r="294" spans="2:43" x14ac:dyDescent="0.25">
      <c r="B294" t="s">
        <v>4280</v>
      </c>
      <c r="C294">
        <v>109826</v>
      </c>
      <c r="D294" t="s">
        <v>4305</v>
      </c>
      <c r="E294" t="s">
        <v>94</v>
      </c>
      <c r="F294" t="s">
        <v>319</v>
      </c>
      <c r="G294" t="s">
        <v>328</v>
      </c>
      <c r="H294" t="s">
        <v>54</v>
      </c>
      <c r="I294" t="s">
        <v>31</v>
      </c>
      <c r="J294" t="s">
        <v>43</v>
      </c>
      <c r="K294" t="s">
        <v>44</v>
      </c>
      <c r="L294" t="s">
        <v>73</v>
      </c>
      <c r="M294" t="s">
        <v>263</v>
      </c>
      <c r="N294" t="s">
        <v>4195</v>
      </c>
      <c r="P294" t="s">
        <v>69</v>
      </c>
      <c r="Q294" t="s">
        <v>3260</v>
      </c>
      <c r="R294" s="5">
        <v>43126.654479166667</v>
      </c>
      <c r="S294" s="5">
        <v>43481.723969907405</v>
      </c>
      <c r="T294" t="s">
        <v>301</v>
      </c>
      <c r="U294" t="s">
        <v>35</v>
      </c>
      <c r="V294" s="3" t="s">
        <v>35</v>
      </c>
      <c r="W294" s="3" t="s">
        <v>4171</v>
      </c>
      <c r="AM294" s="5"/>
      <c r="AN294" s="5"/>
      <c r="AQ294" s="6"/>
    </row>
    <row r="295" spans="2:43" x14ac:dyDescent="0.25">
      <c r="B295" t="s">
        <v>4280</v>
      </c>
      <c r="C295">
        <v>109825</v>
      </c>
      <c r="D295" t="s">
        <v>4304</v>
      </c>
      <c r="E295" t="s">
        <v>94</v>
      </c>
      <c r="F295" t="s">
        <v>305</v>
      </c>
      <c r="G295" t="s">
        <v>337</v>
      </c>
      <c r="H295" t="s">
        <v>54</v>
      </c>
      <c r="I295" t="s">
        <v>31</v>
      </c>
      <c r="J295" t="s">
        <v>43</v>
      </c>
      <c r="K295" t="s">
        <v>44</v>
      </c>
      <c r="L295" t="s">
        <v>73</v>
      </c>
      <c r="M295" t="s">
        <v>263</v>
      </c>
      <c r="N295" t="s">
        <v>60</v>
      </c>
      <c r="P295" t="s">
        <v>69</v>
      </c>
      <c r="Q295" t="s">
        <v>2481</v>
      </c>
      <c r="R295" s="5">
        <v>43126.653738425928</v>
      </c>
      <c r="S295" s="5">
        <v>43215.865995370368</v>
      </c>
      <c r="T295" t="s">
        <v>301</v>
      </c>
      <c r="U295" t="s">
        <v>35</v>
      </c>
      <c r="V295" s="3" t="s">
        <v>35</v>
      </c>
      <c r="W295" s="3" t="s">
        <v>307</v>
      </c>
      <c r="AM295" s="5"/>
      <c r="AN295" s="5"/>
      <c r="AQ295" s="6"/>
    </row>
    <row r="296" spans="2:43" x14ac:dyDescent="0.25">
      <c r="B296" t="s">
        <v>4278</v>
      </c>
      <c r="C296">
        <v>109824</v>
      </c>
      <c r="D296" t="s">
        <v>4302</v>
      </c>
      <c r="E296" t="s">
        <v>4303</v>
      </c>
      <c r="F296" t="s">
        <v>305</v>
      </c>
      <c r="G296" t="s">
        <v>304</v>
      </c>
      <c r="H296" t="s">
        <v>54</v>
      </c>
      <c r="I296" t="s">
        <v>31</v>
      </c>
      <c r="J296" t="s">
        <v>43</v>
      </c>
      <c r="K296" t="s">
        <v>44</v>
      </c>
      <c r="L296" t="s">
        <v>96</v>
      </c>
      <c r="M296" t="s">
        <v>281</v>
      </c>
      <c r="N296" t="s">
        <v>5135</v>
      </c>
      <c r="P296" t="s">
        <v>69</v>
      </c>
      <c r="Q296" t="s">
        <v>2854</v>
      </c>
      <c r="R296" s="5">
        <v>43126.651539351849</v>
      </c>
      <c r="S296" s="5">
        <v>43446.138611111113</v>
      </c>
      <c r="T296" t="s">
        <v>301</v>
      </c>
      <c r="U296" t="s">
        <v>35</v>
      </c>
      <c r="V296" s="3" t="s">
        <v>35</v>
      </c>
      <c r="W296" s="3" t="s">
        <v>4171</v>
      </c>
      <c r="AM296" s="5"/>
      <c r="AN296" s="5"/>
      <c r="AQ296" s="6"/>
    </row>
    <row r="297" spans="2:43" x14ac:dyDescent="0.25">
      <c r="B297" t="s">
        <v>4278</v>
      </c>
      <c r="C297">
        <v>109823</v>
      </c>
      <c r="D297" t="s">
        <v>4301</v>
      </c>
      <c r="E297" t="s">
        <v>110</v>
      </c>
      <c r="F297" t="s">
        <v>305</v>
      </c>
      <c r="G297" t="s">
        <v>337</v>
      </c>
      <c r="H297" t="s">
        <v>54</v>
      </c>
      <c r="I297" t="s">
        <v>31</v>
      </c>
      <c r="J297" t="s">
        <v>43</v>
      </c>
      <c r="K297" t="s">
        <v>44</v>
      </c>
      <c r="L297" t="s">
        <v>73</v>
      </c>
      <c r="M297" t="s">
        <v>263</v>
      </c>
      <c r="N297" t="s">
        <v>60</v>
      </c>
      <c r="P297" t="s">
        <v>69</v>
      </c>
      <c r="Q297" t="s">
        <v>2481</v>
      </c>
      <c r="R297" s="5">
        <v>43126.650659722225</v>
      </c>
      <c r="S297" s="5">
        <v>43215.912592592591</v>
      </c>
      <c r="T297" t="s">
        <v>301</v>
      </c>
      <c r="U297" t="s">
        <v>35</v>
      </c>
      <c r="V297" s="3" t="s">
        <v>35</v>
      </c>
      <c r="W297" s="3" t="s">
        <v>307</v>
      </c>
      <c r="AM297" s="5"/>
      <c r="AN297" s="5"/>
      <c r="AQ297" s="6"/>
    </row>
    <row r="298" spans="2:43" x14ac:dyDescent="0.25">
      <c r="B298" t="s">
        <v>448</v>
      </c>
      <c r="C298">
        <v>109801</v>
      </c>
      <c r="D298" t="s">
        <v>4300</v>
      </c>
      <c r="E298" t="s">
        <v>91</v>
      </c>
      <c r="F298" t="s">
        <v>305</v>
      </c>
      <c r="G298" t="s">
        <v>337</v>
      </c>
      <c r="H298" t="s">
        <v>54</v>
      </c>
      <c r="I298" t="s">
        <v>68</v>
      </c>
      <c r="J298" t="s">
        <v>43</v>
      </c>
      <c r="K298" t="s">
        <v>33</v>
      </c>
      <c r="L298" t="s">
        <v>73</v>
      </c>
      <c r="M298" t="s">
        <v>264</v>
      </c>
      <c r="N298" t="s">
        <v>157</v>
      </c>
      <c r="P298" t="s">
        <v>449</v>
      </c>
      <c r="Q298" t="s">
        <v>2854</v>
      </c>
      <c r="R298" s="5">
        <v>43125.989259259259</v>
      </c>
      <c r="S298" s="5">
        <v>43204.161631944444</v>
      </c>
      <c r="T298" t="s">
        <v>53</v>
      </c>
      <c r="U298" t="s">
        <v>35</v>
      </c>
      <c r="V298" s="3" t="s">
        <v>35</v>
      </c>
      <c r="W298" s="3" t="s">
        <v>307</v>
      </c>
      <c r="AM298" s="5"/>
      <c r="AN298" s="5"/>
      <c r="AQ298" s="6"/>
    </row>
    <row r="299" spans="2:43" x14ac:dyDescent="0.25">
      <c r="B299" t="s">
        <v>4275</v>
      </c>
      <c r="C299">
        <v>109792</v>
      </c>
      <c r="D299" t="s">
        <v>4297</v>
      </c>
      <c r="E299" t="s">
        <v>164</v>
      </c>
      <c r="F299" t="s">
        <v>319</v>
      </c>
      <c r="G299" t="s">
        <v>304</v>
      </c>
      <c r="H299" t="s">
        <v>54</v>
      </c>
      <c r="I299" t="s">
        <v>68</v>
      </c>
      <c r="J299" t="s">
        <v>43</v>
      </c>
      <c r="K299" t="s">
        <v>33</v>
      </c>
      <c r="L299" t="s">
        <v>34</v>
      </c>
      <c r="M299" t="s">
        <v>2691</v>
      </c>
      <c r="N299" t="s">
        <v>46</v>
      </c>
      <c r="O299" t="s">
        <v>4298</v>
      </c>
      <c r="P299" t="s">
        <v>69</v>
      </c>
      <c r="Q299" t="s">
        <v>4299</v>
      </c>
      <c r="R299" s="5">
        <v>43125.686238425929</v>
      </c>
      <c r="S299" s="5">
        <v>43137.875011574077</v>
      </c>
      <c r="T299" t="s">
        <v>53</v>
      </c>
      <c r="U299" t="s">
        <v>35</v>
      </c>
      <c r="V299" s="3" t="s">
        <v>35</v>
      </c>
      <c r="W299" s="3" t="s">
        <v>4098</v>
      </c>
      <c r="AM299" s="5"/>
      <c r="AN299" s="5"/>
      <c r="AQ299" s="6"/>
    </row>
    <row r="300" spans="2:43" x14ac:dyDescent="0.25">
      <c r="B300" t="s">
        <v>4076</v>
      </c>
      <c r="C300">
        <v>109770</v>
      </c>
      <c r="D300" t="s">
        <v>4296</v>
      </c>
      <c r="E300" t="s">
        <v>62</v>
      </c>
      <c r="F300" t="s">
        <v>319</v>
      </c>
      <c r="G300" t="s">
        <v>304</v>
      </c>
      <c r="H300" t="s">
        <v>116</v>
      </c>
      <c r="I300" t="s">
        <v>31</v>
      </c>
      <c r="J300" t="s">
        <v>32</v>
      </c>
      <c r="K300" t="s">
        <v>51</v>
      </c>
      <c r="L300" t="s">
        <v>45</v>
      </c>
      <c r="M300" t="s">
        <v>260</v>
      </c>
      <c r="N300" t="s">
        <v>510</v>
      </c>
      <c r="O300" t="s">
        <v>487</v>
      </c>
      <c r="P300" t="s">
        <v>3698</v>
      </c>
      <c r="Q300" t="s">
        <v>3734</v>
      </c>
      <c r="R300" s="5">
        <v>43124.965185185189</v>
      </c>
      <c r="S300" s="5">
        <v>43404.505474537036</v>
      </c>
      <c r="T300" t="s">
        <v>53</v>
      </c>
      <c r="U300" t="s">
        <v>35</v>
      </c>
      <c r="V300" s="3" t="s">
        <v>35</v>
      </c>
      <c r="W300" s="3" t="s">
        <v>4171</v>
      </c>
      <c r="AM300" s="5"/>
      <c r="AN300" s="5"/>
      <c r="AQ300" s="6"/>
    </row>
    <row r="301" spans="2:43" x14ac:dyDescent="0.25">
      <c r="B301" t="s">
        <v>4076</v>
      </c>
      <c r="C301">
        <v>109769</v>
      </c>
      <c r="D301" t="s">
        <v>4295</v>
      </c>
      <c r="E301" t="s">
        <v>577</v>
      </c>
      <c r="F301" t="s">
        <v>305</v>
      </c>
      <c r="G301" t="s">
        <v>304</v>
      </c>
      <c r="H301" t="s">
        <v>116</v>
      </c>
      <c r="I301" t="s">
        <v>31</v>
      </c>
      <c r="J301" t="s">
        <v>32</v>
      </c>
      <c r="K301" t="s">
        <v>51</v>
      </c>
      <c r="L301" t="s">
        <v>45</v>
      </c>
      <c r="M301" t="s">
        <v>260</v>
      </c>
      <c r="N301" t="s">
        <v>3513</v>
      </c>
      <c r="P301" t="s">
        <v>3698</v>
      </c>
      <c r="Q301" t="s">
        <v>3734</v>
      </c>
      <c r="R301" s="5">
        <v>43124.962719907409</v>
      </c>
      <c r="S301" s="5">
        <v>43223.477430555555</v>
      </c>
      <c r="T301" t="s">
        <v>53</v>
      </c>
      <c r="U301" t="s">
        <v>4277</v>
      </c>
      <c r="V301" s="3" t="s">
        <v>35</v>
      </c>
      <c r="W301" s="3" t="s">
        <v>307</v>
      </c>
      <c r="AM301" s="5"/>
      <c r="AN301" s="5"/>
      <c r="AQ301" s="6"/>
    </row>
    <row r="302" spans="2:43" x14ac:dyDescent="0.25">
      <c r="B302" t="s">
        <v>4076</v>
      </c>
      <c r="C302">
        <v>109768</v>
      </c>
      <c r="D302" t="s">
        <v>4294</v>
      </c>
      <c r="E302" t="s">
        <v>3479</v>
      </c>
      <c r="F302" t="s">
        <v>67</v>
      </c>
      <c r="H302" t="s">
        <v>116</v>
      </c>
      <c r="I302" t="s">
        <v>31</v>
      </c>
      <c r="J302" t="s">
        <v>32</v>
      </c>
      <c r="K302" t="s">
        <v>51</v>
      </c>
      <c r="L302" t="s">
        <v>45</v>
      </c>
      <c r="M302" t="s">
        <v>260</v>
      </c>
      <c r="N302" t="s">
        <v>60</v>
      </c>
      <c r="P302" t="s">
        <v>3698</v>
      </c>
      <c r="R302" s="5">
        <v>43124.962731481479</v>
      </c>
      <c r="S302" s="5">
        <v>43124.965185185189</v>
      </c>
      <c r="T302" t="s">
        <v>53</v>
      </c>
      <c r="U302" t="s">
        <v>35</v>
      </c>
      <c r="V302" s="3" t="s">
        <v>35</v>
      </c>
      <c r="W302" s="3" t="s">
        <v>4098</v>
      </c>
      <c r="AM302" s="5"/>
      <c r="AN302" s="5"/>
      <c r="AQ302" s="6"/>
    </row>
    <row r="303" spans="2:43" x14ac:dyDescent="0.25">
      <c r="B303" t="s">
        <v>4089</v>
      </c>
      <c r="C303">
        <v>109767</v>
      </c>
      <c r="D303" t="s">
        <v>4293</v>
      </c>
      <c r="E303" t="s">
        <v>64</v>
      </c>
      <c r="F303" t="s">
        <v>319</v>
      </c>
      <c r="G303" t="s">
        <v>304</v>
      </c>
      <c r="H303" t="s">
        <v>116</v>
      </c>
      <c r="I303" t="s">
        <v>31</v>
      </c>
      <c r="J303" t="s">
        <v>32</v>
      </c>
      <c r="K303" t="s">
        <v>44</v>
      </c>
      <c r="L303" t="s">
        <v>52</v>
      </c>
      <c r="M303" t="s">
        <v>4092</v>
      </c>
      <c r="N303" t="s">
        <v>572</v>
      </c>
      <c r="P303" t="s">
        <v>190</v>
      </c>
      <c r="Q303" t="s">
        <v>89</v>
      </c>
      <c r="R303" s="5">
        <v>43124.950844907406</v>
      </c>
      <c r="S303" s="5">
        <v>43124.953043981484</v>
      </c>
      <c r="T303" t="s">
        <v>53</v>
      </c>
      <c r="U303" t="s">
        <v>35</v>
      </c>
      <c r="V303" s="3" t="s">
        <v>321</v>
      </c>
      <c r="W303" s="3" t="s">
        <v>69</v>
      </c>
      <c r="AM303" s="5"/>
      <c r="AN303" s="5"/>
      <c r="AQ303" s="6"/>
    </row>
    <row r="304" spans="2:43" x14ac:dyDescent="0.25">
      <c r="B304" t="s">
        <v>4089</v>
      </c>
      <c r="C304">
        <v>109766</v>
      </c>
      <c r="D304" t="s">
        <v>4292</v>
      </c>
      <c r="E304" t="s">
        <v>64</v>
      </c>
      <c r="F304" t="s">
        <v>319</v>
      </c>
      <c r="G304" t="s">
        <v>304</v>
      </c>
      <c r="H304" t="s">
        <v>116</v>
      </c>
      <c r="I304" t="s">
        <v>31</v>
      </c>
      <c r="J304" t="s">
        <v>32</v>
      </c>
      <c r="K304" t="s">
        <v>44</v>
      </c>
      <c r="L304" t="s">
        <v>52</v>
      </c>
      <c r="M304" t="s">
        <v>4092</v>
      </c>
      <c r="N304" t="s">
        <v>60</v>
      </c>
      <c r="P304" t="s">
        <v>190</v>
      </c>
      <c r="Q304" t="s">
        <v>3708</v>
      </c>
      <c r="R304" s="5">
        <v>43124.950856481482</v>
      </c>
      <c r="S304" s="5">
        <v>43423.884583333333</v>
      </c>
      <c r="T304" t="s">
        <v>53</v>
      </c>
      <c r="U304" t="s">
        <v>35</v>
      </c>
      <c r="V304" s="3" t="s">
        <v>321</v>
      </c>
      <c r="W304" s="3" t="s">
        <v>4098</v>
      </c>
      <c r="AM304" s="5"/>
      <c r="AN304" s="5"/>
      <c r="AQ304" s="6"/>
    </row>
    <row r="305" spans="2:43" x14ac:dyDescent="0.25">
      <c r="B305" t="s">
        <v>246</v>
      </c>
      <c r="C305">
        <v>109744</v>
      </c>
      <c r="D305" t="s">
        <v>589</v>
      </c>
      <c r="E305" t="s">
        <v>301</v>
      </c>
      <c r="F305" t="s">
        <v>305</v>
      </c>
      <c r="G305" t="s">
        <v>304</v>
      </c>
      <c r="H305" t="s">
        <v>54</v>
      </c>
      <c r="I305" t="s">
        <v>31</v>
      </c>
      <c r="J305" t="s">
        <v>43</v>
      </c>
      <c r="K305" t="s">
        <v>44</v>
      </c>
      <c r="L305" t="s">
        <v>73</v>
      </c>
      <c r="M305" t="s">
        <v>4205</v>
      </c>
      <c r="N305" t="s">
        <v>582</v>
      </c>
      <c r="P305" t="s">
        <v>4171</v>
      </c>
      <c r="Q305" t="s">
        <v>69</v>
      </c>
      <c r="R305" s="5">
        <v>43124.733495370368</v>
      </c>
      <c r="S305" s="5">
        <v>43405.497256944444</v>
      </c>
      <c r="T305" t="s">
        <v>4204</v>
      </c>
      <c r="U305" t="s">
        <v>4221</v>
      </c>
      <c r="V305" s="3" t="s">
        <v>35</v>
      </c>
      <c r="W305" s="3" t="s">
        <v>4171</v>
      </c>
      <c r="AM305" s="5"/>
      <c r="AN305" s="5"/>
      <c r="AQ305" s="6"/>
    </row>
    <row r="306" spans="2:43" x14ac:dyDescent="0.25">
      <c r="B306" t="s">
        <v>246</v>
      </c>
      <c r="C306">
        <v>109742</v>
      </c>
      <c r="D306" t="s">
        <v>4291</v>
      </c>
      <c r="E306" t="s">
        <v>301</v>
      </c>
      <c r="F306" t="s">
        <v>305</v>
      </c>
      <c r="G306" t="s">
        <v>304</v>
      </c>
      <c r="H306" t="s">
        <v>54</v>
      </c>
      <c r="I306" t="s">
        <v>31</v>
      </c>
      <c r="J306" t="s">
        <v>43</v>
      </c>
      <c r="K306" t="s">
        <v>44</v>
      </c>
      <c r="L306" t="s">
        <v>73</v>
      </c>
      <c r="M306" t="s">
        <v>4205</v>
      </c>
      <c r="N306" t="s">
        <v>60</v>
      </c>
      <c r="P306" t="s">
        <v>307</v>
      </c>
      <c r="Q306" t="s">
        <v>69</v>
      </c>
      <c r="R306" s="5">
        <v>43124.723101851851</v>
      </c>
      <c r="S306" s="5">
        <v>43215.183657407404</v>
      </c>
      <c r="T306" t="s">
        <v>4204</v>
      </c>
      <c r="U306" t="s">
        <v>4209</v>
      </c>
      <c r="V306" s="3" t="s">
        <v>35</v>
      </c>
      <c r="W306" s="3" t="s">
        <v>307</v>
      </c>
      <c r="AM306" s="5"/>
      <c r="AN306" s="5"/>
      <c r="AQ306" s="6"/>
    </row>
    <row r="307" spans="2:43" x14ac:dyDescent="0.25">
      <c r="B307" t="s">
        <v>4287</v>
      </c>
      <c r="C307">
        <v>109739</v>
      </c>
      <c r="D307" t="s">
        <v>4288</v>
      </c>
      <c r="E307" t="s">
        <v>4289</v>
      </c>
      <c r="F307" t="s">
        <v>305</v>
      </c>
      <c r="G307" t="s">
        <v>337</v>
      </c>
      <c r="H307" t="s">
        <v>116</v>
      </c>
      <c r="I307" t="s">
        <v>31</v>
      </c>
      <c r="J307" t="s">
        <v>32</v>
      </c>
      <c r="K307" t="s">
        <v>33</v>
      </c>
      <c r="L307" t="s">
        <v>408</v>
      </c>
      <c r="M307" t="s">
        <v>4290</v>
      </c>
      <c r="N307" t="s">
        <v>60</v>
      </c>
      <c r="P307" t="s">
        <v>190</v>
      </c>
      <c r="Q307" t="s">
        <v>2481</v>
      </c>
      <c r="R307" s="5">
        <v>43124.707905092589</v>
      </c>
      <c r="S307" s="5">
        <v>43238.63521990741</v>
      </c>
      <c r="T307" t="s">
        <v>5</v>
      </c>
      <c r="U307" t="s">
        <v>35</v>
      </c>
      <c r="V307" s="3" t="s">
        <v>321</v>
      </c>
      <c r="W307" s="3" t="s">
        <v>307</v>
      </c>
      <c r="AM307" s="5"/>
      <c r="AN307" s="5"/>
      <c r="AQ307" s="6"/>
    </row>
    <row r="308" spans="2:43" x14ac:dyDescent="0.25">
      <c r="B308" t="s">
        <v>4267</v>
      </c>
      <c r="C308">
        <v>109728</v>
      </c>
      <c r="D308" t="s">
        <v>4286</v>
      </c>
      <c r="E308" t="s">
        <v>72</v>
      </c>
      <c r="F308" t="s">
        <v>305</v>
      </c>
      <c r="G308" t="s">
        <v>353</v>
      </c>
      <c r="H308" t="s">
        <v>54</v>
      </c>
      <c r="I308" t="s">
        <v>31</v>
      </c>
      <c r="J308" t="s">
        <v>43</v>
      </c>
      <c r="K308" t="s">
        <v>44</v>
      </c>
      <c r="L308" t="s">
        <v>73</v>
      </c>
      <c r="M308" t="s">
        <v>263</v>
      </c>
      <c r="N308" t="s">
        <v>60</v>
      </c>
      <c r="P308" t="s">
        <v>190</v>
      </c>
      <c r="Q308" t="s">
        <v>1503</v>
      </c>
      <c r="R308" s="5">
        <v>43124.65420138889</v>
      </c>
      <c r="S308" s="5">
        <v>43192.158750000002</v>
      </c>
      <c r="T308" t="s">
        <v>288</v>
      </c>
      <c r="U308" t="s">
        <v>35</v>
      </c>
      <c r="V308" s="3" t="s">
        <v>35</v>
      </c>
      <c r="W308" s="3" t="s">
        <v>4172</v>
      </c>
      <c r="AM308" s="5"/>
      <c r="AN308" s="5"/>
      <c r="AQ308" s="6"/>
    </row>
    <row r="309" spans="2:43" x14ac:dyDescent="0.25">
      <c r="B309" t="s">
        <v>4267</v>
      </c>
      <c r="C309">
        <v>109727</v>
      </c>
      <c r="D309" t="s">
        <v>4285</v>
      </c>
      <c r="E309" t="s">
        <v>387</v>
      </c>
      <c r="F309" t="s">
        <v>67</v>
      </c>
      <c r="H309" t="s">
        <v>54</v>
      </c>
      <c r="I309" t="s">
        <v>31</v>
      </c>
      <c r="J309" t="s">
        <v>43</v>
      </c>
      <c r="K309" t="s">
        <v>44</v>
      </c>
      <c r="L309" t="s">
        <v>73</v>
      </c>
      <c r="M309" t="s">
        <v>263</v>
      </c>
      <c r="N309" t="s">
        <v>60</v>
      </c>
      <c r="P309" t="s">
        <v>190</v>
      </c>
      <c r="Q309" t="s">
        <v>1503</v>
      </c>
      <c r="R309" s="5">
        <v>43124.65421296296</v>
      </c>
      <c r="S309" s="5">
        <v>43124.65420138889</v>
      </c>
      <c r="T309" t="s">
        <v>288</v>
      </c>
      <c r="U309" t="s">
        <v>35</v>
      </c>
      <c r="V309" s="3" t="s">
        <v>35</v>
      </c>
      <c r="W309" s="3" t="s">
        <v>4098</v>
      </c>
      <c r="AM309" s="5"/>
      <c r="AN309" s="5"/>
      <c r="AQ309" s="6"/>
    </row>
    <row r="310" spans="2:43" x14ac:dyDescent="0.25">
      <c r="B310" t="s">
        <v>448</v>
      </c>
      <c r="C310">
        <v>109725</v>
      </c>
      <c r="D310" t="s">
        <v>4283</v>
      </c>
      <c r="E310" t="s">
        <v>91</v>
      </c>
      <c r="F310" t="s">
        <v>319</v>
      </c>
      <c r="G310" t="s">
        <v>304</v>
      </c>
      <c r="H310" t="s">
        <v>54</v>
      </c>
      <c r="I310" t="s">
        <v>31</v>
      </c>
      <c r="J310" t="s">
        <v>43</v>
      </c>
      <c r="K310" t="s">
        <v>51</v>
      </c>
      <c r="L310" t="s">
        <v>73</v>
      </c>
      <c r="M310" t="s">
        <v>264</v>
      </c>
      <c r="N310" t="s">
        <v>3711</v>
      </c>
      <c r="P310" t="s">
        <v>449</v>
      </c>
      <c r="Q310" t="s">
        <v>2854</v>
      </c>
      <c r="R310" s="5">
        <v>43124.551076388889</v>
      </c>
      <c r="S310" s="5">
        <v>43146.985451388886</v>
      </c>
      <c r="T310" t="s">
        <v>110</v>
      </c>
      <c r="U310" t="s">
        <v>4284</v>
      </c>
      <c r="V310" s="3" t="s">
        <v>35</v>
      </c>
      <c r="W310" s="3" t="s">
        <v>4171</v>
      </c>
      <c r="AM310" s="5"/>
      <c r="AN310" s="5"/>
      <c r="AQ310" s="6"/>
    </row>
    <row r="311" spans="2:43" x14ac:dyDescent="0.25">
      <c r="B311" t="s">
        <v>2841</v>
      </c>
      <c r="C311">
        <v>109709</v>
      </c>
      <c r="D311" t="s">
        <v>4282</v>
      </c>
      <c r="E311" t="s">
        <v>490</v>
      </c>
      <c r="F311" t="s">
        <v>42</v>
      </c>
      <c r="H311" t="s">
        <v>54</v>
      </c>
      <c r="I311" t="s">
        <v>31</v>
      </c>
      <c r="J311" t="s">
        <v>32</v>
      </c>
      <c r="K311" t="s">
        <v>33</v>
      </c>
      <c r="L311" t="s">
        <v>73</v>
      </c>
      <c r="M311" t="s">
        <v>273</v>
      </c>
      <c r="N311" t="s">
        <v>60</v>
      </c>
      <c r="P311" t="s">
        <v>3498</v>
      </c>
      <c r="R311" s="5">
        <v>43124.432824074072</v>
      </c>
      <c r="S311" s="5">
        <v>43382.661215277774</v>
      </c>
      <c r="T311" t="s">
        <v>4241</v>
      </c>
      <c r="U311" t="s">
        <v>35</v>
      </c>
      <c r="V311" s="3" t="s">
        <v>35</v>
      </c>
      <c r="W311" s="3" t="s">
        <v>4098</v>
      </c>
      <c r="AM311" s="5"/>
      <c r="AN311" s="5"/>
      <c r="AQ311" s="6"/>
    </row>
    <row r="312" spans="2:43" x14ac:dyDescent="0.25">
      <c r="B312" t="s">
        <v>4280</v>
      </c>
      <c r="C312">
        <v>109646</v>
      </c>
      <c r="D312" t="s">
        <v>4281</v>
      </c>
      <c r="E312" t="s">
        <v>94</v>
      </c>
      <c r="F312" t="s">
        <v>319</v>
      </c>
      <c r="G312" t="s">
        <v>328</v>
      </c>
      <c r="H312" t="s">
        <v>54</v>
      </c>
      <c r="I312" t="s">
        <v>31</v>
      </c>
      <c r="J312" t="s">
        <v>43</v>
      </c>
      <c r="K312" t="s">
        <v>44</v>
      </c>
      <c r="L312" t="s">
        <v>73</v>
      </c>
      <c r="M312" t="s">
        <v>263</v>
      </c>
      <c r="N312" t="s">
        <v>60</v>
      </c>
      <c r="P312" t="s">
        <v>69</v>
      </c>
      <c r="Q312" t="s">
        <v>3260</v>
      </c>
      <c r="R312" s="5">
        <v>43123.35974537037</v>
      </c>
      <c r="S312" s="5">
        <v>43481.72457175926</v>
      </c>
      <c r="T312" t="s">
        <v>4</v>
      </c>
      <c r="U312" t="s">
        <v>35</v>
      </c>
      <c r="V312" s="3" t="s">
        <v>35</v>
      </c>
      <c r="W312" s="3" t="s">
        <v>4098</v>
      </c>
      <c r="AM312" s="5"/>
      <c r="AN312" s="5"/>
      <c r="AQ312" s="6"/>
    </row>
    <row r="313" spans="2:43" x14ac:dyDescent="0.25">
      <c r="B313" t="s">
        <v>4278</v>
      </c>
      <c r="C313">
        <v>109645</v>
      </c>
      <c r="D313" t="s">
        <v>4279</v>
      </c>
      <c r="E313" t="s">
        <v>288</v>
      </c>
      <c r="F313" t="s">
        <v>42</v>
      </c>
      <c r="H313" t="s">
        <v>54</v>
      </c>
      <c r="I313" t="s">
        <v>31</v>
      </c>
      <c r="J313" t="s">
        <v>43</v>
      </c>
      <c r="K313" t="s">
        <v>44</v>
      </c>
      <c r="L313" t="s">
        <v>96</v>
      </c>
      <c r="M313" t="s">
        <v>281</v>
      </c>
      <c r="N313" t="s">
        <v>60</v>
      </c>
      <c r="P313" t="s">
        <v>69</v>
      </c>
      <c r="R313" s="5">
        <v>43123.337384259263</v>
      </c>
      <c r="S313" s="5">
        <v>43322.550393518519</v>
      </c>
      <c r="T313" t="s">
        <v>4</v>
      </c>
      <c r="U313" t="s">
        <v>35</v>
      </c>
      <c r="V313" s="3" t="s">
        <v>35</v>
      </c>
      <c r="W313" s="3" t="s">
        <v>4098</v>
      </c>
      <c r="AM313" s="5"/>
      <c r="AN313" s="5"/>
      <c r="AQ313" s="6"/>
    </row>
    <row r="314" spans="2:43" x14ac:dyDescent="0.25">
      <c r="B314" t="s">
        <v>4275</v>
      </c>
      <c r="C314">
        <v>109625</v>
      </c>
      <c r="D314" t="s">
        <v>4276</v>
      </c>
      <c r="E314" t="s">
        <v>134</v>
      </c>
      <c r="F314" t="s">
        <v>305</v>
      </c>
      <c r="G314" t="s">
        <v>304</v>
      </c>
      <c r="H314" t="s">
        <v>54</v>
      </c>
      <c r="I314" t="s">
        <v>68</v>
      </c>
      <c r="J314" t="s">
        <v>43</v>
      </c>
      <c r="K314" t="s">
        <v>33</v>
      </c>
      <c r="L314" t="s">
        <v>34</v>
      </c>
      <c r="M314" t="s">
        <v>2691</v>
      </c>
      <c r="N314" t="s">
        <v>46</v>
      </c>
      <c r="P314" t="s">
        <v>69</v>
      </c>
      <c r="R314" s="5">
        <v>43122.68136574074</v>
      </c>
      <c r="S314" s="5">
        <v>43220.633055555554</v>
      </c>
      <c r="T314" t="s">
        <v>3671</v>
      </c>
      <c r="U314" t="s">
        <v>4277</v>
      </c>
      <c r="V314" s="3" t="s">
        <v>35</v>
      </c>
      <c r="W314" s="3" t="s">
        <v>4176</v>
      </c>
      <c r="AM314" s="5"/>
      <c r="AN314" s="5"/>
      <c r="AQ314" s="6"/>
    </row>
    <row r="315" spans="2:43" x14ac:dyDescent="0.25">
      <c r="B315" t="s">
        <v>4257</v>
      </c>
      <c r="C315">
        <v>109624</v>
      </c>
      <c r="D315" t="s">
        <v>4274</v>
      </c>
      <c r="E315" t="s">
        <v>335</v>
      </c>
      <c r="F315" t="s">
        <v>29</v>
      </c>
      <c r="H315" t="s">
        <v>54</v>
      </c>
      <c r="I315" t="s">
        <v>31</v>
      </c>
      <c r="J315" t="s">
        <v>43</v>
      </c>
      <c r="K315" t="s">
        <v>44</v>
      </c>
      <c r="L315" t="s">
        <v>195</v>
      </c>
      <c r="M315" t="s">
        <v>2976</v>
      </c>
      <c r="N315" t="s">
        <v>4195</v>
      </c>
      <c r="P315" t="s">
        <v>107</v>
      </c>
      <c r="Q315" t="s">
        <v>1503</v>
      </c>
      <c r="R315" s="5">
        <v>43122.674224537041</v>
      </c>
      <c r="S315" s="5">
        <v>43474.924988425926</v>
      </c>
      <c r="T315" t="s">
        <v>288</v>
      </c>
      <c r="U315" t="s">
        <v>5134</v>
      </c>
      <c r="V315" s="3" t="s">
        <v>35</v>
      </c>
      <c r="W315" s="3" t="s">
        <v>4171</v>
      </c>
      <c r="AM315" s="5"/>
      <c r="AN315" s="5"/>
      <c r="AQ315" s="6"/>
    </row>
    <row r="316" spans="2:43" x14ac:dyDescent="0.25">
      <c r="B316" t="s">
        <v>4257</v>
      </c>
      <c r="C316">
        <v>109623</v>
      </c>
      <c r="D316" t="s">
        <v>4273</v>
      </c>
      <c r="E316" t="s">
        <v>288</v>
      </c>
      <c r="F316" t="s">
        <v>67</v>
      </c>
      <c r="H316" t="s">
        <v>54</v>
      </c>
      <c r="I316" t="s">
        <v>31</v>
      </c>
      <c r="J316" t="s">
        <v>43</v>
      </c>
      <c r="K316" t="s">
        <v>44</v>
      </c>
      <c r="L316" t="s">
        <v>195</v>
      </c>
      <c r="M316" t="s">
        <v>2976</v>
      </c>
      <c r="N316" t="s">
        <v>46</v>
      </c>
      <c r="P316" t="s">
        <v>107</v>
      </c>
      <c r="R316" s="5">
        <v>43122.67423611111</v>
      </c>
      <c r="S316" s="5">
        <v>43410.632384259261</v>
      </c>
      <c r="T316" t="s">
        <v>288</v>
      </c>
      <c r="U316" t="s">
        <v>35</v>
      </c>
      <c r="V316" s="3" t="s">
        <v>35</v>
      </c>
      <c r="W316" s="3" t="s">
        <v>4098</v>
      </c>
      <c r="AM316" s="5"/>
      <c r="AN316" s="5"/>
      <c r="AQ316" s="6"/>
    </row>
    <row r="317" spans="2:43" x14ac:dyDescent="0.25">
      <c r="B317" t="s">
        <v>4269</v>
      </c>
      <c r="C317">
        <v>109590</v>
      </c>
      <c r="D317" t="s">
        <v>4272</v>
      </c>
      <c r="E317" t="s">
        <v>136</v>
      </c>
      <c r="F317" t="s">
        <v>305</v>
      </c>
      <c r="G317" t="s">
        <v>304</v>
      </c>
      <c r="H317" t="s">
        <v>54</v>
      </c>
      <c r="I317" t="s">
        <v>31</v>
      </c>
      <c r="J317" t="s">
        <v>32</v>
      </c>
      <c r="K317" t="s">
        <v>51</v>
      </c>
      <c r="L317" t="s">
        <v>34</v>
      </c>
      <c r="M317" t="s">
        <v>274</v>
      </c>
      <c r="N317" t="s">
        <v>572</v>
      </c>
      <c r="P317" t="s">
        <v>69</v>
      </c>
      <c r="Q317" t="s">
        <v>1503</v>
      </c>
      <c r="R317" s="5">
        <v>43119.965416666666</v>
      </c>
      <c r="S317" s="5">
        <v>43237.657777777778</v>
      </c>
      <c r="T317" t="s">
        <v>53</v>
      </c>
      <c r="U317" t="s">
        <v>4249</v>
      </c>
      <c r="V317" s="3" t="s">
        <v>35</v>
      </c>
      <c r="W317" s="3" t="s">
        <v>4176</v>
      </c>
      <c r="AM317" s="5"/>
      <c r="AN317" s="5"/>
      <c r="AQ317" s="6"/>
    </row>
    <row r="318" spans="2:43" x14ac:dyDescent="0.25">
      <c r="B318" t="s">
        <v>4269</v>
      </c>
      <c r="C318">
        <v>109589</v>
      </c>
      <c r="D318" t="s">
        <v>4270</v>
      </c>
      <c r="E318" t="s">
        <v>136</v>
      </c>
      <c r="F318" t="s">
        <v>319</v>
      </c>
      <c r="G318" t="s">
        <v>304</v>
      </c>
      <c r="H318" t="s">
        <v>54</v>
      </c>
      <c r="I318" t="s">
        <v>31</v>
      </c>
      <c r="J318" t="s">
        <v>32</v>
      </c>
      <c r="K318" t="s">
        <v>51</v>
      </c>
      <c r="L318" t="s">
        <v>34</v>
      </c>
      <c r="M318" t="s">
        <v>274</v>
      </c>
      <c r="N318" t="s">
        <v>46</v>
      </c>
      <c r="O318" t="s">
        <v>4271</v>
      </c>
      <c r="P318" t="s">
        <v>69</v>
      </c>
      <c r="Q318" t="s">
        <v>1503</v>
      </c>
      <c r="R318" s="5">
        <v>43119.965439814812</v>
      </c>
      <c r="S318" s="5">
        <v>43315.67392361111</v>
      </c>
      <c r="T318" t="s">
        <v>53</v>
      </c>
      <c r="U318" t="s">
        <v>35</v>
      </c>
      <c r="V318" s="3" t="s">
        <v>35</v>
      </c>
      <c r="W318" s="3" t="s">
        <v>4098</v>
      </c>
      <c r="AM318" s="5"/>
      <c r="AN318" s="5"/>
      <c r="AQ318" s="6"/>
    </row>
    <row r="319" spans="2:43" x14ac:dyDescent="0.25">
      <c r="B319" t="s">
        <v>4267</v>
      </c>
      <c r="C319">
        <v>109547</v>
      </c>
      <c r="D319" t="s">
        <v>4268</v>
      </c>
      <c r="E319" t="s">
        <v>387</v>
      </c>
      <c r="F319" t="s">
        <v>305</v>
      </c>
      <c r="G319" t="s">
        <v>353</v>
      </c>
      <c r="H319" t="s">
        <v>54</v>
      </c>
      <c r="I319" t="s">
        <v>31</v>
      </c>
      <c r="J319" t="s">
        <v>43</v>
      </c>
      <c r="K319" t="s">
        <v>44</v>
      </c>
      <c r="L319" t="s">
        <v>73</v>
      </c>
      <c r="M319" t="s">
        <v>263</v>
      </c>
      <c r="N319" t="s">
        <v>60</v>
      </c>
      <c r="P319" t="s">
        <v>190</v>
      </c>
      <c r="Q319" t="s">
        <v>1503</v>
      </c>
      <c r="R319" s="5">
        <v>43119.082280092596</v>
      </c>
      <c r="S319" s="5">
        <v>43192.158553240741</v>
      </c>
      <c r="T319" t="s">
        <v>4</v>
      </c>
      <c r="U319" t="s">
        <v>35</v>
      </c>
      <c r="V319" s="3" t="s">
        <v>35</v>
      </c>
      <c r="W319" s="3" t="s">
        <v>307</v>
      </c>
      <c r="AM319" s="5"/>
      <c r="AN319" s="5"/>
      <c r="AQ319" s="6"/>
    </row>
    <row r="320" spans="2:43" x14ac:dyDescent="0.25">
      <c r="B320" t="s">
        <v>4253</v>
      </c>
      <c r="C320">
        <v>109542</v>
      </c>
      <c r="D320" t="s">
        <v>4266</v>
      </c>
      <c r="E320" t="s">
        <v>4204</v>
      </c>
      <c r="F320" t="s">
        <v>305</v>
      </c>
      <c r="G320" t="s">
        <v>310</v>
      </c>
      <c r="H320" t="s">
        <v>116</v>
      </c>
      <c r="I320" t="s">
        <v>31</v>
      </c>
      <c r="J320" t="s">
        <v>32</v>
      </c>
      <c r="K320" t="s">
        <v>51</v>
      </c>
      <c r="L320" t="s">
        <v>73</v>
      </c>
      <c r="M320" t="s">
        <v>4205</v>
      </c>
      <c r="N320" t="s">
        <v>582</v>
      </c>
      <c r="P320" t="s">
        <v>3698</v>
      </c>
      <c r="Q320" t="s">
        <v>69</v>
      </c>
      <c r="R320" s="5">
        <v>43118.700150462966</v>
      </c>
      <c r="S320" s="5">
        <v>43215.910520833335</v>
      </c>
      <c r="T320" t="s">
        <v>301</v>
      </c>
      <c r="U320" t="s">
        <v>35</v>
      </c>
      <c r="V320" s="3" t="s">
        <v>321</v>
      </c>
      <c r="W320" s="3" t="s">
        <v>4171</v>
      </c>
      <c r="AM320" s="5"/>
      <c r="AN320" s="5"/>
      <c r="AQ320" s="6"/>
    </row>
    <row r="321" spans="2:43" x14ac:dyDescent="0.25">
      <c r="B321" t="s">
        <v>4253</v>
      </c>
      <c r="C321">
        <v>109541</v>
      </c>
      <c r="D321" t="s">
        <v>4265</v>
      </c>
      <c r="E321" t="s">
        <v>4204</v>
      </c>
      <c r="F321" t="s">
        <v>305</v>
      </c>
      <c r="G321" t="s">
        <v>353</v>
      </c>
      <c r="H321" t="s">
        <v>116</v>
      </c>
      <c r="I321" t="s">
        <v>31</v>
      </c>
      <c r="J321" t="s">
        <v>32</v>
      </c>
      <c r="K321" t="s">
        <v>51</v>
      </c>
      <c r="L321" t="s">
        <v>73</v>
      </c>
      <c r="M321" t="s">
        <v>4205</v>
      </c>
      <c r="N321" t="s">
        <v>60</v>
      </c>
      <c r="O321" t="s">
        <v>4255</v>
      </c>
      <c r="P321" t="s">
        <v>3698</v>
      </c>
      <c r="Q321" t="s">
        <v>69</v>
      </c>
      <c r="R321" s="5">
        <v>43118.699537037035</v>
      </c>
      <c r="S321" s="5">
        <v>43215.910520833335</v>
      </c>
      <c r="T321" t="s">
        <v>301</v>
      </c>
      <c r="U321" t="s">
        <v>35</v>
      </c>
      <c r="V321" s="3" t="s">
        <v>321</v>
      </c>
      <c r="W321" s="3" t="s">
        <v>307</v>
      </c>
      <c r="AM321" s="5"/>
      <c r="AN321" s="5"/>
      <c r="AQ321" s="6"/>
    </row>
    <row r="322" spans="2:43" x14ac:dyDescent="0.25">
      <c r="B322" t="s">
        <v>4246</v>
      </c>
      <c r="C322">
        <v>109539</v>
      </c>
      <c r="D322" t="s">
        <v>4264</v>
      </c>
      <c r="E322" t="s">
        <v>131</v>
      </c>
      <c r="F322" t="s">
        <v>305</v>
      </c>
      <c r="G322" t="s">
        <v>304</v>
      </c>
      <c r="H322" t="s">
        <v>116</v>
      </c>
      <c r="I322" t="s">
        <v>31</v>
      </c>
      <c r="J322" t="s">
        <v>43</v>
      </c>
      <c r="K322" t="s">
        <v>51</v>
      </c>
      <c r="L322" t="s">
        <v>73</v>
      </c>
      <c r="M322" t="s">
        <v>263</v>
      </c>
      <c r="N322" t="s">
        <v>510</v>
      </c>
      <c r="P322" t="s">
        <v>69</v>
      </c>
      <c r="Q322" t="s">
        <v>3762</v>
      </c>
      <c r="R322" s="5">
        <v>43118.698263888888</v>
      </c>
      <c r="S322" s="5">
        <v>43392.472928240742</v>
      </c>
      <c r="T322" t="s">
        <v>301</v>
      </c>
      <c r="U322" t="s">
        <v>4221</v>
      </c>
      <c r="V322" s="3" t="s">
        <v>35</v>
      </c>
      <c r="W322" s="3" t="s">
        <v>4171</v>
      </c>
      <c r="AM322" s="5"/>
      <c r="AN322" s="5"/>
      <c r="AQ322" s="6"/>
    </row>
    <row r="323" spans="2:43" x14ac:dyDescent="0.25">
      <c r="B323" t="s">
        <v>4246</v>
      </c>
      <c r="C323">
        <v>109538</v>
      </c>
      <c r="D323" t="s">
        <v>4263</v>
      </c>
      <c r="E323" t="s">
        <v>131</v>
      </c>
      <c r="F323" t="s">
        <v>305</v>
      </c>
      <c r="G323" t="s">
        <v>304</v>
      </c>
      <c r="H323" t="s">
        <v>54</v>
      </c>
      <c r="I323" t="s">
        <v>31</v>
      </c>
      <c r="J323" t="s">
        <v>43</v>
      </c>
      <c r="K323" t="s">
        <v>51</v>
      </c>
      <c r="L323" t="s">
        <v>73</v>
      </c>
      <c r="M323" t="s">
        <v>263</v>
      </c>
      <c r="N323" t="s">
        <v>60</v>
      </c>
      <c r="P323" t="s">
        <v>69</v>
      </c>
      <c r="Q323" t="s">
        <v>3762</v>
      </c>
      <c r="R323" s="5">
        <v>43118.697523148148</v>
      </c>
      <c r="S323" s="5">
        <v>43215.865486111114</v>
      </c>
      <c r="T323" t="s">
        <v>301</v>
      </c>
      <c r="U323" t="s">
        <v>4209</v>
      </c>
      <c r="V323" s="3" t="s">
        <v>35</v>
      </c>
      <c r="W323" s="3" t="s">
        <v>307</v>
      </c>
      <c r="AM323" s="5"/>
      <c r="AN323" s="5"/>
      <c r="AQ323" s="6"/>
    </row>
    <row r="324" spans="2:43" x14ac:dyDescent="0.25">
      <c r="B324" t="s">
        <v>4244</v>
      </c>
      <c r="C324">
        <v>109537</v>
      </c>
      <c r="D324" t="s">
        <v>4261</v>
      </c>
      <c r="E324" t="s">
        <v>131</v>
      </c>
      <c r="F324" t="s">
        <v>305</v>
      </c>
      <c r="G324" t="s">
        <v>353</v>
      </c>
      <c r="H324" t="s">
        <v>54</v>
      </c>
      <c r="I324" t="s">
        <v>31</v>
      </c>
      <c r="J324" t="s">
        <v>43</v>
      </c>
      <c r="K324" t="s">
        <v>44</v>
      </c>
      <c r="L324" t="s">
        <v>73</v>
      </c>
      <c r="M324" t="s">
        <v>263</v>
      </c>
      <c r="N324" t="s">
        <v>4195</v>
      </c>
      <c r="P324" t="s">
        <v>3698</v>
      </c>
      <c r="Q324" t="s">
        <v>4262</v>
      </c>
      <c r="R324" s="5">
        <v>43118.695625</v>
      </c>
      <c r="S324" s="5">
        <v>43252.1483912037</v>
      </c>
      <c r="T324" t="s">
        <v>301</v>
      </c>
      <c r="U324" t="s">
        <v>35</v>
      </c>
      <c r="V324" s="3" t="s">
        <v>35</v>
      </c>
      <c r="W324" s="3" t="s">
        <v>4171</v>
      </c>
      <c r="AM324" s="5"/>
      <c r="AN324" s="5"/>
      <c r="AQ324" s="6"/>
    </row>
    <row r="325" spans="2:43" x14ac:dyDescent="0.25">
      <c r="B325" t="s">
        <v>4244</v>
      </c>
      <c r="C325">
        <v>109536</v>
      </c>
      <c r="D325" t="s">
        <v>4259</v>
      </c>
      <c r="E325" t="s">
        <v>131</v>
      </c>
      <c r="F325" t="s">
        <v>305</v>
      </c>
      <c r="G325" t="s">
        <v>337</v>
      </c>
      <c r="H325" t="s">
        <v>54</v>
      </c>
      <c r="I325" t="s">
        <v>31</v>
      </c>
      <c r="J325" t="s">
        <v>43</v>
      </c>
      <c r="K325" t="s">
        <v>44</v>
      </c>
      <c r="L325" t="s">
        <v>73</v>
      </c>
      <c r="M325" t="s">
        <v>263</v>
      </c>
      <c r="N325" t="s">
        <v>60</v>
      </c>
      <c r="O325" t="s">
        <v>4260</v>
      </c>
      <c r="P325" t="s">
        <v>3698</v>
      </c>
      <c r="Q325" t="s">
        <v>2481</v>
      </c>
      <c r="R325" s="5">
        <v>43118.6950462963</v>
      </c>
      <c r="S325" s="5">
        <v>43215.864814814813</v>
      </c>
      <c r="T325" t="s">
        <v>301</v>
      </c>
      <c r="U325" t="s">
        <v>35</v>
      </c>
      <c r="V325" s="3" t="s">
        <v>35</v>
      </c>
      <c r="W325" s="3" t="s">
        <v>307</v>
      </c>
      <c r="AM325" s="5"/>
      <c r="AN325" s="5"/>
      <c r="AQ325" s="6"/>
    </row>
    <row r="326" spans="2:43" x14ac:dyDescent="0.25">
      <c r="B326" t="s">
        <v>4257</v>
      </c>
      <c r="C326">
        <v>109478</v>
      </c>
      <c r="D326" t="s">
        <v>4258</v>
      </c>
      <c r="E326" t="s">
        <v>335</v>
      </c>
      <c r="F326" t="s">
        <v>305</v>
      </c>
      <c r="G326" t="s">
        <v>337</v>
      </c>
      <c r="H326" t="s">
        <v>54</v>
      </c>
      <c r="I326" t="s">
        <v>31</v>
      </c>
      <c r="J326" t="s">
        <v>43</v>
      </c>
      <c r="K326" t="s">
        <v>44</v>
      </c>
      <c r="L326" t="s">
        <v>195</v>
      </c>
      <c r="M326" t="s">
        <v>2976</v>
      </c>
      <c r="N326" t="s">
        <v>60</v>
      </c>
      <c r="P326" t="s">
        <v>107</v>
      </c>
      <c r="Q326" t="s">
        <v>1503</v>
      </c>
      <c r="R326" s="5">
        <v>43116.81832175926</v>
      </c>
      <c r="S326" s="5">
        <v>43208.164814814816</v>
      </c>
      <c r="T326" t="s">
        <v>5</v>
      </c>
      <c r="U326" t="s">
        <v>35</v>
      </c>
      <c r="V326" s="3" t="s">
        <v>35</v>
      </c>
      <c r="W326" s="3" t="s">
        <v>307</v>
      </c>
      <c r="AM326" s="5"/>
      <c r="AN326" s="5"/>
      <c r="AQ326" s="6"/>
    </row>
    <row r="327" spans="2:43" x14ac:dyDescent="0.25">
      <c r="B327" t="s">
        <v>493</v>
      </c>
      <c r="C327">
        <v>109433</v>
      </c>
      <c r="D327" t="s">
        <v>4256</v>
      </c>
      <c r="E327" t="s">
        <v>494</v>
      </c>
      <c r="F327" t="s">
        <v>305</v>
      </c>
      <c r="G327" t="s">
        <v>304</v>
      </c>
      <c r="H327" t="s">
        <v>54</v>
      </c>
      <c r="I327" t="s">
        <v>31</v>
      </c>
      <c r="J327" t="s">
        <v>32</v>
      </c>
      <c r="K327" t="s">
        <v>44</v>
      </c>
      <c r="L327" t="s">
        <v>106</v>
      </c>
      <c r="M327" t="s">
        <v>495</v>
      </c>
      <c r="N327" t="s">
        <v>60</v>
      </c>
      <c r="P327" t="s">
        <v>107</v>
      </c>
      <c r="Q327" t="s">
        <v>3509</v>
      </c>
      <c r="R327" s="5">
        <v>43116.262754629628</v>
      </c>
      <c r="S327" s="5">
        <v>43116.264432870368</v>
      </c>
      <c r="T327" t="s">
        <v>53</v>
      </c>
      <c r="U327" t="s">
        <v>35</v>
      </c>
      <c r="V327" s="3" t="s">
        <v>35</v>
      </c>
      <c r="W327" s="3" t="s">
        <v>69</v>
      </c>
      <c r="AM327" s="5"/>
      <c r="AN327" s="5"/>
      <c r="AQ327" s="6"/>
    </row>
    <row r="328" spans="2:43" x14ac:dyDescent="0.25">
      <c r="B328" t="s">
        <v>5097</v>
      </c>
      <c r="C328">
        <v>109427</v>
      </c>
      <c r="D328" t="s">
        <v>5133</v>
      </c>
      <c r="E328" t="s">
        <v>361</v>
      </c>
      <c r="F328" t="s">
        <v>305</v>
      </c>
      <c r="G328" t="s">
        <v>304</v>
      </c>
      <c r="H328" t="s">
        <v>56</v>
      </c>
      <c r="I328" t="s">
        <v>68</v>
      </c>
      <c r="J328" t="s">
        <v>43</v>
      </c>
      <c r="K328" t="s">
        <v>33</v>
      </c>
      <c r="L328" t="s">
        <v>96</v>
      </c>
      <c r="M328" t="s">
        <v>269</v>
      </c>
      <c r="N328" t="s">
        <v>46</v>
      </c>
      <c r="P328" t="s">
        <v>307</v>
      </c>
      <c r="R328" s="5">
        <v>43115.936956018515</v>
      </c>
      <c r="S328" s="5">
        <v>43439.773657407408</v>
      </c>
      <c r="T328" t="s">
        <v>288</v>
      </c>
      <c r="U328" t="s">
        <v>35</v>
      </c>
      <c r="V328" s="3" t="s">
        <v>35</v>
      </c>
      <c r="W328" s="3" t="s">
        <v>4171</v>
      </c>
      <c r="AM328" s="5"/>
      <c r="AN328" s="5"/>
      <c r="AQ328" s="6"/>
    </row>
    <row r="329" spans="2:43" x14ac:dyDescent="0.25">
      <c r="B329" t="s">
        <v>5097</v>
      </c>
      <c r="C329">
        <v>109426</v>
      </c>
      <c r="D329" t="s">
        <v>5098</v>
      </c>
      <c r="E329" t="s">
        <v>288</v>
      </c>
      <c r="F329" t="s">
        <v>67</v>
      </c>
      <c r="H329" t="s">
        <v>56</v>
      </c>
      <c r="I329" t="s">
        <v>68</v>
      </c>
      <c r="J329" t="s">
        <v>43</v>
      </c>
      <c r="K329" t="s">
        <v>33</v>
      </c>
      <c r="L329" t="s">
        <v>96</v>
      </c>
      <c r="M329" t="s">
        <v>269</v>
      </c>
      <c r="N329" t="s">
        <v>46</v>
      </c>
      <c r="P329" t="s">
        <v>307</v>
      </c>
      <c r="R329" s="5">
        <v>43115.936967592592</v>
      </c>
      <c r="S329" s="5">
        <v>43423.826064814813</v>
      </c>
      <c r="T329" t="s">
        <v>288</v>
      </c>
      <c r="U329" t="s">
        <v>35</v>
      </c>
      <c r="V329" s="3" t="s">
        <v>35</v>
      </c>
      <c r="W329" s="3" t="s">
        <v>4098</v>
      </c>
      <c r="AM329" s="5"/>
      <c r="AN329" s="5"/>
      <c r="AQ329" s="6"/>
    </row>
    <row r="330" spans="2:43" x14ac:dyDescent="0.25">
      <c r="B330" t="s">
        <v>4253</v>
      </c>
      <c r="C330">
        <v>109405</v>
      </c>
      <c r="D330" t="s">
        <v>4254</v>
      </c>
      <c r="E330" t="s">
        <v>4204</v>
      </c>
      <c r="F330" t="s">
        <v>319</v>
      </c>
      <c r="G330" t="s">
        <v>304</v>
      </c>
      <c r="H330" t="s">
        <v>116</v>
      </c>
      <c r="I330" t="s">
        <v>31</v>
      </c>
      <c r="J330" t="s">
        <v>32</v>
      </c>
      <c r="K330" t="s">
        <v>51</v>
      </c>
      <c r="L330" t="s">
        <v>73</v>
      </c>
      <c r="M330" t="s">
        <v>4205</v>
      </c>
      <c r="N330" t="s">
        <v>60</v>
      </c>
      <c r="O330" t="s">
        <v>4255</v>
      </c>
      <c r="P330" t="s">
        <v>3698</v>
      </c>
      <c r="Q330" t="s">
        <v>69</v>
      </c>
      <c r="R330" s="5">
        <v>43115.127569444441</v>
      </c>
      <c r="S330" s="5">
        <v>43215.910532407404</v>
      </c>
      <c r="T330" t="s">
        <v>3</v>
      </c>
      <c r="U330" t="s">
        <v>35</v>
      </c>
      <c r="V330" s="3" t="s">
        <v>321</v>
      </c>
      <c r="W330" s="3" t="s">
        <v>4098</v>
      </c>
      <c r="AM330" s="5"/>
      <c r="AN330" s="5"/>
      <c r="AQ330" s="6"/>
    </row>
    <row r="331" spans="2:43" x14ac:dyDescent="0.25">
      <c r="B331" t="s">
        <v>4250</v>
      </c>
      <c r="C331">
        <v>109402</v>
      </c>
      <c r="D331" t="s">
        <v>4251</v>
      </c>
      <c r="E331" t="s">
        <v>119</v>
      </c>
      <c r="F331" t="s">
        <v>305</v>
      </c>
      <c r="G331" t="s">
        <v>353</v>
      </c>
      <c r="H331" t="s">
        <v>56</v>
      </c>
      <c r="I331" t="s">
        <v>31</v>
      </c>
      <c r="J331" t="s">
        <v>32</v>
      </c>
      <c r="K331" t="s">
        <v>44</v>
      </c>
      <c r="L331" t="s">
        <v>34</v>
      </c>
      <c r="M331" t="s">
        <v>268</v>
      </c>
      <c r="N331" t="s">
        <v>60</v>
      </c>
      <c r="P331" t="s">
        <v>190</v>
      </c>
      <c r="Q331" t="s">
        <v>4252</v>
      </c>
      <c r="R331" s="5">
        <v>43112.874236111114</v>
      </c>
      <c r="S331" s="5">
        <v>43192.158437500002</v>
      </c>
      <c r="T331" t="s">
        <v>1</v>
      </c>
      <c r="U331" t="s">
        <v>35</v>
      </c>
      <c r="V331" s="3" t="s">
        <v>321</v>
      </c>
      <c r="W331" s="3" t="s">
        <v>4156</v>
      </c>
      <c r="AM331" s="5"/>
      <c r="AN331" s="5"/>
      <c r="AQ331" s="6"/>
    </row>
    <row r="332" spans="2:43" x14ac:dyDescent="0.25">
      <c r="B332" t="s">
        <v>4196</v>
      </c>
      <c r="C332">
        <v>109378</v>
      </c>
      <c r="D332" t="s">
        <v>4248</v>
      </c>
      <c r="E332" t="s">
        <v>136</v>
      </c>
      <c r="F332" t="s">
        <v>305</v>
      </c>
      <c r="G332" t="s">
        <v>304</v>
      </c>
      <c r="H332" t="s">
        <v>30</v>
      </c>
      <c r="I332" t="s">
        <v>68</v>
      </c>
      <c r="J332" t="s">
        <v>43</v>
      </c>
      <c r="K332" t="s">
        <v>33</v>
      </c>
      <c r="L332" t="s">
        <v>34</v>
      </c>
      <c r="M332" t="s">
        <v>266</v>
      </c>
      <c r="N332" t="s">
        <v>572</v>
      </c>
      <c r="O332" t="s">
        <v>533</v>
      </c>
      <c r="P332" t="s">
        <v>69</v>
      </c>
      <c r="Q332" t="s">
        <v>1503</v>
      </c>
      <c r="R332" s="5">
        <v>43112.556400462963</v>
      </c>
      <c r="S332" s="5">
        <v>43237.657766203702</v>
      </c>
      <c r="T332" t="s">
        <v>5</v>
      </c>
      <c r="U332" t="s">
        <v>4249</v>
      </c>
      <c r="V332" s="3" t="s">
        <v>35</v>
      </c>
      <c r="W332" s="3" t="s">
        <v>4176</v>
      </c>
      <c r="AM332" s="5"/>
      <c r="AN332" s="5"/>
      <c r="AQ332" s="6"/>
    </row>
    <row r="333" spans="2:43" x14ac:dyDescent="0.25">
      <c r="B333" t="s">
        <v>4246</v>
      </c>
      <c r="C333">
        <v>109341</v>
      </c>
      <c r="D333" t="s">
        <v>4247</v>
      </c>
      <c r="E333" t="s">
        <v>131</v>
      </c>
      <c r="F333" t="s">
        <v>42</v>
      </c>
      <c r="H333" t="s">
        <v>54</v>
      </c>
      <c r="I333" t="s">
        <v>31</v>
      </c>
      <c r="J333" t="s">
        <v>43</v>
      </c>
      <c r="K333" t="s">
        <v>51</v>
      </c>
      <c r="L333" t="s">
        <v>73</v>
      </c>
      <c r="M333" t="s">
        <v>263</v>
      </c>
      <c r="N333" t="s">
        <v>60</v>
      </c>
      <c r="P333" t="s">
        <v>69</v>
      </c>
      <c r="R333" s="5">
        <v>43111.9215625</v>
      </c>
      <c r="S333" s="5">
        <v>43215.865486111114</v>
      </c>
      <c r="T333" t="s">
        <v>131</v>
      </c>
      <c r="U333" t="s">
        <v>35</v>
      </c>
      <c r="V333" s="3" t="s">
        <v>35</v>
      </c>
      <c r="W333" s="3" t="s">
        <v>4098</v>
      </c>
      <c r="AM333" s="5"/>
      <c r="AN333" s="5"/>
      <c r="AQ333" s="6"/>
    </row>
    <row r="334" spans="2:43" x14ac:dyDescent="0.25">
      <c r="B334" t="s">
        <v>4244</v>
      </c>
      <c r="C334">
        <v>109333</v>
      </c>
      <c r="D334" t="s">
        <v>4245</v>
      </c>
      <c r="E334" t="s">
        <v>560</v>
      </c>
      <c r="F334" t="s">
        <v>42</v>
      </c>
      <c r="H334" t="s">
        <v>54</v>
      </c>
      <c r="I334" t="s">
        <v>31</v>
      </c>
      <c r="J334" t="s">
        <v>43</v>
      </c>
      <c r="K334" t="s">
        <v>51</v>
      </c>
      <c r="L334" t="s">
        <v>73</v>
      </c>
      <c r="M334" t="s">
        <v>263</v>
      </c>
      <c r="N334" t="s">
        <v>60</v>
      </c>
      <c r="P334" t="s">
        <v>3698</v>
      </c>
      <c r="R334" s="5">
        <v>43111.665393518517</v>
      </c>
      <c r="S334" s="5">
        <v>43215.864814814813</v>
      </c>
      <c r="T334" t="s">
        <v>1</v>
      </c>
      <c r="U334" t="s">
        <v>35</v>
      </c>
      <c r="V334" s="3" t="s">
        <v>35</v>
      </c>
      <c r="W334" s="3" t="s">
        <v>4098</v>
      </c>
      <c r="AM334" s="5"/>
      <c r="AN334" s="5"/>
      <c r="AQ334" s="6"/>
    </row>
    <row r="335" spans="2:43" x14ac:dyDescent="0.25">
      <c r="B335" t="s">
        <v>4081</v>
      </c>
      <c r="C335">
        <v>109262</v>
      </c>
      <c r="D335" t="s">
        <v>4093</v>
      </c>
      <c r="E335" t="s">
        <v>288</v>
      </c>
      <c r="F335" t="s">
        <v>305</v>
      </c>
      <c r="G335" t="s">
        <v>304</v>
      </c>
      <c r="H335" t="s">
        <v>116</v>
      </c>
      <c r="I335" t="s">
        <v>31</v>
      </c>
      <c r="J335" t="s">
        <v>32</v>
      </c>
      <c r="K335" t="s">
        <v>2156</v>
      </c>
      <c r="L335" t="s">
        <v>380</v>
      </c>
      <c r="M335" t="s">
        <v>434</v>
      </c>
      <c r="N335" t="s">
        <v>582</v>
      </c>
      <c r="P335" t="s">
        <v>69</v>
      </c>
      <c r="Q335" t="s">
        <v>69</v>
      </c>
      <c r="R335" s="5">
        <v>43110.188356481478</v>
      </c>
      <c r="S335" s="5">
        <v>43399.373252314814</v>
      </c>
      <c r="T335" t="s">
        <v>288</v>
      </c>
      <c r="U335" t="s">
        <v>4058</v>
      </c>
      <c r="V335" s="3" t="s">
        <v>321</v>
      </c>
      <c r="W335" s="3" t="s">
        <v>4171</v>
      </c>
      <c r="AM335" s="5"/>
      <c r="AN335" s="5"/>
      <c r="AQ335" s="6"/>
    </row>
    <row r="336" spans="2:43" x14ac:dyDescent="0.25">
      <c r="B336" t="s">
        <v>4089</v>
      </c>
      <c r="C336">
        <v>109256</v>
      </c>
      <c r="D336" t="s">
        <v>4243</v>
      </c>
      <c r="E336" t="s">
        <v>64</v>
      </c>
      <c r="F336" t="s">
        <v>305</v>
      </c>
      <c r="G336" t="s">
        <v>337</v>
      </c>
      <c r="H336" t="s">
        <v>116</v>
      </c>
      <c r="I336" t="s">
        <v>31</v>
      </c>
      <c r="J336" t="s">
        <v>32</v>
      </c>
      <c r="K336" t="s">
        <v>44</v>
      </c>
      <c r="L336" t="s">
        <v>52</v>
      </c>
      <c r="M336" t="s">
        <v>4092</v>
      </c>
      <c r="N336" t="s">
        <v>60</v>
      </c>
      <c r="P336" t="s">
        <v>190</v>
      </c>
      <c r="Q336" t="s">
        <v>3708</v>
      </c>
      <c r="R336" s="5">
        <v>43109.869652777779</v>
      </c>
      <c r="S336" s="5">
        <v>43423.863599537035</v>
      </c>
      <c r="T336" t="s">
        <v>1</v>
      </c>
      <c r="U336" t="s">
        <v>35</v>
      </c>
      <c r="V336" s="3" t="s">
        <v>321</v>
      </c>
      <c r="W336" s="3" t="s">
        <v>4156</v>
      </c>
      <c r="AM336" s="5"/>
      <c r="AN336" s="5"/>
      <c r="AQ336" s="6"/>
    </row>
    <row r="337" spans="2:43" x14ac:dyDescent="0.25">
      <c r="B337" t="s">
        <v>4089</v>
      </c>
      <c r="C337">
        <v>109251</v>
      </c>
      <c r="D337" t="s">
        <v>4090</v>
      </c>
      <c r="E337" t="s">
        <v>64</v>
      </c>
      <c r="F337" t="s">
        <v>305</v>
      </c>
      <c r="G337" t="s">
        <v>353</v>
      </c>
      <c r="H337" t="s">
        <v>56</v>
      </c>
      <c r="I337" t="s">
        <v>31</v>
      </c>
      <c r="J337" t="s">
        <v>32</v>
      </c>
      <c r="K337" t="s">
        <v>33</v>
      </c>
      <c r="L337" t="s">
        <v>45</v>
      </c>
      <c r="M337" t="s">
        <v>106</v>
      </c>
      <c r="N337" t="s">
        <v>46</v>
      </c>
      <c r="P337" t="s">
        <v>190</v>
      </c>
      <c r="Q337" t="s">
        <v>4091</v>
      </c>
      <c r="R337" s="5">
        <v>43109.851550925923</v>
      </c>
      <c r="S337" s="5">
        <v>43192.158356481479</v>
      </c>
      <c r="T337" t="s">
        <v>1</v>
      </c>
      <c r="U337" t="s">
        <v>35</v>
      </c>
      <c r="V337" s="3" t="s">
        <v>321</v>
      </c>
      <c r="W337" s="3" t="s">
        <v>307</v>
      </c>
      <c r="AM337" s="5"/>
      <c r="AN337" s="5"/>
      <c r="AQ337" s="6"/>
    </row>
    <row r="338" spans="2:43" x14ac:dyDescent="0.25">
      <c r="B338" t="s">
        <v>4081</v>
      </c>
      <c r="C338">
        <v>109148</v>
      </c>
      <c r="D338" t="s">
        <v>4084</v>
      </c>
      <c r="E338" t="s">
        <v>3440</v>
      </c>
      <c r="F338" t="s">
        <v>305</v>
      </c>
      <c r="G338" t="s">
        <v>304</v>
      </c>
      <c r="H338" t="s">
        <v>116</v>
      </c>
      <c r="I338" t="s">
        <v>31</v>
      </c>
      <c r="J338" t="s">
        <v>32</v>
      </c>
      <c r="K338" t="s">
        <v>2156</v>
      </c>
      <c r="L338" t="s">
        <v>380</v>
      </c>
      <c r="M338" t="s">
        <v>434</v>
      </c>
      <c r="N338" t="s">
        <v>60</v>
      </c>
      <c r="P338" t="s">
        <v>69</v>
      </c>
      <c r="Q338" t="s">
        <v>2305</v>
      </c>
      <c r="R338" s="5">
        <v>43108.282627314817</v>
      </c>
      <c r="S338" s="5">
        <v>43206.798831018517</v>
      </c>
      <c r="T338" t="s">
        <v>53</v>
      </c>
      <c r="U338" t="s">
        <v>4088</v>
      </c>
      <c r="V338" s="3" t="s">
        <v>321</v>
      </c>
      <c r="W338" s="3" t="s">
        <v>307</v>
      </c>
      <c r="AM338" s="5"/>
      <c r="AN338" s="5"/>
      <c r="AQ338" s="6"/>
    </row>
    <row r="339" spans="2:43" x14ac:dyDescent="0.25">
      <c r="B339" t="s">
        <v>4081</v>
      </c>
      <c r="C339">
        <v>109147</v>
      </c>
      <c r="D339" t="s">
        <v>4083</v>
      </c>
      <c r="E339" t="s">
        <v>435</v>
      </c>
      <c r="F339" t="s">
        <v>319</v>
      </c>
      <c r="G339" t="s">
        <v>304</v>
      </c>
      <c r="H339" t="s">
        <v>116</v>
      </c>
      <c r="I339" t="s">
        <v>31</v>
      </c>
      <c r="J339" t="s">
        <v>32</v>
      </c>
      <c r="K339" t="s">
        <v>2156</v>
      </c>
      <c r="L339" t="s">
        <v>380</v>
      </c>
      <c r="M339" t="s">
        <v>434</v>
      </c>
      <c r="N339" t="s">
        <v>60</v>
      </c>
      <c r="P339" t="s">
        <v>69</v>
      </c>
      <c r="Q339" t="s">
        <v>3708</v>
      </c>
      <c r="R339" s="5">
        <v>43108.282650462963</v>
      </c>
      <c r="S339" s="5">
        <v>43423.912569444445</v>
      </c>
      <c r="T339" t="s">
        <v>53</v>
      </c>
      <c r="U339" t="s">
        <v>35</v>
      </c>
      <c r="V339" s="3" t="s">
        <v>321</v>
      </c>
      <c r="W339" s="3" t="s">
        <v>4098</v>
      </c>
      <c r="AM339" s="5"/>
      <c r="AN339" s="5"/>
      <c r="AQ339" s="6"/>
    </row>
    <row r="340" spans="2:43" x14ac:dyDescent="0.25">
      <c r="B340" t="s">
        <v>4076</v>
      </c>
      <c r="C340">
        <v>109065</v>
      </c>
      <c r="D340" t="s">
        <v>4242</v>
      </c>
      <c r="E340" t="s">
        <v>3479</v>
      </c>
      <c r="F340" t="s">
        <v>319</v>
      </c>
      <c r="G340" t="s">
        <v>304</v>
      </c>
      <c r="H340" t="s">
        <v>116</v>
      </c>
      <c r="I340" t="s">
        <v>31</v>
      </c>
      <c r="J340" t="s">
        <v>32</v>
      </c>
      <c r="K340" t="s">
        <v>51</v>
      </c>
      <c r="L340" t="s">
        <v>45</v>
      </c>
      <c r="M340" t="s">
        <v>260</v>
      </c>
      <c r="N340" t="s">
        <v>121</v>
      </c>
      <c r="O340" t="s">
        <v>487</v>
      </c>
      <c r="P340" t="s">
        <v>3698</v>
      </c>
      <c r="Q340" t="s">
        <v>3734</v>
      </c>
      <c r="R340" s="5">
        <v>43103.758206018516</v>
      </c>
      <c r="S340" s="5">
        <v>43137.529872685183</v>
      </c>
      <c r="T340" t="s">
        <v>1</v>
      </c>
      <c r="U340" t="s">
        <v>35</v>
      </c>
      <c r="V340" s="3" t="s">
        <v>35</v>
      </c>
      <c r="W340" s="3" t="s">
        <v>4172</v>
      </c>
      <c r="AM340" s="5"/>
      <c r="AN340" s="5"/>
      <c r="AQ340" s="6"/>
    </row>
    <row r="341" spans="2:43" x14ac:dyDescent="0.25">
      <c r="B341" t="s">
        <v>3776</v>
      </c>
      <c r="C341">
        <v>109014</v>
      </c>
      <c r="D341" t="s">
        <v>4075</v>
      </c>
      <c r="E341" t="s">
        <v>112</v>
      </c>
      <c r="F341" t="s">
        <v>67</v>
      </c>
      <c r="H341" t="s">
        <v>54</v>
      </c>
      <c r="I341" t="s">
        <v>68</v>
      </c>
      <c r="J341" t="s">
        <v>58</v>
      </c>
      <c r="K341" t="s">
        <v>44</v>
      </c>
      <c r="L341" t="s">
        <v>73</v>
      </c>
      <c r="M341" t="s">
        <v>263</v>
      </c>
      <c r="N341" t="s">
        <v>3777</v>
      </c>
      <c r="P341" t="s">
        <v>69</v>
      </c>
      <c r="R341" s="5">
        <v>43091.823240740741</v>
      </c>
      <c r="S341" s="5">
        <v>43215.863622685189</v>
      </c>
      <c r="T341" t="s">
        <v>301</v>
      </c>
      <c r="U341" t="s">
        <v>35</v>
      </c>
      <c r="V341" s="3" t="s">
        <v>35</v>
      </c>
      <c r="W341" s="3" t="s">
        <v>4171</v>
      </c>
      <c r="AM341" s="5"/>
      <c r="AN341" s="5"/>
      <c r="AQ341" s="6"/>
    </row>
    <row r="342" spans="2:43" x14ac:dyDescent="0.25">
      <c r="B342" t="s">
        <v>3776</v>
      </c>
      <c r="C342">
        <v>109013</v>
      </c>
      <c r="D342" t="s">
        <v>4074</v>
      </c>
      <c r="E342" t="s">
        <v>387</v>
      </c>
      <c r="F342" t="s">
        <v>305</v>
      </c>
      <c r="G342" t="s">
        <v>328</v>
      </c>
      <c r="H342" t="s">
        <v>54</v>
      </c>
      <c r="I342" t="s">
        <v>68</v>
      </c>
      <c r="J342" t="s">
        <v>58</v>
      </c>
      <c r="K342" t="s">
        <v>44</v>
      </c>
      <c r="L342" t="s">
        <v>73</v>
      </c>
      <c r="M342" t="s">
        <v>263</v>
      </c>
      <c r="N342" t="s">
        <v>3777</v>
      </c>
      <c r="P342" t="s">
        <v>69</v>
      </c>
      <c r="Q342" t="s">
        <v>2481</v>
      </c>
      <c r="R342" s="5">
        <v>43091.82240740741</v>
      </c>
      <c r="S342" s="5">
        <v>43215.863622685189</v>
      </c>
      <c r="T342" t="s">
        <v>301</v>
      </c>
      <c r="U342" t="s">
        <v>35</v>
      </c>
      <c r="V342" s="3" t="s">
        <v>35</v>
      </c>
      <c r="W342" s="3" t="s">
        <v>307</v>
      </c>
      <c r="AM342" s="5"/>
      <c r="AN342" s="5"/>
      <c r="AQ342" s="6"/>
    </row>
    <row r="343" spans="2:43" x14ac:dyDescent="0.25">
      <c r="B343" t="s">
        <v>3776</v>
      </c>
      <c r="C343">
        <v>109012</v>
      </c>
      <c r="D343" t="s">
        <v>4073</v>
      </c>
      <c r="E343" t="s">
        <v>112</v>
      </c>
      <c r="F343" t="s">
        <v>305</v>
      </c>
      <c r="G343" t="s">
        <v>337</v>
      </c>
      <c r="H343" t="s">
        <v>54</v>
      </c>
      <c r="I343" t="s">
        <v>68</v>
      </c>
      <c r="J343" t="s">
        <v>58</v>
      </c>
      <c r="K343" t="s">
        <v>44</v>
      </c>
      <c r="L343" t="s">
        <v>73</v>
      </c>
      <c r="M343" t="s">
        <v>263</v>
      </c>
      <c r="N343" t="s">
        <v>3777</v>
      </c>
      <c r="P343" t="s">
        <v>69</v>
      </c>
      <c r="Q343" t="s">
        <v>3708</v>
      </c>
      <c r="R343" s="5">
        <v>43091.821655092594</v>
      </c>
      <c r="S343" s="5">
        <v>43423.872511574074</v>
      </c>
      <c r="T343" t="s">
        <v>301</v>
      </c>
      <c r="U343" t="s">
        <v>35</v>
      </c>
      <c r="V343" s="3" t="s">
        <v>35</v>
      </c>
      <c r="W343" s="3" t="s">
        <v>4158</v>
      </c>
      <c r="AM343" s="5"/>
      <c r="AN343" s="5"/>
      <c r="AQ343" s="6"/>
    </row>
    <row r="344" spans="2:43" x14ac:dyDescent="0.25">
      <c r="B344" t="s">
        <v>2841</v>
      </c>
      <c r="C344">
        <v>108948</v>
      </c>
      <c r="D344" t="s">
        <v>4240</v>
      </c>
      <c r="E344" t="s">
        <v>387</v>
      </c>
      <c r="F344" t="s">
        <v>305</v>
      </c>
      <c r="G344" t="s">
        <v>337</v>
      </c>
      <c r="H344" t="s">
        <v>54</v>
      </c>
      <c r="I344" t="s">
        <v>31</v>
      </c>
      <c r="J344" t="s">
        <v>32</v>
      </c>
      <c r="K344" t="s">
        <v>33</v>
      </c>
      <c r="L344" t="s">
        <v>73</v>
      </c>
      <c r="M344" t="s">
        <v>273</v>
      </c>
      <c r="N344" t="s">
        <v>60</v>
      </c>
      <c r="P344" t="s">
        <v>3498</v>
      </c>
      <c r="Q344" t="s">
        <v>2028</v>
      </c>
      <c r="R344" s="5">
        <v>43089.187708333331</v>
      </c>
      <c r="S344" s="5">
        <v>43388.379421296297</v>
      </c>
      <c r="T344" t="s">
        <v>4241</v>
      </c>
      <c r="U344" t="s">
        <v>35</v>
      </c>
      <c r="V344" s="3" t="s">
        <v>35</v>
      </c>
      <c r="W344" s="3" t="s">
        <v>4168</v>
      </c>
      <c r="AM344" s="5"/>
      <c r="AN344" s="5"/>
      <c r="AQ344" s="6"/>
    </row>
    <row r="345" spans="2:43" x14ac:dyDescent="0.25">
      <c r="B345" t="s">
        <v>4081</v>
      </c>
      <c r="C345">
        <v>108931</v>
      </c>
      <c r="D345" t="s">
        <v>4082</v>
      </c>
      <c r="E345" t="s">
        <v>435</v>
      </c>
      <c r="F345" t="s">
        <v>305</v>
      </c>
      <c r="G345" t="s">
        <v>337</v>
      </c>
      <c r="H345" t="s">
        <v>116</v>
      </c>
      <c r="I345" t="s">
        <v>31</v>
      </c>
      <c r="J345" t="s">
        <v>32</v>
      </c>
      <c r="K345" t="s">
        <v>2156</v>
      </c>
      <c r="L345" t="s">
        <v>380</v>
      </c>
      <c r="M345" t="s">
        <v>434</v>
      </c>
      <c r="N345" t="s">
        <v>60</v>
      </c>
      <c r="P345" t="s">
        <v>69</v>
      </c>
      <c r="Q345" t="s">
        <v>3708</v>
      </c>
      <c r="R345" s="5">
        <v>43088.480752314812</v>
      </c>
      <c r="S345" s="5">
        <v>43423.872523148151</v>
      </c>
      <c r="T345" t="s">
        <v>5</v>
      </c>
      <c r="U345" t="s">
        <v>35</v>
      </c>
      <c r="V345" s="3" t="s">
        <v>321</v>
      </c>
      <c r="W345" s="3" t="s">
        <v>4158</v>
      </c>
      <c r="AM345" s="5"/>
      <c r="AN345" s="5"/>
      <c r="AQ345" s="6"/>
    </row>
    <row r="346" spans="2:43" x14ac:dyDescent="0.25">
      <c r="B346" t="s">
        <v>4039</v>
      </c>
      <c r="C346">
        <v>108906</v>
      </c>
      <c r="D346" t="s">
        <v>4065</v>
      </c>
      <c r="E346" t="s">
        <v>72</v>
      </c>
      <c r="F346" t="s">
        <v>319</v>
      </c>
      <c r="G346" t="s">
        <v>304</v>
      </c>
      <c r="H346" t="s">
        <v>56</v>
      </c>
      <c r="I346" t="s">
        <v>31</v>
      </c>
      <c r="J346" t="s">
        <v>32</v>
      </c>
      <c r="K346" t="s">
        <v>44</v>
      </c>
      <c r="L346" t="s">
        <v>73</v>
      </c>
      <c r="M346" t="s">
        <v>263</v>
      </c>
      <c r="N346" t="s">
        <v>121</v>
      </c>
      <c r="P346" t="s">
        <v>69</v>
      </c>
      <c r="Q346" t="s">
        <v>3762</v>
      </c>
      <c r="R346" s="5">
        <v>43087.97960648148</v>
      </c>
      <c r="S346" s="5">
        <v>43090.940405092595</v>
      </c>
      <c r="T346" t="s">
        <v>131</v>
      </c>
      <c r="U346" t="s">
        <v>35</v>
      </c>
      <c r="V346" s="3" t="s">
        <v>35</v>
      </c>
      <c r="W346" s="3" t="s">
        <v>4172</v>
      </c>
      <c r="AM346" s="5"/>
      <c r="AN346" s="5"/>
      <c r="AQ346" s="6"/>
    </row>
    <row r="347" spans="2:43" x14ac:dyDescent="0.25">
      <c r="B347" t="s">
        <v>2841</v>
      </c>
      <c r="C347">
        <v>108886</v>
      </c>
      <c r="D347" t="s">
        <v>4086</v>
      </c>
      <c r="E347" t="s">
        <v>490</v>
      </c>
      <c r="F347" t="s">
        <v>305</v>
      </c>
      <c r="G347" t="s">
        <v>337</v>
      </c>
      <c r="H347" t="s">
        <v>56</v>
      </c>
      <c r="I347" t="s">
        <v>31</v>
      </c>
      <c r="J347" t="s">
        <v>32</v>
      </c>
      <c r="K347" t="s">
        <v>33</v>
      </c>
      <c r="L347" t="s">
        <v>73</v>
      </c>
      <c r="M347" t="s">
        <v>273</v>
      </c>
      <c r="N347" t="s">
        <v>46</v>
      </c>
      <c r="P347" t="s">
        <v>3120</v>
      </c>
      <c r="Q347" t="s">
        <v>2028</v>
      </c>
      <c r="R347" s="5">
        <v>43087.491793981484</v>
      </c>
      <c r="S347" s="5">
        <v>43335.148854166669</v>
      </c>
      <c r="T347" t="s">
        <v>3693</v>
      </c>
      <c r="U347" t="s">
        <v>35</v>
      </c>
      <c r="V347" s="3" t="s">
        <v>35</v>
      </c>
      <c r="W347" s="3" t="s">
        <v>3661</v>
      </c>
      <c r="AM347" s="5"/>
      <c r="AN347" s="5"/>
      <c r="AQ347" s="6"/>
    </row>
    <row r="348" spans="2:43" x14ac:dyDescent="0.25">
      <c r="B348" t="s">
        <v>3774</v>
      </c>
      <c r="C348">
        <v>108841</v>
      </c>
      <c r="D348" t="s">
        <v>4063</v>
      </c>
      <c r="E348" t="s">
        <v>131</v>
      </c>
      <c r="F348" t="s">
        <v>305</v>
      </c>
      <c r="G348" t="s">
        <v>337</v>
      </c>
      <c r="H348" t="s">
        <v>56</v>
      </c>
      <c r="I348" t="s">
        <v>31</v>
      </c>
      <c r="J348" t="s">
        <v>43</v>
      </c>
      <c r="K348" t="s">
        <v>51</v>
      </c>
      <c r="L348" t="s">
        <v>73</v>
      </c>
      <c r="M348" t="s">
        <v>263</v>
      </c>
      <c r="N348" t="s">
        <v>60</v>
      </c>
      <c r="P348" t="s">
        <v>69</v>
      </c>
      <c r="Q348" t="s">
        <v>3708</v>
      </c>
      <c r="R348" s="5">
        <v>43084.695173611108</v>
      </c>
      <c r="S348" s="5">
        <v>43423.872511574074</v>
      </c>
      <c r="T348" t="s">
        <v>301</v>
      </c>
      <c r="U348" t="s">
        <v>35</v>
      </c>
      <c r="V348" s="3" t="s">
        <v>35</v>
      </c>
      <c r="W348" s="3" t="s">
        <v>4158</v>
      </c>
      <c r="AM348" s="5"/>
      <c r="AN348" s="5"/>
      <c r="AQ348" s="6"/>
    </row>
    <row r="349" spans="2:43" x14ac:dyDescent="0.25">
      <c r="B349" t="s">
        <v>3774</v>
      </c>
      <c r="C349">
        <v>108840</v>
      </c>
      <c r="D349" t="s">
        <v>4062</v>
      </c>
      <c r="E349" t="s">
        <v>91</v>
      </c>
      <c r="F349" t="s">
        <v>319</v>
      </c>
      <c r="G349" t="s">
        <v>304</v>
      </c>
      <c r="H349" t="s">
        <v>56</v>
      </c>
      <c r="I349" t="s">
        <v>31</v>
      </c>
      <c r="J349" t="s">
        <v>43</v>
      </c>
      <c r="K349" t="s">
        <v>2156</v>
      </c>
      <c r="L349" t="s">
        <v>73</v>
      </c>
      <c r="M349" t="s">
        <v>263</v>
      </c>
      <c r="N349" t="s">
        <v>3711</v>
      </c>
      <c r="P349" t="s">
        <v>69</v>
      </c>
      <c r="Q349" t="s">
        <v>69</v>
      </c>
      <c r="R349" s="5">
        <v>43084.694374999999</v>
      </c>
      <c r="S349" s="5">
        <v>43439.152546296296</v>
      </c>
      <c r="T349" t="s">
        <v>301</v>
      </c>
      <c r="U349" t="s">
        <v>4239</v>
      </c>
      <c r="V349" s="3" t="s">
        <v>35</v>
      </c>
      <c r="W349" s="3" t="s">
        <v>4171</v>
      </c>
      <c r="AM349" s="5"/>
      <c r="AN349" s="5"/>
      <c r="AQ349" s="6"/>
    </row>
    <row r="350" spans="2:43" x14ac:dyDescent="0.25">
      <c r="B350" t="s">
        <v>3774</v>
      </c>
      <c r="C350">
        <v>108839</v>
      </c>
      <c r="D350" t="s">
        <v>4061</v>
      </c>
      <c r="E350" t="s">
        <v>131</v>
      </c>
      <c r="F350" t="s">
        <v>305</v>
      </c>
      <c r="G350" t="s">
        <v>337</v>
      </c>
      <c r="H350" t="s">
        <v>54</v>
      </c>
      <c r="I350" t="s">
        <v>31</v>
      </c>
      <c r="J350" t="s">
        <v>32</v>
      </c>
      <c r="K350" t="s">
        <v>44</v>
      </c>
      <c r="L350" t="s">
        <v>73</v>
      </c>
      <c r="M350" t="s">
        <v>263</v>
      </c>
      <c r="N350" t="s">
        <v>60</v>
      </c>
      <c r="P350" t="s">
        <v>69</v>
      </c>
      <c r="Q350" t="s">
        <v>2481</v>
      </c>
      <c r="R350" s="5">
        <v>43084.693657407406</v>
      </c>
      <c r="S350" s="5">
        <v>43215.864189814813</v>
      </c>
      <c r="T350" t="s">
        <v>301</v>
      </c>
      <c r="U350" t="s">
        <v>35</v>
      </c>
      <c r="V350" s="3" t="s">
        <v>321</v>
      </c>
      <c r="W350" s="3" t="s">
        <v>307</v>
      </c>
      <c r="AM350" s="5"/>
      <c r="AN350" s="5"/>
      <c r="AQ350" s="6"/>
    </row>
    <row r="351" spans="2:43" x14ac:dyDescent="0.25">
      <c r="B351" t="s">
        <v>4059</v>
      </c>
      <c r="C351">
        <v>108810</v>
      </c>
      <c r="D351" t="s">
        <v>4060</v>
      </c>
      <c r="E351" t="s">
        <v>91</v>
      </c>
      <c r="F351" t="s">
        <v>42</v>
      </c>
      <c r="H351" t="s">
        <v>56</v>
      </c>
      <c r="I351" t="s">
        <v>31</v>
      </c>
      <c r="J351" t="s">
        <v>43</v>
      </c>
      <c r="K351" t="s">
        <v>51</v>
      </c>
      <c r="L351" t="s">
        <v>73</v>
      </c>
      <c r="M351" t="s">
        <v>263</v>
      </c>
      <c r="N351" t="s">
        <v>572</v>
      </c>
      <c r="P351" t="s">
        <v>69</v>
      </c>
      <c r="R351" s="5">
        <v>43083.993043981478</v>
      </c>
      <c r="S351" s="5">
        <v>43438.673634259256</v>
      </c>
      <c r="T351" t="s">
        <v>131</v>
      </c>
      <c r="U351" t="s">
        <v>35</v>
      </c>
      <c r="V351" s="3" t="s">
        <v>35</v>
      </c>
      <c r="W351" s="3" t="s">
        <v>4098</v>
      </c>
      <c r="AM351" s="5"/>
      <c r="AN351" s="5"/>
      <c r="AQ351" s="6"/>
    </row>
    <row r="352" spans="2:43" x14ac:dyDescent="0.25">
      <c r="B352" t="s">
        <v>3774</v>
      </c>
      <c r="C352">
        <v>108797</v>
      </c>
      <c r="D352" t="s">
        <v>4045</v>
      </c>
      <c r="E352" t="s">
        <v>112</v>
      </c>
      <c r="F352" t="s">
        <v>319</v>
      </c>
      <c r="G352" t="s">
        <v>328</v>
      </c>
      <c r="H352" t="s">
        <v>116</v>
      </c>
      <c r="I352" t="s">
        <v>31</v>
      </c>
      <c r="J352" t="s">
        <v>32</v>
      </c>
      <c r="K352" t="s">
        <v>51</v>
      </c>
      <c r="L352" t="s">
        <v>73</v>
      </c>
      <c r="M352" t="s">
        <v>263</v>
      </c>
      <c r="N352" t="s">
        <v>518</v>
      </c>
      <c r="P352" t="s">
        <v>69</v>
      </c>
      <c r="Q352" t="s">
        <v>3260</v>
      </c>
      <c r="R352" s="5">
        <v>43083.688206018516</v>
      </c>
      <c r="S352" s="5">
        <v>43481.723252314812</v>
      </c>
      <c r="T352" t="s">
        <v>301</v>
      </c>
      <c r="U352" t="s">
        <v>35</v>
      </c>
      <c r="V352" s="3" t="s">
        <v>321</v>
      </c>
      <c r="W352" s="3" t="s">
        <v>4171</v>
      </c>
      <c r="AM352" s="5"/>
      <c r="AN352" s="5"/>
      <c r="AQ352" s="6"/>
    </row>
    <row r="353" spans="2:43" x14ac:dyDescent="0.25">
      <c r="B353" t="s">
        <v>3774</v>
      </c>
      <c r="C353">
        <v>108795</v>
      </c>
      <c r="D353" t="s">
        <v>4238</v>
      </c>
      <c r="E353" t="s">
        <v>70</v>
      </c>
      <c r="F353" t="s">
        <v>305</v>
      </c>
      <c r="G353" t="s">
        <v>337</v>
      </c>
      <c r="H353" t="s">
        <v>30</v>
      </c>
      <c r="I353" t="s">
        <v>68</v>
      </c>
      <c r="J353" t="s">
        <v>43</v>
      </c>
      <c r="K353" t="s">
        <v>33</v>
      </c>
      <c r="L353" t="s">
        <v>73</v>
      </c>
      <c r="M353" t="s">
        <v>263</v>
      </c>
      <c r="N353" t="s">
        <v>60</v>
      </c>
      <c r="P353" t="s">
        <v>69</v>
      </c>
      <c r="Q353" t="s">
        <v>2731</v>
      </c>
      <c r="R353" s="5">
        <v>43083.687280092592</v>
      </c>
      <c r="S353" s="5">
        <v>43237.680949074071</v>
      </c>
      <c r="T353" t="s">
        <v>301</v>
      </c>
      <c r="U353" t="s">
        <v>35</v>
      </c>
      <c r="V353" s="3" t="s">
        <v>35</v>
      </c>
      <c r="W353" s="3" t="s">
        <v>307</v>
      </c>
      <c r="AM353" s="5"/>
      <c r="AN353" s="5"/>
      <c r="AQ353" s="6"/>
    </row>
    <row r="354" spans="2:43" x14ac:dyDescent="0.25">
      <c r="B354" t="s">
        <v>3774</v>
      </c>
      <c r="C354">
        <v>108794</v>
      </c>
      <c r="D354" t="s">
        <v>4044</v>
      </c>
      <c r="E354" t="s">
        <v>112</v>
      </c>
      <c r="F354" t="s">
        <v>305</v>
      </c>
      <c r="G354" t="s">
        <v>337</v>
      </c>
      <c r="H354" t="s">
        <v>116</v>
      </c>
      <c r="I354" t="s">
        <v>31</v>
      </c>
      <c r="J354" t="s">
        <v>32</v>
      </c>
      <c r="K354" t="s">
        <v>51</v>
      </c>
      <c r="L354" t="s">
        <v>73</v>
      </c>
      <c r="M354" t="s">
        <v>263</v>
      </c>
      <c r="N354" t="s">
        <v>60</v>
      </c>
      <c r="P354" t="s">
        <v>69</v>
      </c>
      <c r="Q354" t="s">
        <v>3708</v>
      </c>
      <c r="R354" s="5">
        <v>43083.686678240738</v>
      </c>
      <c r="S354" s="5">
        <v>43423.872361111113</v>
      </c>
      <c r="T354" t="s">
        <v>301</v>
      </c>
      <c r="U354" t="s">
        <v>35</v>
      </c>
      <c r="V354" s="3" t="s">
        <v>321</v>
      </c>
      <c r="W354" s="3" t="s">
        <v>4158</v>
      </c>
      <c r="AM354" s="5"/>
      <c r="AN354" s="5"/>
      <c r="AQ354" s="6"/>
    </row>
    <row r="355" spans="2:43" x14ac:dyDescent="0.25">
      <c r="B355" t="s">
        <v>4041</v>
      </c>
      <c r="C355">
        <v>108793</v>
      </c>
      <c r="D355" t="s">
        <v>4051</v>
      </c>
      <c r="E355" t="s">
        <v>112</v>
      </c>
      <c r="F355" t="s">
        <v>319</v>
      </c>
      <c r="G355" t="s">
        <v>304</v>
      </c>
      <c r="H355" t="s">
        <v>54</v>
      </c>
      <c r="I355" t="s">
        <v>31</v>
      </c>
      <c r="J355" t="s">
        <v>43</v>
      </c>
      <c r="K355" t="s">
        <v>44</v>
      </c>
      <c r="L355" t="s">
        <v>73</v>
      </c>
      <c r="M355" t="s">
        <v>263</v>
      </c>
      <c r="N355" t="s">
        <v>3711</v>
      </c>
      <c r="P355" t="s">
        <v>69</v>
      </c>
      <c r="Q355" t="s">
        <v>69</v>
      </c>
      <c r="R355" s="5">
        <v>43083.683703703704</v>
      </c>
      <c r="S355" s="5">
        <v>43404.501516203702</v>
      </c>
      <c r="T355" t="s">
        <v>301</v>
      </c>
      <c r="U355" t="s">
        <v>4072</v>
      </c>
      <c r="V355" s="3" t="s">
        <v>35</v>
      </c>
      <c r="W355" s="3" t="s">
        <v>4171</v>
      </c>
      <c r="AM355" s="5"/>
      <c r="AN355" s="5"/>
      <c r="AQ355" s="6"/>
    </row>
    <row r="356" spans="2:43" x14ac:dyDescent="0.25">
      <c r="B356" t="s">
        <v>4041</v>
      </c>
      <c r="C356">
        <v>108792</v>
      </c>
      <c r="D356" t="s">
        <v>4050</v>
      </c>
      <c r="E356" t="s">
        <v>112</v>
      </c>
      <c r="F356" t="s">
        <v>305</v>
      </c>
      <c r="G356" t="s">
        <v>304</v>
      </c>
      <c r="H356" t="s">
        <v>54</v>
      </c>
      <c r="I356" t="s">
        <v>31</v>
      </c>
      <c r="J356" t="s">
        <v>43</v>
      </c>
      <c r="K356" t="s">
        <v>44</v>
      </c>
      <c r="L356" t="s">
        <v>73</v>
      </c>
      <c r="M356" t="s">
        <v>263</v>
      </c>
      <c r="N356" t="s">
        <v>572</v>
      </c>
      <c r="P356" t="s">
        <v>69</v>
      </c>
      <c r="Q356" t="s">
        <v>3762</v>
      </c>
      <c r="R356" s="5">
        <v>43083.682997685188</v>
      </c>
      <c r="S356" s="5">
        <v>43215.917395833334</v>
      </c>
      <c r="T356" t="s">
        <v>301</v>
      </c>
      <c r="U356" t="s">
        <v>4071</v>
      </c>
      <c r="V356" s="3" t="s">
        <v>35</v>
      </c>
      <c r="W356" s="3" t="s">
        <v>307</v>
      </c>
      <c r="AM356" s="5"/>
      <c r="AN356" s="5"/>
      <c r="AQ356" s="6"/>
    </row>
    <row r="357" spans="2:43" x14ac:dyDescent="0.25">
      <c r="B357" t="s">
        <v>4041</v>
      </c>
      <c r="C357">
        <v>108791</v>
      </c>
      <c r="D357" t="s">
        <v>4049</v>
      </c>
      <c r="E357" t="s">
        <v>112</v>
      </c>
      <c r="F357" t="s">
        <v>319</v>
      </c>
      <c r="G357" t="s">
        <v>304</v>
      </c>
      <c r="H357" t="s">
        <v>56</v>
      </c>
      <c r="I357" t="s">
        <v>31</v>
      </c>
      <c r="J357" t="s">
        <v>43</v>
      </c>
      <c r="K357" t="s">
        <v>2156</v>
      </c>
      <c r="L357" t="s">
        <v>73</v>
      </c>
      <c r="M357" t="s">
        <v>263</v>
      </c>
      <c r="N357" t="s">
        <v>121</v>
      </c>
      <c r="P357" t="s">
        <v>69</v>
      </c>
      <c r="Q357" t="s">
        <v>3762</v>
      </c>
      <c r="R357" s="5">
        <v>43083.681851851848</v>
      </c>
      <c r="S357" s="5">
        <v>43215.917384259257</v>
      </c>
      <c r="T357" t="s">
        <v>301</v>
      </c>
      <c r="U357" t="s">
        <v>35</v>
      </c>
      <c r="V357" s="3" t="s">
        <v>35</v>
      </c>
      <c r="W357" s="3" t="s">
        <v>4172</v>
      </c>
      <c r="AM357" s="5"/>
      <c r="AN357" s="5"/>
      <c r="AQ357" s="6"/>
    </row>
    <row r="358" spans="2:43" x14ac:dyDescent="0.25">
      <c r="B358" t="s">
        <v>4039</v>
      </c>
      <c r="C358">
        <v>108742</v>
      </c>
      <c r="D358" t="s">
        <v>4043</v>
      </c>
      <c r="E358" t="s">
        <v>131</v>
      </c>
      <c r="F358" t="s">
        <v>305</v>
      </c>
      <c r="G358" t="s">
        <v>304</v>
      </c>
      <c r="H358" t="s">
        <v>56</v>
      </c>
      <c r="I358" t="s">
        <v>31</v>
      </c>
      <c r="J358" t="s">
        <v>32</v>
      </c>
      <c r="K358" t="s">
        <v>44</v>
      </c>
      <c r="L358" t="s">
        <v>73</v>
      </c>
      <c r="M358" t="s">
        <v>263</v>
      </c>
      <c r="N358" t="s">
        <v>572</v>
      </c>
      <c r="P358" t="s">
        <v>69</v>
      </c>
      <c r="Q358" t="s">
        <v>3762</v>
      </c>
      <c r="R358" s="5">
        <v>43083.002233796295</v>
      </c>
      <c r="S358" s="5">
        <v>43214.207430555558</v>
      </c>
      <c r="T358" t="s">
        <v>131</v>
      </c>
      <c r="U358" t="s">
        <v>4071</v>
      </c>
      <c r="V358" s="3" t="s">
        <v>35</v>
      </c>
      <c r="W358" s="3" t="s">
        <v>307</v>
      </c>
      <c r="AM358" s="5"/>
      <c r="AN358" s="5"/>
      <c r="AQ358" s="6"/>
    </row>
    <row r="359" spans="2:43" x14ac:dyDescent="0.25">
      <c r="B359" t="s">
        <v>4039</v>
      </c>
      <c r="C359">
        <v>108741</v>
      </c>
      <c r="D359" t="s">
        <v>4042</v>
      </c>
      <c r="E359" t="s">
        <v>131</v>
      </c>
      <c r="F359" t="s">
        <v>319</v>
      </c>
      <c r="G359" t="s">
        <v>304</v>
      </c>
      <c r="H359" t="s">
        <v>56</v>
      </c>
      <c r="I359" t="s">
        <v>31</v>
      </c>
      <c r="J359" t="s">
        <v>32</v>
      </c>
      <c r="K359" t="s">
        <v>2156</v>
      </c>
      <c r="L359" t="s">
        <v>73</v>
      </c>
      <c r="M359" t="s">
        <v>263</v>
      </c>
      <c r="N359" t="s">
        <v>60</v>
      </c>
      <c r="P359" t="s">
        <v>69</v>
      </c>
      <c r="Q359" t="s">
        <v>3762</v>
      </c>
      <c r="R359" s="5">
        <v>43083.002245370371</v>
      </c>
      <c r="S359" s="5">
        <v>43097.786446759259</v>
      </c>
      <c r="T359" t="s">
        <v>131</v>
      </c>
      <c r="U359" t="s">
        <v>35</v>
      </c>
      <c r="V359" s="3" t="s">
        <v>35</v>
      </c>
      <c r="W359" s="3" t="s">
        <v>4098</v>
      </c>
      <c r="AM359" s="5"/>
      <c r="AN359" s="5"/>
      <c r="AQ359" s="6"/>
    </row>
    <row r="360" spans="2:43" x14ac:dyDescent="0.25">
      <c r="B360" t="s">
        <v>4041</v>
      </c>
      <c r="C360">
        <v>108640</v>
      </c>
      <c r="D360" t="s">
        <v>4048</v>
      </c>
      <c r="E360" t="s">
        <v>112</v>
      </c>
      <c r="F360" t="s">
        <v>319</v>
      </c>
      <c r="G360" t="s">
        <v>304</v>
      </c>
      <c r="H360" t="s">
        <v>56</v>
      </c>
      <c r="I360" t="s">
        <v>31</v>
      </c>
      <c r="J360" t="s">
        <v>43</v>
      </c>
      <c r="K360" t="s">
        <v>2156</v>
      </c>
      <c r="L360" t="s">
        <v>73</v>
      </c>
      <c r="M360" t="s">
        <v>263</v>
      </c>
      <c r="N360" t="s">
        <v>60</v>
      </c>
      <c r="P360" t="s">
        <v>69</v>
      </c>
      <c r="Q360" t="s">
        <v>3762</v>
      </c>
      <c r="R360" s="5">
        <v>43081.766481481478</v>
      </c>
      <c r="S360" s="5">
        <v>43215.917384259257</v>
      </c>
      <c r="T360" t="s">
        <v>131</v>
      </c>
      <c r="U360" t="s">
        <v>35</v>
      </c>
      <c r="V360" s="3" t="s">
        <v>35</v>
      </c>
      <c r="W360" s="3" t="s">
        <v>4098</v>
      </c>
      <c r="AM360" s="5"/>
      <c r="AN360" s="5"/>
      <c r="AQ360" s="6"/>
    </row>
    <row r="361" spans="2:43" x14ac:dyDescent="0.25">
      <c r="B361" t="s">
        <v>4039</v>
      </c>
      <c r="C361">
        <v>108638</v>
      </c>
      <c r="D361" t="s">
        <v>4040</v>
      </c>
      <c r="E361" t="s">
        <v>131</v>
      </c>
      <c r="F361" t="s">
        <v>319</v>
      </c>
      <c r="G361" t="s">
        <v>304</v>
      </c>
      <c r="H361" t="s">
        <v>116</v>
      </c>
      <c r="I361" t="s">
        <v>31</v>
      </c>
      <c r="J361" t="s">
        <v>32</v>
      </c>
      <c r="K361" t="s">
        <v>44</v>
      </c>
      <c r="L361" t="s">
        <v>73</v>
      </c>
      <c r="M361" t="s">
        <v>263</v>
      </c>
      <c r="N361" t="s">
        <v>3513</v>
      </c>
      <c r="P361" t="s">
        <v>69</v>
      </c>
      <c r="Q361" t="s">
        <v>3762</v>
      </c>
      <c r="R361" s="5">
        <v>43081.760775462964</v>
      </c>
      <c r="S361" s="5">
        <v>43404.499351851853</v>
      </c>
      <c r="T361" t="s">
        <v>131</v>
      </c>
      <c r="U361" t="s">
        <v>4070</v>
      </c>
      <c r="V361" s="3" t="s">
        <v>35</v>
      </c>
      <c r="W361" s="3" t="s">
        <v>4171</v>
      </c>
      <c r="AM361" s="5"/>
      <c r="AN361" s="5"/>
      <c r="AQ361" s="6"/>
    </row>
    <row r="362" spans="2:43" x14ac:dyDescent="0.25">
      <c r="B362" t="s">
        <v>3776</v>
      </c>
      <c r="C362">
        <v>108603</v>
      </c>
      <c r="D362" t="s">
        <v>4069</v>
      </c>
      <c r="E362" t="s">
        <v>112</v>
      </c>
      <c r="F362" t="s">
        <v>42</v>
      </c>
      <c r="H362" t="s">
        <v>54</v>
      </c>
      <c r="I362" t="s">
        <v>68</v>
      </c>
      <c r="J362" t="s">
        <v>58</v>
      </c>
      <c r="K362" t="s">
        <v>44</v>
      </c>
      <c r="L362" t="s">
        <v>73</v>
      </c>
      <c r="M362" t="s">
        <v>263</v>
      </c>
      <c r="N362" t="s">
        <v>3777</v>
      </c>
      <c r="O362" t="s">
        <v>3775</v>
      </c>
      <c r="P362" t="s">
        <v>69</v>
      </c>
      <c r="R362" s="5">
        <v>43081.395416666666</v>
      </c>
      <c r="S362" s="5">
        <v>43350.813159722224</v>
      </c>
      <c r="T362" t="s">
        <v>4</v>
      </c>
      <c r="U362" t="s">
        <v>35</v>
      </c>
      <c r="V362" s="3" t="s">
        <v>35</v>
      </c>
      <c r="W362" s="3" t="s">
        <v>4098</v>
      </c>
      <c r="AM362" s="5"/>
      <c r="AN362" s="5"/>
      <c r="AQ362" s="6"/>
    </row>
    <row r="363" spans="2:43" x14ac:dyDescent="0.25">
      <c r="B363" t="s">
        <v>3774</v>
      </c>
      <c r="C363">
        <v>108535</v>
      </c>
      <c r="D363" t="s">
        <v>4038</v>
      </c>
      <c r="E363" t="s">
        <v>70</v>
      </c>
      <c r="F363" t="s">
        <v>319</v>
      </c>
      <c r="G363" t="s">
        <v>328</v>
      </c>
      <c r="H363" t="s">
        <v>116</v>
      </c>
      <c r="I363" t="s">
        <v>31</v>
      </c>
      <c r="J363" t="s">
        <v>32</v>
      </c>
      <c r="K363" t="s">
        <v>51</v>
      </c>
      <c r="L363" t="s">
        <v>73</v>
      </c>
      <c r="M363" t="s">
        <v>263</v>
      </c>
      <c r="N363" t="s">
        <v>60</v>
      </c>
      <c r="O363" t="s">
        <v>4237</v>
      </c>
      <c r="P363" t="s">
        <v>69</v>
      </c>
      <c r="Q363" t="s">
        <v>3260</v>
      </c>
      <c r="R363" s="5">
        <v>43080.352662037039</v>
      </c>
      <c r="S363" s="5">
        <v>43481.726145833331</v>
      </c>
      <c r="T363" t="s">
        <v>4</v>
      </c>
      <c r="U363" t="s">
        <v>35</v>
      </c>
      <c r="V363" s="3" t="s">
        <v>321</v>
      </c>
      <c r="W363" s="3" t="s">
        <v>4098</v>
      </c>
      <c r="AM363" s="5"/>
      <c r="AN363" s="5"/>
      <c r="AQ363" s="6"/>
    </row>
    <row r="364" spans="2:43" x14ac:dyDescent="0.25">
      <c r="B364" t="s">
        <v>3524</v>
      </c>
      <c r="C364">
        <v>108525</v>
      </c>
      <c r="D364" t="s">
        <v>4235</v>
      </c>
      <c r="E364" t="s">
        <v>490</v>
      </c>
      <c r="F364" t="s">
        <v>305</v>
      </c>
      <c r="G364" t="s">
        <v>304</v>
      </c>
      <c r="H364" t="s">
        <v>54</v>
      </c>
      <c r="I364" t="s">
        <v>31</v>
      </c>
      <c r="J364" t="s">
        <v>32</v>
      </c>
      <c r="K364" t="s">
        <v>33</v>
      </c>
      <c r="L364" t="s">
        <v>73</v>
      </c>
      <c r="M364" t="s">
        <v>263</v>
      </c>
      <c r="N364" t="s">
        <v>3724</v>
      </c>
      <c r="P364" t="s">
        <v>107</v>
      </c>
      <c r="Q364" t="s">
        <v>2481</v>
      </c>
      <c r="R364" s="5">
        <v>43078.317824074074</v>
      </c>
      <c r="S364" s="5">
        <v>43286.3515162037</v>
      </c>
      <c r="T364" t="s">
        <v>72</v>
      </c>
      <c r="U364" t="s">
        <v>35</v>
      </c>
      <c r="V364" s="3" t="s">
        <v>321</v>
      </c>
      <c r="W364" s="3" t="s">
        <v>4236</v>
      </c>
      <c r="AM364" s="5"/>
      <c r="AN364" s="5"/>
      <c r="AQ364" s="6"/>
    </row>
    <row r="365" spans="2:43" x14ac:dyDescent="0.25">
      <c r="B365" t="s">
        <v>3524</v>
      </c>
      <c r="C365">
        <v>108454</v>
      </c>
      <c r="D365" t="s">
        <v>3760</v>
      </c>
      <c r="E365" t="s">
        <v>91</v>
      </c>
      <c r="F365" t="s">
        <v>305</v>
      </c>
      <c r="G365" t="s">
        <v>304</v>
      </c>
      <c r="H365" t="s">
        <v>54</v>
      </c>
      <c r="I365" t="s">
        <v>31</v>
      </c>
      <c r="J365" t="s">
        <v>32</v>
      </c>
      <c r="K365" t="s">
        <v>33</v>
      </c>
      <c r="L365" t="s">
        <v>73</v>
      </c>
      <c r="M365" t="s">
        <v>263</v>
      </c>
      <c r="N365" t="s">
        <v>3724</v>
      </c>
      <c r="P365" t="s">
        <v>107</v>
      </c>
      <c r="Q365" t="s">
        <v>2481</v>
      </c>
      <c r="R365" s="5">
        <v>43076.552210648151</v>
      </c>
      <c r="S365" s="5">
        <v>43285.14371527778</v>
      </c>
      <c r="T365" t="s">
        <v>72</v>
      </c>
      <c r="U365" t="s">
        <v>35</v>
      </c>
      <c r="V365" s="3" t="s">
        <v>321</v>
      </c>
      <c r="W365" s="3" t="s">
        <v>4169</v>
      </c>
      <c r="AM365" s="5"/>
      <c r="AN365" s="5"/>
      <c r="AQ365" s="6"/>
    </row>
    <row r="366" spans="2:43" x14ac:dyDescent="0.25">
      <c r="B366" t="s">
        <v>493</v>
      </c>
      <c r="C366">
        <v>108358</v>
      </c>
      <c r="D366" t="s">
        <v>1513</v>
      </c>
      <c r="E366" t="s">
        <v>108</v>
      </c>
      <c r="F366" t="s">
        <v>305</v>
      </c>
      <c r="G366" t="s">
        <v>337</v>
      </c>
      <c r="H366" t="s">
        <v>54</v>
      </c>
      <c r="I366" t="s">
        <v>31</v>
      </c>
      <c r="J366" t="s">
        <v>32</v>
      </c>
      <c r="K366" t="s">
        <v>44</v>
      </c>
      <c r="L366" t="s">
        <v>106</v>
      </c>
      <c r="M366" t="s">
        <v>495</v>
      </c>
      <c r="N366" t="s">
        <v>60</v>
      </c>
      <c r="P366" t="s">
        <v>107</v>
      </c>
      <c r="Q366" t="s">
        <v>3708</v>
      </c>
      <c r="R366" s="5">
        <v>43074.717303240737</v>
      </c>
      <c r="S366" s="5">
        <v>43423.866759259261</v>
      </c>
      <c r="T366" t="s">
        <v>108</v>
      </c>
      <c r="U366" t="s">
        <v>35</v>
      </c>
      <c r="V366" s="3" t="s">
        <v>35</v>
      </c>
      <c r="W366" s="3" t="s">
        <v>4163</v>
      </c>
      <c r="AM366" s="5"/>
      <c r="AN366" s="5"/>
      <c r="AQ366" s="6"/>
    </row>
    <row r="367" spans="2:43" x14ac:dyDescent="0.25">
      <c r="B367" t="s">
        <v>493</v>
      </c>
      <c r="C367">
        <v>108356</v>
      </c>
      <c r="D367" t="s">
        <v>1512</v>
      </c>
      <c r="E367" t="s">
        <v>108</v>
      </c>
      <c r="F367" t="s">
        <v>305</v>
      </c>
      <c r="G367" t="s">
        <v>337</v>
      </c>
      <c r="H367" t="s">
        <v>54</v>
      </c>
      <c r="I367" t="s">
        <v>31</v>
      </c>
      <c r="J367" t="s">
        <v>32</v>
      </c>
      <c r="K367" t="s">
        <v>44</v>
      </c>
      <c r="L367" t="s">
        <v>106</v>
      </c>
      <c r="M367" t="s">
        <v>495</v>
      </c>
      <c r="N367" t="s">
        <v>60</v>
      </c>
      <c r="P367" t="s">
        <v>107</v>
      </c>
      <c r="Q367" t="s">
        <v>3708</v>
      </c>
      <c r="R367" s="5">
        <v>43074.701342592591</v>
      </c>
      <c r="S367" s="5">
        <v>43423.863483796296</v>
      </c>
      <c r="T367" t="s">
        <v>108</v>
      </c>
      <c r="U367" t="s">
        <v>35</v>
      </c>
      <c r="V367" s="3" t="s">
        <v>35</v>
      </c>
      <c r="W367" s="3" t="s">
        <v>4156</v>
      </c>
      <c r="AM367" s="5"/>
      <c r="AN367" s="5"/>
      <c r="AQ367" s="6"/>
    </row>
    <row r="368" spans="2:43" x14ac:dyDescent="0.25">
      <c r="B368" t="s">
        <v>233</v>
      </c>
      <c r="C368">
        <v>108299</v>
      </c>
      <c r="D368" t="s">
        <v>1510</v>
      </c>
      <c r="E368" t="s">
        <v>301</v>
      </c>
      <c r="F368" t="s">
        <v>305</v>
      </c>
      <c r="G368" t="s">
        <v>337</v>
      </c>
      <c r="H368" t="s">
        <v>116</v>
      </c>
      <c r="I368" t="s">
        <v>31</v>
      </c>
      <c r="J368" t="s">
        <v>32</v>
      </c>
      <c r="K368" t="s">
        <v>33</v>
      </c>
      <c r="L368" t="s">
        <v>73</v>
      </c>
      <c r="M368" t="s">
        <v>264</v>
      </c>
      <c r="N368" t="s">
        <v>518</v>
      </c>
      <c r="P368" t="s">
        <v>107</v>
      </c>
      <c r="Q368" t="s">
        <v>3708</v>
      </c>
      <c r="R368" s="5">
        <v>43073.998460648145</v>
      </c>
      <c r="S368" s="5">
        <v>43423.872372685182</v>
      </c>
      <c r="T368" t="s">
        <v>53</v>
      </c>
      <c r="U368" t="s">
        <v>35</v>
      </c>
      <c r="V368" s="3" t="s">
        <v>321</v>
      </c>
      <c r="W368" s="3" t="s">
        <v>4158</v>
      </c>
      <c r="AM368" s="5"/>
      <c r="AN368" s="5"/>
      <c r="AQ368" s="6"/>
    </row>
    <row r="369" spans="2:43" x14ac:dyDescent="0.25">
      <c r="B369" t="s">
        <v>294</v>
      </c>
      <c r="C369">
        <v>108291</v>
      </c>
      <c r="D369" t="s">
        <v>1502</v>
      </c>
      <c r="E369" t="s">
        <v>94</v>
      </c>
      <c r="F369" t="s">
        <v>305</v>
      </c>
      <c r="G369" t="s">
        <v>337</v>
      </c>
      <c r="H369" t="s">
        <v>116</v>
      </c>
      <c r="I369" t="s">
        <v>31</v>
      </c>
      <c r="J369" t="s">
        <v>32</v>
      </c>
      <c r="K369" t="s">
        <v>33</v>
      </c>
      <c r="L369" t="s">
        <v>73</v>
      </c>
      <c r="M369" t="s">
        <v>295</v>
      </c>
      <c r="N369" t="s">
        <v>60</v>
      </c>
      <c r="P369" t="s">
        <v>190</v>
      </c>
      <c r="Q369" t="s">
        <v>3708</v>
      </c>
      <c r="R369" s="5">
        <v>43073.733981481484</v>
      </c>
      <c r="S369" s="5">
        <v>43423.863634259258</v>
      </c>
      <c r="T369" t="s">
        <v>94</v>
      </c>
      <c r="U369" t="s">
        <v>35</v>
      </c>
      <c r="V369" s="3" t="s">
        <v>321</v>
      </c>
      <c r="W369" s="3" t="s">
        <v>4156</v>
      </c>
      <c r="AM369" s="5"/>
      <c r="AN369" s="5"/>
      <c r="AQ369" s="6"/>
    </row>
    <row r="370" spans="2:43" x14ac:dyDescent="0.25">
      <c r="B370" t="s">
        <v>3751</v>
      </c>
      <c r="C370">
        <v>108199</v>
      </c>
      <c r="D370" t="s">
        <v>3752</v>
      </c>
      <c r="E370" t="s">
        <v>2</v>
      </c>
      <c r="F370" t="s">
        <v>305</v>
      </c>
      <c r="G370" t="s">
        <v>1621</v>
      </c>
      <c r="H370" t="s">
        <v>54</v>
      </c>
      <c r="I370" t="s">
        <v>31</v>
      </c>
      <c r="J370" t="s">
        <v>32</v>
      </c>
      <c r="K370" t="s">
        <v>33</v>
      </c>
      <c r="L370" t="s">
        <v>45</v>
      </c>
      <c r="M370" t="s">
        <v>3753</v>
      </c>
      <c r="N370" t="s">
        <v>46</v>
      </c>
      <c r="P370" t="s">
        <v>69</v>
      </c>
      <c r="Q370" t="s">
        <v>3754</v>
      </c>
      <c r="R370" s="5">
        <v>43070.954236111109</v>
      </c>
      <c r="S370" s="5">
        <v>43423.865115740744</v>
      </c>
      <c r="T370" t="s">
        <v>2</v>
      </c>
      <c r="U370" t="s">
        <v>35</v>
      </c>
      <c r="V370" s="3" t="s">
        <v>321</v>
      </c>
      <c r="W370" s="3" t="s">
        <v>4163</v>
      </c>
      <c r="AM370" s="5"/>
      <c r="AN370" s="5"/>
      <c r="AQ370" s="6"/>
    </row>
    <row r="371" spans="2:43" x14ac:dyDescent="0.25">
      <c r="B371" t="s">
        <v>493</v>
      </c>
      <c r="C371">
        <v>107941</v>
      </c>
      <c r="D371" t="s">
        <v>1511</v>
      </c>
      <c r="E371" t="s">
        <v>494</v>
      </c>
      <c r="F371" t="s">
        <v>319</v>
      </c>
      <c r="G371" t="s">
        <v>304</v>
      </c>
      <c r="H371" t="s">
        <v>54</v>
      </c>
      <c r="I371" t="s">
        <v>31</v>
      </c>
      <c r="J371" t="s">
        <v>32</v>
      </c>
      <c r="K371" t="s">
        <v>44</v>
      </c>
      <c r="L371" t="s">
        <v>106</v>
      </c>
      <c r="M371" t="s">
        <v>495</v>
      </c>
      <c r="N371" t="s">
        <v>60</v>
      </c>
      <c r="P371" t="s">
        <v>107</v>
      </c>
      <c r="Q371" t="s">
        <v>3708</v>
      </c>
      <c r="R371" s="5">
        <v>43066.750555555554</v>
      </c>
      <c r="S371" s="5">
        <v>43423.884363425925</v>
      </c>
      <c r="T371" t="s">
        <v>1</v>
      </c>
      <c r="U371" t="s">
        <v>35</v>
      </c>
      <c r="V371" s="3" t="s">
        <v>35</v>
      </c>
      <c r="W371" s="3" t="s">
        <v>4098</v>
      </c>
      <c r="AM371" s="5"/>
      <c r="AN371" s="5"/>
      <c r="AQ371" s="6"/>
    </row>
    <row r="372" spans="2:43" x14ac:dyDescent="0.25">
      <c r="B372" t="s">
        <v>452</v>
      </c>
      <c r="C372">
        <v>107556</v>
      </c>
      <c r="D372" t="s">
        <v>594</v>
      </c>
      <c r="E372" t="s">
        <v>64</v>
      </c>
      <c r="F372" t="s">
        <v>305</v>
      </c>
      <c r="G372" t="s">
        <v>304</v>
      </c>
      <c r="H372" t="s">
        <v>116</v>
      </c>
      <c r="I372" t="s">
        <v>31</v>
      </c>
      <c r="J372" t="s">
        <v>32</v>
      </c>
      <c r="K372" t="s">
        <v>33</v>
      </c>
      <c r="L372" t="s">
        <v>52</v>
      </c>
      <c r="M372" t="s">
        <v>283</v>
      </c>
      <c r="N372" t="s">
        <v>510</v>
      </c>
      <c r="P372" t="s">
        <v>69</v>
      </c>
      <c r="Q372" t="s">
        <v>69</v>
      </c>
      <c r="R372" s="5">
        <v>43056.849027777775</v>
      </c>
      <c r="S372" s="5">
        <v>43405.501342592594</v>
      </c>
      <c r="T372" t="s">
        <v>53</v>
      </c>
      <c r="U372" t="s">
        <v>35</v>
      </c>
      <c r="V372" s="3" t="s">
        <v>35</v>
      </c>
      <c r="W372" s="3" t="s">
        <v>4171</v>
      </c>
      <c r="AM372" s="5"/>
      <c r="AN372" s="5"/>
      <c r="AQ372" s="6"/>
    </row>
    <row r="373" spans="2:43" x14ac:dyDescent="0.25">
      <c r="B373" t="s">
        <v>452</v>
      </c>
      <c r="C373">
        <v>107555</v>
      </c>
      <c r="D373" t="s">
        <v>4234</v>
      </c>
      <c r="E373" t="s">
        <v>173</v>
      </c>
      <c r="F373" t="s">
        <v>305</v>
      </c>
      <c r="G373" t="s">
        <v>304</v>
      </c>
      <c r="H373" t="s">
        <v>116</v>
      </c>
      <c r="I373" t="s">
        <v>31</v>
      </c>
      <c r="J373" t="s">
        <v>32</v>
      </c>
      <c r="K373" t="s">
        <v>33</v>
      </c>
      <c r="L373" t="s">
        <v>52</v>
      </c>
      <c r="M373" t="s">
        <v>283</v>
      </c>
      <c r="N373" t="s">
        <v>60</v>
      </c>
      <c r="P373" t="s">
        <v>69</v>
      </c>
      <c r="R373" s="5">
        <v>43056.847939814812</v>
      </c>
      <c r="S373" s="5">
        <v>43238.36210648148</v>
      </c>
      <c r="T373" t="s">
        <v>53</v>
      </c>
      <c r="U373" t="s">
        <v>4037</v>
      </c>
      <c r="V373" s="3" t="s">
        <v>35</v>
      </c>
      <c r="W373" s="3" t="s">
        <v>307</v>
      </c>
      <c r="AM373" s="5"/>
      <c r="AN373" s="5"/>
      <c r="AQ373" s="6"/>
    </row>
    <row r="374" spans="2:43" x14ac:dyDescent="0.25">
      <c r="B374" t="s">
        <v>452</v>
      </c>
      <c r="C374">
        <v>107554</v>
      </c>
      <c r="D374" t="s">
        <v>484</v>
      </c>
      <c r="E374" t="s">
        <v>64</v>
      </c>
      <c r="F374" t="s">
        <v>319</v>
      </c>
      <c r="G374" t="s">
        <v>304</v>
      </c>
      <c r="H374" t="s">
        <v>116</v>
      </c>
      <c r="I374" t="s">
        <v>31</v>
      </c>
      <c r="J374" t="s">
        <v>32</v>
      </c>
      <c r="K374" t="s">
        <v>33</v>
      </c>
      <c r="L374" t="s">
        <v>52</v>
      </c>
      <c r="M374" t="s">
        <v>283</v>
      </c>
      <c r="N374" t="s">
        <v>60</v>
      </c>
      <c r="P374" t="s">
        <v>69</v>
      </c>
      <c r="Q374" t="s">
        <v>3708</v>
      </c>
      <c r="R374" s="5">
        <v>43056.847962962966</v>
      </c>
      <c r="S374" s="5">
        <v>43423.923587962963</v>
      </c>
      <c r="T374" t="s">
        <v>53</v>
      </c>
      <c r="U374" t="s">
        <v>35</v>
      </c>
      <c r="V374" s="3" t="s">
        <v>35</v>
      </c>
      <c r="W374" s="3" t="s">
        <v>4098</v>
      </c>
      <c r="AM374" s="5"/>
      <c r="AN374" s="5"/>
      <c r="AQ374" s="6"/>
    </row>
    <row r="375" spans="2:43" x14ac:dyDescent="0.25">
      <c r="B375" t="s">
        <v>294</v>
      </c>
      <c r="C375">
        <v>107497</v>
      </c>
      <c r="D375" t="s">
        <v>3749</v>
      </c>
      <c r="E375" t="s">
        <v>94</v>
      </c>
      <c r="F375" t="s">
        <v>305</v>
      </c>
      <c r="G375" t="s">
        <v>310</v>
      </c>
      <c r="H375" t="s">
        <v>116</v>
      </c>
      <c r="I375" t="s">
        <v>31</v>
      </c>
      <c r="J375" t="s">
        <v>32</v>
      </c>
      <c r="K375" t="s">
        <v>33</v>
      </c>
      <c r="L375" t="s">
        <v>73</v>
      </c>
      <c r="M375" t="s">
        <v>295</v>
      </c>
      <c r="N375" t="s">
        <v>582</v>
      </c>
      <c r="P375" t="s">
        <v>190</v>
      </c>
      <c r="Q375" t="s">
        <v>3750</v>
      </c>
      <c r="R375" s="5">
        <v>43055.672650462962</v>
      </c>
      <c r="S375" s="5">
        <v>43067.834317129629</v>
      </c>
      <c r="T375" t="s">
        <v>171</v>
      </c>
      <c r="U375" t="s">
        <v>35</v>
      </c>
      <c r="V375" s="3" t="s">
        <v>321</v>
      </c>
      <c r="W375" s="3" t="s">
        <v>4171</v>
      </c>
      <c r="AM375" s="5"/>
      <c r="AN375" s="5"/>
      <c r="AQ375" s="6"/>
    </row>
    <row r="376" spans="2:43" x14ac:dyDescent="0.25">
      <c r="B376" t="s">
        <v>294</v>
      </c>
      <c r="C376">
        <v>107494</v>
      </c>
      <c r="D376" t="s">
        <v>3747</v>
      </c>
      <c r="E376" t="s">
        <v>94</v>
      </c>
      <c r="F376" t="s">
        <v>305</v>
      </c>
      <c r="G376" t="s">
        <v>353</v>
      </c>
      <c r="H376" t="s">
        <v>116</v>
      </c>
      <c r="I376" t="s">
        <v>31</v>
      </c>
      <c r="J376" t="s">
        <v>32</v>
      </c>
      <c r="K376" t="s">
        <v>33</v>
      </c>
      <c r="L376" t="s">
        <v>73</v>
      </c>
      <c r="M376" t="s">
        <v>295</v>
      </c>
      <c r="N376" t="s">
        <v>60</v>
      </c>
      <c r="P376" t="s">
        <v>190</v>
      </c>
      <c r="Q376" t="s">
        <v>3748</v>
      </c>
      <c r="R376" s="5">
        <v>43055.671817129631</v>
      </c>
      <c r="S376" s="5">
        <v>43169.154317129629</v>
      </c>
      <c r="T376" t="s">
        <v>171</v>
      </c>
      <c r="U376" t="s">
        <v>35</v>
      </c>
      <c r="V376" s="3" t="s">
        <v>321</v>
      </c>
      <c r="W376" s="3" t="s">
        <v>307</v>
      </c>
      <c r="AM376" s="5"/>
      <c r="AN376" s="5"/>
      <c r="AQ376" s="6"/>
    </row>
    <row r="377" spans="2:43" x14ac:dyDescent="0.25">
      <c r="B377" t="s">
        <v>222</v>
      </c>
      <c r="C377">
        <v>107386</v>
      </c>
      <c r="D377" t="s">
        <v>593</v>
      </c>
      <c r="E377" t="s">
        <v>131</v>
      </c>
      <c r="F377" t="s">
        <v>319</v>
      </c>
      <c r="G377" t="s">
        <v>304</v>
      </c>
      <c r="H377" t="s">
        <v>54</v>
      </c>
      <c r="I377" t="s">
        <v>31</v>
      </c>
      <c r="J377" t="s">
        <v>32</v>
      </c>
      <c r="K377" t="s">
        <v>33</v>
      </c>
      <c r="L377" t="s">
        <v>73</v>
      </c>
      <c r="M377" t="s">
        <v>273</v>
      </c>
      <c r="N377" t="s">
        <v>3761</v>
      </c>
      <c r="P377" t="s">
        <v>133</v>
      </c>
      <c r="Q377" t="s">
        <v>3762</v>
      </c>
      <c r="R377" s="5">
        <v>43053.911932870367</v>
      </c>
      <c r="S377" s="5">
        <v>43115.722916666666</v>
      </c>
      <c r="T377" t="s">
        <v>53</v>
      </c>
      <c r="U377" t="s">
        <v>35</v>
      </c>
      <c r="V377" s="3" t="s">
        <v>35</v>
      </c>
      <c r="W377" s="3" t="s">
        <v>4158</v>
      </c>
      <c r="AM377" s="5"/>
      <c r="AN377" s="5"/>
      <c r="AQ377" s="6"/>
    </row>
    <row r="378" spans="2:43" x14ac:dyDescent="0.25">
      <c r="B378" t="s">
        <v>3763</v>
      </c>
      <c r="C378">
        <v>107377</v>
      </c>
      <c r="D378" t="s">
        <v>3766</v>
      </c>
      <c r="E378" t="s">
        <v>91</v>
      </c>
      <c r="F378" t="s">
        <v>305</v>
      </c>
      <c r="G378" t="s">
        <v>337</v>
      </c>
      <c r="H378" t="s">
        <v>56</v>
      </c>
      <c r="I378" t="s">
        <v>68</v>
      </c>
      <c r="J378" t="s">
        <v>43</v>
      </c>
      <c r="K378" t="s">
        <v>33</v>
      </c>
      <c r="L378" t="s">
        <v>73</v>
      </c>
      <c r="M378" t="s">
        <v>263</v>
      </c>
      <c r="N378" t="s">
        <v>46</v>
      </c>
      <c r="P378" t="s">
        <v>3765</v>
      </c>
      <c r="Q378" t="s">
        <v>159</v>
      </c>
      <c r="R378" s="5">
        <v>43053.620405092595</v>
      </c>
      <c r="S378" s="5">
        <v>43215.862361111111</v>
      </c>
      <c r="T378" t="s">
        <v>91</v>
      </c>
      <c r="U378" t="s">
        <v>35</v>
      </c>
      <c r="V378" s="3" t="s">
        <v>35</v>
      </c>
      <c r="W378" s="3" t="s">
        <v>3555</v>
      </c>
      <c r="AM378" s="5"/>
      <c r="AN378" s="5"/>
      <c r="AQ378" s="6"/>
    </row>
    <row r="379" spans="2:43" x14ac:dyDescent="0.25">
      <c r="B379" t="s">
        <v>3763</v>
      </c>
      <c r="C379">
        <v>107325</v>
      </c>
      <c r="D379" t="s">
        <v>3764</v>
      </c>
      <c r="E379" t="s">
        <v>91</v>
      </c>
      <c r="F379" t="s">
        <v>42</v>
      </c>
      <c r="H379" t="s">
        <v>56</v>
      </c>
      <c r="I379" t="s">
        <v>68</v>
      </c>
      <c r="J379" t="s">
        <v>43</v>
      </c>
      <c r="K379" t="s">
        <v>33</v>
      </c>
      <c r="L379" t="s">
        <v>73</v>
      </c>
      <c r="M379" t="s">
        <v>263</v>
      </c>
      <c r="N379" t="s">
        <v>60</v>
      </c>
      <c r="O379" t="s">
        <v>4233</v>
      </c>
      <c r="P379" t="s">
        <v>3765</v>
      </c>
      <c r="R379" s="5">
        <v>43052.96570601852</v>
      </c>
      <c r="S379" s="5">
        <v>43382.660960648151</v>
      </c>
      <c r="T379" t="s">
        <v>2850</v>
      </c>
      <c r="U379" t="s">
        <v>35</v>
      </c>
      <c r="V379" s="3" t="s">
        <v>35</v>
      </c>
      <c r="W379" s="3" t="s">
        <v>4098</v>
      </c>
      <c r="AM379" s="5"/>
      <c r="AN379" s="5"/>
      <c r="AQ379" s="6"/>
    </row>
    <row r="380" spans="2:43" x14ac:dyDescent="0.25">
      <c r="B380" t="s">
        <v>452</v>
      </c>
      <c r="C380">
        <v>107269</v>
      </c>
      <c r="D380" t="s">
        <v>592</v>
      </c>
      <c r="E380" t="s">
        <v>173</v>
      </c>
      <c r="F380" t="s">
        <v>305</v>
      </c>
      <c r="G380" t="s">
        <v>337</v>
      </c>
      <c r="H380" t="s">
        <v>116</v>
      </c>
      <c r="I380" t="s">
        <v>31</v>
      </c>
      <c r="J380" t="s">
        <v>32</v>
      </c>
      <c r="K380" t="s">
        <v>33</v>
      </c>
      <c r="L380" t="s">
        <v>52</v>
      </c>
      <c r="M380" t="s">
        <v>283</v>
      </c>
      <c r="N380" t="s">
        <v>60</v>
      </c>
      <c r="P380" t="s">
        <v>69</v>
      </c>
      <c r="Q380" t="s">
        <v>3708</v>
      </c>
      <c r="R380" s="5">
        <v>43051.318136574075</v>
      </c>
      <c r="S380" s="5">
        <v>43423.872407407405</v>
      </c>
      <c r="T380" t="s">
        <v>4</v>
      </c>
      <c r="U380" t="s">
        <v>35</v>
      </c>
      <c r="V380" s="3" t="s">
        <v>35</v>
      </c>
      <c r="W380" s="3" t="s">
        <v>4158</v>
      </c>
      <c r="AM380" s="5"/>
      <c r="AN380" s="5"/>
      <c r="AQ380" s="6"/>
    </row>
    <row r="381" spans="2:43" x14ac:dyDescent="0.25">
      <c r="B381" t="s">
        <v>294</v>
      </c>
      <c r="C381">
        <v>107184</v>
      </c>
      <c r="D381" t="s">
        <v>3745</v>
      </c>
      <c r="E381" t="s">
        <v>94</v>
      </c>
      <c r="F381" t="s">
        <v>305</v>
      </c>
      <c r="G381" t="s">
        <v>310</v>
      </c>
      <c r="H381" t="s">
        <v>116</v>
      </c>
      <c r="I381" t="s">
        <v>31</v>
      </c>
      <c r="J381" t="s">
        <v>32</v>
      </c>
      <c r="K381" t="s">
        <v>33</v>
      </c>
      <c r="L381" t="s">
        <v>73</v>
      </c>
      <c r="M381" t="s">
        <v>295</v>
      </c>
      <c r="N381" t="s">
        <v>60</v>
      </c>
      <c r="P381" t="s">
        <v>190</v>
      </c>
      <c r="Q381" t="s">
        <v>3746</v>
      </c>
      <c r="R381" s="5">
        <v>43048.708414351851</v>
      </c>
      <c r="S381" s="5">
        <v>43215.861608796295</v>
      </c>
      <c r="T381" t="s">
        <v>301</v>
      </c>
      <c r="U381" t="s">
        <v>35</v>
      </c>
      <c r="V381" s="3" t="s">
        <v>321</v>
      </c>
      <c r="W381" s="3" t="s">
        <v>4158</v>
      </c>
      <c r="AM381" s="5"/>
      <c r="AN381" s="5"/>
      <c r="AQ381" s="6"/>
    </row>
    <row r="382" spans="2:43" x14ac:dyDescent="0.25">
      <c r="B382" t="s">
        <v>448</v>
      </c>
      <c r="C382">
        <v>107177</v>
      </c>
      <c r="D382" t="s">
        <v>4232</v>
      </c>
      <c r="E382" t="s">
        <v>91</v>
      </c>
      <c r="F382" t="s">
        <v>305</v>
      </c>
      <c r="G382" t="s">
        <v>337</v>
      </c>
      <c r="H382" t="s">
        <v>54</v>
      </c>
      <c r="I382" t="s">
        <v>31</v>
      </c>
      <c r="J382" t="s">
        <v>43</v>
      </c>
      <c r="K382" t="s">
        <v>51</v>
      </c>
      <c r="L382" t="s">
        <v>73</v>
      </c>
      <c r="M382" t="s">
        <v>264</v>
      </c>
      <c r="N382" t="s">
        <v>60</v>
      </c>
      <c r="P382" t="s">
        <v>449</v>
      </c>
      <c r="Q382" t="s">
        <v>3509</v>
      </c>
      <c r="R382" s="5">
        <v>43048.600370370368</v>
      </c>
      <c r="S382" s="5">
        <v>43145.252870370372</v>
      </c>
      <c r="T382" t="s">
        <v>171</v>
      </c>
      <c r="U382" t="s">
        <v>35</v>
      </c>
      <c r="V382" s="3" t="s">
        <v>35</v>
      </c>
      <c r="W382" s="3" t="s">
        <v>4179</v>
      </c>
      <c r="AM382" s="5"/>
      <c r="AN382" s="5"/>
      <c r="AQ382" s="6"/>
    </row>
    <row r="383" spans="2:43" x14ac:dyDescent="0.25">
      <c r="B383" t="s">
        <v>233</v>
      </c>
      <c r="C383">
        <v>107049</v>
      </c>
      <c r="D383" t="s">
        <v>591</v>
      </c>
      <c r="E383" t="s">
        <v>560</v>
      </c>
      <c r="F383" t="s">
        <v>319</v>
      </c>
      <c r="G383" t="s">
        <v>304</v>
      </c>
      <c r="H383" t="s">
        <v>116</v>
      </c>
      <c r="I383" t="s">
        <v>31</v>
      </c>
      <c r="J383" t="s">
        <v>32</v>
      </c>
      <c r="K383" t="s">
        <v>33</v>
      </c>
      <c r="L383" t="s">
        <v>73</v>
      </c>
      <c r="M383" t="s">
        <v>264</v>
      </c>
      <c r="N383" t="s">
        <v>510</v>
      </c>
      <c r="P383" t="s">
        <v>107</v>
      </c>
      <c r="Q383" t="s">
        <v>159</v>
      </c>
      <c r="R383" s="5">
        <v>43046.613483796296</v>
      </c>
      <c r="S383" s="5">
        <v>43215.965925925928</v>
      </c>
      <c r="T383" t="s">
        <v>301</v>
      </c>
      <c r="U383" t="s">
        <v>4035</v>
      </c>
      <c r="V383" s="3" t="s">
        <v>321</v>
      </c>
      <c r="W383" s="3" t="s">
        <v>4171</v>
      </c>
      <c r="AM383" s="5"/>
      <c r="AN383" s="5"/>
      <c r="AQ383" s="6"/>
    </row>
    <row r="384" spans="2:43" x14ac:dyDescent="0.25">
      <c r="B384" t="s">
        <v>448</v>
      </c>
      <c r="C384">
        <v>106983</v>
      </c>
      <c r="D384" t="s">
        <v>4230</v>
      </c>
      <c r="E384" t="s">
        <v>91</v>
      </c>
      <c r="F384" t="s">
        <v>305</v>
      </c>
      <c r="G384" t="s">
        <v>304</v>
      </c>
      <c r="H384" t="s">
        <v>54</v>
      </c>
      <c r="I384" t="s">
        <v>31</v>
      </c>
      <c r="J384" t="s">
        <v>43</v>
      </c>
      <c r="K384" t="s">
        <v>51</v>
      </c>
      <c r="L384" t="s">
        <v>73</v>
      </c>
      <c r="M384" t="s">
        <v>264</v>
      </c>
      <c r="N384" t="s">
        <v>60</v>
      </c>
      <c r="P384" t="s">
        <v>449</v>
      </c>
      <c r="Q384" t="s">
        <v>2854</v>
      </c>
      <c r="R384" s="5">
        <v>43045.778796296298</v>
      </c>
      <c r="S384" s="5">
        <v>43357.633564814816</v>
      </c>
      <c r="T384" t="s">
        <v>301</v>
      </c>
      <c r="U384" t="s">
        <v>35</v>
      </c>
      <c r="V384" s="3" t="s">
        <v>35</v>
      </c>
      <c r="W384" s="3" t="s">
        <v>4231</v>
      </c>
      <c r="AM384" s="5"/>
      <c r="AN384" s="5"/>
      <c r="AQ384" s="6"/>
    </row>
    <row r="385" spans="2:43" x14ac:dyDescent="0.25">
      <c r="B385" t="s">
        <v>3925</v>
      </c>
      <c r="C385">
        <v>106982</v>
      </c>
      <c r="D385" t="s">
        <v>3932</v>
      </c>
      <c r="E385" t="s">
        <v>3365</v>
      </c>
      <c r="F385" t="s">
        <v>305</v>
      </c>
      <c r="G385" t="s">
        <v>304</v>
      </c>
      <c r="H385" t="s">
        <v>30</v>
      </c>
      <c r="I385" t="s">
        <v>68</v>
      </c>
      <c r="J385" t="s">
        <v>43</v>
      </c>
      <c r="K385" t="s">
        <v>33</v>
      </c>
      <c r="L385" t="s">
        <v>34</v>
      </c>
      <c r="M385" t="s">
        <v>3780</v>
      </c>
      <c r="N385" t="s">
        <v>46</v>
      </c>
      <c r="O385" t="s">
        <v>4047</v>
      </c>
      <c r="P385" t="s">
        <v>69</v>
      </c>
      <c r="Q385" t="s">
        <v>4068</v>
      </c>
      <c r="R385" s="5">
        <v>43045.762592592589</v>
      </c>
      <c r="S385" s="5">
        <v>43167.887766203705</v>
      </c>
      <c r="T385" t="s">
        <v>53</v>
      </c>
      <c r="U385" t="s">
        <v>4037</v>
      </c>
      <c r="V385" s="3" t="s">
        <v>35</v>
      </c>
      <c r="W385" s="3" t="s">
        <v>4176</v>
      </c>
      <c r="AM385" s="5"/>
      <c r="AN385" s="5"/>
      <c r="AQ385" s="6"/>
    </row>
    <row r="386" spans="2:43" x14ac:dyDescent="0.25">
      <c r="B386" t="s">
        <v>3925</v>
      </c>
      <c r="C386">
        <v>106981</v>
      </c>
      <c r="D386" t="s">
        <v>3931</v>
      </c>
      <c r="E386" t="s">
        <v>3787</v>
      </c>
      <c r="F386" t="s">
        <v>305</v>
      </c>
      <c r="G386" t="s">
        <v>337</v>
      </c>
      <c r="H386" t="s">
        <v>30</v>
      </c>
      <c r="I386" t="s">
        <v>68</v>
      </c>
      <c r="J386" t="s">
        <v>43</v>
      </c>
      <c r="K386" t="s">
        <v>33</v>
      </c>
      <c r="L386" t="s">
        <v>34</v>
      </c>
      <c r="M386" t="s">
        <v>3780</v>
      </c>
      <c r="N386" t="s">
        <v>46</v>
      </c>
      <c r="P386" t="s">
        <v>69</v>
      </c>
      <c r="Q386" t="s">
        <v>2305</v>
      </c>
      <c r="R386" s="5">
        <v>43045.761840277781</v>
      </c>
      <c r="S386" s="5">
        <v>43255.569351851853</v>
      </c>
      <c r="T386" t="s">
        <v>53</v>
      </c>
      <c r="U386" t="s">
        <v>35</v>
      </c>
      <c r="V386" s="3" t="s">
        <v>35</v>
      </c>
      <c r="W386" s="3" t="s">
        <v>4167</v>
      </c>
      <c r="AM386" s="5"/>
      <c r="AN386" s="5"/>
      <c r="AQ386" s="6"/>
    </row>
    <row r="387" spans="2:43" x14ac:dyDescent="0.25">
      <c r="B387" t="s">
        <v>294</v>
      </c>
      <c r="C387">
        <v>106868</v>
      </c>
      <c r="D387" t="s">
        <v>4036</v>
      </c>
      <c r="E387" t="s">
        <v>94</v>
      </c>
      <c r="F387" t="s">
        <v>305</v>
      </c>
      <c r="G387" t="s">
        <v>353</v>
      </c>
      <c r="H387" t="s">
        <v>116</v>
      </c>
      <c r="I387" t="s">
        <v>31</v>
      </c>
      <c r="J387" t="s">
        <v>32</v>
      </c>
      <c r="K387" t="s">
        <v>44</v>
      </c>
      <c r="L387" t="s">
        <v>73</v>
      </c>
      <c r="M387" t="s">
        <v>295</v>
      </c>
      <c r="N387" t="s">
        <v>60</v>
      </c>
      <c r="P387" t="s">
        <v>190</v>
      </c>
      <c r="Q387" t="s">
        <v>3708</v>
      </c>
      <c r="R387" s="5">
        <v>43041.693715277775</v>
      </c>
      <c r="S387" s="5">
        <v>43459.155312499999</v>
      </c>
      <c r="T387" t="s">
        <v>1</v>
      </c>
      <c r="U387" t="s">
        <v>35</v>
      </c>
      <c r="V387" s="3" t="s">
        <v>321</v>
      </c>
      <c r="W387" s="3" t="s">
        <v>4098</v>
      </c>
      <c r="AM387" s="5"/>
      <c r="AN387" s="5"/>
      <c r="AQ387" s="6"/>
    </row>
    <row r="388" spans="2:43" x14ac:dyDescent="0.25">
      <c r="B388" t="s">
        <v>448</v>
      </c>
      <c r="C388">
        <v>106778</v>
      </c>
      <c r="D388" t="s">
        <v>4229</v>
      </c>
      <c r="E388" t="s">
        <v>91</v>
      </c>
      <c r="F388" t="s">
        <v>319</v>
      </c>
      <c r="G388" t="s">
        <v>304</v>
      </c>
      <c r="H388" t="s">
        <v>54</v>
      </c>
      <c r="I388" t="s">
        <v>31</v>
      </c>
      <c r="J388" t="s">
        <v>43</v>
      </c>
      <c r="K388" t="s">
        <v>51</v>
      </c>
      <c r="L388" t="s">
        <v>73</v>
      </c>
      <c r="M388" t="s">
        <v>264</v>
      </c>
      <c r="N388" t="s">
        <v>60</v>
      </c>
      <c r="P388" t="s">
        <v>449</v>
      </c>
      <c r="Q388" t="s">
        <v>2854</v>
      </c>
      <c r="R388" s="5">
        <v>43040.259687500002</v>
      </c>
      <c r="S388" s="5">
        <v>43353.402002314811</v>
      </c>
      <c r="T388" t="s">
        <v>450</v>
      </c>
      <c r="U388" t="s">
        <v>35</v>
      </c>
      <c r="V388" s="3" t="s">
        <v>35</v>
      </c>
      <c r="W388" s="3" t="s">
        <v>4098</v>
      </c>
      <c r="AM388" s="5"/>
      <c r="AN388" s="5"/>
      <c r="AQ388" s="6"/>
    </row>
    <row r="389" spans="2:43" x14ac:dyDescent="0.25">
      <c r="B389" t="s">
        <v>289</v>
      </c>
      <c r="C389">
        <v>106769</v>
      </c>
      <c r="D389" t="s">
        <v>3744</v>
      </c>
      <c r="E389" t="s">
        <v>112</v>
      </c>
      <c r="F389" t="s">
        <v>319</v>
      </c>
      <c r="G389" t="s">
        <v>304</v>
      </c>
      <c r="H389" t="s">
        <v>30</v>
      </c>
      <c r="I389" t="s">
        <v>31</v>
      </c>
      <c r="J389" t="s">
        <v>32</v>
      </c>
      <c r="K389" t="s">
        <v>51</v>
      </c>
      <c r="L389" t="s">
        <v>96</v>
      </c>
      <c r="M389" t="s">
        <v>292</v>
      </c>
      <c r="N389" t="s">
        <v>121</v>
      </c>
      <c r="P389" t="s">
        <v>65</v>
      </c>
      <c r="Q389" t="s">
        <v>65</v>
      </c>
      <c r="R389" s="5">
        <v>43039.707951388889</v>
      </c>
      <c r="S389" s="5">
        <v>43215.980844907404</v>
      </c>
      <c r="T389" t="s">
        <v>301</v>
      </c>
      <c r="U389" t="s">
        <v>35</v>
      </c>
      <c r="V389" s="3" t="s">
        <v>35</v>
      </c>
      <c r="W389" s="3" t="s">
        <v>4178</v>
      </c>
      <c r="AM389" s="5"/>
      <c r="AN389" s="5"/>
      <c r="AQ389" s="6"/>
    </row>
    <row r="390" spans="2:43" x14ac:dyDescent="0.25">
      <c r="B390" t="s">
        <v>4224</v>
      </c>
      <c r="C390">
        <v>106714</v>
      </c>
      <c r="D390" t="s">
        <v>4225</v>
      </c>
      <c r="E390" t="s">
        <v>3787</v>
      </c>
      <c r="F390" t="s">
        <v>305</v>
      </c>
      <c r="G390" t="s">
        <v>304</v>
      </c>
      <c r="H390" t="s">
        <v>54</v>
      </c>
      <c r="I390" t="s">
        <v>68</v>
      </c>
      <c r="J390" t="s">
        <v>58</v>
      </c>
      <c r="K390" t="s">
        <v>44</v>
      </c>
      <c r="L390" t="s">
        <v>34</v>
      </c>
      <c r="M390" t="s">
        <v>3780</v>
      </c>
      <c r="N390" t="s">
        <v>46</v>
      </c>
      <c r="O390" t="s">
        <v>4226</v>
      </c>
      <c r="P390" t="s">
        <v>4227</v>
      </c>
      <c r="R390" s="5">
        <v>43038.804768518516</v>
      </c>
      <c r="S390" s="5">
        <v>43329.483819444446</v>
      </c>
      <c r="T390" t="s">
        <v>4228</v>
      </c>
      <c r="U390" t="s">
        <v>35</v>
      </c>
      <c r="V390" s="3" t="s">
        <v>35</v>
      </c>
      <c r="W390" s="3" t="s">
        <v>4155</v>
      </c>
      <c r="AM390" s="5"/>
      <c r="AN390" s="5"/>
      <c r="AQ390" s="6"/>
    </row>
    <row r="391" spans="2:43" x14ac:dyDescent="0.25">
      <c r="B391" t="s">
        <v>3742</v>
      </c>
      <c r="C391">
        <v>106662</v>
      </c>
      <c r="D391" t="s">
        <v>3743</v>
      </c>
      <c r="E391" t="s">
        <v>110</v>
      </c>
      <c r="F391" t="s">
        <v>305</v>
      </c>
      <c r="G391" t="s">
        <v>353</v>
      </c>
      <c r="H391" t="s">
        <v>116</v>
      </c>
      <c r="I391" t="s">
        <v>31</v>
      </c>
      <c r="J391" t="s">
        <v>32</v>
      </c>
      <c r="K391" t="s">
        <v>33</v>
      </c>
      <c r="L391" t="s">
        <v>73</v>
      </c>
      <c r="M391" t="s">
        <v>273</v>
      </c>
      <c r="N391" t="s">
        <v>60</v>
      </c>
      <c r="P391" t="s">
        <v>190</v>
      </c>
      <c r="Q391" t="s">
        <v>2481</v>
      </c>
      <c r="R391" s="5">
        <v>43035.851840277777</v>
      </c>
      <c r="S391" s="5">
        <v>43135.146192129629</v>
      </c>
      <c r="T391" t="s">
        <v>1</v>
      </c>
      <c r="U391" t="s">
        <v>35</v>
      </c>
      <c r="V391" s="3" t="s">
        <v>321</v>
      </c>
      <c r="W391" s="3" t="s">
        <v>307</v>
      </c>
      <c r="AM391" s="5"/>
      <c r="AN391" s="5"/>
      <c r="AQ391" s="6"/>
    </row>
    <row r="392" spans="2:43" x14ac:dyDescent="0.25">
      <c r="B392" t="s">
        <v>256</v>
      </c>
      <c r="C392">
        <v>106597</v>
      </c>
      <c r="D392" t="s">
        <v>3741</v>
      </c>
      <c r="E392" t="s">
        <v>194</v>
      </c>
      <c r="F392" t="s">
        <v>305</v>
      </c>
      <c r="G392" t="s">
        <v>304</v>
      </c>
      <c r="H392" t="s">
        <v>116</v>
      </c>
      <c r="I392" t="s">
        <v>31</v>
      </c>
      <c r="J392" t="s">
        <v>32</v>
      </c>
      <c r="K392" t="s">
        <v>33</v>
      </c>
      <c r="L392" t="s">
        <v>195</v>
      </c>
      <c r="M392" t="s">
        <v>284</v>
      </c>
      <c r="N392" t="s">
        <v>572</v>
      </c>
      <c r="P392" t="s">
        <v>190</v>
      </c>
      <c r="Q392" t="s">
        <v>1503</v>
      </c>
      <c r="R392" s="5">
        <v>43034.717951388891</v>
      </c>
      <c r="S392" s="5">
        <v>43234.721006944441</v>
      </c>
      <c r="T392" t="s">
        <v>288</v>
      </c>
      <c r="U392" t="s">
        <v>3993</v>
      </c>
      <c r="V392" s="3" t="s">
        <v>321</v>
      </c>
      <c r="W392" s="3" t="s">
        <v>307</v>
      </c>
      <c r="AM392" s="5"/>
      <c r="AN392" s="5"/>
      <c r="AQ392" s="6"/>
    </row>
    <row r="393" spans="2:43" x14ac:dyDescent="0.25">
      <c r="B393" t="s">
        <v>256</v>
      </c>
      <c r="C393">
        <v>106596</v>
      </c>
      <c r="D393" t="s">
        <v>287</v>
      </c>
      <c r="E393" t="s">
        <v>194</v>
      </c>
      <c r="F393" t="s">
        <v>319</v>
      </c>
      <c r="G393" t="s">
        <v>304</v>
      </c>
      <c r="H393" t="s">
        <v>116</v>
      </c>
      <c r="I393" t="s">
        <v>31</v>
      </c>
      <c r="J393" t="s">
        <v>32</v>
      </c>
      <c r="K393" t="s">
        <v>33</v>
      </c>
      <c r="L393" t="s">
        <v>195</v>
      </c>
      <c r="M393" t="s">
        <v>284</v>
      </c>
      <c r="N393" t="s">
        <v>60</v>
      </c>
      <c r="P393" t="s">
        <v>190</v>
      </c>
      <c r="Q393" t="s">
        <v>3708</v>
      </c>
      <c r="R393" s="5">
        <v>43034.717962962961</v>
      </c>
      <c r="S393" s="5">
        <v>43423.920011574075</v>
      </c>
      <c r="T393" t="s">
        <v>288</v>
      </c>
      <c r="U393" t="s">
        <v>35</v>
      </c>
      <c r="V393" s="3" t="s">
        <v>321</v>
      </c>
      <c r="W393" s="3" t="s">
        <v>4098</v>
      </c>
      <c r="AM393" s="5"/>
      <c r="AN393" s="5"/>
      <c r="AQ393" s="6"/>
    </row>
    <row r="394" spans="2:43" x14ac:dyDescent="0.25">
      <c r="B394" t="s">
        <v>3738</v>
      </c>
      <c r="C394">
        <v>106586</v>
      </c>
      <c r="D394" t="s">
        <v>3739</v>
      </c>
      <c r="E394" t="s">
        <v>494</v>
      </c>
      <c r="F394" t="s">
        <v>319</v>
      </c>
      <c r="G394" t="s">
        <v>304</v>
      </c>
      <c r="H394" t="s">
        <v>30</v>
      </c>
      <c r="I394" t="s">
        <v>68</v>
      </c>
      <c r="J394" t="s">
        <v>43</v>
      </c>
      <c r="K394" t="s">
        <v>33</v>
      </c>
      <c r="L394" t="s">
        <v>106</v>
      </c>
      <c r="M394" t="s">
        <v>495</v>
      </c>
      <c r="N394" t="s">
        <v>60</v>
      </c>
      <c r="O394" t="s">
        <v>3740</v>
      </c>
      <c r="P394" t="s">
        <v>190</v>
      </c>
      <c r="R394" s="5">
        <v>43034.574166666665</v>
      </c>
      <c r="S394" s="5">
        <v>43073.229131944441</v>
      </c>
      <c r="T394" t="s">
        <v>5</v>
      </c>
      <c r="U394" t="s">
        <v>35</v>
      </c>
      <c r="V394" s="3" t="s">
        <v>35</v>
      </c>
      <c r="W394" s="3" t="s">
        <v>4163</v>
      </c>
      <c r="AM394" s="5"/>
      <c r="AN394" s="5"/>
      <c r="AQ394" s="6"/>
    </row>
    <row r="395" spans="2:43" x14ac:dyDescent="0.25">
      <c r="B395" t="s">
        <v>256</v>
      </c>
      <c r="C395">
        <v>106484</v>
      </c>
      <c r="D395" t="s">
        <v>590</v>
      </c>
      <c r="E395" t="s">
        <v>194</v>
      </c>
      <c r="F395" t="s">
        <v>305</v>
      </c>
      <c r="G395" t="s">
        <v>337</v>
      </c>
      <c r="H395" t="s">
        <v>116</v>
      </c>
      <c r="I395" t="s">
        <v>31</v>
      </c>
      <c r="J395" t="s">
        <v>32</v>
      </c>
      <c r="K395" t="s">
        <v>33</v>
      </c>
      <c r="L395" t="s">
        <v>195</v>
      </c>
      <c r="M395" t="s">
        <v>284</v>
      </c>
      <c r="N395" t="s">
        <v>60</v>
      </c>
      <c r="P395" t="s">
        <v>190</v>
      </c>
      <c r="Q395" t="s">
        <v>3708</v>
      </c>
      <c r="R395" s="5">
        <v>43032.853449074071</v>
      </c>
      <c r="S395" s="5">
        <v>43423.872511574074</v>
      </c>
      <c r="T395" t="s">
        <v>1</v>
      </c>
      <c r="U395" t="s">
        <v>35</v>
      </c>
      <c r="V395" s="3" t="s">
        <v>321</v>
      </c>
      <c r="W395" s="3" t="s">
        <v>4158</v>
      </c>
      <c r="AM395" s="5"/>
      <c r="AN395" s="5"/>
      <c r="AQ395" s="6"/>
    </row>
    <row r="396" spans="2:43" x14ac:dyDescent="0.25">
      <c r="B396" t="s">
        <v>4190</v>
      </c>
      <c r="C396">
        <v>106473</v>
      </c>
      <c r="D396" t="s">
        <v>4223</v>
      </c>
      <c r="E396" t="s">
        <v>387</v>
      </c>
      <c r="F396" t="s">
        <v>305</v>
      </c>
      <c r="G396" t="s">
        <v>337</v>
      </c>
      <c r="H396" t="s">
        <v>54</v>
      </c>
      <c r="I396" t="s">
        <v>68</v>
      </c>
      <c r="J396" t="s">
        <v>43</v>
      </c>
      <c r="K396" t="s">
        <v>33</v>
      </c>
      <c r="L396" t="s">
        <v>73</v>
      </c>
      <c r="M396" t="s">
        <v>263</v>
      </c>
      <c r="N396" t="s">
        <v>518</v>
      </c>
      <c r="P396" t="s">
        <v>107</v>
      </c>
      <c r="Q396" t="s">
        <v>3708</v>
      </c>
      <c r="R396" s="5">
        <v>43032.675775462965</v>
      </c>
      <c r="S396" s="5">
        <v>43423.872499999998</v>
      </c>
      <c r="T396" t="s">
        <v>53</v>
      </c>
      <c r="U396" t="s">
        <v>35</v>
      </c>
      <c r="V396" s="3" t="s">
        <v>35</v>
      </c>
      <c r="W396" s="3" t="s">
        <v>4158</v>
      </c>
      <c r="AM396" s="5"/>
      <c r="AN396" s="5"/>
      <c r="AQ396" s="6"/>
    </row>
    <row r="397" spans="2:43" x14ac:dyDescent="0.25">
      <c r="B397" t="s">
        <v>4190</v>
      </c>
      <c r="C397">
        <v>106447</v>
      </c>
      <c r="D397" t="s">
        <v>4222</v>
      </c>
      <c r="E397" t="s">
        <v>110</v>
      </c>
      <c r="F397" t="s">
        <v>67</v>
      </c>
      <c r="H397" t="s">
        <v>54</v>
      </c>
      <c r="I397" t="s">
        <v>68</v>
      </c>
      <c r="J397" t="s">
        <v>43</v>
      </c>
      <c r="K397" t="s">
        <v>33</v>
      </c>
      <c r="L397" t="s">
        <v>73</v>
      </c>
      <c r="M397" t="s">
        <v>263</v>
      </c>
      <c r="N397" t="s">
        <v>60</v>
      </c>
      <c r="P397" t="s">
        <v>107</v>
      </c>
      <c r="Q397" t="s">
        <v>107</v>
      </c>
      <c r="R397" s="5">
        <v>43032.495057870372</v>
      </c>
      <c r="S397" s="5">
        <v>43382.661192129628</v>
      </c>
      <c r="T397" t="s">
        <v>110</v>
      </c>
      <c r="U397" t="s">
        <v>35</v>
      </c>
      <c r="V397" s="3" t="s">
        <v>35</v>
      </c>
      <c r="W397" s="3" t="s">
        <v>4171</v>
      </c>
      <c r="AM397" s="5"/>
      <c r="AN397" s="5"/>
      <c r="AQ397" s="6"/>
    </row>
    <row r="398" spans="2:43" x14ac:dyDescent="0.25">
      <c r="B398" t="s">
        <v>3925</v>
      </c>
      <c r="C398">
        <v>106301</v>
      </c>
      <c r="D398" t="s">
        <v>3928</v>
      </c>
      <c r="E398" t="s">
        <v>3787</v>
      </c>
      <c r="F398" t="s">
        <v>305</v>
      </c>
      <c r="G398" t="s">
        <v>304</v>
      </c>
      <c r="H398" t="s">
        <v>30</v>
      </c>
      <c r="I398" t="s">
        <v>68</v>
      </c>
      <c r="J398" t="s">
        <v>43</v>
      </c>
      <c r="K398" t="s">
        <v>33</v>
      </c>
      <c r="L398" t="s">
        <v>34</v>
      </c>
      <c r="M398" t="s">
        <v>3780</v>
      </c>
      <c r="N398" t="s">
        <v>46</v>
      </c>
      <c r="O398" t="s">
        <v>3929</v>
      </c>
      <c r="P398" t="s">
        <v>69</v>
      </c>
      <c r="Q398" t="s">
        <v>2305</v>
      </c>
      <c r="R398" s="5">
        <v>43028.845983796295</v>
      </c>
      <c r="S398" s="5">
        <v>43255.570289351854</v>
      </c>
      <c r="T398" t="s">
        <v>3930</v>
      </c>
      <c r="U398" t="s">
        <v>35</v>
      </c>
      <c r="V398" s="3" t="s">
        <v>35</v>
      </c>
      <c r="W398" s="3" t="s">
        <v>4098</v>
      </c>
      <c r="AM398" s="5"/>
      <c r="AN398" s="5"/>
      <c r="AQ398" s="6"/>
    </row>
    <row r="399" spans="2:43" x14ac:dyDescent="0.25">
      <c r="B399" t="s">
        <v>246</v>
      </c>
      <c r="C399">
        <v>106298</v>
      </c>
      <c r="D399" t="s">
        <v>589</v>
      </c>
      <c r="E399" t="s">
        <v>4208</v>
      </c>
      <c r="F399" t="s">
        <v>305</v>
      </c>
      <c r="G399" t="s">
        <v>304</v>
      </c>
      <c r="H399" t="s">
        <v>116</v>
      </c>
      <c r="I399" t="s">
        <v>31</v>
      </c>
      <c r="J399" t="s">
        <v>43</v>
      </c>
      <c r="K399" t="s">
        <v>44</v>
      </c>
      <c r="L399" t="s">
        <v>45</v>
      </c>
      <c r="M399" t="s">
        <v>4220</v>
      </c>
      <c r="N399" t="s">
        <v>510</v>
      </c>
      <c r="P399" t="s">
        <v>69</v>
      </c>
      <c r="Q399" t="s">
        <v>69</v>
      </c>
      <c r="R399" s="5">
        <v>43028.803506944445</v>
      </c>
      <c r="S399" s="5">
        <v>43405.514189814814</v>
      </c>
      <c r="T399" t="s">
        <v>288</v>
      </c>
      <c r="U399" t="s">
        <v>4221</v>
      </c>
      <c r="V399" s="3" t="s">
        <v>35</v>
      </c>
      <c r="W399" s="3" t="s">
        <v>4171</v>
      </c>
      <c r="AM399" s="5"/>
      <c r="AN399" s="5"/>
      <c r="AQ399" s="6"/>
    </row>
    <row r="400" spans="2:43" x14ac:dyDescent="0.25">
      <c r="B400" t="s">
        <v>243</v>
      </c>
      <c r="C400">
        <v>106272</v>
      </c>
      <c r="D400" t="s">
        <v>3737</v>
      </c>
      <c r="E400" t="s">
        <v>72</v>
      </c>
      <c r="F400" t="s">
        <v>305</v>
      </c>
      <c r="G400" t="s">
        <v>353</v>
      </c>
      <c r="H400" t="s">
        <v>56</v>
      </c>
      <c r="I400" t="s">
        <v>68</v>
      </c>
      <c r="J400" t="s">
        <v>43</v>
      </c>
      <c r="K400" t="s">
        <v>33</v>
      </c>
      <c r="L400" t="s">
        <v>73</v>
      </c>
      <c r="M400" t="s">
        <v>263</v>
      </c>
      <c r="N400" t="s">
        <v>46</v>
      </c>
      <c r="P400" t="s">
        <v>107</v>
      </c>
      <c r="Q400" t="s">
        <v>107</v>
      </c>
      <c r="R400" s="5">
        <v>43028.370104166665</v>
      </c>
      <c r="S400" s="5">
        <v>43135.146041666667</v>
      </c>
      <c r="T400" t="s">
        <v>171</v>
      </c>
      <c r="U400" t="s">
        <v>35</v>
      </c>
      <c r="V400" s="3" t="s">
        <v>35</v>
      </c>
      <c r="W400" s="3" t="s">
        <v>4171</v>
      </c>
      <c r="AM400" s="5"/>
      <c r="AN400" s="5"/>
      <c r="AQ400" s="6"/>
    </row>
    <row r="401" spans="2:43" x14ac:dyDescent="0.25">
      <c r="B401" t="s">
        <v>255</v>
      </c>
      <c r="C401">
        <v>106100</v>
      </c>
      <c r="D401" t="s">
        <v>588</v>
      </c>
      <c r="E401" t="s">
        <v>4080</v>
      </c>
      <c r="F401" t="s">
        <v>305</v>
      </c>
      <c r="G401" t="s">
        <v>304</v>
      </c>
      <c r="H401" t="s">
        <v>116</v>
      </c>
      <c r="I401" t="s">
        <v>31</v>
      </c>
      <c r="J401" t="s">
        <v>32</v>
      </c>
      <c r="K401" t="s">
        <v>33</v>
      </c>
      <c r="L401" t="s">
        <v>52</v>
      </c>
      <c r="M401" t="s">
        <v>282</v>
      </c>
      <c r="N401" t="s">
        <v>510</v>
      </c>
      <c r="P401" t="s">
        <v>69</v>
      </c>
      <c r="Q401" t="s">
        <v>69</v>
      </c>
      <c r="R401" s="5">
        <v>43024.782118055555</v>
      </c>
      <c r="S401" s="5">
        <v>43221.866956018515</v>
      </c>
      <c r="T401" t="s">
        <v>301</v>
      </c>
      <c r="U401" t="s">
        <v>4219</v>
      </c>
      <c r="V401" s="3" t="s">
        <v>321</v>
      </c>
      <c r="W401" s="3" t="s">
        <v>4171</v>
      </c>
      <c r="AM401" s="5"/>
      <c r="AN401" s="5"/>
      <c r="AQ401" s="6"/>
    </row>
    <row r="402" spans="2:43" x14ac:dyDescent="0.25">
      <c r="B402" t="s">
        <v>255</v>
      </c>
      <c r="C402">
        <v>106099</v>
      </c>
      <c r="D402" t="s">
        <v>587</v>
      </c>
      <c r="E402" t="s">
        <v>4080</v>
      </c>
      <c r="F402" t="s">
        <v>305</v>
      </c>
      <c r="G402" t="s">
        <v>304</v>
      </c>
      <c r="H402" t="s">
        <v>116</v>
      </c>
      <c r="I402" t="s">
        <v>31</v>
      </c>
      <c r="J402" t="s">
        <v>32</v>
      </c>
      <c r="K402" t="s">
        <v>44</v>
      </c>
      <c r="L402" t="s">
        <v>52</v>
      </c>
      <c r="M402" t="s">
        <v>282</v>
      </c>
      <c r="N402" t="s">
        <v>572</v>
      </c>
      <c r="P402" t="s">
        <v>69</v>
      </c>
      <c r="Q402" t="s">
        <v>2305</v>
      </c>
      <c r="R402" s="5">
        <v>43024.7812962963</v>
      </c>
      <c r="S402" s="5">
        <v>43224.217326388891</v>
      </c>
      <c r="T402" t="s">
        <v>301</v>
      </c>
      <c r="U402" t="s">
        <v>4218</v>
      </c>
      <c r="V402" s="3" t="s">
        <v>321</v>
      </c>
      <c r="W402" s="3" t="s">
        <v>307</v>
      </c>
      <c r="AM402" s="5"/>
      <c r="AN402" s="5"/>
      <c r="AQ402" s="6"/>
    </row>
    <row r="403" spans="2:43" x14ac:dyDescent="0.25">
      <c r="B403" t="s">
        <v>254</v>
      </c>
      <c r="C403">
        <v>106095</v>
      </c>
      <c r="D403" t="s">
        <v>586</v>
      </c>
      <c r="E403" t="s">
        <v>110</v>
      </c>
      <c r="F403" t="s">
        <v>319</v>
      </c>
      <c r="G403" t="s">
        <v>304</v>
      </c>
      <c r="H403" t="s">
        <v>54</v>
      </c>
      <c r="I403" t="s">
        <v>31</v>
      </c>
      <c r="J403" t="s">
        <v>32</v>
      </c>
      <c r="K403" t="s">
        <v>33</v>
      </c>
      <c r="L403" t="s">
        <v>73</v>
      </c>
      <c r="M403" t="s">
        <v>263</v>
      </c>
      <c r="N403" t="s">
        <v>4216</v>
      </c>
      <c r="P403" t="s">
        <v>190</v>
      </c>
      <c r="Q403" t="s">
        <v>190</v>
      </c>
      <c r="R403" s="5">
        <v>43024.769259259258</v>
      </c>
      <c r="S403" s="5">
        <v>43397.986770833333</v>
      </c>
      <c r="T403" t="s">
        <v>301</v>
      </c>
      <c r="U403" t="s">
        <v>4217</v>
      </c>
      <c r="V403" s="3" t="s">
        <v>321</v>
      </c>
      <c r="W403" s="3" t="s">
        <v>4171</v>
      </c>
      <c r="AM403" s="5"/>
      <c r="AN403" s="5"/>
      <c r="AQ403" s="6"/>
    </row>
    <row r="404" spans="2:43" x14ac:dyDescent="0.25">
      <c r="B404" t="s">
        <v>254</v>
      </c>
      <c r="C404">
        <v>106094</v>
      </c>
      <c r="D404" t="s">
        <v>585</v>
      </c>
      <c r="E404" t="s">
        <v>110</v>
      </c>
      <c r="F404" t="s">
        <v>305</v>
      </c>
      <c r="G404" t="s">
        <v>337</v>
      </c>
      <c r="H404" t="s">
        <v>54</v>
      </c>
      <c r="I404" t="s">
        <v>31</v>
      </c>
      <c r="J404" t="s">
        <v>32</v>
      </c>
      <c r="K404" t="s">
        <v>33</v>
      </c>
      <c r="L404" t="s">
        <v>73</v>
      </c>
      <c r="M404" t="s">
        <v>263</v>
      </c>
      <c r="N404" t="s">
        <v>60</v>
      </c>
      <c r="P404" t="s">
        <v>190</v>
      </c>
      <c r="Q404" t="s">
        <v>4215</v>
      </c>
      <c r="R404" s="5">
        <v>43024.76871527778</v>
      </c>
      <c r="S404" s="5">
        <v>43215.860011574077</v>
      </c>
      <c r="T404" t="s">
        <v>301</v>
      </c>
      <c r="U404" t="s">
        <v>35</v>
      </c>
      <c r="V404" s="3" t="s">
        <v>321</v>
      </c>
      <c r="W404" s="3" t="s">
        <v>307</v>
      </c>
      <c r="AM404" s="5"/>
      <c r="AN404" s="5"/>
      <c r="AQ404" s="6"/>
    </row>
    <row r="405" spans="2:43" x14ac:dyDescent="0.25">
      <c r="B405" t="s">
        <v>255</v>
      </c>
      <c r="C405">
        <v>106089</v>
      </c>
      <c r="D405" t="s">
        <v>446</v>
      </c>
      <c r="E405" t="s">
        <v>4080</v>
      </c>
      <c r="F405" t="s">
        <v>305</v>
      </c>
      <c r="G405" t="s">
        <v>304</v>
      </c>
      <c r="H405" t="s">
        <v>56</v>
      </c>
      <c r="I405" t="s">
        <v>31</v>
      </c>
      <c r="J405" t="s">
        <v>32</v>
      </c>
      <c r="K405" t="s">
        <v>51</v>
      </c>
      <c r="L405" t="s">
        <v>52</v>
      </c>
      <c r="M405" t="s">
        <v>282</v>
      </c>
      <c r="N405" t="s">
        <v>46</v>
      </c>
      <c r="P405" t="s">
        <v>69</v>
      </c>
      <c r="Q405" t="s">
        <v>1503</v>
      </c>
      <c r="R405" s="5">
        <v>43024.702696759261</v>
      </c>
      <c r="S405" s="5">
        <v>43221.873194444444</v>
      </c>
      <c r="T405" t="s">
        <v>1</v>
      </c>
      <c r="U405" t="s">
        <v>35</v>
      </c>
      <c r="V405" s="3" t="s">
        <v>321</v>
      </c>
      <c r="W405" s="3" t="s">
        <v>4098</v>
      </c>
      <c r="AM405" s="5"/>
      <c r="AN405" s="5"/>
      <c r="AQ405" s="6"/>
    </row>
    <row r="406" spans="2:43" x14ac:dyDescent="0.25">
      <c r="B406" t="s">
        <v>254</v>
      </c>
      <c r="C406">
        <v>106032</v>
      </c>
      <c r="D406" t="s">
        <v>193</v>
      </c>
      <c r="E406" t="s">
        <v>110</v>
      </c>
      <c r="F406" t="s">
        <v>29</v>
      </c>
      <c r="H406" t="s">
        <v>54</v>
      </c>
      <c r="I406" t="s">
        <v>31</v>
      </c>
      <c r="J406" t="s">
        <v>32</v>
      </c>
      <c r="K406" t="s">
        <v>33</v>
      </c>
      <c r="L406" t="s">
        <v>73</v>
      </c>
      <c r="M406" t="s">
        <v>263</v>
      </c>
      <c r="N406" t="s">
        <v>60</v>
      </c>
      <c r="P406" t="s">
        <v>190</v>
      </c>
      <c r="Q406" t="s">
        <v>190</v>
      </c>
      <c r="R406" s="5">
        <v>43021.847372685188</v>
      </c>
      <c r="S406" s="5">
        <v>43397.986967592595</v>
      </c>
      <c r="T406" t="s">
        <v>1</v>
      </c>
      <c r="U406" t="s">
        <v>35</v>
      </c>
      <c r="V406" s="3" t="s">
        <v>321</v>
      </c>
      <c r="W406" s="3" t="s">
        <v>4098</v>
      </c>
      <c r="AM406" s="5"/>
      <c r="AN406" s="5"/>
      <c r="AQ406" s="6"/>
    </row>
    <row r="407" spans="2:43" x14ac:dyDescent="0.25">
      <c r="B407" t="s">
        <v>224</v>
      </c>
      <c r="C407">
        <v>106024</v>
      </c>
      <c r="D407" t="s">
        <v>584</v>
      </c>
      <c r="E407" t="s">
        <v>288</v>
      </c>
      <c r="F407" t="s">
        <v>305</v>
      </c>
      <c r="G407" t="s">
        <v>337</v>
      </c>
      <c r="H407" t="s">
        <v>54</v>
      </c>
      <c r="I407" t="s">
        <v>31</v>
      </c>
      <c r="J407" t="s">
        <v>32</v>
      </c>
      <c r="K407" t="s">
        <v>33</v>
      </c>
      <c r="L407" t="s">
        <v>96</v>
      </c>
      <c r="M407" t="s">
        <v>275</v>
      </c>
      <c r="N407" t="s">
        <v>518</v>
      </c>
      <c r="P407" t="s">
        <v>133</v>
      </c>
      <c r="Q407" t="s">
        <v>3708</v>
      </c>
      <c r="R407" s="5">
        <v>43021.763449074075</v>
      </c>
      <c r="S407" s="5">
        <v>43423.872418981482</v>
      </c>
      <c r="T407" t="s">
        <v>53</v>
      </c>
      <c r="U407" t="s">
        <v>35</v>
      </c>
      <c r="V407" s="3" t="s">
        <v>35</v>
      </c>
      <c r="W407" s="3" t="s">
        <v>4158</v>
      </c>
      <c r="AM407" s="5"/>
      <c r="AN407" s="5"/>
      <c r="AQ407" s="6"/>
    </row>
    <row r="408" spans="2:43" x14ac:dyDescent="0.25">
      <c r="B408" t="s">
        <v>252</v>
      </c>
      <c r="C408">
        <v>105902</v>
      </c>
      <c r="D408" t="s">
        <v>583</v>
      </c>
      <c r="E408" t="s">
        <v>94</v>
      </c>
      <c r="F408" t="s">
        <v>67</v>
      </c>
      <c r="H408" t="s">
        <v>54</v>
      </c>
      <c r="I408" t="s">
        <v>68</v>
      </c>
      <c r="J408" t="s">
        <v>58</v>
      </c>
      <c r="K408" t="s">
        <v>51</v>
      </c>
      <c r="L408" t="s">
        <v>73</v>
      </c>
      <c r="M408" t="s">
        <v>263</v>
      </c>
      <c r="N408" t="s">
        <v>60</v>
      </c>
      <c r="P408" t="s">
        <v>190</v>
      </c>
      <c r="R408" s="5">
        <v>43019.698194444441</v>
      </c>
      <c r="S408" s="5">
        <v>43350.806076388886</v>
      </c>
      <c r="T408" t="s">
        <v>301</v>
      </c>
      <c r="U408" t="s">
        <v>35</v>
      </c>
      <c r="V408" s="3" t="s">
        <v>35</v>
      </c>
      <c r="W408" s="3" t="s">
        <v>4171</v>
      </c>
      <c r="AM408" s="5"/>
      <c r="AN408" s="5"/>
      <c r="AQ408" s="6"/>
    </row>
    <row r="409" spans="2:43" x14ac:dyDescent="0.25">
      <c r="B409" t="s">
        <v>252</v>
      </c>
      <c r="C409">
        <v>105901</v>
      </c>
      <c r="D409" t="s">
        <v>3736</v>
      </c>
      <c r="E409" t="s">
        <v>72</v>
      </c>
      <c r="F409" t="s">
        <v>305</v>
      </c>
      <c r="G409" t="s">
        <v>337</v>
      </c>
      <c r="H409" t="s">
        <v>54</v>
      </c>
      <c r="I409" t="s">
        <v>68</v>
      </c>
      <c r="J409" t="s">
        <v>58</v>
      </c>
      <c r="K409" t="s">
        <v>51</v>
      </c>
      <c r="L409" t="s">
        <v>73</v>
      </c>
      <c r="M409" t="s">
        <v>263</v>
      </c>
      <c r="N409" t="s">
        <v>60</v>
      </c>
      <c r="P409" t="s">
        <v>190</v>
      </c>
      <c r="Q409" t="s">
        <v>159</v>
      </c>
      <c r="R409" s="5">
        <v>43019.697546296295</v>
      </c>
      <c r="S409" s="5">
        <v>43215.858067129629</v>
      </c>
      <c r="T409" t="s">
        <v>301</v>
      </c>
      <c r="U409" t="s">
        <v>35</v>
      </c>
      <c r="V409" s="3" t="s">
        <v>35</v>
      </c>
      <c r="W409" s="3" t="s">
        <v>307</v>
      </c>
      <c r="AM409" s="5"/>
      <c r="AN409" s="5"/>
      <c r="AQ409" s="6"/>
    </row>
    <row r="410" spans="2:43" x14ac:dyDescent="0.25">
      <c r="B410" t="s">
        <v>230</v>
      </c>
      <c r="C410">
        <v>105840</v>
      </c>
      <c r="D410" t="s">
        <v>581</v>
      </c>
      <c r="E410" t="s">
        <v>78</v>
      </c>
      <c r="F410" t="s">
        <v>305</v>
      </c>
      <c r="G410" t="s">
        <v>304</v>
      </c>
      <c r="H410" t="s">
        <v>116</v>
      </c>
      <c r="I410" t="s">
        <v>31</v>
      </c>
      <c r="J410" t="s">
        <v>43</v>
      </c>
      <c r="K410" t="s">
        <v>51</v>
      </c>
      <c r="L410" t="s">
        <v>73</v>
      </c>
      <c r="M410" t="s">
        <v>263</v>
      </c>
      <c r="N410" t="s">
        <v>510</v>
      </c>
      <c r="P410" t="s">
        <v>107</v>
      </c>
      <c r="Q410" t="s">
        <v>2416</v>
      </c>
      <c r="R410" s="5">
        <v>43018.906284722223</v>
      </c>
      <c r="S410" s="5">
        <v>43391.492199074077</v>
      </c>
      <c r="T410" t="s">
        <v>301</v>
      </c>
      <c r="U410" t="s">
        <v>4035</v>
      </c>
      <c r="V410" s="3" t="s">
        <v>35</v>
      </c>
      <c r="W410" s="3" t="s">
        <v>4171</v>
      </c>
      <c r="AM410" s="5"/>
      <c r="AN410" s="5"/>
      <c r="AQ410" s="6"/>
    </row>
    <row r="411" spans="2:43" x14ac:dyDescent="0.25">
      <c r="B411" t="s">
        <v>230</v>
      </c>
      <c r="C411">
        <v>105839</v>
      </c>
      <c r="D411" t="s">
        <v>580</v>
      </c>
      <c r="E411" t="s">
        <v>78</v>
      </c>
      <c r="F411" t="s">
        <v>319</v>
      </c>
      <c r="G411" t="s">
        <v>304</v>
      </c>
      <c r="H411" t="s">
        <v>54</v>
      </c>
      <c r="I411" t="s">
        <v>31</v>
      </c>
      <c r="J411" t="s">
        <v>43</v>
      </c>
      <c r="K411" t="s">
        <v>51</v>
      </c>
      <c r="L411" t="s">
        <v>73</v>
      </c>
      <c r="M411" t="s">
        <v>263</v>
      </c>
      <c r="N411" t="s">
        <v>3518</v>
      </c>
      <c r="P411" t="s">
        <v>107</v>
      </c>
      <c r="Q411" t="s">
        <v>2854</v>
      </c>
      <c r="R411" s="5">
        <v>43018.90525462963</v>
      </c>
      <c r="S411" s="5">
        <v>43215.936608796299</v>
      </c>
      <c r="T411" t="s">
        <v>301</v>
      </c>
      <c r="U411" t="s">
        <v>35</v>
      </c>
      <c r="V411" s="3" t="s">
        <v>35</v>
      </c>
      <c r="W411" s="3" t="s">
        <v>4172</v>
      </c>
      <c r="AM411" s="5"/>
      <c r="AN411" s="5"/>
      <c r="AQ411" s="6"/>
    </row>
    <row r="412" spans="2:43" x14ac:dyDescent="0.25">
      <c r="B412" t="s">
        <v>230</v>
      </c>
      <c r="C412">
        <v>105838</v>
      </c>
      <c r="D412" t="s">
        <v>578</v>
      </c>
      <c r="E412" t="s">
        <v>78</v>
      </c>
      <c r="F412" t="s">
        <v>305</v>
      </c>
      <c r="G412" t="s">
        <v>304</v>
      </c>
      <c r="H412" t="s">
        <v>54</v>
      </c>
      <c r="I412" t="s">
        <v>31</v>
      </c>
      <c r="J412" t="s">
        <v>43</v>
      </c>
      <c r="K412" t="s">
        <v>51</v>
      </c>
      <c r="L412" t="s">
        <v>73</v>
      </c>
      <c r="M412" t="s">
        <v>263</v>
      </c>
      <c r="N412" t="s">
        <v>579</v>
      </c>
      <c r="P412" t="s">
        <v>107</v>
      </c>
      <c r="Q412" t="s">
        <v>394</v>
      </c>
      <c r="R412" s="5">
        <v>43018.904560185183</v>
      </c>
      <c r="S412" s="5">
        <v>43215.936597222222</v>
      </c>
      <c r="T412" t="s">
        <v>301</v>
      </c>
      <c r="U412" t="s">
        <v>4034</v>
      </c>
      <c r="V412" s="3" t="s">
        <v>35</v>
      </c>
      <c r="W412" s="3" t="s">
        <v>307</v>
      </c>
      <c r="AM412" s="5"/>
      <c r="AN412" s="5"/>
      <c r="AQ412" s="6"/>
    </row>
    <row r="413" spans="2:43" x14ac:dyDescent="0.25">
      <c r="B413" t="s">
        <v>253</v>
      </c>
      <c r="C413">
        <v>105800</v>
      </c>
      <c r="D413" t="s">
        <v>576</v>
      </c>
      <c r="E413" t="s">
        <v>577</v>
      </c>
      <c r="F413" t="s">
        <v>305</v>
      </c>
      <c r="G413" t="s">
        <v>304</v>
      </c>
      <c r="H413" t="s">
        <v>116</v>
      </c>
      <c r="I413" t="s">
        <v>31</v>
      </c>
      <c r="J413" t="s">
        <v>32</v>
      </c>
      <c r="K413" t="s">
        <v>33</v>
      </c>
      <c r="L413" t="s">
        <v>52</v>
      </c>
      <c r="M413" t="s">
        <v>283</v>
      </c>
      <c r="N413" t="s">
        <v>510</v>
      </c>
      <c r="P413" t="s">
        <v>69</v>
      </c>
      <c r="Q413" t="s">
        <v>69</v>
      </c>
      <c r="R413" s="5">
        <v>43018.56040509259</v>
      </c>
      <c r="S413" s="5">
        <v>43403.474432870367</v>
      </c>
      <c r="T413" t="s">
        <v>192</v>
      </c>
      <c r="U413" t="s">
        <v>35</v>
      </c>
      <c r="V413" s="3" t="s">
        <v>321</v>
      </c>
      <c r="W413" s="3" t="s">
        <v>4171</v>
      </c>
      <c r="AM413" s="5"/>
      <c r="AN413" s="5"/>
      <c r="AQ413" s="6"/>
    </row>
    <row r="414" spans="2:43" x14ac:dyDescent="0.25">
      <c r="B414" t="s">
        <v>253</v>
      </c>
      <c r="C414">
        <v>105799</v>
      </c>
      <c r="D414" t="s">
        <v>3735</v>
      </c>
      <c r="E414" t="s">
        <v>577</v>
      </c>
      <c r="F414" t="s">
        <v>305</v>
      </c>
      <c r="G414" t="s">
        <v>304</v>
      </c>
      <c r="H414" t="s">
        <v>116</v>
      </c>
      <c r="I414" t="s">
        <v>31</v>
      </c>
      <c r="J414" t="s">
        <v>32</v>
      </c>
      <c r="K414" t="s">
        <v>33</v>
      </c>
      <c r="L414" t="s">
        <v>52</v>
      </c>
      <c r="M414" t="s">
        <v>283</v>
      </c>
      <c r="N414" t="s">
        <v>3724</v>
      </c>
      <c r="P414" t="s">
        <v>69</v>
      </c>
      <c r="Q414" t="s">
        <v>69</v>
      </c>
      <c r="R414" s="5">
        <v>43018.559664351851</v>
      </c>
      <c r="S414" s="5">
        <v>43223.480405092596</v>
      </c>
      <c r="T414" t="s">
        <v>192</v>
      </c>
      <c r="U414" t="s">
        <v>4033</v>
      </c>
      <c r="V414" s="3" t="s">
        <v>321</v>
      </c>
      <c r="W414" s="3" t="s">
        <v>307</v>
      </c>
      <c r="AM414" s="5"/>
      <c r="AN414" s="5"/>
      <c r="AQ414" s="6"/>
    </row>
    <row r="415" spans="2:43" x14ac:dyDescent="0.25">
      <c r="B415" t="s">
        <v>253</v>
      </c>
      <c r="C415">
        <v>105795</v>
      </c>
      <c r="D415" t="s">
        <v>3733</v>
      </c>
      <c r="E415" t="s">
        <v>134</v>
      </c>
      <c r="F415" t="s">
        <v>319</v>
      </c>
      <c r="G415" t="s">
        <v>304</v>
      </c>
      <c r="H415" t="s">
        <v>56</v>
      </c>
      <c r="I415" t="s">
        <v>31</v>
      </c>
      <c r="J415" t="s">
        <v>32</v>
      </c>
      <c r="K415" t="s">
        <v>33</v>
      </c>
      <c r="L415" t="s">
        <v>52</v>
      </c>
      <c r="M415" t="s">
        <v>283</v>
      </c>
      <c r="N415" t="s">
        <v>60</v>
      </c>
      <c r="P415" t="s">
        <v>69</v>
      </c>
      <c r="Q415" t="s">
        <v>3734</v>
      </c>
      <c r="R415" s="5">
        <v>43018.558356481481</v>
      </c>
      <c r="S415" s="5">
        <v>43039.809699074074</v>
      </c>
      <c r="T415" t="s">
        <v>192</v>
      </c>
      <c r="U415" t="s">
        <v>4026</v>
      </c>
      <c r="V415" s="3" t="s">
        <v>321</v>
      </c>
      <c r="W415" s="3" t="s">
        <v>4172</v>
      </c>
      <c r="AM415" s="5"/>
      <c r="AN415" s="5"/>
      <c r="AQ415" s="6"/>
    </row>
    <row r="416" spans="2:43" x14ac:dyDescent="0.25">
      <c r="B416" t="s">
        <v>253</v>
      </c>
      <c r="C416">
        <v>105794</v>
      </c>
      <c r="D416" t="s">
        <v>191</v>
      </c>
      <c r="E416" t="s">
        <v>64</v>
      </c>
      <c r="F416" t="s">
        <v>67</v>
      </c>
      <c r="H416" t="s">
        <v>56</v>
      </c>
      <c r="I416" t="s">
        <v>31</v>
      </c>
      <c r="J416" t="s">
        <v>32</v>
      </c>
      <c r="K416" t="s">
        <v>33</v>
      </c>
      <c r="L416" t="s">
        <v>52</v>
      </c>
      <c r="M416" t="s">
        <v>283</v>
      </c>
      <c r="N416" t="s">
        <v>46</v>
      </c>
      <c r="P416" t="s">
        <v>69</v>
      </c>
      <c r="R416" s="5">
        <v>43018.558368055557</v>
      </c>
      <c r="S416" s="5">
        <v>43018.56040509259</v>
      </c>
      <c r="T416" t="s">
        <v>192</v>
      </c>
      <c r="U416" t="s">
        <v>35</v>
      </c>
      <c r="V416" s="3" t="s">
        <v>321</v>
      </c>
      <c r="W416" s="3" t="s">
        <v>4098</v>
      </c>
      <c r="AM416" s="5"/>
      <c r="AN416" s="5"/>
      <c r="AQ416" s="6"/>
    </row>
    <row r="417" spans="2:43" x14ac:dyDescent="0.25">
      <c r="B417" t="s">
        <v>253</v>
      </c>
      <c r="C417">
        <v>105751</v>
      </c>
      <c r="D417" t="s">
        <v>3732</v>
      </c>
      <c r="E417" t="s">
        <v>64</v>
      </c>
      <c r="F417" t="s">
        <v>305</v>
      </c>
      <c r="G417" t="s">
        <v>310</v>
      </c>
      <c r="H417" t="s">
        <v>56</v>
      </c>
      <c r="I417" t="s">
        <v>31</v>
      </c>
      <c r="J417" t="s">
        <v>32</v>
      </c>
      <c r="K417" t="s">
        <v>33</v>
      </c>
      <c r="L417" t="s">
        <v>52</v>
      </c>
      <c r="M417" t="s">
        <v>283</v>
      </c>
      <c r="N417" t="s">
        <v>46</v>
      </c>
      <c r="P417" t="s">
        <v>69</v>
      </c>
      <c r="Q417" t="s">
        <v>2973</v>
      </c>
      <c r="R417" s="5">
        <v>43017.851134259261</v>
      </c>
      <c r="S417" s="5">
        <v>43122.134965277779</v>
      </c>
      <c r="T417" t="s">
        <v>1</v>
      </c>
      <c r="U417" t="s">
        <v>35</v>
      </c>
      <c r="V417" s="3" t="s">
        <v>321</v>
      </c>
      <c r="W417" s="3" t="s">
        <v>3698</v>
      </c>
      <c r="AM417" s="5"/>
      <c r="AN417" s="5"/>
      <c r="AQ417" s="6"/>
    </row>
    <row r="418" spans="2:43" x14ac:dyDescent="0.25">
      <c r="B418" t="s">
        <v>252</v>
      </c>
      <c r="C418">
        <v>105692</v>
      </c>
      <c r="D418" t="s">
        <v>188</v>
      </c>
      <c r="E418" t="s">
        <v>94</v>
      </c>
      <c r="F418" t="s">
        <v>42</v>
      </c>
      <c r="H418" t="s">
        <v>54</v>
      </c>
      <c r="I418" t="s">
        <v>68</v>
      </c>
      <c r="J418" t="s">
        <v>58</v>
      </c>
      <c r="K418" t="s">
        <v>51</v>
      </c>
      <c r="L418" t="s">
        <v>73</v>
      </c>
      <c r="M418" t="s">
        <v>263</v>
      </c>
      <c r="N418" t="s">
        <v>60</v>
      </c>
      <c r="O418" t="s">
        <v>189</v>
      </c>
      <c r="P418" t="s">
        <v>190</v>
      </c>
      <c r="R418" s="5">
        <v>43014.852986111109</v>
      </c>
      <c r="S418" s="5">
        <v>43382.661203703705</v>
      </c>
      <c r="T418" t="s">
        <v>2</v>
      </c>
      <c r="U418" t="s">
        <v>35</v>
      </c>
      <c r="V418" s="3" t="s">
        <v>35</v>
      </c>
      <c r="W418" s="3" t="s">
        <v>4098</v>
      </c>
      <c r="AM418" s="5"/>
      <c r="AN418" s="5"/>
      <c r="AQ418" s="6"/>
    </row>
    <row r="419" spans="2:43" x14ac:dyDescent="0.25">
      <c r="B419" t="s">
        <v>234</v>
      </c>
      <c r="C419">
        <v>105687</v>
      </c>
      <c r="D419" t="s">
        <v>575</v>
      </c>
      <c r="E419" t="s">
        <v>4214</v>
      </c>
      <c r="F419" t="s">
        <v>305</v>
      </c>
      <c r="G419" t="s">
        <v>328</v>
      </c>
      <c r="H419" t="s">
        <v>54</v>
      </c>
      <c r="I419" t="s">
        <v>31</v>
      </c>
      <c r="J419" t="s">
        <v>32</v>
      </c>
      <c r="K419" t="s">
        <v>33</v>
      </c>
      <c r="L419" t="s">
        <v>45</v>
      </c>
      <c r="M419" t="s">
        <v>260</v>
      </c>
      <c r="N419" t="s">
        <v>4195</v>
      </c>
      <c r="P419" t="s">
        <v>75</v>
      </c>
      <c r="Q419" t="s">
        <v>1503</v>
      </c>
      <c r="R419" s="5">
        <v>43014.72074074074</v>
      </c>
      <c r="S419" s="5">
        <v>43337.158275462964</v>
      </c>
      <c r="T419" t="s">
        <v>53</v>
      </c>
      <c r="U419" t="s">
        <v>35</v>
      </c>
      <c r="V419" s="3" t="s">
        <v>321</v>
      </c>
      <c r="W419" s="3" t="s">
        <v>4171</v>
      </c>
      <c r="AM419" s="5"/>
      <c r="AN419" s="5"/>
      <c r="AQ419" s="6"/>
    </row>
    <row r="420" spans="2:43" x14ac:dyDescent="0.25">
      <c r="B420" t="s">
        <v>3925</v>
      </c>
      <c r="C420">
        <v>105631</v>
      </c>
      <c r="D420" t="s">
        <v>3926</v>
      </c>
      <c r="E420" t="s">
        <v>3914</v>
      </c>
      <c r="F420" t="s">
        <v>305</v>
      </c>
      <c r="G420" t="s">
        <v>304</v>
      </c>
      <c r="H420" t="s">
        <v>30</v>
      </c>
      <c r="I420" t="s">
        <v>68</v>
      </c>
      <c r="J420" t="s">
        <v>43</v>
      </c>
      <c r="K420" t="s">
        <v>33</v>
      </c>
      <c r="L420" t="s">
        <v>34</v>
      </c>
      <c r="M420" t="s">
        <v>3780</v>
      </c>
      <c r="N420" t="s">
        <v>46</v>
      </c>
      <c r="O420" t="s">
        <v>533</v>
      </c>
      <c r="P420" t="s">
        <v>69</v>
      </c>
      <c r="Q420" t="s">
        <v>3927</v>
      </c>
      <c r="R420" s="5">
        <v>43013.813449074078</v>
      </c>
      <c r="S420" s="5">
        <v>43087.159930555557</v>
      </c>
      <c r="T420" t="s">
        <v>2</v>
      </c>
      <c r="U420" t="s">
        <v>35</v>
      </c>
      <c r="V420" s="3" t="s">
        <v>35</v>
      </c>
      <c r="W420" s="3" t="s">
        <v>4143</v>
      </c>
      <c r="AM420" s="5"/>
      <c r="AN420" s="5"/>
      <c r="AQ420" s="6"/>
    </row>
    <row r="421" spans="2:43" x14ac:dyDescent="0.25">
      <c r="B421" t="s">
        <v>251</v>
      </c>
      <c r="C421">
        <v>105580</v>
      </c>
      <c r="D421" t="s">
        <v>3731</v>
      </c>
      <c r="E421" t="s">
        <v>3144</v>
      </c>
      <c r="F421" t="s">
        <v>319</v>
      </c>
      <c r="G421" t="s">
        <v>304</v>
      </c>
      <c r="H421" t="s">
        <v>116</v>
      </c>
      <c r="I421" t="s">
        <v>31</v>
      </c>
      <c r="J421" t="s">
        <v>43</v>
      </c>
      <c r="K421" t="s">
        <v>44</v>
      </c>
      <c r="L421" t="s">
        <v>45</v>
      </c>
      <c r="M421" t="s">
        <v>106</v>
      </c>
      <c r="N421" t="s">
        <v>510</v>
      </c>
      <c r="P421" t="s">
        <v>69</v>
      </c>
      <c r="Q421" t="s">
        <v>69</v>
      </c>
      <c r="R421" s="5">
        <v>43012.832754629628</v>
      </c>
      <c r="S421" s="5">
        <v>43333.424178240741</v>
      </c>
      <c r="T421" t="s">
        <v>301</v>
      </c>
      <c r="U421" t="s">
        <v>4026</v>
      </c>
      <c r="V421" s="3" t="s">
        <v>35</v>
      </c>
      <c r="W421" s="3" t="s">
        <v>4172</v>
      </c>
      <c r="AM421" s="5"/>
      <c r="AN421" s="5"/>
      <c r="AQ421" s="6"/>
    </row>
    <row r="422" spans="2:43" x14ac:dyDescent="0.25">
      <c r="B422" t="s">
        <v>250</v>
      </c>
      <c r="C422">
        <v>105579</v>
      </c>
      <c r="D422" t="s">
        <v>3730</v>
      </c>
      <c r="E422" t="s">
        <v>134</v>
      </c>
      <c r="F422" t="s">
        <v>319</v>
      </c>
      <c r="G422" t="s">
        <v>304</v>
      </c>
      <c r="H422" t="s">
        <v>116</v>
      </c>
      <c r="I422" t="s">
        <v>31</v>
      </c>
      <c r="J422" t="s">
        <v>32</v>
      </c>
      <c r="K422" t="s">
        <v>44</v>
      </c>
      <c r="L422" t="s">
        <v>45</v>
      </c>
      <c r="M422" t="s">
        <v>260</v>
      </c>
      <c r="N422" t="s">
        <v>510</v>
      </c>
      <c r="P422" t="s">
        <v>69</v>
      </c>
      <c r="Q422" t="s">
        <v>69</v>
      </c>
      <c r="R422" s="5">
        <v>43012.822766203702</v>
      </c>
      <c r="S422" s="5">
        <v>43217.640243055554</v>
      </c>
      <c r="T422" t="s">
        <v>301</v>
      </c>
      <c r="U422" t="s">
        <v>4026</v>
      </c>
      <c r="V422" s="3" t="s">
        <v>4057</v>
      </c>
      <c r="W422" s="3" t="s">
        <v>4172</v>
      </c>
      <c r="AM422" s="5"/>
      <c r="AN422" s="5"/>
      <c r="AQ422" s="6"/>
    </row>
    <row r="423" spans="2:43" x14ac:dyDescent="0.25">
      <c r="B423" t="s">
        <v>251</v>
      </c>
      <c r="C423">
        <v>105477</v>
      </c>
      <c r="D423" t="s">
        <v>3729</v>
      </c>
      <c r="E423" t="s">
        <v>577</v>
      </c>
      <c r="F423" t="s">
        <v>305</v>
      </c>
      <c r="G423" t="s">
        <v>304</v>
      </c>
      <c r="H423" t="s">
        <v>116</v>
      </c>
      <c r="I423" t="s">
        <v>31</v>
      </c>
      <c r="J423" t="s">
        <v>43</v>
      </c>
      <c r="K423" t="s">
        <v>44</v>
      </c>
      <c r="L423" t="s">
        <v>45</v>
      </c>
      <c r="M423" t="s">
        <v>106</v>
      </c>
      <c r="N423" t="s">
        <v>510</v>
      </c>
      <c r="P423" t="s">
        <v>69</v>
      </c>
      <c r="Q423" t="s">
        <v>69</v>
      </c>
      <c r="R423" s="5">
        <v>43011.291446759256</v>
      </c>
      <c r="S423" s="5">
        <v>43231.098541666666</v>
      </c>
      <c r="T423" t="s">
        <v>80</v>
      </c>
      <c r="U423" t="s">
        <v>4033</v>
      </c>
      <c r="V423" s="3" t="s">
        <v>35</v>
      </c>
      <c r="W423" s="3" t="s">
        <v>307</v>
      </c>
      <c r="AM423" s="5"/>
      <c r="AN423" s="5"/>
      <c r="AQ423" s="6"/>
    </row>
    <row r="424" spans="2:43" x14ac:dyDescent="0.25">
      <c r="B424" t="s">
        <v>251</v>
      </c>
      <c r="C424">
        <v>105472</v>
      </c>
      <c r="D424" t="s">
        <v>3728</v>
      </c>
      <c r="E424" t="s">
        <v>80</v>
      </c>
      <c r="F424" t="s">
        <v>319</v>
      </c>
      <c r="G424" t="s">
        <v>304</v>
      </c>
      <c r="H424" t="s">
        <v>56</v>
      </c>
      <c r="I424" t="s">
        <v>31</v>
      </c>
      <c r="J424" t="s">
        <v>43</v>
      </c>
      <c r="K424" t="s">
        <v>44</v>
      </c>
      <c r="L424" t="s">
        <v>45</v>
      </c>
      <c r="M424" t="s">
        <v>106</v>
      </c>
      <c r="N424" t="s">
        <v>60</v>
      </c>
      <c r="P424" t="s">
        <v>69</v>
      </c>
      <c r="Q424" t="s">
        <v>69</v>
      </c>
      <c r="R424" s="5">
        <v>43011.217824074076</v>
      </c>
      <c r="S424" s="5">
        <v>43018.699641203704</v>
      </c>
      <c r="T424" t="s">
        <v>80</v>
      </c>
      <c r="U424" t="s">
        <v>35</v>
      </c>
      <c r="V424" s="3" t="s">
        <v>35</v>
      </c>
      <c r="W424" s="3" t="s">
        <v>3698</v>
      </c>
      <c r="AM424" s="5"/>
      <c r="AN424" s="5"/>
      <c r="AQ424" s="6"/>
    </row>
    <row r="425" spans="2:43" x14ac:dyDescent="0.25">
      <c r="B425" t="s">
        <v>251</v>
      </c>
      <c r="C425">
        <v>105471</v>
      </c>
      <c r="D425" t="s">
        <v>187</v>
      </c>
      <c r="E425" t="s">
        <v>80</v>
      </c>
      <c r="F425" t="s">
        <v>67</v>
      </c>
      <c r="H425" t="s">
        <v>56</v>
      </c>
      <c r="I425" t="s">
        <v>31</v>
      </c>
      <c r="J425" t="s">
        <v>43</v>
      </c>
      <c r="K425" t="s">
        <v>44</v>
      </c>
      <c r="L425" t="s">
        <v>45</v>
      </c>
      <c r="M425" t="s">
        <v>106</v>
      </c>
      <c r="N425" t="s">
        <v>46</v>
      </c>
      <c r="O425" t="s">
        <v>487</v>
      </c>
      <c r="P425" t="s">
        <v>69</v>
      </c>
      <c r="R425" s="5">
        <v>43011.217835648145</v>
      </c>
      <c r="S425" s="5">
        <v>43059.373217592591</v>
      </c>
      <c r="T425" t="s">
        <v>80</v>
      </c>
      <c r="U425" t="s">
        <v>35</v>
      </c>
      <c r="V425" s="3" t="s">
        <v>35</v>
      </c>
      <c r="W425" s="3" t="s">
        <v>4098</v>
      </c>
      <c r="AM425" s="5"/>
      <c r="AN425" s="5"/>
      <c r="AQ425" s="6"/>
    </row>
    <row r="426" spans="2:43" x14ac:dyDescent="0.25">
      <c r="B426" t="s">
        <v>250</v>
      </c>
      <c r="C426">
        <v>105419</v>
      </c>
      <c r="D426" t="s">
        <v>3727</v>
      </c>
      <c r="E426" t="s">
        <v>62</v>
      </c>
      <c r="F426" t="s">
        <v>305</v>
      </c>
      <c r="G426" t="s">
        <v>304</v>
      </c>
      <c r="H426" t="s">
        <v>116</v>
      </c>
      <c r="I426" t="s">
        <v>31</v>
      </c>
      <c r="J426" t="s">
        <v>32</v>
      </c>
      <c r="K426" t="s">
        <v>44</v>
      </c>
      <c r="L426" t="s">
        <v>45</v>
      </c>
      <c r="M426" t="s">
        <v>260</v>
      </c>
      <c r="N426" t="s">
        <v>510</v>
      </c>
      <c r="P426" t="s">
        <v>69</v>
      </c>
      <c r="Q426" t="s">
        <v>69</v>
      </c>
      <c r="R426" s="5">
        <v>43007.794756944444</v>
      </c>
      <c r="S426" s="5">
        <v>43438.366979166669</v>
      </c>
      <c r="T426" t="s">
        <v>301</v>
      </c>
      <c r="U426" t="s">
        <v>35</v>
      </c>
      <c r="V426" s="3" t="s">
        <v>4057</v>
      </c>
      <c r="W426" s="3" t="s">
        <v>4171</v>
      </c>
      <c r="AM426" s="5"/>
      <c r="AN426" s="5"/>
      <c r="AQ426" s="6"/>
    </row>
    <row r="427" spans="2:43" x14ac:dyDescent="0.25">
      <c r="B427" t="s">
        <v>250</v>
      </c>
      <c r="C427">
        <v>105418</v>
      </c>
      <c r="D427" t="s">
        <v>3726</v>
      </c>
      <c r="E427" t="s">
        <v>577</v>
      </c>
      <c r="F427" t="s">
        <v>305</v>
      </c>
      <c r="G427" t="s">
        <v>304</v>
      </c>
      <c r="H427" t="s">
        <v>116</v>
      </c>
      <c r="I427" t="s">
        <v>31</v>
      </c>
      <c r="J427" t="s">
        <v>32</v>
      </c>
      <c r="K427" t="s">
        <v>44</v>
      </c>
      <c r="L427" t="s">
        <v>45</v>
      </c>
      <c r="M427" t="s">
        <v>260</v>
      </c>
      <c r="N427" t="s">
        <v>510</v>
      </c>
      <c r="P427" t="s">
        <v>69</v>
      </c>
      <c r="Q427" t="s">
        <v>69</v>
      </c>
      <c r="R427" s="5">
        <v>43007.793854166666</v>
      </c>
      <c r="S427" s="5">
        <v>43231.097627314812</v>
      </c>
      <c r="T427" t="s">
        <v>301</v>
      </c>
      <c r="U427" t="s">
        <v>4033</v>
      </c>
      <c r="V427" s="3" t="s">
        <v>4057</v>
      </c>
      <c r="W427" s="3" t="s">
        <v>307</v>
      </c>
      <c r="AM427" s="5"/>
      <c r="AN427" s="5"/>
      <c r="AQ427" s="6"/>
    </row>
    <row r="428" spans="2:43" x14ac:dyDescent="0.25">
      <c r="B428" t="s">
        <v>250</v>
      </c>
      <c r="C428">
        <v>105417</v>
      </c>
      <c r="D428" t="s">
        <v>3725</v>
      </c>
      <c r="E428" t="s">
        <v>62</v>
      </c>
      <c r="F428" t="s">
        <v>319</v>
      </c>
      <c r="G428" t="s">
        <v>304</v>
      </c>
      <c r="H428" t="s">
        <v>116</v>
      </c>
      <c r="I428" t="s">
        <v>31</v>
      </c>
      <c r="J428" t="s">
        <v>32</v>
      </c>
      <c r="K428" t="s">
        <v>44</v>
      </c>
      <c r="L428" t="s">
        <v>45</v>
      </c>
      <c r="M428" t="s">
        <v>260</v>
      </c>
      <c r="N428" t="s">
        <v>60</v>
      </c>
      <c r="P428" t="s">
        <v>69</v>
      </c>
      <c r="Q428" t="s">
        <v>69</v>
      </c>
      <c r="R428" s="5">
        <v>43007.792361111111</v>
      </c>
      <c r="S428" s="5">
        <v>43217.640231481484</v>
      </c>
      <c r="T428" t="s">
        <v>301</v>
      </c>
      <c r="U428" t="s">
        <v>4032</v>
      </c>
      <c r="V428" s="3" t="s">
        <v>4057</v>
      </c>
      <c r="W428" s="3" t="s">
        <v>3698</v>
      </c>
      <c r="AM428" s="5"/>
      <c r="AN428" s="5"/>
      <c r="AQ428" s="6"/>
    </row>
    <row r="429" spans="2:43" x14ac:dyDescent="0.25">
      <c r="B429" t="s">
        <v>251</v>
      </c>
      <c r="C429">
        <v>105408</v>
      </c>
      <c r="D429" t="s">
        <v>3723</v>
      </c>
      <c r="E429" t="s">
        <v>577</v>
      </c>
      <c r="F429" t="s">
        <v>305</v>
      </c>
      <c r="G429" t="s">
        <v>304</v>
      </c>
      <c r="H429" t="s">
        <v>116</v>
      </c>
      <c r="I429" t="s">
        <v>31</v>
      </c>
      <c r="J429" t="s">
        <v>43</v>
      </c>
      <c r="K429" t="s">
        <v>44</v>
      </c>
      <c r="L429" t="s">
        <v>45</v>
      </c>
      <c r="M429" t="s">
        <v>106</v>
      </c>
      <c r="N429" t="s">
        <v>510</v>
      </c>
      <c r="P429" t="s">
        <v>69</v>
      </c>
      <c r="Q429" t="s">
        <v>69</v>
      </c>
      <c r="R429" s="5">
        <v>43007.596747685187</v>
      </c>
      <c r="S429" s="5">
        <v>43391.269085648149</v>
      </c>
      <c r="T429" t="s">
        <v>1</v>
      </c>
      <c r="U429" t="s">
        <v>35</v>
      </c>
      <c r="V429" s="3" t="s">
        <v>35</v>
      </c>
      <c r="W429" s="3" t="s">
        <v>4171</v>
      </c>
      <c r="AM429" s="5"/>
      <c r="AN429" s="5"/>
      <c r="AQ429" s="6"/>
    </row>
    <row r="430" spans="2:43" x14ac:dyDescent="0.25">
      <c r="B430" t="s">
        <v>3720</v>
      </c>
      <c r="C430">
        <v>105392</v>
      </c>
      <c r="D430" t="s">
        <v>3721</v>
      </c>
      <c r="E430" t="s">
        <v>288</v>
      </c>
      <c r="F430" t="s">
        <v>305</v>
      </c>
      <c r="G430" t="s">
        <v>304</v>
      </c>
      <c r="H430" t="s">
        <v>30</v>
      </c>
      <c r="I430" t="s">
        <v>68</v>
      </c>
      <c r="J430" t="s">
        <v>58</v>
      </c>
      <c r="K430" t="s">
        <v>44</v>
      </c>
      <c r="L430" t="s">
        <v>380</v>
      </c>
      <c r="M430" t="s">
        <v>434</v>
      </c>
      <c r="N430" t="s">
        <v>447</v>
      </c>
      <c r="P430" t="s">
        <v>190</v>
      </c>
      <c r="Q430" t="s">
        <v>3722</v>
      </c>
      <c r="R430" s="5">
        <v>43007.258194444446</v>
      </c>
      <c r="S430" s="5">
        <v>43206.798819444448</v>
      </c>
      <c r="T430" t="s">
        <v>4</v>
      </c>
      <c r="U430" t="s">
        <v>3993</v>
      </c>
      <c r="V430" s="3" t="s">
        <v>35</v>
      </c>
      <c r="W430" s="3" t="s">
        <v>307</v>
      </c>
      <c r="AM430" s="5"/>
      <c r="AN430" s="5"/>
      <c r="AQ430" s="6"/>
    </row>
    <row r="431" spans="2:43" x14ac:dyDescent="0.25">
      <c r="B431" t="s">
        <v>245</v>
      </c>
      <c r="C431">
        <v>105363</v>
      </c>
      <c r="D431" t="s">
        <v>3719</v>
      </c>
      <c r="E431" t="s">
        <v>131</v>
      </c>
      <c r="F431" t="s">
        <v>305</v>
      </c>
      <c r="G431" t="s">
        <v>304</v>
      </c>
      <c r="H431" t="s">
        <v>116</v>
      </c>
      <c r="I431" t="s">
        <v>68</v>
      </c>
      <c r="J431" t="s">
        <v>43</v>
      </c>
      <c r="K431" t="s">
        <v>33</v>
      </c>
      <c r="L431" t="s">
        <v>73</v>
      </c>
      <c r="M431" t="s">
        <v>263</v>
      </c>
      <c r="N431" t="s">
        <v>3513</v>
      </c>
      <c r="P431" t="s">
        <v>107</v>
      </c>
      <c r="Q431" t="s">
        <v>2944</v>
      </c>
      <c r="R431" s="5">
        <v>43005.808379629627</v>
      </c>
      <c r="S431" s="5">
        <v>43405.942974537036</v>
      </c>
      <c r="T431" t="s">
        <v>301</v>
      </c>
      <c r="U431" t="s">
        <v>4031</v>
      </c>
      <c r="V431" s="3" t="s">
        <v>35</v>
      </c>
      <c r="W431" s="3" t="s">
        <v>4171</v>
      </c>
      <c r="AM431" s="5"/>
      <c r="AN431" s="5"/>
      <c r="AQ431" s="6"/>
    </row>
    <row r="432" spans="2:43" x14ac:dyDescent="0.25">
      <c r="B432" t="s">
        <v>245</v>
      </c>
      <c r="C432">
        <v>105362</v>
      </c>
      <c r="D432" t="s">
        <v>3718</v>
      </c>
      <c r="E432" t="s">
        <v>131</v>
      </c>
      <c r="F432" t="s">
        <v>305</v>
      </c>
      <c r="G432" t="s">
        <v>304</v>
      </c>
      <c r="H432" t="s">
        <v>54</v>
      </c>
      <c r="I432" t="s">
        <v>68</v>
      </c>
      <c r="J432" t="s">
        <v>43</v>
      </c>
      <c r="K432" t="s">
        <v>33</v>
      </c>
      <c r="L432" t="s">
        <v>73</v>
      </c>
      <c r="M432" t="s">
        <v>263</v>
      </c>
      <c r="N432" t="s">
        <v>572</v>
      </c>
      <c r="P432" t="s">
        <v>107</v>
      </c>
      <c r="Q432" t="s">
        <v>2944</v>
      </c>
      <c r="R432" s="5">
        <v>43005.807766203703</v>
      </c>
      <c r="S432" s="5">
        <v>43215.85496527778</v>
      </c>
      <c r="T432" t="s">
        <v>301</v>
      </c>
      <c r="U432" t="s">
        <v>4030</v>
      </c>
      <c r="V432" s="3" t="s">
        <v>35</v>
      </c>
      <c r="W432" s="3" t="s">
        <v>307</v>
      </c>
      <c r="AM432" s="5"/>
      <c r="AN432" s="5"/>
      <c r="AQ432" s="6"/>
    </row>
    <row r="433" spans="2:43" x14ac:dyDescent="0.25">
      <c r="B433" t="s">
        <v>245</v>
      </c>
      <c r="C433">
        <v>105361</v>
      </c>
      <c r="D433" t="s">
        <v>4827</v>
      </c>
      <c r="E433" t="s">
        <v>131</v>
      </c>
      <c r="F433" t="s">
        <v>319</v>
      </c>
      <c r="G433" t="s">
        <v>304</v>
      </c>
      <c r="H433" t="s">
        <v>54</v>
      </c>
      <c r="I433" t="s">
        <v>68</v>
      </c>
      <c r="J433" t="s">
        <v>43</v>
      </c>
      <c r="K433" t="s">
        <v>33</v>
      </c>
      <c r="L433" t="s">
        <v>73</v>
      </c>
      <c r="M433" t="s">
        <v>263</v>
      </c>
      <c r="N433" t="s">
        <v>121</v>
      </c>
      <c r="P433" t="s">
        <v>107</v>
      </c>
      <c r="Q433" t="s">
        <v>3762</v>
      </c>
      <c r="R433" s="5">
        <v>43005.806828703702</v>
      </c>
      <c r="S433" s="5">
        <v>43377.299768518518</v>
      </c>
      <c r="T433" t="s">
        <v>301</v>
      </c>
      <c r="U433" t="s">
        <v>35</v>
      </c>
      <c r="V433" s="3" t="s">
        <v>35</v>
      </c>
      <c r="W433" s="3" t="s">
        <v>4172</v>
      </c>
      <c r="AM433" s="5"/>
      <c r="AN433" s="5"/>
      <c r="AQ433" s="6"/>
    </row>
    <row r="434" spans="2:43" x14ac:dyDescent="0.25">
      <c r="B434" t="s">
        <v>245</v>
      </c>
      <c r="C434">
        <v>105360</v>
      </c>
      <c r="D434" t="s">
        <v>574</v>
      </c>
      <c r="E434" t="s">
        <v>131</v>
      </c>
      <c r="F434" t="s">
        <v>305</v>
      </c>
      <c r="G434" t="s">
        <v>337</v>
      </c>
      <c r="H434" t="s">
        <v>54</v>
      </c>
      <c r="I434" t="s">
        <v>68</v>
      </c>
      <c r="J434" t="s">
        <v>43</v>
      </c>
      <c r="K434" t="s">
        <v>33</v>
      </c>
      <c r="L434" t="s">
        <v>73</v>
      </c>
      <c r="M434" t="s">
        <v>263</v>
      </c>
      <c r="N434" t="s">
        <v>121</v>
      </c>
      <c r="P434" t="s">
        <v>107</v>
      </c>
      <c r="Q434" t="s">
        <v>3708</v>
      </c>
      <c r="R434" s="5">
        <v>43005.805949074071</v>
      </c>
      <c r="S434" s="5">
        <v>43423.863599537035</v>
      </c>
      <c r="T434" t="s">
        <v>301</v>
      </c>
      <c r="U434" t="s">
        <v>35</v>
      </c>
      <c r="V434" s="3" t="s">
        <v>35</v>
      </c>
      <c r="W434" s="3" t="s">
        <v>4156</v>
      </c>
      <c r="AM434" s="5"/>
      <c r="AN434" s="5"/>
      <c r="AQ434" s="6"/>
    </row>
    <row r="435" spans="2:43" x14ac:dyDescent="0.25">
      <c r="B435" t="s">
        <v>250</v>
      </c>
      <c r="C435">
        <v>105276</v>
      </c>
      <c r="D435" t="s">
        <v>186</v>
      </c>
      <c r="E435" t="s">
        <v>80</v>
      </c>
      <c r="F435" t="s">
        <v>42</v>
      </c>
      <c r="H435" t="s">
        <v>56</v>
      </c>
      <c r="I435" t="s">
        <v>31</v>
      </c>
      <c r="J435" t="s">
        <v>32</v>
      </c>
      <c r="K435" t="s">
        <v>51</v>
      </c>
      <c r="L435" t="s">
        <v>45</v>
      </c>
      <c r="M435" t="s">
        <v>260</v>
      </c>
      <c r="N435" t="s">
        <v>46</v>
      </c>
      <c r="O435" t="s">
        <v>487</v>
      </c>
      <c r="P435" t="s">
        <v>69</v>
      </c>
      <c r="R435" s="5">
        <v>43004.80574074074</v>
      </c>
      <c r="S435" s="5">
        <v>43217.640243055554</v>
      </c>
      <c r="T435" t="s">
        <v>1</v>
      </c>
      <c r="U435" t="s">
        <v>35</v>
      </c>
      <c r="V435" s="3" t="s">
        <v>4057</v>
      </c>
      <c r="W435" s="3" t="s">
        <v>4098</v>
      </c>
      <c r="AM435" s="5"/>
      <c r="AN435" s="5"/>
      <c r="AQ435" s="6"/>
    </row>
    <row r="436" spans="2:43" x14ac:dyDescent="0.25">
      <c r="B436" t="s">
        <v>210</v>
      </c>
      <c r="C436">
        <v>105272</v>
      </c>
      <c r="D436" t="s">
        <v>3717</v>
      </c>
      <c r="E436" t="s">
        <v>288</v>
      </c>
      <c r="F436" t="s">
        <v>305</v>
      </c>
      <c r="G436" t="s">
        <v>304</v>
      </c>
      <c r="H436" t="s">
        <v>116</v>
      </c>
      <c r="I436" t="s">
        <v>31</v>
      </c>
      <c r="J436" t="s">
        <v>32</v>
      </c>
      <c r="K436" t="s">
        <v>44</v>
      </c>
      <c r="L436" t="s">
        <v>96</v>
      </c>
      <c r="M436" t="s">
        <v>269</v>
      </c>
      <c r="N436" t="s">
        <v>518</v>
      </c>
      <c r="P436" t="s">
        <v>77</v>
      </c>
      <c r="Q436" t="s">
        <v>77</v>
      </c>
      <c r="R436" s="5">
        <v>43004.694189814814</v>
      </c>
      <c r="S436" s="5">
        <v>43283.739502314813</v>
      </c>
      <c r="T436" t="s">
        <v>53</v>
      </c>
      <c r="U436" t="s">
        <v>4023</v>
      </c>
      <c r="V436" s="3" t="s">
        <v>321</v>
      </c>
      <c r="W436" s="3" t="s">
        <v>4172</v>
      </c>
      <c r="AM436" s="5"/>
      <c r="AN436" s="5"/>
      <c r="AQ436" s="6"/>
    </row>
    <row r="437" spans="2:43" x14ac:dyDescent="0.25">
      <c r="B437" t="s">
        <v>210</v>
      </c>
      <c r="C437">
        <v>105256</v>
      </c>
      <c r="D437" t="s">
        <v>3716</v>
      </c>
      <c r="E437" t="s">
        <v>139</v>
      </c>
      <c r="F437" t="s">
        <v>319</v>
      </c>
      <c r="G437" t="s">
        <v>304</v>
      </c>
      <c r="H437" t="s">
        <v>116</v>
      </c>
      <c r="I437" t="s">
        <v>31</v>
      </c>
      <c r="J437" t="s">
        <v>32</v>
      </c>
      <c r="K437" t="s">
        <v>44</v>
      </c>
      <c r="L437" t="s">
        <v>96</v>
      </c>
      <c r="M437" t="s">
        <v>269</v>
      </c>
      <c r="N437" t="s">
        <v>3513</v>
      </c>
      <c r="P437" t="s">
        <v>77</v>
      </c>
      <c r="Q437" t="s">
        <v>77</v>
      </c>
      <c r="R437" s="5">
        <v>43004.643935185188</v>
      </c>
      <c r="S437" s="5">
        <v>43404.493703703702</v>
      </c>
      <c r="T437" t="s">
        <v>288</v>
      </c>
      <c r="U437" t="s">
        <v>4027</v>
      </c>
      <c r="V437" s="3" t="s">
        <v>321</v>
      </c>
      <c r="W437" s="3" t="s">
        <v>4171</v>
      </c>
      <c r="AM437" s="5"/>
      <c r="AN437" s="5"/>
      <c r="AQ437" s="6"/>
    </row>
    <row r="438" spans="2:43" x14ac:dyDescent="0.25">
      <c r="B438" t="s">
        <v>3701</v>
      </c>
      <c r="C438">
        <v>105118</v>
      </c>
      <c r="D438" t="s">
        <v>3715</v>
      </c>
      <c r="E438" t="s">
        <v>405</v>
      </c>
      <c r="F438" t="s">
        <v>305</v>
      </c>
      <c r="G438" t="s">
        <v>304</v>
      </c>
      <c r="H438" t="s">
        <v>54</v>
      </c>
      <c r="I438" t="s">
        <v>68</v>
      </c>
      <c r="J438" t="s">
        <v>58</v>
      </c>
      <c r="K438" t="s">
        <v>51</v>
      </c>
      <c r="L438" t="s">
        <v>34</v>
      </c>
      <c r="M438" t="s">
        <v>3704</v>
      </c>
      <c r="N438" t="s">
        <v>46</v>
      </c>
      <c r="P438" t="s">
        <v>69</v>
      </c>
      <c r="Q438" t="s">
        <v>3706</v>
      </c>
      <c r="R438" s="5">
        <v>43001.944189814814</v>
      </c>
      <c r="S438" s="5">
        <v>43024.744143518517</v>
      </c>
      <c r="T438" t="s">
        <v>53</v>
      </c>
      <c r="U438" t="s">
        <v>35</v>
      </c>
      <c r="V438" s="3" t="s">
        <v>35</v>
      </c>
      <c r="W438" s="3" t="s">
        <v>4177</v>
      </c>
      <c r="AM438" s="5"/>
      <c r="AN438" s="5"/>
      <c r="AQ438" s="6"/>
    </row>
    <row r="439" spans="2:43" x14ac:dyDescent="0.25">
      <c r="B439" t="s">
        <v>3701</v>
      </c>
      <c r="C439">
        <v>105117</v>
      </c>
      <c r="D439" t="s">
        <v>3713</v>
      </c>
      <c r="E439" t="s">
        <v>3703</v>
      </c>
      <c r="F439" t="s">
        <v>305</v>
      </c>
      <c r="G439" t="s">
        <v>304</v>
      </c>
      <c r="H439" t="s">
        <v>54</v>
      </c>
      <c r="I439" t="s">
        <v>68</v>
      </c>
      <c r="J439" t="s">
        <v>58</v>
      </c>
      <c r="K439" t="s">
        <v>51</v>
      </c>
      <c r="L439" t="s">
        <v>34</v>
      </c>
      <c r="M439" t="s">
        <v>3704</v>
      </c>
      <c r="N439" t="s">
        <v>46</v>
      </c>
      <c r="O439" t="s">
        <v>3714</v>
      </c>
      <c r="P439" t="s">
        <v>69</v>
      </c>
      <c r="Q439" t="s">
        <v>3706</v>
      </c>
      <c r="R439" s="5">
        <v>43001.944201388891</v>
      </c>
      <c r="S439" s="5">
        <v>43385.57613425926</v>
      </c>
      <c r="T439" t="s">
        <v>53</v>
      </c>
      <c r="U439" t="s">
        <v>35</v>
      </c>
      <c r="V439" s="3" t="s">
        <v>35</v>
      </c>
      <c r="W439" s="3" t="s">
        <v>4098</v>
      </c>
      <c r="AM439" s="5"/>
      <c r="AN439" s="5"/>
      <c r="AQ439" s="6"/>
    </row>
    <row r="440" spans="2:43" x14ac:dyDescent="0.25">
      <c r="B440" t="s">
        <v>4196</v>
      </c>
      <c r="C440">
        <v>105110</v>
      </c>
      <c r="D440" t="s">
        <v>4213</v>
      </c>
      <c r="E440" t="s">
        <v>88</v>
      </c>
      <c r="F440" t="s">
        <v>305</v>
      </c>
      <c r="G440" t="s">
        <v>337</v>
      </c>
      <c r="H440" t="s">
        <v>30</v>
      </c>
      <c r="I440" t="s">
        <v>68</v>
      </c>
      <c r="J440" t="s">
        <v>43</v>
      </c>
      <c r="K440" t="s">
        <v>33</v>
      </c>
      <c r="L440" t="s">
        <v>34</v>
      </c>
      <c r="M440" t="s">
        <v>266</v>
      </c>
      <c r="N440" t="s">
        <v>46</v>
      </c>
      <c r="P440" t="s">
        <v>107</v>
      </c>
      <c r="Q440" t="s">
        <v>3509</v>
      </c>
      <c r="R440" s="5">
        <v>43001.882627314815</v>
      </c>
      <c r="S440" s="5">
        <v>43202.87300925926</v>
      </c>
      <c r="T440" t="s">
        <v>53</v>
      </c>
      <c r="U440" t="s">
        <v>35</v>
      </c>
      <c r="V440" s="3" t="s">
        <v>35</v>
      </c>
      <c r="W440" s="3" t="s">
        <v>4176</v>
      </c>
      <c r="AM440" s="5"/>
      <c r="AN440" s="5"/>
      <c r="AQ440" s="6"/>
    </row>
    <row r="441" spans="2:43" x14ac:dyDescent="0.25">
      <c r="B441" t="s">
        <v>205</v>
      </c>
      <c r="C441">
        <v>105109</v>
      </c>
      <c r="D441" t="s">
        <v>4212</v>
      </c>
      <c r="E441" t="s">
        <v>1</v>
      </c>
      <c r="F441" t="s">
        <v>305</v>
      </c>
      <c r="G441" t="s">
        <v>337</v>
      </c>
      <c r="H441" t="s">
        <v>54</v>
      </c>
      <c r="I441" t="s">
        <v>31</v>
      </c>
      <c r="J441" t="s">
        <v>43</v>
      </c>
      <c r="K441" t="s">
        <v>44</v>
      </c>
      <c r="L441" t="s">
        <v>34</v>
      </c>
      <c r="M441" t="s">
        <v>266</v>
      </c>
      <c r="N441" t="s">
        <v>518</v>
      </c>
      <c r="P441" t="s">
        <v>69</v>
      </c>
      <c r="Q441" t="s">
        <v>89</v>
      </c>
      <c r="R441" s="5">
        <v>43001.880358796298</v>
      </c>
      <c r="S441" s="5">
        <v>43227.939988425926</v>
      </c>
      <c r="T441" t="s">
        <v>53</v>
      </c>
      <c r="U441" t="s">
        <v>35</v>
      </c>
      <c r="V441" s="3" t="s">
        <v>35</v>
      </c>
      <c r="W441" s="3" t="s">
        <v>307</v>
      </c>
      <c r="AM441" s="5"/>
      <c r="AN441" s="5"/>
      <c r="AQ441" s="6"/>
    </row>
    <row r="442" spans="2:43" x14ac:dyDescent="0.25">
      <c r="B442" t="s">
        <v>236</v>
      </c>
      <c r="C442">
        <v>105108</v>
      </c>
      <c r="D442" t="s">
        <v>4211</v>
      </c>
      <c r="E442" t="s">
        <v>175</v>
      </c>
      <c r="F442" t="s">
        <v>305</v>
      </c>
      <c r="G442" t="s">
        <v>337</v>
      </c>
      <c r="H442" t="s">
        <v>54</v>
      </c>
      <c r="I442" t="s">
        <v>31</v>
      </c>
      <c r="J442" t="s">
        <v>43</v>
      </c>
      <c r="K442" t="s">
        <v>44</v>
      </c>
      <c r="L442" t="s">
        <v>34</v>
      </c>
      <c r="M442" t="s">
        <v>278</v>
      </c>
      <c r="N442" t="s">
        <v>518</v>
      </c>
      <c r="O442" t="s">
        <v>599</v>
      </c>
      <c r="P442" t="s">
        <v>107</v>
      </c>
      <c r="Q442" t="s">
        <v>2481</v>
      </c>
      <c r="R442" s="5">
        <v>43001.877465277779</v>
      </c>
      <c r="S442" s="5">
        <v>43227.811585648145</v>
      </c>
      <c r="T442" t="s">
        <v>53</v>
      </c>
      <c r="U442" t="s">
        <v>35</v>
      </c>
      <c r="V442" s="3" t="s">
        <v>35</v>
      </c>
      <c r="W442" s="3" t="s">
        <v>307</v>
      </c>
      <c r="AM442" s="5"/>
      <c r="AN442" s="5"/>
      <c r="AQ442" s="6"/>
    </row>
    <row r="443" spans="2:43" x14ac:dyDescent="0.25">
      <c r="B443" t="s">
        <v>222</v>
      </c>
      <c r="C443">
        <v>104908</v>
      </c>
      <c r="D443" t="s">
        <v>3712</v>
      </c>
      <c r="E443" t="s">
        <v>72</v>
      </c>
      <c r="F443" t="s">
        <v>305</v>
      </c>
      <c r="G443" t="s">
        <v>304</v>
      </c>
      <c r="H443" t="s">
        <v>116</v>
      </c>
      <c r="I443" t="s">
        <v>31</v>
      </c>
      <c r="J443" t="s">
        <v>32</v>
      </c>
      <c r="K443" t="s">
        <v>33</v>
      </c>
      <c r="L443" t="s">
        <v>73</v>
      </c>
      <c r="M443" t="s">
        <v>263</v>
      </c>
      <c r="N443" t="s">
        <v>510</v>
      </c>
      <c r="P443" t="s">
        <v>133</v>
      </c>
      <c r="Q443" t="s">
        <v>2944</v>
      </c>
      <c r="R443" s="5">
        <v>42997.953449074077</v>
      </c>
      <c r="S443" s="5">
        <v>43252.29896990741</v>
      </c>
      <c r="T443" t="s">
        <v>131</v>
      </c>
      <c r="U443" t="s">
        <v>4003</v>
      </c>
      <c r="V443" s="3" t="s">
        <v>35</v>
      </c>
      <c r="W443" s="3" t="s">
        <v>4171</v>
      </c>
      <c r="AM443" s="5"/>
      <c r="AN443" s="5"/>
      <c r="AQ443" s="6"/>
    </row>
    <row r="444" spans="2:43" x14ac:dyDescent="0.25">
      <c r="B444" t="s">
        <v>249</v>
      </c>
      <c r="C444">
        <v>104898</v>
      </c>
      <c r="D444" t="s">
        <v>3710</v>
      </c>
      <c r="E444" t="s">
        <v>112</v>
      </c>
      <c r="F444" t="s">
        <v>319</v>
      </c>
      <c r="G444" t="s">
        <v>304</v>
      </c>
      <c r="H444" t="s">
        <v>54</v>
      </c>
      <c r="I444" t="s">
        <v>31</v>
      </c>
      <c r="J444" t="s">
        <v>43</v>
      </c>
      <c r="K444" t="s">
        <v>51</v>
      </c>
      <c r="L444" t="s">
        <v>73</v>
      </c>
      <c r="M444" t="s">
        <v>263</v>
      </c>
      <c r="N444" t="s">
        <v>3711</v>
      </c>
      <c r="P444" t="s">
        <v>107</v>
      </c>
      <c r="Q444" t="s">
        <v>107</v>
      </c>
      <c r="R444" s="5">
        <v>42997.576666666668</v>
      </c>
      <c r="S444" s="5">
        <v>43228.692013888889</v>
      </c>
      <c r="T444" t="s">
        <v>301</v>
      </c>
      <c r="U444" t="s">
        <v>4029</v>
      </c>
      <c r="V444" s="3" t="s">
        <v>35</v>
      </c>
      <c r="W444" s="3" t="s">
        <v>4171</v>
      </c>
      <c r="AM444" s="5"/>
      <c r="AN444" s="5"/>
      <c r="AQ444" s="6"/>
    </row>
    <row r="445" spans="2:43" x14ac:dyDescent="0.25">
      <c r="B445" t="s">
        <v>249</v>
      </c>
      <c r="C445">
        <v>104897</v>
      </c>
      <c r="D445" t="s">
        <v>3709</v>
      </c>
      <c r="E445" t="s">
        <v>112</v>
      </c>
      <c r="F445" t="s">
        <v>305</v>
      </c>
      <c r="G445" t="s">
        <v>304</v>
      </c>
      <c r="H445" t="s">
        <v>54</v>
      </c>
      <c r="I445" t="s">
        <v>31</v>
      </c>
      <c r="J445" t="s">
        <v>43</v>
      </c>
      <c r="K445" t="s">
        <v>51</v>
      </c>
      <c r="L445" t="s">
        <v>73</v>
      </c>
      <c r="M445" t="s">
        <v>263</v>
      </c>
      <c r="N445" t="s">
        <v>572</v>
      </c>
      <c r="P445" t="s">
        <v>107</v>
      </c>
      <c r="Q445" t="s">
        <v>307</v>
      </c>
      <c r="R445" s="5">
        <v>42997.575937499998</v>
      </c>
      <c r="S445" s="5">
        <v>43215.937210648146</v>
      </c>
      <c r="T445" t="s">
        <v>301</v>
      </c>
      <c r="U445" t="s">
        <v>4028</v>
      </c>
      <c r="V445" s="3" t="s">
        <v>35</v>
      </c>
      <c r="W445" s="3" t="s">
        <v>307</v>
      </c>
      <c r="AM445" s="5"/>
      <c r="AN445" s="5"/>
      <c r="AQ445" s="6"/>
    </row>
    <row r="446" spans="2:43" x14ac:dyDescent="0.25">
      <c r="B446" t="s">
        <v>249</v>
      </c>
      <c r="C446">
        <v>104896</v>
      </c>
      <c r="D446" t="s">
        <v>571</v>
      </c>
      <c r="E446" t="s">
        <v>112</v>
      </c>
      <c r="F446" t="s">
        <v>319</v>
      </c>
      <c r="G446" t="s">
        <v>304</v>
      </c>
      <c r="H446" t="s">
        <v>54</v>
      </c>
      <c r="I446" t="s">
        <v>31</v>
      </c>
      <c r="J446" t="s">
        <v>43</v>
      </c>
      <c r="K446" t="s">
        <v>51</v>
      </c>
      <c r="L446" t="s">
        <v>73</v>
      </c>
      <c r="M446" t="s">
        <v>263</v>
      </c>
      <c r="N446" t="s">
        <v>572</v>
      </c>
      <c r="O446" t="s">
        <v>573</v>
      </c>
      <c r="P446" t="s">
        <v>107</v>
      </c>
      <c r="Q446" t="s">
        <v>107</v>
      </c>
      <c r="R446" s="5">
        <v>42997.574745370373</v>
      </c>
      <c r="S446" s="5">
        <v>43215.937199074076</v>
      </c>
      <c r="T446" t="s">
        <v>301</v>
      </c>
      <c r="U446" t="s">
        <v>35</v>
      </c>
      <c r="V446" s="3" t="s">
        <v>35</v>
      </c>
      <c r="W446" s="3" t="s">
        <v>4172</v>
      </c>
      <c r="AM446" s="5"/>
      <c r="AN446" s="5"/>
      <c r="AQ446" s="6"/>
    </row>
    <row r="447" spans="2:43" x14ac:dyDescent="0.25">
      <c r="B447" t="s">
        <v>3701</v>
      </c>
      <c r="C447">
        <v>104857</v>
      </c>
      <c r="D447" t="s">
        <v>3707</v>
      </c>
      <c r="E447" t="s">
        <v>167</v>
      </c>
      <c r="F447" t="s">
        <v>305</v>
      </c>
      <c r="G447" t="s">
        <v>310</v>
      </c>
      <c r="H447" t="s">
        <v>54</v>
      </c>
      <c r="I447" t="s">
        <v>68</v>
      </c>
      <c r="J447" t="s">
        <v>58</v>
      </c>
      <c r="K447" t="s">
        <v>51</v>
      </c>
      <c r="L447" t="s">
        <v>34</v>
      </c>
      <c r="M447" t="s">
        <v>3304</v>
      </c>
      <c r="N447" t="s">
        <v>46</v>
      </c>
      <c r="O447" t="s">
        <v>3705</v>
      </c>
      <c r="P447" t="s">
        <v>69</v>
      </c>
      <c r="Q447" t="s">
        <v>3708</v>
      </c>
      <c r="R447" s="5">
        <v>42996.86314814815</v>
      </c>
      <c r="S447" s="5">
        <v>43001.944212962961</v>
      </c>
      <c r="T447" t="s">
        <v>301</v>
      </c>
      <c r="U447" t="s">
        <v>35</v>
      </c>
      <c r="V447" s="3" t="s">
        <v>35</v>
      </c>
      <c r="W447" s="3" t="s">
        <v>4143</v>
      </c>
      <c r="AM447" s="5"/>
      <c r="AN447" s="5"/>
      <c r="AQ447" s="6"/>
    </row>
    <row r="448" spans="2:43" x14ac:dyDescent="0.25">
      <c r="B448" t="s">
        <v>4206</v>
      </c>
      <c r="C448">
        <v>104811</v>
      </c>
      <c r="D448" t="s">
        <v>5131</v>
      </c>
      <c r="E448" t="s">
        <v>91</v>
      </c>
      <c r="F448" t="s">
        <v>67</v>
      </c>
      <c r="H448" t="s">
        <v>116</v>
      </c>
      <c r="I448" t="s">
        <v>31</v>
      </c>
      <c r="J448" t="s">
        <v>32</v>
      </c>
      <c r="K448" t="s">
        <v>44</v>
      </c>
      <c r="L448" t="s">
        <v>73</v>
      </c>
      <c r="M448" t="s">
        <v>263</v>
      </c>
      <c r="N448" t="s">
        <v>4826</v>
      </c>
      <c r="O448" t="s">
        <v>4733</v>
      </c>
      <c r="P448" t="s">
        <v>3911</v>
      </c>
      <c r="R448" s="5">
        <v>42994.510046296295</v>
      </c>
      <c r="S448" s="5">
        <v>43440.70003472222</v>
      </c>
      <c r="T448" t="s">
        <v>91</v>
      </c>
      <c r="U448" t="s">
        <v>35</v>
      </c>
      <c r="V448" s="3" t="s">
        <v>321</v>
      </c>
      <c r="W448" s="3" t="s">
        <v>5132</v>
      </c>
      <c r="AM448" s="5"/>
      <c r="AN448" s="5"/>
      <c r="AQ448" s="6"/>
    </row>
    <row r="449" spans="2:43" x14ac:dyDescent="0.25">
      <c r="B449" t="s">
        <v>249</v>
      </c>
      <c r="C449">
        <v>104803</v>
      </c>
      <c r="D449" t="s">
        <v>185</v>
      </c>
      <c r="E449" t="s">
        <v>112</v>
      </c>
      <c r="F449" t="s">
        <v>319</v>
      </c>
      <c r="G449" t="s">
        <v>304</v>
      </c>
      <c r="H449" t="s">
        <v>54</v>
      </c>
      <c r="I449" t="s">
        <v>31</v>
      </c>
      <c r="J449" t="s">
        <v>43</v>
      </c>
      <c r="K449" t="s">
        <v>51</v>
      </c>
      <c r="L449" t="s">
        <v>73</v>
      </c>
      <c r="M449" t="s">
        <v>263</v>
      </c>
      <c r="N449" t="s">
        <v>447</v>
      </c>
      <c r="P449" t="s">
        <v>107</v>
      </c>
      <c r="Q449" t="s">
        <v>107</v>
      </c>
      <c r="R449" s="5">
        <v>42993.794328703705</v>
      </c>
      <c r="S449" s="5">
        <v>43215.937210648146</v>
      </c>
      <c r="T449" t="s">
        <v>1</v>
      </c>
      <c r="U449" t="s">
        <v>35</v>
      </c>
      <c r="V449" s="3" t="s">
        <v>35</v>
      </c>
      <c r="W449" s="3" t="s">
        <v>4098</v>
      </c>
      <c r="AM449" s="5"/>
      <c r="AN449" s="5"/>
      <c r="AQ449" s="6"/>
    </row>
    <row r="450" spans="2:43" x14ac:dyDescent="0.25">
      <c r="B450" t="s">
        <v>248</v>
      </c>
      <c r="C450">
        <v>104606</v>
      </c>
      <c r="D450" t="s">
        <v>184</v>
      </c>
      <c r="E450" t="s">
        <v>4208</v>
      </c>
      <c r="F450" t="s">
        <v>305</v>
      </c>
      <c r="G450" t="s">
        <v>304</v>
      </c>
      <c r="H450" t="s">
        <v>54</v>
      </c>
      <c r="I450" t="s">
        <v>68</v>
      </c>
      <c r="J450" t="s">
        <v>58</v>
      </c>
      <c r="K450" t="s">
        <v>51</v>
      </c>
      <c r="L450" t="s">
        <v>45</v>
      </c>
      <c r="M450" t="s">
        <v>282</v>
      </c>
      <c r="N450" t="s">
        <v>60</v>
      </c>
      <c r="O450" t="s">
        <v>492</v>
      </c>
      <c r="P450" t="s">
        <v>69</v>
      </c>
      <c r="Q450" t="s">
        <v>2305</v>
      </c>
      <c r="R450" s="5">
        <v>42990.900243055556</v>
      </c>
      <c r="S450" s="5">
        <v>43406.237233796295</v>
      </c>
      <c r="T450" t="s">
        <v>1</v>
      </c>
      <c r="U450" t="s">
        <v>35</v>
      </c>
      <c r="V450" s="3" t="s">
        <v>35</v>
      </c>
      <c r="W450" s="3" t="s">
        <v>4171</v>
      </c>
      <c r="AM450" s="5"/>
      <c r="AN450" s="5"/>
      <c r="AQ450" s="6"/>
    </row>
    <row r="451" spans="2:43" x14ac:dyDescent="0.25">
      <c r="B451" t="s">
        <v>3701</v>
      </c>
      <c r="C451">
        <v>104603</v>
      </c>
      <c r="D451" t="s">
        <v>3702</v>
      </c>
      <c r="E451" t="s">
        <v>3703</v>
      </c>
      <c r="F451" t="s">
        <v>305</v>
      </c>
      <c r="G451" t="s">
        <v>337</v>
      </c>
      <c r="H451" t="s">
        <v>54</v>
      </c>
      <c r="I451" t="s">
        <v>68</v>
      </c>
      <c r="J451" t="s">
        <v>58</v>
      </c>
      <c r="K451" t="s">
        <v>51</v>
      </c>
      <c r="L451" t="s">
        <v>34</v>
      </c>
      <c r="M451" t="s">
        <v>3704</v>
      </c>
      <c r="N451" t="s">
        <v>46</v>
      </c>
      <c r="O451" t="s">
        <v>3705</v>
      </c>
      <c r="P451" t="s">
        <v>69</v>
      </c>
      <c r="Q451" t="s">
        <v>3706</v>
      </c>
      <c r="R451" s="5">
        <v>42990.827523148146</v>
      </c>
      <c r="S451" s="5">
        <v>43169.014814814815</v>
      </c>
      <c r="T451" t="s">
        <v>560</v>
      </c>
      <c r="U451" t="s">
        <v>35</v>
      </c>
      <c r="V451" s="3" t="s">
        <v>35</v>
      </c>
      <c r="W451" s="3" t="s">
        <v>4175</v>
      </c>
      <c r="AM451" s="5"/>
      <c r="AN451" s="5"/>
      <c r="AQ451" s="6"/>
    </row>
    <row r="452" spans="2:43" x14ac:dyDescent="0.25">
      <c r="B452" t="s">
        <v>213</v>
      </c>
      <c r="C452">
        <v>104601</v>
      </c>
      <c r="D452" t="s">
        <v>3700</v>
      </c>
      <c r="E452" t="s">
        <v>112</v>
      </c>
      <c r="F452" t="s">
        <v>319</v>
      </c>
      <c r="G452" t="s">
        <v>304</v>
      </c>
      <c r="H452" t="s">
        <v>54</v>
      </c>
      <c r="I452" t="s">
        <v>31</v>
      </c>
      <c r="J452" t="s">
        <v>43</v>
      </c>
      <c r="K452" t="s">
        <v>44</v>
      </c>
      <c r="L452" t="s">
        <v>73</v>
      </c>
      <c r="M452" t="s">
        <v>263</v>
      </c>
      <c r="N452" t="s">
        <v>3513</v>
      </c>
      <c r="P452" t="s">
        <v>107</v>
      </c>
      <c r="Q452" t="s">
        <v>107</v>
      </c>
      <c r="R452" s="5">
        <v>42990.73940972222</v>
      </c>
      <c r="S452" s="5">
        <v>43405.942280092589</v>
      </c>
      <c r="T452" t="s">
        <v>70</v>
      </c>
      <c r="U452" t="s">
        <v>4003</v>
      </c>
      <c r="V452" s="3" t="s">
        <v>35</v>
      </c>
      <c r="W452" s="3" t="s">
        <v>4171</v>
      </c>
      <c r="AM452" s="5"/>
      <c r="AN452" s="5"/>
      <c r="AQ452" s="6"/>
    </row>
    <row r="453" spans="2:43" x14ac:dyDescent="0.25">
      <c r="B453" t="s">
        <v>204</v>
      </c>
      <c r="C453">
        <v>104590</v>
      </c>
      <c r="D453" t="s">
        <v>3699</v>
      </c>
      <c r="E453" t="s">
        <v>514</v>
      </c>
      <c r="F453" t="s">
        <v>319</v>
      </c>
      <c r="G453" t="s">
        <v>304</v>
      </c>
      <c r="H453" t="s">
        <v>116</v>
      </c>
      <c r="I453" t="s">
        <v>31</v>
      </c>
      <c r="J453" t="s">
        <v>43</v>
      </c>
      <c r="K453" t="s">
        <v>51</v>
      </c>
      <c r="L453" t="s">
        <v>73</v>
      </c>
      <c r="M453" t="s">
        <v>263</v>
      </c>
      <c r="N453" t="s">
        <v>3513</v>
      </c>
      <c r="P453" t="s">
        <v>85</v>
      </c>
      <c r="Q453" t="s">
        <v>85</v>
      </c>
      <c r="R453" s="5">
        <v>42990.564155092594</v>
      </c>
      <c r="S453" s="5">
        <v>43315.580671296295</v>
      </c>
      <c r="T453" t="s">
        <v>514</v>
      </c>
      <c r="U453" t="s">
        <v>4003</v>
      </c>
      <c r="V453" s="3" t="s">
        <v>35</v>
      </c>
      <c r="W453" s="3" t="s">
        <v>4171</v>
      </c>
      <c r="AM453" s="5"/>
      <c r="AN453" s="5"/>
      <c r="AQ453" s="6"/>
    </row>
    <row r="454" spans="2:43" x14ac:dyDescent="0.25">
      <c r="B454" t="s">
        <v>213</v>
      </c>
      <c r="C454">
        <v>104544</v>
      </c>
      <c r="D454" t="s">
        <v>3697</v>
      </c>
      <c r="E454" t="s">
        <v>112</v>
      </c>
      <c r="F454" t="s">
        <v>305</v>
      </c>
      <c r="G454" t="s">
        <v>304</v>
      </c>
      <c r="H454" t="s">
        <v>54</v>
      </c>
      <c r="I454" t="s">
        <v>31</v>
      </c>
      <c r="J454" t="s">
        <v>43</v>
      </c>
      <c r="K454" t="s">
        <v>44</v>
      </c>
      <c r="L454" t="s">
        <v>73</v>
      </c>
      <c r="M454" t="s">
        <v>263</v>
      </c>
      <c r="N454" t="s">
        <v>579</v>
      </c>
      <c r="P454" t="s">
        <v>107</v>
      </c>
      <c r="Q454" t="s">
        <v>3698</v>
      </c>
      <c r="R454" s="5">
        <v>42989.557291666664</v>
      </c>
      <c r="S454" s="5">
        <v>43039.808645833335</v>
      </c>
      <c r="T454" t="s">
        <v>53</v>
      </c>
      <c r="U454" t="s">
        <v>4027</v>
      </c>
      <c r="V454" s="3" t="s">
        <v>35</v>
      </c>
      <c r="W454" s="3" t="s">
        <v>4172</v>
      </c>
      <c r="AM454" s="5"/>
      <c r="AN454" s="5"/>
      <c r="AQ454" s="6"/>
    </row>
    <row r="455" spans="2:43" x14ac:dyDescent="0.25">
      <c r="B455" t="s">
        <v>247</v>
      </c>
      <c r="C455">
        <v>104469</v>
      </c>
      <c r="D455" t="s">
        <v>3696</v>
      </c>
      <c r="E455" t="s">
        <v>183</v>
      </c>
      <c r="F455" t="s">
        <v>305</v>
      </c>
      <c r="G455" t="s">
        <v>304</v>
      </c>
      <c r="H455" t="s">
        <v>54</v>
      </c>
      <c r="I455" t="s">
        <v>31</v>
      </c>
      <c r="J455" t="s">
        <v>32</v>
      </c>
      <c r="K455" t="s">
        <v>33</v>
      </c>
      <c r="L455" t="s">
        <v>96</v>
      </c>
      <c r="M455" t="s">
        <v>275</v>
      </c>
      <c r="N455" t="s">
        <v>60</v>
      </c>
      <c r="P455" t="s">
        <v>133</v>
      </c>
      <c r="Q455" t="s">
        <v>133</v>
      </c>
      <c r="R455" s="5">
        <v>42986.603032407409</v>
      </c>
      <c r="S455" s="5">
        <v>43231.657997685186</v>
      </c>
      <c r="T455" t="s">
        <v>301</v>
      </c>
      <c r="U455" t="s">
        <v>4017</v>
      </c>
      <c r="V455" s="3" t="s">
        <v>321</v>
      </c>
      <c r="W455" s="3" t="s">
        <v>307</v>
      </c>
      <c r="AM455" s="5"/>
      <c r="AN455" s="5"/>
      <c r="AQ455" s="6"/>
    </row>
    <row r="456" spans="2:43" x14ac:dyDescent="0.25">
      <c r="B456" t="s">
        <v>247</v>
      </c>
      <c r="C456">
        <v>104468</v>
      </c>
      <c r="D456" t="s">
        <v>3694</v>
      </c>
      <c r="E456" t="s">
        <v>134</v>
      </c>
      <c r="F456" t="s">
        <v>319</v>
      </c>
      <c r="G456" t="s">
        <v>304</v>
      </c>
      <c r="H456" t="s">
        <v>54</v>
      </c>
      <c r="I456" t="s">
        <v>31</v>
      </c>
      <c r="J456" t="s">
        <v>32</v>
      </c>
      <c r="K456" t="s">
        <v>33</v>
      </c>
      <c r="L456" t="s">
        <v>96</v>
      </c>
      <c r="M456" t="s">
        <v>275</v>
      </c>
      <c r="N456" t="s">
        <v>60</v>
      </c>
      <c r="P456" t="s">
        <v>133</v>
      </c>
      <c r="Q456" t="s">
        <v>3695</v>
      </c>
      <c r="R456" s="5">
        <v>42986.602268518516</v>
      </c>
      <c r="S456" s="5">
        <v>43215.921909722223</v>
      </c>
      <c r="T456" t="s">
        <v>301</v>
      </c>
      <c r="U456" t="s">
        <v>4026</v>
      </c>
      <c r="V456" s="3" t="s">
        <v>321</v>
      </c>
      <c r="W456" s="3" t="s">
        <v>4172</v>
      </c>
      <c r="AM456" s="5"/>
      <c r="AN456" s="5"/>
      <c r="AQ456" s="6"/>
    </row>
    <row r="457" spans="2:43" x14ac:dyDescent="0.25">
      <c r="B457" t="s">
        <v>2841</v>
      </c>
      <c r="C457">
        <v>104461</v>
      </c>
      <c r="D457" t="s">
        <v>3689</v>
      </c>
      <c r="E457" t="s">
        <v>1917</v>
      </c>
      <c r="F457" t="s">
        <v>305</v>
      </c>
      <c r="G457" t="s">
        <v>328</v>
      </c>
      <c r="H457" t="s">
        <v>54</v>
      </c>
      <c r="I457" t="s">
        <v>31</v>
      </c>
      <c r="J457" t="s">
        <v>32</v>
      </c>
      <c r="K457" t="s">
        <v>33</v>
      </c>
      <c r="L457" t="s">
        <v>34</v>
      </c>
      <c r="M457" t="s">
        <v>258</v>
      </c>
      <c r="N457" t="s">
        <v>46</v>
      </c>
      <c r="O457" t="s">
        <v>3690</v>
      </c>
      <c r="P457" t="s">
        <v>3691</v>
      </c>
      <c r="Q457" t="s">
        <v>3692</v>
      </c>
      <c r="R457" s="5">
        <v>42986.449340277781</v>
      </c>
      <c r="S457" s="5">
        <v>43122.135000000002</v>
      </c>
      <c r="T457" t="s">
        <v>3693</v>
      </c>
      <c r="U457" t="s">
        <v>35</v>
      </c>
      <c r="V457" s="3" t="s">
        <v>35</v>
      </c>
      <c r="W457" s="3" t="s">
        <v>4174</v>
      </c>
      <c r="AM457" s="5"/>
      <c r="AN457" s="5"/>
      <c r="AQ457" s="6"/>
    </row>
    <row r="458" spans="2:43" x14ac:dyDescent="0.25">
      <c r="B458" t="s">
        <v>246</v>
      </c>
      <c r="C458">
        <v>104334</v>
      </c>
      <c r="D458" t="s">
        <v>3688</v>
      </c>
      <c r="E458" t="s">
        <v>4208</v>
      </c>
      <c r="F458" t="s">
        <v>305</v>
      </c>
      <c r="G458" t="s">
        <v>304</v>
      </c>
      <c r="H458" t="s">
        <v>54</v>
      </c>
      <c r="I458" t="s">
        <v>31</v>
      </c>
      <c r="J458" t="s">
        <v>43</v>
      </c>
      <c r="K458" t="s">
        <v>44</v>
      </c>
      <c r="L458" t="s">
        <v>45</v>
      </c>
      <c r="M458" t="s">
        <v>260</v>
      </c>
      <c r="N458" t="s">
        <v>157</v>
      </c>
      <c r="P458" t="s">
        <v>69</v>
      </c>
      <c r="Q458" t="s">
        <v>69</v>
      </c>
      <c r="R458" s="5">
        <v>42983.561435185184</v>
      </c>
      <c r="S458" s="5">
        <v>43215.855613425927</v>
      </c>
      <c r="T458" t="s">
        <v>301</v>
      </c>
      <c r="U458" t="s">
        <v>4209</v>
      </c>
      <c r="V458" s="3" t="s">
        <v>35</v>
      </c>
      <c r="W458" s="3" t="s">
        <v>307</v>
      </c>
      <c r="AM458" s="5"/>
      <c r="AN458" s="5"/>
      <c r="AQ458" s="6"/>
    </row>
    <row r="459" spans="2:43" x14ac:dyDescent="0.25">
      <c r="B459" t="s">
        <v>246</v>
      </c>
      <c r="C459">
        <v>104333</v>
      </c>
      <c r="D459" t="s">
        <v>570</v>
      </c>
      <c r="E459" t="s">
        <v>4204</v>
      </c>
      <c r="F459" t="s">
        <v>305</v>
      </c>
      <c r="G459" t="s">
        <v>337</v>
      </c>
      <c r="H459" t="s">
        <v>54</v>
      </c>
      <c r="I459" t="s">
        <v>31</v>
      </c>
      <c r="J459" t="s">
        <v>43</v>
      </c>
      <c r="K459" t="s">
        <v>44</v>
      </c>
      <c r="L459" t="s">
        <v>73</v>
      </c>
      <c r="M459" t="s">
        <v>4205</v>
      </c>
      <c r="N459" t="s">
        <v>60</v>
      </c>
      <c r="P459" t="s">
        <v>69</v>
      </c>
      <c r="Q459" t="s">
        <v>3708</v>
      </c>
      <c r="R459" s="5">
        <v>42983.560416666667</v>
      </c>
      <c r="S459" s="5">
        <v>43423.872442129628</v>
      </c>
      <c r="T459" t="s">
        <v>301</v>
      </c>
      <c r="U459" t="s">
        <v>35</v>
      </c>
      <c r="V459" s="3" t="s">
        <v>35</v>
      </c>
      <c r="W459" s="3" t="s">
        <v>4158</v>
      </c>
      <c r="AM459" s="5"/>
      <c r="AN459" s="5"/>
      <c r="AQ459" s="6"/>
    </row>
    <row r="460" spans="2:43" x14ac:dyDescent="0.25">
      <c r="B460" t="s">
        <v>217</v>
      </c>
      <c r="C460">
        <v>104246</v>
      </c>
      <c r="D460" t="s">
        <v>569</v>
      </c>
      <c r="E460" t="s">
        <v>521</v>
      </c>
      <c r="F460" t="s">
        <v>305</v>
      </c>
      <c r="G460" t="s">
        <v>337</v>
      </c>
      <c r="H460" t="s">
        <v>54</v>
      </c>
      <c r="I460" t="s">
        <v>31</v>
      </c>
      <c r="J460" t="s">
        <v>32</v>
      </c>
      <c r="K460" t="s">
        <v>44</v>
      </c>
      <c r="L460" t="s">
        <v>73</v>
      </c>
      <c r="M460" t="s">
        <v>263</v>
      </c>
      <c r="N460" t="s">
        <v>60</v>
      </c>
      <c r="O460" t="s">
        <v>515</v>
      </c>
      <c r="P460" t="s">
        <v>92</v>
      </c>
      <c r="Q460" t="s">
        <v>3708</v>
      </c>
      <c r="R460" s="5">
        <v>42979.747407407405</v>
      </c>
      <c r="S460" s="5">
        <v>43423.872499999998</v>
      </c>
      <c r="T460" t="s">
        <v>301</v>
      </c>
      <c r="U460" t="s">
        <v>35</v>
      </c>
      <c r="V460" s="3" t="s">
        <v>35</v>
      </c>
      <c r="W460" s="3" t="s">
        <v>4158</v>
      </c>
      <c r="AM460" s="5"/>
      <c r="AN460" s="5"/>
      <c r="AQ460" s="6"/>
    </row>
    <row r="461" spans="2:43" x14ac:dyDescent="0.25">
      <c r="B461" t="s">
        <v>3685</v>
      </c>
      <c r="C461">
        <v>104242</v>
      </c>
      <c r="D461" t="s">
        <v>3686</v>
      </c>
      <c r="E461" t="s">
        <v>3687</v>
      </c>
      <c r="F461" t="s">
        <v>305</v>
      </c>
      <c r="G461" t="s">
        <v>353</v>
      </c>
      <c r="H461" t="s">
        <v>56</v>
      </c>
      <c r="I461" t="s">
        <v>31</v>
      </c>
      <c r="J461" t="s">
        <v>32</v>
      </c>
      <c r="K461" t="s">
        <v>33</v>
      </c>
      <c r="L461" t="s">
        <v>73</v>
      </c>
      <c r="M461" t="s">
        <v>263</v>
      </c>
      <c r="N461" t="s">
        <v>46</v>
      </c>
      <c r="P461" t="s">
        <v>69</v>
      </c>
      <c r="Q461" t="s">
        <v>69</v>
      </c>
      <c r="R461" s="5">
        <v>42979.6565162037</v>
      </c>
      <c r="S461" s="5">
        <v>43079.149618055555</v>
      </c>
      <c r="T461" t="s">
        <v>1</v>
      </c>
      <c r="U461" t="s">
        <v>35</v>
      </c>
      <c r="V461" s="3" t="s">
        <v>35</v>
      </c>
      <c r="W461" s="3" t="s">
        <v>307</v>
      </c>
      <c r="AM461" s="5"/>
      <c r="AN461" s="5"/>
      <c r="AQ461" s="6"/>
    </row>
    <row r="462" spans="2:43" x14ac:dyDescent="0.25">
      <c r="B462" t="s">
        <v>247</v>
      </c>
      <c r="C462">
        <v>104225</v>
      </c>
      <c r="D462" t="s">
        <v>182</v>
      </c>
      <c r="E462" t="s">
        <v>183</v>
      </c>
      <c r="F462" t="s">
        <v>305</v>
      </c>
      <c r="G462" t="s">
        <v>304</v>
      </c>
      <c r="H462" t="s">
        <v>54</v>
      </c>
      <c r="I462" t="s">
        <v>31</v>
      </c>
      <c r="J462" t="s">
        <v>32</v>
      </c>
      <c r="K462" t="s">
        <v>33</v>
      </c>
      <c r="L462" t="s">
        <v>96</v>
      </c>
      <c r="M462" t="s">
        <v>275</v>
      </c>
      <c r="N462" t="s">
        <v>60</v>
      </c>
      <c r="P462" t="s">
        <v>133</v>
      </c>
      <c r="R462" s="5">
        <v>42979.541909722226</v>
      </c>
      <c r="S462" s="5">
        <v>43293.768611111111</v>
      </c>
      <c r="T462" t="s">
        <v>5</v>
      </c>
      <c r="U462" t="s">
        <v>35</v>
      </c>
      <c r="V462" s="3" t="s">
        <v>35</v>
      </c>
      <c r="W462" s="3" t="s">
        <v>4098</v>
      </c>
      <c r="AM462" s="5"/>
      <c r="AN462" s="5"/>
      <c r="AQ462" s="6"/>
    </row>
    <row r="463" spans="2:43" x14ac:dyDescent="0.25">
      <c r="B463" t="s">
        <v>3683</v>
      </c>
      <c r="C463">
        <v>104136</v>
      </c>
      <c r="D463" t="s">
        <v>3684</v>
      </c>
      <c r="E463" t="s">
        <v>134</v>
      </c>
      <c r="F463" t="s">
        <v>319</v>
      </c>
      <c r="G463" t="s">
        <v>304</v>
      </c>
      <c r="H463" t="s">
        <v>56</v>
      </c>
      <c r="I463" t="s">
        <v>57</v>
      </c>
      <c r="J463" t="s">
        <v>58</v>
      </c>
      <c r="K463" t="s">
        <v>33</v>
      </c>
      <c r="L463" t="s">
        <v>106</v>
      </c>
      <c r="M463" t="s">
        <v>270</v>
      </c>
      <c r="N463" t="s">
        <v>46</v>
      </c>
      <c r="P463" t="s">
        <v>107</v>
      </c>
      <c r="Q463" t="s">
        <v>528</v>
      </c>
      <c r="R463" s="5">
        <v>42977.767268518517</v>
      </c>
      <c r="S463" s="5">
        <v>43042.616828703707</v>
      </c>
      <c r="T463" t="s">
        <v>2</v>
      </c>
      <c r="U463" t="s">
        <v>35</v>
      </c>
      <c r="V463" s="3" t="s">
        <v>35</v>
      </c>
      <c r="W463" s="3" t="s">
        <v>69</v>
      </c>
      <c r="AM463" s="5"/>
      <c r="AN463" s="5"/>
      <c r="AQ463" s="6"/>
    </row>
    <row r="464" spans="2:43" x14ac:dyDescent="0.25">
      <c r="B464" t="s">
        <v>4206</v>
      </c>
      <c r="C464">
        <v>104132</v>
      </c>
      <c r="D464" t="s">
        <v>4207</v>
      </c>
      <c r="E464" t="s">
        <v>91</v>
      </c>
      <c r="F464" t="s">
        <v>42</v>
      </c>
      <c r="H464" t="s">
        <v>116</v>
      </c>
      <c r="I464" t="s">
        <v>31</v>
      </c>
      <c r="J464" t="s">
        <v>32</v>
      </c>
      <c r="K464" t="s">
        <v>44</v>
      </c>
      <c r="L464" t="s">
        <v>73</v>
      </c>
      <c r="M464" t="s">
        <v>263</v>
      </c>
      <c r="N464" t="s">
        <v>60</v>
      </c>
      <c r="O464" t="s">
        <v>132</v>
      </c>
      <c r="P464" t="s">
        <v>3911</v>
      </c>
      <c r="R464" s="5">
        <v>42977.649351851855</v>
      </c>
      <c r="S464" s="5">
        <v>43237.513622685183</v>
      </c>
      <c r="T464" t="s">
        <v>86</v>
      </c>
      <c r="U464" t="s">
        <v>35</v>
      </c>
      <c r="V464" s="3" t="s">
        <v>321</v>
      </c>
      <c r="W464" s="3" t="s">
        <v>4098</v>
      </c>
      <c r="AM464" s="5"/>
      <c r="AN464" s="5"/>
      <c r="AQ464" s="6"/>
    </row>
    <row r="465" spans="2:43" x14ac:dyDescent="0.25">
      <c r="B465" t="s">
        <v>204</v>
      </c>
      <c r="C465">
        <v>104100</v>
      </c>
      <c r="D465" t="s">
        <v>3681</v>
      </c>
      <c r="E465" t="s">
        <v>514</v>
      </c>
      <c r="F465" t="s">
        <v>305</v>
      </c>
      <c r="G465" t="s">
        <v>337</v>
      </c>
      <c r="H465" t="s">
        <v>30</v>
      </c>
      <c r="I465" t="s">
        <v>31</v>
      </c>
      <c r="J465" t="s">
        <v>43</v>
      </c>
      <c r="K465" t="s">
        <v>51</v>
      </c>
      <c r="L465" t="s">
        <v>73</v>
      </c>
      <c r="M465" t="s">
        <v>263</v>
      </c>
      <c r="N465" t="s">
        <v>46</v>
      </c>
      <c r="O465" t="s">
        <v>3682</v>
      </c>
      <c r="P465" t="s">
        <v>85</v>
      </c>
      <c r="Q465" t="s">
        <v>85</v>
      </c>
      <c r="R465" s="5">
        <v>42977.246400462966</v>
      </c>
      <c r="S465" s="5">
        <v>43215.979224537034</v>
      </c>
      <c r="T465" t="s">
        <v>91</v>
      </c>
      <c r="U465" t="s">
        <v>35</v>
      </c>
      <c r="V465" s="3" t="s">
        <v>35</v>
      </c>
      <c r="W465" s="3" t="s">
        <v>4160</v>
      </c>
      <c r="AM465" s="5"/>
      <c r="AN465" s="5"/>
      <c r="AQ465" s="6"/>
    </row>
    <row r="466" spans="2:43" x14ac:dyDescent="0.25">
      <c r="B466" t="s">
        <v>246</v>
      </c>
      <c r="C466">
        <v>104097</v>
      </c>
      <c r="D466" t="s">
        <v>181</v>
      </c>
      <c r="E466" t="s">
        <v>4204</v>
      </c>
      <c r="F466" t="s">
        <v>319</v>
      </c>
      <c r="G466" t="s">
        <v>304</v>
      </c>
      <c r="H466" t="s">
        <v>54</v>
      </c>
      <c r="I466" t="s">
        <v>31</v>
      </c>
      <c r="J466" t="s">
        <v>43</v>
      </c>
      <c r="K466" t="s">
        <v>44</v>
      </c>
      <c r="L466" t="s">
        <v>73</v>
      </c>
      <c r="M466" t="s">
        <v>4205</v>
      </c>
      <c r="N466" t="s">
        <v>60</v>
      </c>
      <c r="P466" t="s">
        <v>69</v>
      </c>
      <c r="Q466" t="s">
        <v>3708</v>
      </c>
      <c r="R466" s="5">
        <v>42976.893518518518</v>
      </c>
      <c r="S466" s="5">
        <v>43423.927407407406</v>
      </c>
      <c r="T466" t="s">
        <v>1</v>
      </c>
      <c r="U466" t="s">
        <v>35</v>
      </c>
      <c r="V466" s="3" t="s">
        <v>35</v>
      </c>
      <c r="W466" s="3" t="s">
        <v>4098</v>
      </c>
      <c r="AM466" s="5"/>
      <c r="AN466" s="5"/>
      <c r="AQ466" s="6"/>
    </row>
    <row r="467" spans="2:43" x14ac:dyDescent="0.25">
      <c r="B467" t="s">
        <v>3519</v>
      </c>
      <c r="C467">
        <v>104095</v>
      </c>
      <c r="D467" t="s">
        <v>3680</v>
      </c>
      <c r="E467" t="s">
        <v>521</v>
      </c>
      <c r="F467" t="s">
        <v>305</v>
      </c>
      <c r="G467" t="s">
        <v>304</v>
      </c>
      <c r="H467" t="s">
        <v>116</v>
      </c>
      <c r="I467" t="s">
        <v>31</v>
      </c>
      <c r="J467" t="s">
        <v>32</v>
      </c>
      <c r="K467" t="s">
        <v>33</v>
      </c>
      <c r="L467" t="s">
        <v>73</v>
      </c>
      <c r="M467" t="s">
        <v>263</v>
      </c>
      <c r="N467" t="s">
        <v>518</v>
      </c>
      <c r="P467" t="s">
        <v>107</v>
      </c>
      <c r="Q467" t="s">
        <v>2481</v>
      </c>
      <c r="R467" s="5">
        <v>42976.706342592595</v>
      </c>
      <c r="S467" s="5">
        <v>43215.978379629632</v>
      </c>
      <c r="T467" t="s">
        <v>301</v>
      </c>
      <c r="U467" t="s">
        <v>4025</v>
      </c>
      <c r="V467" s="3" t="s">
        <v>321</v>
      </c>
      <c r="W467" s="3" t="s">
        <v>4172</v>
      </c>
      <c r="AM467" s="5"/>
      <c r="AN467" s="5"/>
      <c r="AQ467" s="6"/>
    </row>
    <row r="468" spans="2:43" x14ac:dyDescent="0.25">
      <c r="B468" t="s">
        <v>234</v>
      </c>
      <c r="C468">
        <v>104094</v>
      </c>
      <c r="D468" t="s">
        <v>568</v>
      </c>
      <c r="E468" t="s">
        <v>161</v>
      </c>
      <c r="F468" t="s">
        <v>305</v>
      </c>
      <c r="G468" t="s">
        <v>337</v>
      </c>
      <c r="H468" t="s">
        <v>54</v>
      </c>
      <c r="I468" t="s">
        <v>31</v>
      </c>
      <c r="J468" t="s">
        <v>32</v>
      </c>
      <c r="K468" t="s">
        <v>33</v>
      </c>
      <c r="L468" t="s">
        <v>45</v>
      </c>
      <c r="M468" t="s">
        <v>260</v>
      </c>
      <c r="N468" t="s">
        <v>518</v>
      </c>
      <c r="P468" t="s">
        <v>75</v>
      </c>
      <c r="Q468" t="s">
        <v>3708</v>
      </c>
      <c r="R468" s="5">
        <v>42976.703356481485</v>
      </c>
      <c r="S468" s="5">
        <v>43423.872430555559</v>
      </c>
      <c r="T468" t="s">
        <v>301</v>
      </c>
      <c r="U468" t="s">
        <v>35</v>
      </c>
      <c r="V468" s="3" t="s">
        <v>321</v>
      </c>
      <c r="W468" s="3" t="s">
        <v>4158</v>
      </c>
      <c r="AM468" s="5"/>
      <c r="AN468" s="5"/>
      <c r="AQ468" s="6"/>
    </row>
    <row r="469" spans="2:43" x14ac:dyDescent="0.25">
      <c r="B469" t="s">
        <v>245</v>
      </c>
      <c r="C469">
        <v>104046</v>
      </c>
      <c r="D469" t="s">
        <v>4824</v>
      </c>
      <c r="E469" t="s">
        <v>131</v>
      </c>
      <c r="F469" t="s">
        <v>319</v>
      </c>
      <c r="G469" t="s">
        <v>304</v>
      </c>
      <c r="H469" t="s">
        <v>54</v>
      </c>
      <c r="I469" t="s">
        <v>68</v>
      </c>
      <c r="J469" t="s">
        <v>43</v>
      </c>
      <c r="K469" t="s">
        <v>33</v>
      </c>
      <c r="L469" t="s">
        <v>73</v>
      </c>
      <c r="M469" t="s">
        <v>263</v>
      </c>
      <c r="N469" t="s">
        <v>60</v>
      </c>
      <c r="O469" t="s">
        <v>132</v>
      </c>
      <c r="P469" t="s">
        <v>107</v>
      </c>
      <c r="Q469" t="s">
        <v>3708</v>
      </c>
      <c r="R469" s="5">
        <v>42976.337835648148</v>
      </c>
      <c r="S469" s="5">
        <v>43423.898958333331</v>
      </c>
      <c r="T469" t="s">
        <v>4</v>
      </c>
      <c r="U469" t="s">
        <v>35</v>
      </c>
      <c r="V469" s="3" t="s">
        <v>35</v>
      </c>
      <c r="W469" s="3" t="s">
        <v>4098</v>
      </c>
      <c r="AM469" s="5"/>
      <c r="AN469" s="5"/>
      <c r="AQ469" s="6"/>
    </row>
    <row r="470" spans="2:43" x14ac:dyDescent="0.25">
      <c r="B470" t="s">
        <v>3678</v>
      </c>
      <c r="C470">
        <v>103877</v>
      </c>
      <c r="D470" t="s">
        <v>3679</v>
      </c>
      <c r="E470" t="s">
        <v>3440</v>
      </c>
      <c r="F470" t="s">
        <v>305</v>
      </c>
      <c r="G470" t="s">
        <v>304</v>
      </c>
      <c r="H470" t="s">
        <v>30</v>
      </c>
      <c r="I470" t="s">
        <v>57</v>
      </c>
      <c r="J470" t="s">
        <v>2183</v>
      </c>
      <c r="K470" t="s">
        <v>51</v>
      </c>
      <c r="L470" t="s">
        <v>380</v>
      </c>
      <c r="M470" t="s">
        <v>434</v>
      </c>
      <c r="N470" t="s">
        <v>46</v>
      </c>
      <c r="P470" t="s">
        <v>190</v>
      </c>
      <c r="Q470" t="s">
        <v>1503</v>
      </c>
      <c r="R470" s="5">
        <v>42970.284097222226</v>
      </c>
      <c r="S470" s="5">
        <v>43206.798807870371</v>
      </c>
      <c r="T470" t="s">
        <v>4</v>
      </c>
      <c r="U470" t="s">
        <v>35</v>
      </c>
      <c r="V470" s="3" t="s">
        <v>35</v>
      </c>
      <c r="W470" s="3" t="s">
        <v>307</v>
      </c>
      <c r="AM470" s="5"/>
      <c r="AN470" s="5"/>
      <c r="AQ470" s="6"/>
    </row>
    <row r="471" spans="2:43" x14ac:dyDescent="0.25">
      <c r="B471" t="s">
        <v>4819</v>
      </c>
      <c r="C471">
        <v>103778</v>
      </c>
      <c r="D471" t="s">
        <v>4820</v>
      </c>
      <c r="E471" t="s">
        <v>3608</v>
      </c>
      <c r="F471" t="s">
        <v>305</v>
      </c>
      <c r="G471" t="s">
        <v>304</v>
      </c>
      <c r="H471" t="s">
        <v>116</v>
      </c>
      <c r="I471" t="s">
        <v>31</v>
      </c>
      <c r="J471" t="s">
        <v>32</v>
      </c>
      <c r="K471" t="s">
        <v>44</v>
      </c>
      <c r="L471" t="s">
        <v>96</v>
      </c>
      <c r="M471" t="s">
        <v>267</v>
      </c>
      <c r="N471" t="s">
        <v>4821</v>
      </c>
      <c r="O471" t="s">
        <v>4822</v>
      </c>
      <c r="P471" t="s">
        <v>307</v>
      </c>
      <c r="Q471" t="s">
        <v>3748</v>
      </c>
      <c r="R471" s="5">
        <v>42965.653796296298</v>
      </c>
      <c r="S471" s="5">
        <v>43405.502337962964</v>
      </c>
      <c r="T471" t="s">
        <v>3608</v>
      </c>
      <c r="U471" t="s">
        <v>4823</v>
      </c>
      <c r="V471" s="3" t="s">
        <v>35</v>
      </c>
      <c r="W471" s="3" t="s">
        <v>4171</v>
      </c>
      <c r="AM471" s="5"/>
      <c r="AN471" s="5"/>
      <c r="AQ471" s="6"/>
    </row>
    <row r="472" spans="2:43" x14ac:dyDescent="0.25">
      <c r="B472" t="s">
        <v>3912</v>
      </c>
      <c r="C472">
        <v>103745</v>
      </c>
      <c r="D472" t="s">
        <v>3923</v>
      </c>
      <c r="E472" t="s">
        <v>3365</v>
      </c>
      <c r="F472" t="s">
        <v>305</v>
      </c>
      <c r="G472" t="s">
        <v>304</v>
      </c>
      <c r="H472" t="s">
        <v>54</v>
      </c>
      <c r="I472" t="s">
        <v>31</v>
      </c>
      <c r="J472" t="s">
        <v>32</v>
      </c>
      <c r="K472" t="s">
        <v>33</v>
      </c>
      <c r="L472" t="s">
        <v>34</v>
      </c>
      <c r="M472" t="s">
        <v>3780</v>
      </c>
      <c r="N472" t="s">
        <v>46</v>
      </c>
      <c r="O472" t="s">
        <v>3924</v>
      </c>
      <c r="P472" t="s">
        <v>3915</v>
      </c>
      <c r="Q472" t="s">
        <v>3915</v>
      </c>
      <c r="R472" s="5">
        <v>42964.725462962961</v>
      </c>
      <c r="S472" s="5">
        <v>43020.652002314811</v>
      </c>
      <c r="T472" t="s">
        <v>1917</v>
      </c>
      <c r="U472" t="s">
        <v>35</v>
      </c>
      <c r="V472" s="3" t="s">
        <v>35</v>
      </c>
      <c r="W472" s="3" t="s">
        <v>4155</v>
      </c>
      <c r="AM472" s="5"/>
      <c r="AN472" s="5"/>
      <c r="AQ472" s="6"/>
    </row>
    <row r="473" spans="2:43" x14ac:dyDescent="0.25">
      <c r="B473" t="s">
        <v>3912</v>
      </c>
      <c r="C473">
        <v>103744</v>
      </c>
      <c r="D473" t="s">
        <v>3922</v>
      </c>
      <c r="E473" t="s">
        <v>4660</v>
      </c>
      <c r="F473" t="s">
        <v>305</v>
      </c>
      <c r="G473" t="s">
        <v>337</v>
      </c>
      <c r="H473" t="s">
        <v>54</v>
      </c>
      <c r="I473" t="s">
        <v>68</v>
      </c>
      <c r="J473" t="s">
        <v>43</v>
      </c>
      <c r="K473" t="s">
        <v>33</v>
      </c>
      <c r="L473" t="s">
        <v>34</v>
      </c>
      <c r="M473" t="s">
        <v>3780</v>
      </c>
      <c r="N473" t="s">
        <v>46</v>
      </c>
      <c r="P473" t="s">
        <v>3915</v>
      </c>
      <c r="Q473" t="s">
        <v>2416</v>
      </c>
      <c r="R473" s="5">
        <v>42964.71230324074</v>
      </c>
      <c r="S473" s="5">
        <v>43299.561550925922</v>
      </c>
      <c r="T473" t="s">
        <v>1917</v>
      </c>
      <c r="U473" t="s">
        <v>35</v>
      </c>
      <c r="V473" s="3" t="s">
        <v>35</v>
      </c>
      <c r="W473" s="3" t="s">
        <v>4173</v>
      </c>
      <c r="AM473" s="5"/>
      <c r="AN473" s="5"/>
      <c r="AQ473" s="6"/>
    </row>
    <row r="474" spans="2:43" x14ac:dyDescent="0.25">
      <c r="B474" t="s">
        <v>3912</v>
      </c>
      <c r="C474">
        <v>103743</v>
      </c>
      <c r="D474" t="s">
        <v>3921</v>
      </c>
      <c r="E474" t="s">
        <v>3787</v>
      </c>
      <c r="F474" t="s">
        <v>319</v>
      </c>
      <c r="G474" t="s">
        <v>304</v>
      </c>
      <c r="H474" t="s">
        <v>54</v>
      </c>
      <c r="I474" t="s">
        <v>31</v>
      </c>
      <c r="J474" t="s">
        <v>32</v>
      </c>
      <c r="K474" t="s">
        <v>33</v>
      </c>
      <c r="L474" t="s">
        <v>34</v>
      </c>
      <c r="M474" t="s">
        <v>3780</v>
      </c>
      <c r="N474" t="s">
        <v>46</v>
      </c>
      <c r="O474" t="s">
        <v>4662</v>
      </c>
      <c r="P474" t="s">
        <v>3915</v>
      </c>
      <c r="Q474" t="s">
        <v>3911</v>
      </c>
      <c r="R474" s="5">
        <v>42964.712314814817</v>
      </c>
      <c r="S474" s="5">
        <v>43307.610879629632</v>
      </c>
      <c r="T474" t="s">
        <v>1917</v>
      </c>
      <c r="U474" t="s">
        <v>35</v>
      </c>
      <c r="V474" s="3" t="s">
        <v>35</v>
      </c>
      <c r="W474" s="3" t="s">
        <v>4098</v>
      </c>
      <c r="AM474" s="5"/>
      <c r="AN474" s="5"/>
      <c r="AQ474" s="6"/>
    </row>
    <row r="475" spans="2:43" x14ac:dyDescent="0.25">
      <c r="B475" t="s">
        <v>244</v>
      </c>
      <c r="C475">
        <v>103728</v>
      </c>
      <c r="D475" t="s">
        <v>3677</v>
      </c>
      <c r="E475" t="s">
        <v>180</v>
      </c>
      <c r="F475" t="s">
        <v>305</v>
      </c>
      <c r="G475" t="s">
        <v>304</v>
      </c>
      <c r="H475" t="s">
        <v>54</v>
      </c>
      <c r="I475" t="s">
        <v>31</v>
      </c>
      <c r="J475" t="s">
        <v>43</v>
      </c>
      <c r="K475" t="s">
        <v>44</v>
      </c>
      <c r="L475" t="s">
        <v>45</v>
      </c>
      <c r="M475" t="s">
        <v>260</v>
      </c>
      <c r="N475" t="s">
        <v>60</v>
      </c>
      <c r="P475" t="s">
        <v>133</v>
      </c>
      <c r="Q475" t="s">
        <v>133</v>
      </c>
      <c r="R475" s="5">
        <v>42964.455833333333</v>
      </c>
      <c r="S475" s="5">
        <v>43224.289166666669</v>
      </c>
      <c r="T475" t="s">
        <v>171</v>
      </c>
      <c r="U475" t="s">
        <v>35</v>
      </c>
      <c r="V475" s="3" t="s">
        <v>35</v>
      </c>
      <c r="W475" s="3" t="s">
        <v>307</v>
      </c>
      <c r="AM475" s="5"/>
      <c r="AN475" s="5"/>
      <c r="AQ475" s="6"/>
    </row>
    <row r="476" spans="2:43" x14ac:dyDescent="0.25">
      <c r="B476" t="s">
        <v>244</v>
      </c>
      <c r="C476">
        <v>103727</v>
      </c>
      <c r="D476" t="s">
        <v>179</v>
      </c>
      <c r="E476" t="s">
        <v>180</v>
      </c>
      <c r="F476" t="s">
        <v>319</v>
      </c>
      <c r="G476" t="s">
        <v>304</v>
      </c>
      <c r="H476" t="s">
        <v>54</v>
      </c>
      <c r="I476" t="s">
        <v>31</v>
      </c>
      <c r="J476" t="s">
        <v>43</v>
      </c>
      <c r="K476" t="s">
        <v>44</v>
      </c>
      <c r="L476" t="s">
        <v>45</v>
      </c>
      <c r="M476" t="s">
        <v>260</v>
      </c>
      <c r="N476" t="s">
        <v>60</v>
      </c>
      <c r="O476" t="s">
        <v>487</v>
      </c>
      <c r="P476" t="s">
        <v>133</v>
      </c>
      <c r="Q476" t="s">
        <v>3708</v>
      </c>
      <c r="R476" s="5">
        <v>42964.45585648148</v>
      </c>
      <c r="S476" s="5">
        <v>43423.907349537039</v>
      </c>
      <c r="T476" t="s">
        <v>171</v>
      </c>
      <c r="U476" t="s">
        <v>35</v>
      </c>
      <c r="V476" s="3" t="s">
        <v>35</v>
      </c>
      <c r="W476" s="3" t="s">
        <v>4098</v>
      </c>
      <c r="AM476" s="5"/>
      <c r="AN476" s="5"/>
      <c r="AQ476" s="6"/>
    </row>
    <row r="477" spans="2:43" x14ac:dyDescent="0.25">
      <c r="B477" t="s">
        <v>3674</v>
      </c>
      <c r="C477">
        <v>103703</v>
      </c>
      <c r="D477" t="s">
        <v>3675</v>
      </c>
      <c r="E477" t="s">
        <v>62</v>
      </c>
      <c r="F477" t="s">
        <v>305</v>
      </c>
      <c r="G477" t="s">
        <v>310</v>
      </c>
      <c r="H477" t="s">
        <v>54</v>
      </c>
      <c r="I477" t="s">
        <v>31</v>
      </c>
      <c r="J477" t="s">
        <v>32</v>
      </c>
      <c r="K477" t="s">
        <v>33</v>
      </c>
      <c r="L477" t="s">
        <v>45</v>
      </c>
      <c r="M477" t="s">
        <v>260</v>
      </c>
      <c r="N477" t="s">
        <v>60</v>
      </c>
      <c r="P477" t="s">
        <v>190</v>
      </c>
      <c r="Q477" t="s">
        <v>3676</v>
      </c>
      <c r="R477" s="5">
        <v>42963.870300925926</v>
      </c>
      <c r="S477" s="5">
        <v>43071.158518518518</v>
      </c>
      <c r="T477" t="s">
        <v>1</v>
      </c>
      <c r="U477" t="s">
        <v>35</v>
      </c>
      <c r="V477" s="3" t="s">
        <v>35</v>
      </c>
      <c r="W477" s="3" t="s">
        <v>4166</v>
      </c>
      <c r="AM477" s="5"/>
      <c r="AN477" s="5"/>
      <c r="AQ477" s="6"/>
    </row>
    <row r="478" spans="2:43" x14ac:dyDescent="0.25">
      <c r="B478" t="s">
        <v>3573</v>
      </c>
      <c r="C478">
        <v>103581</v>
      </c>
      <c r="D478" t="s">
        <v>3673</v>
      </c>
      <c r="E478" t="s">
        <v>72</v>
      </c>
      <c r="F478" t="s">
        <v>305</v>
      </c>
      <c r="G478" t="s">
        <v>353</v>
      </c>
      <c r="H478" t="s">
        <v>54</v>
      </c>
      <c r="I478" t="s">
        <v>31</v>
      </c>
      <c r="J478" t="s">
        <v>43</v>
      </c>
      <c r="K478" t="s">
        <v>44</v>
      </c>
      <c r="L478" t="s">
        <v>73</v>
      </c>
      <c r="M478" t="s">
        <v>263</v>
      </c>
      <c r="N478" t="s">
        <v>60</v>
      </c>
      <c r="P478" t="s">
        <v>3498</v>
      </c>
      <c r="Q478" t="s">
        <v>3575</v>
      </c>
      <c r="R478" s="5">
        <v>42958.840578703705</v>
      </c>
      <c r="S478" s="5">
        <v>43216.011944444443</v>
      </c>
      <c r="T478" t="s">
        <v>301</v>
      </c>
      <c r="U478" t="s">
        <v>35</v>
      </c>
      <c r="V478" s="3" t="s">
        <v>35</v>
      </c>
      <c r="W478" s="3" t="s">
        <v>4158</v>
      </c>
      <c r="AM478" s="5"/>
      <c r="AN478" s="5"/>
      <c r="AQ478" s="6"/>
    </row>
    <row r="479" spans="2:43" x14ac:dyDescent="0.25">
      <c r="B479" t="s">
        <v>3573</v>
      </c>
      <c r="C479">
        <v>103580</v>
      </c>
      <c r="D479" t="s">
        <v>3672</v>
      </c>
      <c r="E479" t="s">
        <v>84</v>
      </c>
      <c r="F479" t="s">
        <v>305</v>
      </c>
      <c r="G479" t="s">
        <v>353</v>
      </c>
      <c r="H479" t="s">
        <v>54</v>
      </c>
      <c r="I479" t="s">
        <v>31</v>
      </c>
      <c r="J479" t="s">
        <v>43</v>
      </c>
      <c r="K479" t="s">
        <v>44</v>
      </c>
      <c r="L479" t="s">
        <v>73</v>
      </c>
      <c r="M479" t="s">
        <v>263</v>
      </c>
      <c r="N479" t="s">
        <v>60</v>
      </c>
      <c r="P479" t="s">
        <v>3498</v>
      </c>
      <c r="Q479" t="s">
        <v>3575</v>
      </c>
      <c r="R479" s="5">
        <v>42958.839733796296</v>
      </c>
      <c r="S479" s="5">
        <v>43216.011956018519</v>
      </c>
      <c r="T479" t="s">
        <v>301</v>
      </c>
      <c r="U479" t="s">
        <v>35</v>
      </c>
      <c r="V479" s="3" t="s">
        <v>35</v>
      </c>
      <c r="W479" s="3" t="s">
        <v>307</v>
      </c>
      <c r="AM479" s="5"/>
      <c r="AN479" s="5"/>
      <c r="AQ479" s="6"/>
    </row>
    <row r="480" spans="2:43" x14ac:dyDescent="0.25">
      <c r="B480" t="s">
        <v>3669</v>
      </c>
      <c r="C480">
        <v>103574</v>
      </c>
      <c r="D480" t="s">
        <v>3670</v>
      </c>
      <c r="E480" t="s">
        <v>3671</v>
      </c>
      <c r="F480" t="s">
        <v>305</v>
      </c>
      <c r="G480" t="s">
        <v>304</v>
      </c>
      <c r="H480" t="s">
        <v>56</v>
      </c>
      <c r="I480" t="s">
        <v>68</v>
      </c>
      <c r="J480" t="s">
        <v>43</v>
      </c>
      <c r="K480" t="s">
        <v>33</v>
      </c>
      <c r="L480" t="s">
        <v>96</v>
      </c>
      <c r="M480" t="s">
        <v>275</v>
      </c>
      <c r="N480" t="s">
        <v>447</v>
      </c>
      <c r="O480" t="s">
        <v>3017</v>
      </c>
      <c r="P480" t="s">
        <v>133</v>
      </c>
      <c r="Q480" t="s">
        <v>2973</v>
      </c>
      <c r="R480" s="5">
        <v>42958.738645833335</v>
      </c>
      <c r="S480" s="5">
        <v>43214.207384259258</v>
      </c>
      <c r="T480" t="s">
        <v>5</v>
      </c>
      <c r="U480" t="s">
        <v>35</v>
      </c>
      <c r="V480" s="3" t="s">
        <v>35</v>
      </c>
      <c r="W480" s="3" t="s">
        <v>307</v>
      </c>
      <c r="AM480" s="5"/>
      <c r="AN480" s="5"/>
      <c r="AQ480" s="6"/>
    </row>
    <row r="481" spans="2:43" x14ac:dyDescent="0.25">
      <c r="B481" t="s">
        <v>228</v>
      </c>
      <c r="C481">
        <v>103460</v>
      </c>
      <c r="D481" t="s">
        <v>567</v>
      </c>
      <c r="E481" t="s">
        <v>175</v>
      </c>
      <c r="F481" t="s">
        <v>305</v>
      </c>
      <c r="G481" t="s">
        <v>337</v>
      </c>
      <c r="H481" t="s">
        <v>54</v>
      </c>
      <c r="I481" t="s">
        <v>31</v>
      </c>
      <c r="J481" t="s">
        <v>43</v>
      </c>
      <c r="K481" t="s">
        <v>44</v>
      </c>
      <c r="L481" t="s">
        <v>34</v>
      </c>
      <c r="M481" t="s">
        <v>278</v>
      </c>
      <c r="N481" t="s">
        <v>518</v>
      </c>
      <c r="O481" t="s">
        <v>515</v>
      </c>
      <c r="P481" t="s">
        <v>107</v>
      </c>
      <c r="Q481" t="s">
        <v>1503</v>
      </c>
      <c r="R481" s="5">
        <v>42956.967685185184</v>
      </c>
      <c r="S481" s="5">
        <v>43242.728819444441</v>
      </c>
      <c r="T481" t="s">
        <v>53</v>
      </c>
      <c r="U481" t="s">
        <v>35</v>
      </c>
      <c r="V481" s="3" t="s">
        <v>35</v>
      </c>
      <c r="W481" s="3" t="s">
        <v>4167</v>
      </c>
      <c r="AM481" s="5"/>
      <c r="AN481" s="5"/>
      <c r="AQ481" s="6"/>
    </row>
    <row r="482" spans="2:43" x14ac:dyDescent="0.25">
      <c r="B482" t="s">
        <v>236</v>
      </c>
      <c r="C482">
        <v>103459</v>
      </c>
      <c r="D482" t="s">
        <v>3667</v>
      </c>
      <c r="E482" t="s">
        <v>167</v>
      </c>
      <c r="F482" t="s">
        <v>305</v>
      </c>
      <c r="G482" t="s">
        <v>310</v>
      </c>
      <c r="H482" t="s">
        <v>54</v>
      </c>
      <c r="I482" t="s">
        <v>31</v>
      </c>
      <c r="J482" t="s">
        <v>43</v>
      </c>
      <c r="K482" t="s">
        <v>44</v>
      </c>
      <c r="L482" t="s">
        <v>34</v>
      </c>
      <c r="M482" t="s">
        <v>278</v>
      </c>
      <c r="N482" t="s">
        <v>518</v>
      </c>
      <c r="O482" t="s">
        <v>3668</v>
      </c>
      <c r="P482" t="s">
        <v>107</v>
      </c>
      <c r="Q482" t="s">
        <v>3590</v>
      </c>
      <c r="R482" s="5">
        <v>42956.96665509259</v>
      </c>
      <c r="S482" s="5">
        <v>43135.14603009259</v>
      </c>
      <c r="T482" t="s">
        <v>53</v>
      </c>
      <c r="U482" t="s">
        <v>35</v>
      </c>
      <c r="V482" s="3" t="s">
        <v>35</v>
      </c>
      <c r="W482" s="3" t="s">
        <v>4167</v>
      </c>
      <c r="AM482" s="5"/>
      <c r="AN482" s="5"/>
      <c r="AQ482" s="6"/>
    </row>
    <row r="483" spans="2:43" x14ac:dyDescent="0.25">
      <c r="B483" t="s">
        <v>235</v>
      </c>
      <c r="C483">
        <v>103456</v>
      </c>
      <c r="D483" t="s">
        <v>3666</v>
      </c>
      <c r="E483" t="s">
        <v>134</v>
      </c>
      <c r="F483" t="s">
        <v>305</v>
      </c>
      <c r="G483" t="s">
        <v>304</v>
      </c>
      <c r="H483" t="s">
        <v>54</v>
      </c>
      <c r="I483" t="s">
        <v>31</v>
      </c>
      <c r="J483" t="s">
        <v>43</v>
      </c>
      <c r="K483" t="s">
        <v>44</v>
      </c>
      <c r="L483" t="s">
        <v>34</v>
      </c>
      <c r="M483" t="s">
        <v>278</v>
      </c>
      <c r="N483" t="s">
        <v>518</v>
      </c>
      <c r="O483" t="s">
        <v>3634</v>
      </c>
      <c r="P483" t="s">
        <v>107</v>
      </c>
      <c r="Q483" t="s">
        <v>3593</v>
      </c>
      <c r="R483" s="5">
        <v>42956.961724537039</v>
      </c>
      <c r="S483" s="5">
        <v>43048.137106481481</v>
      </c>
      <c r="T483" t="s">
        <v>53</v>
      </c>
      <c r="U483" t="s">
        <v>4025</v>
      </c>
      <c r="V483" s="3" t="s">
        <v>35</v>
      </c>
      <c r="W483" s="3" t="s">
        <v>4167</v>
      </c>
      <c r="AM483" s="5"/>
      <c r="AN483" s="5"/>
      <c r="AQ483" s="6"/>
    </row>
    <row r="484" spans="2:43" x14ac:dyDescent="0.25">
      <c r="B484" t="s">
        <v>3420</v>
      </c>
      <c r="C484">
        <v>103366</v>
      </c>
      <c r="D484" t="s">
        <v>3665</v>
      </c>
      <c r="E484" t="s">
        <v>490</v>
      </c>
      <c r="F484" t="s">
        <v>305</v>
      </c>
      <c r="G484" t="s">
        <v>304</v>
      </c>
      <c r="H484" t="s">
        <v>56</v>
      </c>
      <c r="I484" t="s">
        <v>31</v>
      </c>
      <c r="J484" t="s">
        <v>32</v>
      </c>
      <c r="K484" t="s">
        <v>51</v>
      </c>
      <c r="L484" t="s">
        <v>73</v>
      </c>
      <c r="M484" t="s">
        <v>263</v>
      </c>
      <c r="N484" t="s">
        <v>60</v>
      </c>
      <c r="P484" t="s">
        <v>85</v>
      </c>
      <c r="Q484" t="s">
        <v>3428</v>
      </c>
      <c r="R484" s="5">
        <v>42955.502743055556</v>
      </c>
      <c r="S484" s="5">
        <v>43284.149664351855</v>
      </c>
      <c r="T484" t="s">
        <v>91</v>
      </c>
      <c r="U484" t="s">
        <v>35</v>
      </c>
      <c r="V484" s="3" t="s">
        <v>35</v>
      </c>
      <c r="W484" s="3" t="s">
        <v>4169</v>
      </c>
      <c r="AM484" s="5"/>
      <c r="AN484" s="5"/>
      <c r="AQ484" s="6"/>
    </row>
    <row r="485" spans="2:43" x14ac:dyDescent="0.25">
      <c r="B485" t="s">
        <v>3172</v>
      </c>
      <c r="C485">
        <v>103288</v>
      </c>
      <c r="D485" t="s">
        <v>3664</v>
      </c>
      <c r="E485" t="s">
        <v>180</v>
      </c>
      <c r="F485" t="s">
        <v>305</v>
      </c>
      <c r="G485" t="s">
        <v>353</v>
      </c>
      <c r="H485" t="s">
        <v>54</v>
      </c>
      <c r="I485" t="s">
        <v>31</v>
      </c>
      <c r="J485" t="s">
        <v>32</v>
      </c>
      <c r="K485" t="s">
        <v>33</v>
      </c>
      <c r="L485" t="s">
        <v>45</v>
      </c>
      <c r="M485" t="s">
        <v>260</v>
      </c>
      <c r="N485" t="s">
        <v>60</v>
      </c>
      <c r="P485" t="s">
        <v>107</v>
      </c>
      <c r="Q485" t="s">
        <v>2854</v>
      </c>
      <c r="R485" s="5">
        <v>42951.648969907408</v>
      </c>
      <c r="S485" s="5">
        <v>43060.15996527778</v>
      </c>
      <c r="T485" t="s">
        <v>1</v>
      </c>
      <c r="U485" t="s">
        <v>35</v>
      </c>
      <c r="V485" s="3" t="s">
        <v>321</v>
      </c>
      <c r="W485" s="3" t="s">
        <v>4156</v>
      </c>
      <c r="AM485" s="5"/>
      <c r="AN485" s="5"/>
      <c r="AQ485" s="6"/>
    </row>
    <row r="486" spans="2:43" x14ac:dyDescent="0.25">
      <c r="B486" t="s">
        <v>205</v>
      </c>
      <c r="C486">
        <v>103241</v>
      </c>
      <c r="D486" t="s">
        <v>566</v>
      </c>
      <c r="E486" t="s">
        <v>175</v>
      </c>
      <c r="F486" t="s">
        <v>305</v>
      </c>
      <c r="G486" t="s">
        <v>310</v>
      </c>
      <c r="H486" t="s">
        <v>30</v>
      </c>
      <c r="I486" t="s">
        <v>31</v>
      </c>
      <c r="J486" t="s">
        <v>43</v>
      </c>
      <c r="K486" t="s">
        <v>51</v>
      </c>
      <c r="L486" t="s">
        <v>34</v>
      </c>
      <c r="M486" t="s">
        <v>266</v>
      </c>
      <c r="N486" t="s">
        <v>518</v>
      </c>
      <c r="P486" t="s">
        <v>69</v>
      </c>
      <c r="Q486" t="s">
        <v>89</v>
      </c>
      <c r="R486" s="5">
        <v>42950.988506944443</v>
      </c>
      <c r="S486" s="5">
        <v>43192.157210648147</v>
      </c>
      <c r="T486" t="s">
        <v>53</v>
      </c>
      <c r="U486" t="s">
        <v>35</v>
      </c>
      <c r="V486" s="3" t="s">
        <v>35</v>
      </c>
      <c r="W486" s="3" t="s">
        <v>4167</v>
      </c>
      <c r="AM486" s="5"/>
      <c r="AN486" s="5"/>
      <c r="AQ486" s="6"/>
    </row>
    <row r="487" spans="2:43" x14ac:dyDescent="0.25">
      <c r="B487" t="s">
        <v>227</v>
      </c>
      <c r="C487">
        <v>103231</v>
      </c>
      <c r="D487" t="s">
        <v>3663</v>
      </c>
      <c r="E487" t="s">
        <v>296</v>
      </c>
      <c r="F487" t="s">
        <v>305</v>
      </c>
      <c r="G487" t="s">
        <v>310</v>
      </c>
      <c r="H487" t="s">
        <v>54</v>
      </c>
      <c r="I487" t="s">
        <v>68</v>
      </c>
      <c r="J487" t="s">
        <v>58</v>
      </c>
      <c r="K487" t="s">
        <v>44</v>
      </c>
      <c r="L487" t="s">
        <v>73</v>
      </c>
      <c r="M487" t="s">
        <v>277</v>
      </c>
      <c r="N487" t="s">
        <v>60</v>
      </c>
      <c r="P487" t="s">
        <v>133</v>
      </c>
      <c r="Q487" t="s">
        <v>528</v>
      </c>
      <c r="R487" s="5">
        <v>42950.768935185188</v>
      </c>
      <c r="S487" s="5">
        <v>43086.136990740742</v>
      </c>
      <c r="T487" t="s">
        <v>288</v>
      </c>
      <c r="U487" t="s">
        <v>35</v>
      </c>
      <c r="V487" s="3" t="s">
        <v>35</v>
      </c>
      <c r="W487" s="3" t="s">
        <v>428</v>
      </c>
      <c r="AM487" s="5"/>
      <c r="AN487" s="5"/>
      <c r="AQ487" s="6"/>
    </row>
    <row r="488" spans="2:43" x14ac:dyDescent="0.25">
      <c r="B488" t="s">
        <v>3654</v>
      </c>
      <c r="C488">
        <v>103209</v>
      </c>
      <c r="D488" t="s">
        <v>3662</v>
      </c>
      <c r="E488" t="s">
        <v>4</v>
      </c>
      <c r="F488" t="s">
        <v>305</v>
      </c>
      <c r="G488" t="s">
        <v>328</v>
      </c>
      <c r="H488" t="s">
        <v>54</v>
      </c>
      <c r="I488" t="s">
        <v>68</v>
      </c>
      <c r="J488" t="s">
        <v>43</v>
      </c>
      <c r="K488" t="s">
        <v>33</v>
      </c>
      <c r="L488" t="s">
        <v>73</v>
      </c>
      <c r="M488" t="s">
        <v>263</v>
      </c>
      <c r="N488" t="s">
        <v>60</v>
      </c>
      <c r="P488" t="s">
        <v>133</v>
      </c>
      <c r="Q488" t="s">
        <v>133</v>
      </c>
      <c r="R488" s="5">
        <v>42950.476770833331</v>
      </c>
      <c r="S488" s="5">
        <v>43216.013506944444</v>
      </c>
      <c r="T488" t="s">
        <v>301</v>
      </c>
      <c r="U488" t="s">
        <v>35</v>
      </c>
      <c r="V488" s="3" t="s">
        <v>35</v>
      </c>
      <c r="W488" s="3" t="s">
        <v>4166</v>
      </c>
      <c r="AM488" s="5"/>
      <c r="AN488" s="5"/>
      <c r="AQ488" s="6"/>
    </row>
    <row r="489" spans="2:43" x14ac:dyDescent="0.25">
      <c r="B489" t="s">
        <v>243</v>
      </c>
      <c r="C489">
        <v>103207</v>
      </c>
      <c r="D489" t="s">
        <v>565</v>
      </c>
      <c r="E489" t="s">
        <v>387</v>
      </c>
      <c r="F489" t="s">
        <v>305</v>
      </c>
      <c r="G489" t="s">
        <v>337</v>
      </c>
      <c r="H489" t="s">
        <v>54</v>
      </c>
      <c r="I489" t="s">
        <v>68</v>
      </c>
      <c r="J489" t="s">
        <v>43</v>
      </c>
      <c r="K489" t="s">
        <v>33</v>
      </c>
      <c r="L489" t="s">
        <v>73</v>
      </c>
      <c r="M489" t="s">
        <v>263</v>
      </c>
      <c r="N489" t="s">
        <v>60</v>
      </c>
      <c r="P489" t="s">
        <v>107</v>
      </c>
      <c r="Q489" t="s">
        <v>3708</v>
      </c>
      <c r="R489" s="5">
        <v>42950.470613425925</v>
      </c>
      <c r="S489" s="5">
        <v>43423.863576388889</v>
      </c>
      <c r="T489" t="s">
        <v>301</v>
      </c>
      <c r="U489" t="s">
        <v>35</v>
      </c>
      <c r="V489" s="3" t="s">
        <v>35</v>
      </c>
      <c r="W489" s="3" t="s">
        <v>4156</v>
      </c>
      <c r="AM489" s="5"/>
      <c r="AN489" s="5"/>
      <c r="AQ489" s="6"/>
    </row>
    <row r="490" spans="2:43" x14ac:dyDescent="0.25">
      <c r="B490" t="s">
        <v>243</v>
      </c>
      <c r="C490">
        <v>103171</v>
      </c>
      <c r="D490" t="s">
        <v>178</v>
      </c>
      <c r="E490" t="s">
        <v>387</v>
      </c>
      <c r="F490" t="s">
        <v>305</v>
      </c>
      <c r="G490" t="s">
        <v>353</v>
      </c>
      <c r="H490" t="s">
        <v>56</v>
      </c>
      <c r="I490" t="s">
        <v>68</v>
      </c>
      <c r="J490" t="s">
        <v>43</v>
      </c>
      <c r="K490" t="s">
        <v>33</v>
      </c>
      <c r="L490" t="s">
        <v>73</v>
      </c>
      <c r="M490" t="s">
        <v>263</v>
      </c>
      <c r="N490" t="s">
        <v>60</v>
      </c>
      <c r="P490" t="s">
        <v>107</v>
      </c>
      <c r="Q490" t="s">
        <v>3708</v>
      </c>
      <c r="R490" s="5">
        <v>42949.790347222224</v>
      </c>
      <c r="S490" s="5">
        <v>43459.15525462963</v>
      </c>
      <c r="T490" t="s">
        <v>2</v>
      </c>
      <c r="U490" t="s">
        <v>35</v>
      </c>
      <c r="V490" s="3" t="s">
        <v>35</v>
      </c>
      <c r="W490" s="3" t="s">
        <v>4098</v>
      </c>
      <c r="AM490" s="5"/>
      <c r="AN490" s="5"/>
      <c r="AQ490" s="6"/>
    </row>
    <row r="491" spans="2:43" x14ac:dyDescent="0.25">
      <c r="B491" t="s">
        <v>3311</v>
      </c>
      <c r="C491">
        <v>103157</v>
      </c>
      <c r="D491" t="s">
        <v>3660</v>
      </c>
      <c r="E491" t="s">
        <v>84</v>
      </c>
      <c r="F491" t="s">
        <v>305</v>
      </c>
      <c r="G491" t="s">
        <v>304</v>
      </c>
      <c r="H491" t="s">
        <v>54</v>
      </c>
      <c r="I491" t="s">
        <v>31</v>
      </c>
      <c r="J491" t="s">
        <v>32</v>
      </c>
      <c r="K491" t="s">
        <v>33</v>
      </c>
      <c r="L491" t="s">
        <v>73</v>
      </c>
      <c r="M491" t="s">
        <v>263</v>
      </c>
      <c r="N491" t="s">
        <v>579</v>
      </c>
      <c r="O491" t="s">
        <v>2895</v>
      </c>
      <c r="P491" t="s">
        <v>3233</v>
      </c>
      <c r="Q491" t="s">
        <v>3661</v>
      </c>
      <c r="R491" s="5">
        <v>42949.505046296297</v>
      </c>
      <c r="S491" s="5">
        <v>43215.976030092592</v>
      </c>
      <c r="T491" t="s">
        <v>84</v>
      </c>
      <c r="U491" t="s">
        <v>35</v>
      </c>
      <c r="V491" s="3" t="s">
        <v>321</v>
      </c>
      <c r="W491" s="3" t="s">
        <v>3661</v>
      </c>
      <c r="AM491" s="5"/>
      <c r="AN491" s="5"/>
      <c r="AQ491" s="6"/>
    </row>
    <row r="492" spans="2:43" x14ac:dyDescent="0.25">
      <c r="B492" t="s">
        <v>3315</v>
      </c>
      <c r="C492">
        <v>103155</v>
      </c>
      <c r="D492" t="s">
        <v>3659</v>
      </c>
      <c r="E492" t="s">
        <v>84</v>
      </c>
      <c r="F492" t="s">
        <v>305</v>
      </c>
      <c r="G492" t="s">
        <v>304</v>
      </c>
      <c r="H492" t="s">
        <v>30</v>
      </c>
      <c r="I492" t="s">
        <v>31</v>
      </c>
      <c r="J492" t="s">
        <v>43</v>
      </c>
      <c r="K492" t="s">
        <v>51</v>
      </c>
      <c r="L492" t="s">
        <v>73</v>
      </c>
      <c r="M492" t="s">
        <v>263</v>
      </c>
      <c r="N492" t="s">
        <v>46</v>
      </c>
      <c r="O492" t="s">
        <v>2895</v>
      </c>
      <c r="P492" t="s">
        <v>85</v>
      </c>
      <c r="Q492" t="s">
        <v>85</v>
      </c>
      <c r="R492" s="5">
        <v>42949.502465277779</v>
      </c>
      <c r="S492" s="5">
        <v>43215.975405092591</v>
      </c>
      <c r="T492" t="s">
        <v>84</v>
      </c>
      <c r="U492" t="s">
        <v>35</v>
      </c>
      <c r="V492" s="3" t="s">
        <v>35</v>
      </c>
      <c r="W492" s="3" t="s">
        <v>3661</v>
      </c>
      <c r="AM492" s="5"/>
      <c r="AN492" s="5"/>
      <c r="AQ492" s="6"/>
    </row>
    <row r="493" spans="2:43" x14ac:dyDescent="0.25">
      <c r="B493" t="s">
        <v>217</v>
      </c>
      <c r="C493">
        <v>103154</v>
      </c>
      <c r="D493" t="s">
        <v>3657</v>
      </c>
      <c r="E493" t="s">
        <v>3658</v>
      </c>
      <c r="F493" t="s">
        <v>305</v>
      </c>
      <c r="G493" t="s">
        <v>304</v>
      </c>
      <c r="H493" t="s">
        <v>54</v>
      </c>
      <c r="I493" t="s">
        <v>31</v>
      </c>
      <c r="J493" t="s">
        <v>32</v>
      </c>
      <c r="K493" t="s">
        <v>44</v>
      </c>
      <c r="L493" t="s">
        <v>73</v>
      </c>
      <c r="M493" t="s">
        <v>263</v>
      </c>
      <c r="N493" t="s">
        <v>60</v>
      </c>
      <c r="O493" t="s">
        <v>2895</v>
      </c>
      <c r="P493" t="s">
        <v>92</v>
      </c>
      <c r="Q493" t="s">
        <v>3041</v>
      </c>
      <c r="R493" s="5">
        <v>42949.484155092592</v>
      </c>
      <c r="S493" s="5">
        <v>43215.974803240744</v>
      </c>
      <c r="T493" t="s">
        <v>84</v>
      </c>
      <c r="U493" t="s">
        <v>35</v>
      </c>
      <c r="V493" s="3" t="s">
        <v>35</v>
      </c>
      <c r="W493" s="3" t="s">
        <v>3661</v>
      </c>
      <c r="AM493" s="5"/>
      <c r="AN493" s="5"/>
      <c r="AQ493" s="6"/>
    </row>
    <row r="494" spans="2:43" x14ac:dyDescent="0.25">
      <c r="B494" t="s">
        <v>3654</v>
      </c>
      <c r="C494">
        <v>103143</v>
      </c>
      <c r="D494" t="s">
        <v>3655</v>
      </c>
      <c r="E494" t="s">
        <v>4</v>
      </c>
      <c r="F494" t="s">
        <v>305</v>
      </c>
      <c r="G494" t="s">
        <v>328</v>
      </c>
      <c r="H494" t="s">
        <v>54</v>
      </c>
      <c r="I494" t="s">
        <v>68</v>
      </c>
      <c r="J494" t="s">
        <v>43</v>
      </c>
      <c r="K494" t="s">
        <v>33</v>
      </c>
      <c r="L494" t="s">
        <v>73</v>
      </c>
      <c r="M494" t="s">
        <v>263</v>
      </c>
      <c r="N494" t="s">
        <v>60</v>
      </c>
      <c r="O494" t="s">
        <v>3656</v>
      </c>
      <c r="P494" t="s">
        <v>133</v>
      </c>
      <c r="Q494" t="s">
        <v>133</v>
      </c>
      <c r="R494" s="5">
        <v>42949.291342592594</v>
      </c>
      <c r="S494" s="5">
        <v>43216.013506944444</v>
      </c>
      <c r="T494" t="s">
        <v>4</v>
      </c>
      <c r="U494" t="s">
        <v>35</v>
      </c>
      <c r="V494" s="3" t="s">
        <v>35</v>
      </c>
      <c r="W494" s="3" t="s">
        <v>4098</v>
      </c>
      <c r="AM494" s="5"/>
      <c r="AN494" s="5"/>
      <c r="AQ494" s="6"/>
    </row>
    <row r="495" spans="2:43" x14ac:dyDescent="0.25">
      <c r="B495" t="s">
        <v>5129</v>
      </c>
      <c r="C495">
        <v>103075</v>
      </c>
      <c r="D495" t="s">
        <v>5130</v>
      </c>
      <c r="E495" t="s">
        <v>88</v>
      </c>
      <c r="F495" t="s">
        <v>319</v>
      </c>
      <c r="G495" t="s">
        <v>304</v>
      </c>
      <c r="H495" t="s">
        <v>116</v>
      </c>
      <c r="I495" t="s">
        <v>68</v>
      </c>
      <c r="J495" t="s">
        <v>43</v>
      </c>
      <c r="K495" t="s">
        <v>33</v>
      </c>
      <c r="L495" t="s">
        <v>34</v>
      </c>
      <c r="M495" t="s">
        <v>266</v>
      </c>
      <c r="N495" t="s">
        <v>46</v>
      </c>
      <c r="P495" t="s">
        <v>69</v>
      </c>
      <c r="R495" s="5">
        <v>42947.805312500001</v>
      </c>
      <c r="S495" s="5">
        <v>43475.316076388888</v>
      </c>
      <c r="T495" t="s">
        <v>1747</v>
      </c>
      <c r="U495" t="s">
        <v>35</v>
      </c>
      <c r="V495" s="3" t="s">
        <v>35</v>
      </c>
      <c r="W495" s="3" t="s">
        <v>4143</v>
      </c>
      <c r="AM495" s="5"/>
      <c r="AN495" s="5"/>
      <c r="AQ495" s="6"/>
    </row>
    <row r="496" spans="2:43" x14ac:dyDescent="0.25">
      <c r="B496" t="s">
        <v>244</v>
      </c>
      <c r="C496">
        <v>103055</v>
      </c>
      <c r="D496" t="s">
        <v>564</v>
      </c>
      <c r="E496" t="s">
        <v>180</v>
      </c>
      <c r="F496" t="s">
        <v>305</v>
      </c>
      <c r="G496" t="s">
        <v>337</v>
      </c>
      <c r="H496" t="s">
        <v>54</v>
      </c>
      <c r="I496" t="s">
        <v>31</v>
      </c>
      <c r="J496" t="s">
        <v>43</v>
      </c>
      <c r="K496" t="s">
        <v>44</v>
      </c>
      <c r="L496" t="s">
        <v>45</v>
      </c>
      <c r="M496" t="s">
        <v>260</v>
      </c>
      <c r="N496" t="s">
        <v>60</v>
      </c>
      <c r="O496" t="s">
        <v>487</v>
      </c>
      <c r="P496" t="s">
        <v>133</v>
      </c>
      <c r="Q496" t="s">
        <v>3708</v>
      </c>
      <c r="R496" s="5">
        <v>42947.502384259256</v>
      </c>
      <c r="S496" s="5">
        <v>43423.866736111115</v>
      </c>
      <c r="T496" t="s">
        <v>4</v>
      </c>
      <c r="U496" t="s">
        <v>35</v>
      </c>
      <c r="V496" s="3" t="s">
        <v>35</v>
      </c>
      <c r="W496" s="3" t="s">
        <v>4163</v>
      </c>
      <c r="AM496" s="5"/>
      <c r="AN496" s="5"/>
      <c r="AQ496" s="6"/>
    </row>
    <row r="497" spans="2:43" x14ac:dyDescent="0.25">
      <c r="B497" t="s">
        <v>3646</v>
      </c>
      <c r="C497">
        <v>102933</v>
      </c>
      <c r="D497" t="s">
        <v>3652</v>
      </c>
      <c r="E497" t="s">
        <v>70</v>
      </c>
      <c r="F497" t="s">
        <v>319</v>
      </c>
      <c r="G497" t="s">
        <v>304</v>
      </c>
      <c r="H497" t="s">
        <v>30</v>
      </c>
      <c r="I497" t="s">
        <v>31</v>
      </c>
      <c r="J497" t="s">
        <v>43</v>
      </c>
      <c r="K497" t="s">
        <v>51</v>
      </c>
      <c r="L497" t="s">
        <v>73</v>
      </c>
      <c r="M497" t="s">
        <v>3648</v>
      </c>
      <c r="N497" t="s">
        <v>60</v>
      </c>
      <c r="O497" t="s">
        <v>3653</v>
      </c>
      <c r="P497" t="s">
        <v>307</v>
      </c>
      <c r="R497" s="5">
        <v>42942.805254629631</v>
      </c>
      <c r="S497" s="5">
        <v>43215.872662037036</v>
      </c>
      <c r="T497" t="s">
        <v>301</v>
      </c>
      <c r="U497" t="s">
        <v>4024</v>
      </c>
      <c r="V497" s="3" t="s">
        <v>35</v>
      </c>
      <c r="W497" s="3" t="s">
        <v>4172</v>
      </c>
      <c r="AM497" s="5"/>
      <c r="AN497" s="5"/>
      <c r="AQ497" s="6"/>
    </row>
    <row r="498" spans="2:43" x14ac:dyDescent="0.25">
      <c r="B498" t="s">
        <v>3644</v>
      </c>
      <c r="C498">
        <v>102932</v>
      </c>
      <c r="D498" t="s">
        <v>3651</v>
      </c>
      <c r="E498" t="s">
        <v>82</v>
      </c>
      <c r="F498" t="s">
        <v>305</v>
      </c>
      <c r="G498" t="s">
        <v>353</v>
      </c>
      <c r="H498" t="s">
        <v>30</v>
      </c>
      <c r="I498" t="s">
        <v>31</v>
      </c>
      <c r="J498" t="s">
        <v>32</v>
      </c>
      <c r="K498" t="s">
        <v>44</v>
      </c>
      <c r="L498" t="s">
        <v>73</v>
      </c>
      <c r="M498" t="s">
        <v>263</v>
      </c>
      <c r="N498" t="s">
        <v>60</v>
      </c>
      <c r="P498" t="s">
        <v>133</v>
      </c>
      <c r="Q498" t="s">
        <v>133</v>
      </c>
      <c r="R498" s="5">
        <v>42942.790335648147</v>
      </c>
      <c r="S498" s="5">
        <v>43216.012499999997</v>
      </c>
      <c r="T498" t="s">
        <v>301</v>
      </c>
      <c r="U498" t="s">
        <v>35</v>
      </c>
      <c r="V498" s="3" t="s">
        <v>35</v>
      </c>
      <c r="W498" s="3" t="s">
        <v>69</v>
      </c>
      <c r="AM498" s="5"/>
      <c r="AN498" s="5"/>
      <c r="AQ498" s="6"/>
    </row>
    <row r="499" spans="2:43" x14ac:dyDescent="0.25">
      <c r="B499" t="s">
        <v>242</v>
      </c>
      <c r="C499">
        <v>102931</v>
      </c>
      <c r="D499" t="s">
        <v>3650</v>
      </c>
      <c r="E499" t="s">
        <v>170</v>
      </c>
      <c r="F499" t="s">
        <v>305</v>
      </c>
      <c r="G499" t="s">
        <v>337</v>
      </c>
      <c r="H499" t="s">
        <v>54</v>
      </c>
      <c r="I499" t="s">
        <v>68</v>
      </c>
      <c r="J499" t="s">
        <v>58</v>
      </c>
      <c r="K499" t="s">
        <v>44</v>
      </c>
      <c r="L499" t="s">
        <v>73</v>
      </c>
      <c r="M499" t="s">
        <v>263</v>
      </c>
      <c r="N499" t="s">
        <v>60</v>
      </c>
      <c r="P499" t="s">
        <v>107</v>
      </c>
      <c r="Q499" t="s">
        <v>159</v>
      </c>
      <c r="R499" s="5">
        <v>42942.789618055554</v>
      </c>
      <c r="S499" s="5">
        <v>43215.848796296297</v>
      </c>
      <c r="T499" t="s">
        <v>301</v>
      </c>
      <c r="U499" t="s">
        <v>35</v>
      </c>
      <c r="V499" s="3" t="s">
        <v>35</v>
      </c>
      <c r="W499" s="3" t="s">
        <v>69</v>
      </c>
      <c r="AM499" s="5"/>
      <c r="AN499" s="5"/>
      <c r="AQ499" s="6"/>
    </row>
    <row r="500" spans="2:43" x14ac:dyDescent="0.25">
      <c r="B500" t="s">
        <v>242</v>
      </c>
      <c r="C500">
        <v>102930</v>
      </c>
      <c r="D500" t="s">
        <v>4818</v>
      </c>
      <c r="E500" t="s">
        <v>435</v>
      </c>
      <c r="F500" t="s">
        <v>42</v>
      </c>
      <c r="H500" t="s">
        <v>54</v>
      </c>
      <c r="I500" t="s">
        <v>68</v>
      </c>
      <c r="J500" t="s">
        <v>58</v>
      </c>
      <c r="K500" t="s">
        <v>44</v>
      </c>
      <c r="L500" t="s">
        <v>73</v>
      </c>
      <c r="M500" t="s">
        <v>263</v>
      </c>
      <c r="N500" t="s">
        <v>60</v>
      </c>
      <c r="O500" t="s">
        <v>177</v>
      </c>
      <c r="P500" t="s">
        <v>107</v>
      </c>
      <c r="R500" s="5">
        <v>42942.788298611114</v>
      </c>
      <c r="S500" s="5">
        <v>43382.690289351849</v>
      </c>
      <c r="T500" t="s">
        <v>301</v>
      </c>
      <c r="U500" t="s">
        <v>35</v>
      </c>
      <c r="V500" s="3" t="s">
        <v>35</v>
      </c>
      <c r="W500" s="3" t="s">
        <v>4166</v>
      </c>
      <c r="AM500" s="5"/>
      <c r="AN500" s="5"/>
      <c r="AQ500" s="6"/>
    </row>
    <row r="501" spans="2:43" x14ac:dyDescent="0.25">
      <c r="B501" t="s">
        <v>3644</v>
      </c>
      <c r="C501">
        <v>102929</v>
      </c>
      <c r="D501" t="s">
        <v>3649</v>
      </c>
      <c r="E501" t="s">
        <v>82</v>
      </c>
      <c r="F501" t="s">
        <v>305</v>
      </c>
      <c r="G501" t="s">
        <v>353</v>
      </c>
      <c r="H501" t="s">
        <v>56</v>
      </c>
      <c r="I501" t="s">
        <v>31</v>
      </c>
      <c r="J501" t="s">
        <v>32</v>
      </c>
      <c r="K501" t="s">
        <v>44</v>
      </c>
      <c r="L501" t="s">
        <v>73</v>
      </c>
      <c r="M501" t="s">
        <v>263</v>
      </c>
      <c r="N501" t="s">
        <v>46</v>
      </c>
      <c r="P501" t="s">
        <v>133</v>
      </c>
      <c r="Q501" t="s">
        <v>133</v>
      </c>
      <c r="R501" s="5">
        <v>42942.787546296298</v>
      </c>
      <c r="S501" s="5">
        <v>43216.012499999997</v>
      </c>
      <c r="T501" t="s">
        <v>301</v>
      </c>
      <c r="U501" t="s">
        <v>35</v>
      </c>
      <c r="V501" s="3" t="s">
        <v>35</v>
      </c>
      <c r="W501" s="3" t="s">
        <v>307</v>
      </c>
      <c r="AM501" s="5"/>
      <c r="AN501" s="5"/>
      <c r="AQ501" s="6"/>
    </row>
    <row r="502" spans="2:43" x14ac:dyDescent="0.25">
      <c r="B502" t="s">
        <v>3646</v>
      </c>
      <c r="C502">
        <v>102928</v>
      </c>
      <c r="D502" t="s">
        <v>4203</v>
      </c>
      <c r="E502" t="s">
        <v>560</v>
      </c>
      <c r="F502" t="s">
        <v>305</v>
      </c>
      <c r="G502" t="s">
        <v>304</v>
      </c>
      <c r="H502" t="s">
        <v>54</v>
      </c>
      <c r="I502" t="s">
        <v>31</v>
      </c>
      <c r="J502" t="s">
        <v>43</v>
      </c>
      <c r="K502" t="s">
        <v>44</v>
      </c>
      <c r="L502" t="s">
        <v>73</v>
      </c>
      <c r="M502" t="s">
        <v>3648</v>
      </c>
      <c r="N502" t="s">
        <v>60</v>
      </c>
      <c r="P502" t="s">
        <v>307</v>
      </c>
      <c r="R502" s="5">
        <v>42942.786932870367</v>
      </c>
      <c r="S502" s="5">
        <v>43231.080069444448</v>
      </c>
      <c r="T502" t="s">
        <v>301</v>
      </c>
      <c r="U502" t="s">
        <v>35</v>
      </c>
      <c r="V502" s="3" t="s">
        <v>35</v>
      </c>
      <c r="W502" s="3" t="s">
        <v>307</v>
      </c>
      <c r="AM502" s="5"/>
      <c r="AN502" s="5"/>
      <c r="AQ502" s="6"/>
    </row>
    <row r="503" spans="2:43" x14ac:dyDescent="0.25">
      <c r="B503" t="s">
        <v>4201</v>
      </c>
      <c r="C503">
        <v>102927</v>
      </c>
      <c r="D503" t="s">
        <v>4202</v>
      </c>
      <c r="E503" t="s">
        <v>560</v>
      </c>
      <c r="F503" t="s">
        <v>305</v>
      </c>
      <c r="G503" t="s">
        <v>304</v>
      </c>
      <c r="H503" t="s">
        <v>54</v>
      </c>
      <c r="I503" t="s">
        <v>68</v>
      </c>
      <c r="J503" t="s">
        <v>43</v>
      </c>
      <c r="K503" t="s">
        <v>33</v>
      </c>
      <c r="L503" t="s">
        <v>73</v>
      </c>
      <c r="M503" t="s">
        <v>3648</v>
      </c>
      <c r="N503" t="s">
        <v>46</v>
      </c>
      <c r="P503" t="s">
        <v>307</v>
      </c>
      <c r="R503" s="5">
        <v>42942.783530092594</v>
      </c>
      <c r="S503" s="5">
        <v>43215.849814814814</v>
      </c>
      <c r="T503" t="s">
        <v>301</v>
      </c>
      <c r="U503" t="s">
        <v>35</v>
      </c>
      <c r="V503" s="3" t="s">
        <v>35</v>
      </c>
      <c r="W503" s="3" t="s">
        <v>307</v>
      </c>
      <c r="AM503" s="5"/>
      <c r="AN503" s="5"/>
      <c r="AQ503" s="6"/>
    </row>
    <row r="504" spans="2:43" x14ac:dyDescent="0.25">
      <c r="B504" t="s">
        <v>3646</v>
      </c>
      <c r="C504">
        <v>102847</v>
      </c>
      <c r="D504" t="s">
        <v>3647</v>
      </c>
      <c r="E504" t="s">
        <v>560</v>
      </c>
      <c r="F504" t="s">
        <v>319</v>
      </c>
      <c r="G504" t="s">
        <v>304</v>
      </c>
      <c r="H504" t="s">
        <v>54</v>
      </c>
      <c r="I504" t="s">
        <v>31</v>
      </c>
      <c r="J504" t="s">
        <v>43</v>
      </c>
      <c r="K504" t="s">
        <v>44</v>
      </c>
      <c r="L504" t="s">
        <v>73</v>
      </c>
      <c r="M504" t="s">
        <v>3648</v>
      </c>
      <c r="N504" t="s">
        <v>46</v>
      </c>
      <c r="P504" t="s">
        <v>307</v>
      </c>
      <c r="R504" s="5">
        <v>42941.646145833336</v>
      </c>
      <c r="S504" s="5">
        <v>43215.872650462959</v>
      </c>
      <c r="T504" t="s">
        <v>70</v>
      </c>
      <c r="U504" t="s">
        <v>35</v>
      </c>
      <c r="V504" s="3" t="s">
        <v>35</v>
      </c>
      <c r="W504" s="3" t="s">
        <v>4098</v>
      </c>
      <c r="AM504" s="5"/>
      <c r="AN504" s="5"/>
      <c r="AQ504" s="6"/>
    </row>
    <row r="505" spans="2:43" x14ac:dyDescent="0.25">
      <c r="B505" t="s">
        <v>3644</v>
      </c>
      <c r="C505">
        <v>102822</v>
      </c>
      <c r="D505" t="s">
        <v>3645</v>
      </c>
      <c r="E505" t="s">
        <v>82</v>
      </c>
      <c r="F505" t="s">
        <v>305</v>
      </c>
      <c r="G505" t="s">
        <v>353</v>
      </c>
      <c r="H505" t="s">
        <v>56</v>
      </c>
      <c r="I505" t="s">
        <v>31</v>
      </c>
      <c r="J505" t="s">
        <v>32</v>
      </c>
      <c r="K505" t="s">
        <v>44</v>
      </c>
      <c r="L505" t="s">
        <v>73</v>
      </c>
      <c r="M505" t="s">
        <v>263</v>
      </c>
      <c r="N505" t="s">
        <v>46</v>
      </c>
      <c r="O505" t="s">
        <v>132</v>
      </c>
      <c r="P505" t="s">
        <v>133</v>
      </c>
      <c r="Q505" t="s">
        <v>133</v>
      </c>
      <c r="R505" s="5">
        <v>42941.520787037036</v>
      </c>
      <c r="S505" s="5">
        <v>43216.012499999997</v>
      </c>
      <c r="T505" t="s">
        <v>4</v>
      </c>
      <c r="U505" t="s">
        <v>35</v>
      </c>
      <c r="V505" s="3" t="s">
        <v>35</v>
      </c>
      <c r="W505" s="3" t="s">
        <v>4098</v>
      </c>
      <c r="AM505" s="5"/>
      <c r="AN505" s="5"/>
      <c r="AQ505" s="6"/>
    </row>
    <row r="506" spans="2:43" x14ac:dyDescent="0.25">
      <c r="B506" t="s">
        <v>242</v>
      </c>
      <c r="C506">
        <v>102638</v>
      </c>
      <c r="D506" t="s">
        <v>451</v>
      </c>
      <c r="E506" t="s">
        <v>435</v>
      </c>
      <c r="F506" t="s">
        <v>42</v>
      </c>
      <c r="H506" t="s">
        <v>56</v>
      </c>
      <c r="I506" t="s">
        <v>68</v>
      </c>
      <c r="J506" t="s">
        <v>58</v>
      </c>
      <c r="K506" t="s">
        <v>44</v>
      </c>
      <c r="L506" t="s">
        <v>73</v>
      </c>
      <c r="M506" t="s">
        <v>263</v>
      </c>
      <c r="N506" t="s">
        <v>60</v>
      </c>
      <c r="O506" t="s">
        <v>177</v>
      </c>
      <c r="P506" t="s">
        <v>107</v>
      </c>
      <c r="R506" s="5">
        <v>42937.258587962962</v>
      </c>
      <c r="S506" s="5">
        <v>43480.291724537034</v>
      </c>
      <c r="T506" t="s">
        <v>4</v>
      </c>
      <c r="U506" t="s">
        <v>35</v>
      </c>
      <c r="V506" s="3" t="s">
        <v>35</v>
      </c>
      <c r="W506" s="3" t="s">
        <v>4098</v>
      </c>
      <c r="AM506" s="5"/>
      <c r="AN506" s="5"/>
      <c r="AQ506" s="6"/>
    </row>
    <row r="507" spans="2:43" x14ac:dyDescent="0.25">
      <c r="B507" t="s">
        <v>3315</v>
      </c>
      <c r="C507">
        <v>102533</v>
      </c>
      <c r="D507" t="s">
        <v>3643</v>
      </c>
      <c r="E507" t="s">
        <v>84</v>
      </c>
      <c r="F507" t="s">
        <v>305</v>
      </c>
      <c r="G507" t="s">
        <v>337</v>
      </c>
      <c r="H507" t="s">
        <v>30</v>
      </c>
      <c r="I507" t="s">
        <v>31</v>
      </c>
      <c r="J507" t="s">
        <v>43</v>
      </c>
      <c r="K507" t="s">
        <v>51</v>
      </c>
      <c r="L507" t="s">
        <v>73</v>
      </c>
      <c r="M507" t="s">
        <v>263</v>
      </c>
      <c r="N507" t="s">
        <v>46</v>
      </c>
      <c r="O507" t="s">
        <v>3604</v>
      </c>
      <c r="P507" t="s">
        <v>85</v>
      </c>
      <c r="Q507" t="s">
        <v>85</v>
      </c>
      <c r="R507" s="5">
        <v>42935.531145833331</v>
      </c>
      <c r="S507" s="5">
        <v>42996.460312499999</v>
      </c>
      <c r="T507" t="s">
        <v>84</v>
      </c>
      <c r="U507" t="s">
        <v>35</v>
      </c>
      <c r="V507" s="3" t="s">
        <v>35</v>
      </c>
      <c r="W507" s="3" t="s">
        <v>4170</v>
      </c>
      <c r="AM507" s="5"/>
      <c r="AN507" s="5"/>
      <c r="AQ507" s="6"/>
    </row>
    <row r="508" spans="2:43" x14ac:dyDescent="0.25">
      <c r="B508" t="s">
        <v>217</v>
      </c>
      <c r="C508">
        <v>102502</v>
      </c>
      <c r="D508" t="s">
        <v>3641</v>
      </c>
      <c r="E508" t="s">
        <v>490</v>
      </c>
      <c r="F508" t="s">
        <v>305</v>
      </c>
      <c r="G508" t="s">
        <v>304</v>
      </c>
      <c r="H508" t="s">
        <v>54</v>
      </c>
      <c r="I508" t="s">
        <v>31</v>
      </c>
      <c r="J508" t="s">
        <v>32</v>
      </c>
      <c r="K508" t="s">
        <v>44</v>
      </c>
      <c r="L508" t="s">
        <v>73</v>
      </c>
      <c r="M508" t="s">
        <v>263</v>
      </c>
      <c r="N508" t="s">
        <v>3642</v>
      </c>
      <c r="P508" t="s">
        <v>92</v>
      </c>
      <c r="Q508" t="s">
        <v>2708</v>
      </c>
      <c r="R508" s="5">
        <v>42935.316562499997</v>
      </c>
      <c r="S508" s="5">
        <v>43207.468888888892</v>
      </c>
      <c r="T508" t="s">
        <v>84</v>
      </c>
      <c r="U508" t="s">
        <v>35</v>
      </c>
      <c r="V508" s="3" t="s">
        <v>35</v>
      </c>
      <c r="W508" s="3" t="s">
        <v>3555</v>
      </c>
      <c r="AM508" s="5"/>
      <c r="AN508" s="5"/>
      <c r="AQ508" s="6"/>
    </row>
    <row r="509" spans="2:43" x14ac:dyDescent="0.25">
      <c r="B509" t="s">
        <v>217</v>
      </c>
      <c r="C509">
        <v>102501</v>
      </c>
      <c r="D509" t="s">
        <v>3639</v>
      </c>
      <c r="E509" t="s">
        <v>84</v>
      </c>
      <c r="F509" t="s">
        <v>305</v>
      </c>
      <c r="G509" t="s">
        <v>337</v>
      </c>
      <c r="H509" t="s">
        <v>54</v>
      </c>
      <c r="I509" t="s">
        <v>31</v>
      </c>
      <c r="J509" t="s">
        <v>32</v>
      </c>
      <c r="K509" t="s">
        <v>44</v>
      </c>
      <c r="L509" t="s">
        <v>73</v>
      </c>
      <c r="M509" t="s">
        <v>263</v>
      </c>
      <c r="N509" t="s">
        <v>60</v>
      </c>
      <c r="O509" t="s">
        <v>3604</v>
      </c>
      <c r="P509" t="s">
        <v>92</v>
      </c>
      <c r="Q509" t="s">
        <v>3640</v>
      </c>
      <c r="R509" s="5">
        <v>42935.31150462963</v>
      </c>
      <c r="S509" s="5">
        <v>42996.478807870371</v>
      </c>
      <c r="T509" t="s">
        <v>84</v>
      </c>
      <c r="U509" t="s">
        <v>35</v>
      </c>
      <c r="V509" s="3" t="s">
        <v>35</v>
      </c>
      <c r="W509" s="3" t="s">
        <v>4170</v>
      </c>
      <c r="AM509" s="5"/>
      <c r="AN509" s="5"/>
      <c r="AQ509" s="6"/>
    </row>
    <row r="510" spans="2:43" x14ac:dyDescent="0.25">
      <c r="B510" t="s">
        <v>3918</v>
      </c>
      <c r="C510">
        <v>102480</v>
      </c>
      <c r="D510" t="s">
        <v>3919</v>
      </c>
      <c r="E510" t="s">
        <v>3787</v>
      </c>
      <c r="F510" t="s">
        <v>319</v>
      </c>
      <c r="G510" t="s">
        <v>304</v>
      </c>
      <c r="H510" t="s">
        <v>56</v>
      </c>
      <c r="I510" t="s">
        <v>31</v>
      </c>
      <c r="J510" t="s">
        <v>32</v>
      </c>
      <c r="K510" t="s">
        <v>2156</v>
      </c>
      <c r="L510" t="s">
        <v>34</v>
      </c>
      <c r="M510" t="s">
        <v>3780</v>
      </c>
      <c r="N510" t="s">
        <v>46</v>
      </c>
      <c r="O510" t="s">
        <v>3920</v>
      </c>
      <c r="P510" t="s">
        <v>3915</v>
      </c>
      <c r="Q510" t="s">
        <v>4145</v>
      </c>
      <c r="R510" s="5">
        <v>42934.905474537038</v>
      </c>
      <c r="S510" s="5">
        <v>43279.593958333331</v>
      </c>
      <c r="T510" t="s">
        <v>1917</v>
      </c>
      <c r="U510" t="s">
        <v>35</v>
      </c>
      <c r="V510" s="3" t="s">
        <v>35</v>
      </c>
      <c r="W510" s="3" t="s">
        <v>4098</v>
      </c>
      <c r="AM510" s="5"/>
      <c r="AN510" s="5"/>
      <c r="AQ510" s="6"/>
    </row>
    <row r="511" spans="2:43" x14ac:dyDescent="0.25">
      <c r="B511" t="s">
        <v>3425</v>
      </c>
      <c r="C511">
        <v>102395</v>
      </c>
      <c r="D511" t="s">
        <v>3637</v>
      </c>
      <c r="E511" t="s">
        <v>72</v>
      </c>
      <c r="F511" t="s">
        <v>305</v>
      </c>
      <c r="G511" t="s">
        <v>353</v>
      </c>
      <c r="H511" t="s">
        <v>54</v>
      </c>
      <c r="I511" t="s">
        <v>31</v>
      </c>
      <c r="J511" t="s">
        <v>32</v>
      </c>
      <c r="K511" t="s">
        <v>51</v>
      </c>
      <c r="L511" t="s">
        <v>73</v>
      </c>
      <c r="M511" t="s">
        <v>263</v>
      </c>
      <c r="N511" t="s">
        <v>46</v>
      </c>
      <c r="P511" t="s">
        <v>449</v>
      </c>
      <c r="Q511" t="s">
        <v>85</v>
      </c>
      <c r="R511" s="5">
        <v>42933.45003472222</v>
      </c>
      <c r="S511" s="5">
        <v>42996.42695601852</v>
      </c>
      <c r="T511" t="s">
        <v>3638</v>
      </c>
      <c r="U511" t="s">
        <v>35</v>
      </c>
      <c r="V511" s="3" t="s">
        <v>35</v>
      </c>
      <c r="W511" s="3" t="s">
        <v>4170</v>
      </c>
      <c r="AM511" s="5"/>
      <c r="AN511" s="5"/>
      <c r="AQ511" s="6"/>
    </row>
    <row r="512" spans="2:43" x14ac:dyDescent="0.25">
      <c r="B512" t="s">
        <v>3628</v>
      </c>
      <c r="C512">
        <v>102366</v>
      </c>
      <c r="D512" t="s">
        <v>3635</v>
      </c>
      <c r="E512" t="s">
        <v>335</v>
      </c>
      <c r="F512" t="s">
        <v>305</v>
      </c>
      <c r="G512" t="s">
        <v>304</v>
      </c>
      <c r="H512" t="s">
        <v>54</v>
      </c>
      <c r="I512" t="s">
        <v>31</v>
      </c>
      <c r="J512" t="s">
        <v>43</v>
      </c>
      <c r="K512" t="s">
        <v>51</v>
      </c>
      <c r="L512" t="s">
        <v>96</v>
      </c>
      <c r="M512" t="s">
        <v>267</v>
      </c>
      <c r="N512" t="s">
        <v>157</v>
      </c>
      <c r="O512" t="s">
        <v>3636</v>
      </c>
      <c r="P512" t="s">
        <v>133</v>
      </c>
      <c r="Q512" t="s">
        <v>133</v>
      </c>
      <c r="R512" s="5">
        <v>42930.956111111111</v>
      </c>
      <c r="S512" s="5">
        <v>43213.761458333334</v>
      </c>
      <c r="T512" t="s">
        <v>301</v>
      </c>
      <c r="U512" t="s">
        <v>4008</v>
      </c>
      <c r="V512" s="3" t="s">
        <v>35</v>
      </c>
      <c r="W512" s="3" t="s">
        <v>307</v>
      </c>
      <c r="AM512" s="5"/>
      <c r="AN512" s="5"/>
      <c r="AQ512" s="6"/>
    </row>
    <row r="513" spans="2:43" x14ac:dyDescent="0.25">
      <c r="B513" t="s">
        <v>3628</v>
      </c>
      <c r="C513">
        <v>102365</v>
      </c>
      <c r="D513" t="s">
        <v>3633</v>
      </c>
      <c r="E513" t="s">
        <v>134</v>
      </c>
      <c r="F513" t="s">
        <v>305</v>
      </c>
      <c r="G513" t="s">
        <v>304</v>
      </c>
      <c r="H513" t="s">
        <v>54</v>
      </c>
      <c r="I513" t="s">
        <v>31</v>
      </c>
      <c r="J513" t="s">
        <v>43</v>
      </c>
      <c r="K513" t="s">
        <v>51</v>
      </c>
      <c r="L513" t="s">
        <v>96</v>
      </c>
      <c r="M513" t="s">
        <v>267</v>
      </c>
      <c r="N513" t="s">
        <v>60</v>
      </c>
      <c r="O513" t="s">
        <v>3634</v>
      </c>
      <c r="P513" t="s">
        <v>133</v>
      </c>
      <c r="Q513" t="s">
        <v>133</v>
      </c>
      <c r="R513" s="5">
        <v>42930.955057870371</v>
      </c>
      <c r="S513" s="5">
        <v>43045.136365740742</v>
      </c>
      <c r="T513" t="s">
        <v>301</v>
      </c>
      <c r="U513" t="s">
        <v>4023</v>
      </c>
      <c r="V513" s="3" t="s">
        <v>35</v>
      </c>
      <c r="W513" s="3" t="s">
        <v>4172</v>
      </c>
      <c r="AM513" s="5"/>
      <c r="AN513" s="5"/>
      <c r="AQ513" s="6"/>
    </row>
    <row r="514" spans="2:43" x14ac:dyDescent="0.25">
      <c r="B514" t="s">
        <v>3912</v>
      </c>
      <c r="C514">
        <v>102356</v>
      </c>
      <c r="D514" t="s">
        <v>3913</v>
      </c>
      <c r="E514" t="s">
        <v>5128</v>
      </c>
      <c r="F514" t="s">
        <v>305</v>
      </c>
      <c r="G514" t="s">
        <v>304</v>
      </c>
      <c r="H514" t="s">
        <v>116</v>
      </c>
      <c r="I514" t="s">
        <v>31</v>
      </c>
      <c r="J514" t="s">
        <v>32</v>
      </c>
      <c r="K514" t="s">
        <v>33</v>
      </c>
      <c r="L514" t="s">
        <v>34</v>
      </c>
      <c r="M514" t="s">
        <v>3780</v>
      </c>
      <c r="N514" t="s">
        <v>510</v>
      </c>
      <c r="P514" t="s">
        <v>3915</v>
      </c>
      <c r="Q514" t="s">
        <v>3916</v>
      </c>
      <c r="R514" s="5">
        <v>42930.711944444447</v>
      </c>
      <c r="S514" s="5">
        <v>43479.465949074074</v>
      </c>
      <c r="T514" t="s">
        <v>3917</v>
      </c>
      <c r="U514" t="s">
        <v>35</v>
      </c>
      <c r="V514" s="3" t="s">
        <v>35</v>
      </c>
      <c r="W514" s="3" t="s">
        <v>3915</v>
      </c>
      <c r="AM514" s="5"/>
      <c r="AN514" s="5"/>
      <c r="AQ514" s="6"/>
    </row>
    <row r="515" spans="2:43" x14ac:dyDescent="0.25">
      <c r="B515" t="s">
        <v>3630</v>
      </c>
      <c r="C515">
        <v>102301</v>
      </c>
      <c r="D515" t="s">
        <v>3631</v>
      </c>
      <c r="E515" t="s">
        <v>134</v>
      </c>
      <c r="F515" t="s">
        <v>319</v>
      </c>
      <c r="G515" t="s">
        <v>304</v>
      </c>
      <c r="H515" t="s">
        <v>56</v>
      </c>
      <c r="I515" t="s">
        <v>68</v>
      </c>
      <c r="J515" t="s">
        <v>43</v>
      </c>
      <c r="K515" t="s">
        <v>33</v>
      </c>
      <c r="L515" t="s">
        <v>106</v>
      </c>
      <c r="M515" t="s">
        <v>495</v>
      </c>
      <c r="N515" t="s">
        <v>46</v>
      </c>
      <c r="O515" t="s">
        <v>3632</v>
      </c>
      <c r="P515" t="s">
        <v>75</v>
      </c>
      <c r="Q515" t="s">
        <v>528</v>
      </c>
      <c r="R515" s="5">
        <v>42930.248888888891</v>
      </c>
      <c r="S515" s="5">
        <v>43042.616400462961</v>
      </c>
      <c r="T515" t="s">
        <v>4</v>
      </c>
      <c r="U515" t="s">
        <v>35</v>
      </c>
      <c r="V515" s="3" t="s">
        <v>35</v>
      </c>
      <c r="W515" s="3" t="s">
        <v>69</v>
      </c>
      <c r="AM515" s="5"/>
      <c r="AN515" s="5"/>
      <c r="AQ515" s="6"/>
    </row>
    <row r="516" spans="2:43" x14ac:dyDescent="0.25">
      <c r="B516" t="s">
        <v>241</v>
      </c>
      <c r="C516">
        <v>102220</v>
      </c>
      <c r="D516" t="s">
        <v>176</v>
      </c>
      <c r="E516" t="s">
        <v>387</v>
      </c>
      <c r="F516" t="s">
        <v>67</v>
      </c>
      <c r="H516" t="s">
        <v>54</v>
      </c>
      <c r="I516" t="s">
        <v>68</v>
      </c>
      <c r="J516" t="s">
        <v>43</v>
      </c>
      <c r="K516" t="s">
        <v>33</v>
      </c>
      <c r="L516" t="s">
        <v>73</v>
      </c>
      <c r="M516" t="s">
        <v>263</v>
      </c>
      <c r="N516" t="s">
        <v>60</v>
      </c>
      <c r="P516" t="s">
        <v>107</v>
      </c>
      <c r="R516" s="5">
        <v>42928.89203703704</v>
      </c>
      <c r="S516" s="5">
        <v>43131.401388888888</v>
      </c>
      <c r="T516" t="s">
        <v>1</v>
      </c>
      <c r="U516" t="s">
        <v>35</v>
      </c>
      <c r="V516" s="3" t="s">
        <v>35</v>
      </c>
      <c r="W516" s="3" t="s">
        <v>4166</v>
      </c>
      <c r="AM516" s="5"/>
      <c r="AN516" s="5"/>
      <c r="AQ516" s="6"/>
    </row>
    <row r="517" spans="2:43" x14ac:dyDescent="0.25">
      <c r="B517" t="s">
        <v>3628</v>
      </c>
      <c r="C517">
        <v>102209</v>
      </c>
      <c r="D517" t="s">
        <v>3629</v>
      </c>
      <c r="E517" t="s">
        <v>3440</v>
      </c>
      <c r="F517" t="s">
        <v>319</v>
      </c>
      <c r="G517" t="s">
        <v>304</v>
      </c>
      <c r="H517" t="s">
        <v>54</v>
      </c>
      <c r="I517" t="s">
        <v>31</v>
      </c>
      <c r="J517" t="s">
        <v>43</v>
      </c>
      <c r="K517" t="s">
        <v>51</v>
      </c>
      <c r="L517" t="s">
        <v>96</v>
      </c>
      <c r="M517" t="s">
        <v>267</v>
      </c>
      <c r="N517" t="s">
        <v>60</v>
      </c>
      <c r="P517" t="s">
        <v>133</v>
      </c>
      <c r="Q517" t="s">
        <v>133</v>
      </c>
      <c r="R517" s="5">
        <v>42928.6562962963</v>
      </c>
      <c r="S517" s="5">
        <v>43146.708368055559</v>
      </c>
      <c r="T517" t="s">
        <v>48</v>
      </c>
      <c r="U517" t="s">
        <v>35</v>
      </c>
      <c r="V517" s="3" t="s">
        <v>35</v>
      </c>
      <c r="W517" s="3" t="s">
        <v>4098</v>
      </c>
      <c r="AM517" s="5"/>
      <c r="AN517" s="5"/>
      <c r="AQ517" s="6"/>
    </row>
    <row r="518" spans="2:43" x14ac:dyDescent="0.25">
      <c r="B518" t="s">
        <v>240</v>
      </c>
      <c r="C518">
        <v>102065</v>
      </c>
      <c r="D518" t="s">
        <v>3627</v>
      </c>
      <c r="E518" t="s">
        <v>88</v>
      </c>
      <c r="F518" t="s">
        <v>305</v>
      </c>
      <c r="G518" t="s">
        <v>337</v>
      </c>
      <c r="H518" t="s">
        <v>30</v>
      </c>
      <c r="I518" t="s">
        <v>68</v>
      </c>
      <c r="J518" t="s">
        <v>43</v>
      </c>
      <c r="K518" t="s">
        <v>33</v>
      </c>
      <c r="L518" t="s">
        <v>34</v>
      </c>
      <c r="M518" t="s">
        <v>266</v>
      </c>
      <c r="N518" t="s">
        <v>46</v>
      </c>
      <c r="P518" t="s">
        <v>107</v>
      </c>
      <c r="Q518" t="s">
        <v>1503</v>
      </c>
      <c r="R518" s="5">
        <v>42926.613449074073</v>
      </c>
      <c r="S518" s="5">
        <v>43023.125115740739</v>
      </c>
      <c r="T518" t="s">
        <v>175</v>
      </c>
      <c r="U518" t="s">
        <v>35</v>
      </c>
      <c r="V518" s="3" t="s">
        <v>321</v>
      </c>
      <c r="W518" s="3" t="s">
        <v>4156</v>
      </c>
      <c r="AM518" s="5"/>
      <c r="AN518" s="5"/>
      <c r="AQ518" s="6"/>
    </row>
    <row r="519" spans="2:43" x14ac:dyDescent="0.25">
      <c r="B519" t="s">
        <v>4196</v>
      </c>
      <c r="C519">
        <v>102064</v>
      </c>
      <c r="D519" t="s">
        <v>4200</v>
      </c>
      <c r="E519" t="s">
        <v>175</v>
      </c>
      <c r="F519" t="s">
        <v>67</v>
      </c>
      <c r="H519" t="s">
        <v>30</v>
      </c>
      <c r="I519" t="s">
        <v>68</v>
      </c>
      <c r="J519" t="s">
        <v>43</v>
      </c>
      <c r="K519" t="s">
        <v>33</v>
      </c>
      <c r="L519" t="s">
        <v>34</v>
      </c>
      <c r="M519" t="s">
        <v>266</v>
      </c>
      <c r="N519" t="s">
        <v>46</v>
      </c>
      <c r="O519" t="s">
        <v>174</v>
      </c>
      <c r="P519" t="s">
        <v>107</v>
      </c>
      <c r="R519" s="5">
        <v>42926.61346064815</v>
      </c>
      <c r="S519" s="5">
        <v>43131.831064814818</v>
      </c>
      <c r="T519" t="s">
        <v>175</v>
      </c>
      <c r="U519" t="s">
        <v>35</v>
      </c>
      <c r="V519" s="3" t="s">
        <v>35</v>
      </c>
      <c r="W519" s="3" t="s">
        <v>4098</v>
      </c>
      <c r="AM519" s="5"/>
      <c r="AN519" s="5"/>
      <c r="AQ519" s="6"/>
    </row>
    <row r="520" spans="2:43" x14ac:dyDescent="0.25">
      <c r="B520" t="s">
        <v>3420</v>
      </c>
      <c r="C520">
        <v>101952</v>
      </c>
      <c r="D520" t="s">
        <v>3626</v>
      </c>
      <c r="E520" t="s">
        <v>72</v>
      </c>
      <c r="F520" t="s">
        <v>305</v>
      </c>
      <c r="G520" t="s">
        <v>310</v>
      </c>
      <c r="H520" t="s">
        <v>54</v>
      </c>
      <c r="I520" t="s">
        <v>31</v>
      </c>
      <c r="J520" t="s">
        <v>32</v>
      </c>
      <c r="K520" t="s">
        <v>51</v>
      </c>
      <c r="L520" t="s">
        <v>73</v>
      </c>
      <c r="M520" t="s">
        <v>263</v>
      </c>
      <c r="N520" t="s">
        <v>60</v>
      </c>
      <c r="P520" t="s">
        <v>85</v>
      </c>
      <c r="Q520" t="s">
        <v>3428</v>
      </c>
      <c r="R520" s="5">
        <v>42922.98642361111</v>
      </c>
      <c r="S520" s="5">
        <v>42971.481296296297</v>
      </c>
      <c r="T520" t="s">
        <v>53</v>
      </c>
      <c r="U520" t="s">
        <v>35</v>
      </c>
      <c r="V520" s="3" t="s">
        <v>35</v>
      </c>
      <c r="W520" s="3" t="s">
        <v>69</v>
      </c>
      <c r="AM520" s="5"/>
      <c r="AN520" s="5"/>
      <c r="AQ520" s="6"/>
    </row>
    <row r="521" spans="2:43" x14ac:dyDescent="0.25">
      <c r="B521" t="s">
        <v>4190</v>
      </c>
      <c r="C521">
        <v>101890</v>
      </c>
      <c r="D521" t="s">
        <v>4198</v>
      </c>
      <c r="E521" t="s">
        <v>110</v>
      </c>
      <c r="F521" t="s">
        <v>305</v>
      </c>
      <c r="G521" t="s">
        <v>337</v>
      </c>
      <c r="H521" t="s">
        <v>54</v>
      </c>
      <c r="I521" t="s">
        <v>31</v>
      </c>
      <c r="J521" t="s">
        <v>43</v>
      </c>
      <c r="K521" t="s">
        <v>44</v>
      </c>
      <c r="L521" t="s">
        <v>73</v>
      </c>
      <c r="M521" t="s">
        <v>263</v>
      </c>
      <c r="N521" t="s">
        <v>4199</v>
      </c>
      <c r="O521" t="s">
        <v>3625</v>
      </c>
      <c r="P521" t="s">
        <v>107</v>
      </c>
      <c r="Q521" t="s">
        <v>107</v>
      </c>
      <c r="R521" s="5">
        <v>42922.24790509259</v>
      </c>
      <c r="S521" s="5">
        <v>43204.161585648151</v>
      </c>
      <c r="T521" t="s">
        <v>301</v>
      </c>
      <c r="U521" t="s">
        <v>35</v>
      </c>
      <c r="V521" s="3" t="s">
        <v>35</v>
      </c>
      <c r="W521" s="3" t="s">
        <v>307</v>
      </c>
      <c r="AM521" s="5"/>
      <c r="AN521" s="5"/>
      <c r="AQ521" s="6"/>
    </row>
    <row r="522" spans="2:43" x14ac:dyDescent="0.25">
      <c r="B522" t="s">
        <v>239</v>
      </c>
      <c r="C522">
        <v>101886</v>
      </c>
      <c r="D522" t="s">
        <v>3624</v>
      </c>
      <c r="E522" t="s">
        <v>64</v>
      </c>
      <c r="F522" t="s">
        <v>319</v>
      </c>
      <c r="G522" t="s">
        <v>304</v>
      </c>
      <c r="H522" t="s">
        <v>54</v>
      </c>
      <c r="I522" t="s">
        <v>31</v>
      </c>
      <c r="J522" t="s">
        <v>32</v>
      </c>
      <c r="K522" t="s">
        <v>33</v>
      </c>
      <c r="L522" t="s">
        <v>52</v>
      </c>
      <c r="M522" t="s">
        <v>272</v>
      </c>
      <c r="N522" t="s">
        <v>518</v>
      </c>
      <c r="P522" t="s">
        <v>107</v>
      </c>
      <c r="Q522" t="s">
        <v>2854</v>
      </c>
      <c r="R522" s="5">
        <v>42921.930972222224</v>
      </c>
      <c r="S522" s="5">
        <v>43004.471504629626</v>
      </c>
      <c r="T522" t="s">
        <v>53</v>
      </c>
      <c r="U522" t="s">
        <v>35</v>
      </c>
      <c r="V522" s="3" t="s">
        <v>35</v>
      </c>
      <c r="W522" s="3" t="s">
        <v>4143</v>
      </c>
      <c r="AM522" s="5"/>
      <c r="AN522" s="5"/>
      <c r="AQ522" s="6"/>
    </row>
    <row r="523" spans="2:43" x14ac:dyDescent="0.25">
      <c r="B523" t="s">
        <v>239</v>
      </c>
      <c r="C523">
        <v>101885</v>
      </c>
      <c r="D523" t="s">
        <v>3623</v>
      </c>
      <c r="E523" t="s">
        <v>173</v>
      </c>
      <c r="F523" t="s">
        <v>305</v>
      </c>
      <c r="G523" t="s">
        <v>304</v>
      </c>
      <c r="H523" t="s">
        <v>54</v>
      </c>
      <c r="I523" t="s">
        <v>31</v>
      </c>
      <c r="J523" t="s">
        <v>32</v>
      </c>
      <c r="K523" t="s">
        <v>33</v>
      </c>
      <c r="L523" t="s">
        <v>52</v>
      </c>
      <c r="M523" t="s">
        <v>272</v>
      </c>
      <c r="N523" t="s">
        <v>518</v>
      </c>
      <c r="O523" t="s">
        <v>4185</v>
      </c>
      <c r="P523" t="s">
        <v>107</v>
      </c>
      <c r="Q523" t="s">
        <v>2854</v>
      </c>
      <c r="R523" s="5">
        <v>42921.929745370369</v>
      </c>
      <c r="S523" s="5">
        <v>43231.07403935185</v>
      </c>
      <c r="T523" t="s">
        <v>53</v>
      </c>
      <c r="U523" t="s">
        <v>4017</v>
      </c>
      <c r="V523" s="3" t="s">
        <v>35</v>
      </c>
      <c r="W523" s="3" t="s">
        <v>307</v>
      </c>
      <c r="AM523" s="5"/>
      <c r="AN523" s="5"/>
      <c r="AQ523" s="6"/>
    </row>
    <row r="524" spans="2:43" x14ac:dyDescent="0.25">
      <c r="B524" t="s">
        <v>239</v>
      </c>
      <c r="C524">
        <v>101884</v>
      </c>
      <c r="D524" t="s">
        <v>172</v>
      </c>
      <c r="E524" t="s">
        <v>173</v>
      </c>
      <c r="F524" t="s">
        <v>67</v>
      </c>
      <c r="H524" t="s">
        <v>54</v>
      </c>
      <c r="I524" t="s">
        <v>31</v>
      </c>
      <c r="J524" t="s">
        <v>32</v>
      </c>
      <c r="K524" t="s">
        <v>33</v>
      </c>
      <c r="L524" t="s">
        <v>52</v>
      </c>
      <c r="M524" t="s">
        <v>272</v>
      </c>
      <c r="N524" t="s">
        <v>60</v>
      </c>
      <c r="P524" t="s">
        <v>107</v>
      </c>
      <c r="R524" s="5">
        <v>42921.929756944446</v>
      </c>
      <c r="S524" s="5">
        <v>42921.930972222224</v>
      </c>
      <c r="T524" t="s">
        <v>53</v>
      </c>
      <c r="U524" t="s">
        <v>35</v>
      </c>
      <c r="V524" s="3" t="s">
        <v>321</v>
      </c>
      <c r="W524" s="3" t="s">
        <v>4098</v>
      </c>
      <c r="AM524" s="5"/>
      <c r="AN524" s="5"/>
      <c r="AQ524" s="6"/>
    </row>
    <row r="525" spans="2:43" x14ac:dyDescent="0.25">
      <c r="B525" t="s">
        <v>3620</v>
      </c>
      <c r="C525">
        <v>101845</v>
      </c>
      <c r="D525" t="s">
        <v>3621</v>
      </c>
      <c r="E525" t="s">
        <v>3622</v>
      </c>
      <c r="F525" t="s">
        <v>305</v>
      </c>
      <c r="G525" t="s">
        <v>353</v>
      </c>
      <c r="H525" t="s">
        <v>54</v>
      </c>
      <c r="I525" t="s">
        <v>68</v>
      </c>
      <c r="J525" t="s">
        <v>58</v>
      </c>
      <c r="K525" t="s">
        <v>44</v>
      </c>
      <c r="L525" t="s">
        <v>73</v>
      </c>
      <c r="M525" t="s">
        <v>263</v>
      </c>
      <c r="N525" t="s">
        <v>60</v>
      </c>
      <c r="P525" t="s">
        <v>133</v>
      </c>
      <c r="Q525" t="s">
        <v>133</v>
      </c>
      <c r="R525" s="5">
        <v>42921.369270833333</v>
      </c>
      <c r="S525" s="5">
        <v>43024.125104166669</v>
      </c>
      <c r="T525" t="s">
        <v>4</v>
      </c>
      <c r="U525" t="s">
        <v>35</v>
      </c>
      <c r="V525" s="3" t="s">
        <v>35</v>
      </c>
      <c r="W525" s="3" t="s">
        <v>4166</v>
      </c>
      <c r="AM525" s="5"/>
      <c r="AN525" s="5"/>
      <c r="AQ525" s="6"/>
    </row>
    <row r="526" spans="2:43" x14ac:dyDescent="0.25">
      <c r="B526" t="s">
        <v>3616</v>
      </c>
      <c r="C526">
        <v>101659</v>
      </c>
      <c r="D526" t="s">
        <v>3619</v>
      </c>
      <c r="E526" t="s">
        <v>183</v>
      </c>
      <c r="F526" t="s">
        <v>305</v>
      </c>
      <c r="G526" t="s">
        <v>304</v>
      </c>
      <c r="H526" t="s">
        <v>56</v>
      </c>
      <c r="I526" t="s">
        <v>68</v>
      </c>
      <c r="J526" t="s">
        <v>58</v>
      </c>
      <c r="K526" t="s">
        <v>44</v>
      </c>
      <c r="L526" t="s">
        <v>96</v>
      </c>
      <c r="M526" t="s">
        <v>269</v>
      </c>
      <c r="N526" t="s">
        <v>46</v>
      </c>
      <c r="O526" t="s">
        <v>3017</v>
      </c>
      <c r="P526" t="s">
        <v>77</v>
      </c>
      <c r="Q526" t="s">
        <v>3260</v>
      </c>
      <c r="R526" s="5">
        <v>42915.769143518519</v>
      </c>
      <c r="S526" s="5">
        <v>43231.658229166664</v>
      </c>
      <c r="T526" t="s">
        <v>288</v>
      </c>
      <c r="U526" t="s">
        <v>35</v>
      </c>
      <c r="V526" s="3" t="s">
        <v>35</v>
      </c>
      <c r="W526" s="3" t="s">
        <v>307</v>
      </c>
      <c r="AM526" s="5"/>
      <c r="AN526" s="5"/>
      <c r="AQ526" s="6"/>
    </row>
    <row r="527" spans="2:43" x14ac:dyDescent="0.25">
      <c r="B527" t="s">
        <v>3616</v>
      </c>
      <c r="C527">
        <v>101658</v>
      </c>
      <c r="D527" t="s">
        <v>3618</v>
      </c>
      <c r="E527" t="s">
        <v>183</v>
      </c>
      <c r="F527" t="s">
        <v>305</v>
      </c>
      <c r="G527" t="s">
        <v>304</v>
      </c>
      <c r="H527" t="s">
        <v>56</v>
      </c>
      <c r="I527" t="s">
        <v>68</v>
      </c>
      <c r="J527" t="s">
        <v>58</v>
      </c>
      <c r="K527" t="s">
        <v>44</v>
      </c>
      <c r="L527" t="s">
        <v>96</v>
      </c>
      <c r="M527" t="s">
        <v>269</v>
      </c>
      <c r="N527" t="s">
        <v>46</v>
      </c>
      <c r="P527" t="s">
        <v>77</v>
      </c>
      <c r="Q527" t="s">
        <v>3260</v>
      </c>
      <c r="R527" s="5">
        <v>42915.769155092596</v>
      </c>
      <c r="S527" s="5">
        <v>43470.135046296295</v>
      </c>
      <c r="T527" t="s">
        <v>288</v>
      </c>
      <c r="U527" t="s">
        <v>35</v>
      </c>
      <c r="V527" s="3" t="s">
        <v>35</v>
      </c>
      <c r="W527" s="3" t="s">
        <v>4098</v>
      </c>
      <c r="AM527" s="5"/>
      <c r="AN527" s="5"/>
      <c r="AQ527" s="6"/>
    </row>
    <row r="528" spans="2:43" x14ac:dyDescent="0.25">
      <c r="B528" t="s">
        <v>3616</v>
      </c>
      <c r="C528">
        <v>101621</v>
      </c>
      <c r="D528" t="s">
        <v>3617</v>
      </c>
      <c r="E528" t="s">
        <v>183</v>
      </c>
      <c r="F528" t="s">
        <v>305</v>
      </c>
      <c r="G528" t="s">
        <v>337</v>
      </c>
      <c r="H528" t="s">
        <v>56</v>
      </c>
      <c r="I528" t="s">
        <v>68</v>
      </c>
      <c r="J528" t="s">
        <v>58</v>
      </c>
      <c r="K528" t="s">
        <v>44</v>
      </c>
      <c r="L528" t="s">
        <v>96</v>
      </c>
      <c r="M528" t="s">
        <v>269</v>
      </c>
      <c r="N528" t="s">
        <v>46</v>
      </c>
      <c r="P528" t="s">
        <v>77</v>
      </c>
      <c r="Q528" t="s">
        <v>2769</v>
      </c>
      <c r="R528" s="5">
        <v>42915.426388888889</v>
      </c>
      <c r="S528" s="5">
        <v>42927.368842592594</v>
      </c>
      <c r="T528" t="s">
        <v>4</v>
      </c>
      <c r="U528" t="s">
        <v>35</v>
      </c>
      <c r="V528" s="3" t="s">
        <v>35</v>
      </c>
      <c r="W528" s="3" t="s">
        <v>69</v>
      </c>
      <c r="AM528" s="5"/>
      <c r="AN528" s="5"/>
      <c r="AQ528" s="6"/>
    </row>
    <row r="529" spans="2:43" x14ac:dyDescent="0.25">
      <c r="B529" t="s">
        <v>3420</v>
      </c>
      <c r="C529">
        <v>101552</v>
      </c>
      <c r="D529" t="s">
        <v>3613</v>
      </c>
      <c r="E529" t="s">
        <v>3614</v>
      </c>
      <c r="F529" t="s">
        <v>305</v>
      </c>
      <c r="G529" t="s">
        <v>304</v>
      </c>
      <c r="H529" t="s">
        <v>56</v>
      </c>
      <c r="I529" t="s">
        <v>31</v>
      </c>
      <c r="J529" t="s">
        <v>32</v>
      </c>
      <c r="K529" t="s">
        <v>51</v>
      </c>
      <c r="L529" t="s">
        <v>73</v>
      </c>
      <c r="M529" t="s">
        <v>263</v>
      </c>
      <c r="N529" t="s">
        <v>60</v>
      </c>
      <c r="O529" t="s">
        <v>3615</v>
      </c>
      <c r="P529" t="s">
        <v>85</v>
      </c>
      <c r="Q529" t="s">
        <v>3428</v>
      </c>
      <c r="R529" s="5">
        <v>42914.409502314818</v>
      </c>
      <c r="S529" s="5">
        <v>42978.621840277781</v>
      </c>
      <c r="T529" t="s">
        <v>82</v>
      </c>
      <c r="U529" t="s">
        <v>35</v>
      </c>
      <c r="V529" s="3" t="s">
        <v>35</v>
      </c>
      <c r="W529" s="3" t="s">
        <v>3661</v>
      </c>
      <c r="AM529" s="5"/>
      <c r="AN529" s="5"/>
      <c r="AQ529" s="6"/>
    </row>
    <row r="530" spans="2:43" x14ac:dyDescent="0.25">
      <c r="B530" t="s">
        <v>3420</v>
      </c>
      <c r="C530">
        <v>101549</v>
      </c>
      <c r="D530" t="s">
        <v>3611</v>
      </c>
      <c r="E530" t="s">
        <v>82</v>
      </c>
      <c r="F530" t="s">
        <v>305</v>
      </c>
      <c r="G530" t="s">
        <v>304</v>
      </c>
      <c r="H530" t="s">
        <v>56</v>
      </c>
      <c r="I530" t="s">
        <v>31</v>
      </c>
      <c r="J530" t="s">
        <v>32</v>
      </c>
      <c r="K530" t="s">
        <v>51</v>
      </c>
      <c r="L530" t="s">
        <v>73</v>
      </c>
      <c r="M530" t="s">
        <v>263</v>
      </c>
      <c r="N530" t="s">
        <v>60</v>
      </c>
      <c r="O530" t="s">
        <v>3612</v>
      </c>
      <c r="P530" t="s">
        <v>85</v>
      </c>
      <c r="Q530" t="s">
        <v>3428</v>
      </c>
      <c r="R530" s="5">
        <v>42914.403611111113</v>
      </c>
      <c r="S530" s="5">
        <v>43207.464814814812</v>
      </c>
      <c r="T530" t="s">
        <v>82</v>
      </c>
      <c r="U530" t="s">
        <v>35</v>
      </c>
      <c r="V530" s="3" t="s">
        <v>35</v>
      </c>
      <c r="W530" s="3" t="s">
        <v>3555</v>
      </c>
      <c r="AM530" s="5"/>
      <c r="AN530" s="5"/>
      <c r="AQ530" s="6"/>
    </row>
    <row r="531" spans="2:43" x14ac:dyDescent="0.25">
      <c r="B531" t="s">
        <v>3420</v>
      </c>
      <c r="C531">
        <v>101548</v>
      </c>
      <c r="D531" t="s">
        <v>3609</v>
      </c>
      <c r="E531" t="s">
        <v>84</v>
      </c>
      <c r="F531" t="s">
        <v>305</v>
      </c>
      <c r="G531" t="s">
        <v>337</v>
      </c>
      <c r="H531" t="s">
        <v>56</v>
      </c>
      <c r="I531" t="s">
        <v>31</v>
      </c>
      <c r="J531" t="s">
        <v>32</v>
      </c>
      <c r="K531" t="s">
        <v>51</v>
      </c>
      <c r="L531" t="s">
        <v>73</v>
      </c>
      <c r="M531" t="s">
        <v>263</v>
      </c>
      <c r="N531" t="s">
        <v>60</v>
      </c>
      <c r="O531" t="s">
        <v>3604</v>
      </c>
      <c r="P531" t="s">
        <v>85</v>
      </c>
      <c r="Q531" t="s">
        <v>3610</v>
      </c>
      <c r="R531" s="5">
        <v>42914.400891203702</v>
      </c>
      <c r="S531" s="5">
        <v>42996.484027777777</v>
      </c>
      <c r="T531" t="s">
        <v>82</v>
      </c>
      <c r="U531" t="s">
        <v>35</v>
      </c>
      <c r="V531" s="3" t="s">
        <v>35</v>
      </c>
      <c r="W531" s="3" t="s">
        <v>4170</v>
      </c>
      <c r="AM531" s="5"/>
      <c r="AN531" s="5"/>
      <c r="AQ531" s="6"/>
    </row>
    <row r="532" spans="2:43" x14ac:dyDescent="0.25">
      <c r="B532" t="s">
        <v>227</v>
      </c>
      <c r="C532">
        <v>101487</v>
      </c>
      <c r="D532" t="s">
        <v>3607</v>
      </c>
      <c r="E532" t="s">
        <v>3608</v>
      </c>
      <c r="F532" t="s">
        <v>305</v>
      </c>
      <c r="G532" t="s">
        <v>304</v>
      </c>
      <c r="H532" t="s">
        <v>54</v>
      </c>
      <c r="I532" t="s">
        <v>68</v>
      </c>
      <c r="J532" t="s">
        <v>58</v>
      </c>
      <c r="K532" t="s">
        <v>44</v>
      </c>
      <c r="L532" t="s">
        <v>195</v>
      </c>
      <c r="M532" t="s">
        <v>324</v>
      </c>
      <c r="N532" t="s">
        <v>518</v>
      </c>
      <c r="P532" t="s">
        <v>133</v>
      </c>
      <c r="Q532" t="s">
        <v>528</v>
      </c>
      <c r="R532" s="5">
        <v>42913.447604166664</v>
      </c>
      <c r="S532" s="5">
        <v>43228.684247685182</v>
      </c>
      <c r="T532" t="s">
        <v>301</v>
      </c>
      <c r="U532" t="s">
        <v>4022</v>
      </c>
      <c r="V532" s="3" t="s">
        <v>35</v>
      </c>
      <c r="W532" s="3" t="s">
        <v>4171</v>
      </c>
      <c r="AM532" s="5"/>
      <c r="AN532" s="5"/>
      <c r="AQ532" s="6"/>
    </row>
    <row r="533" spans="2:43" x14ac:dyDescent="0.25">
      <c r="B533" t="s">
        <v>227</v>
      </c>
      <c r="C533">
        <v>101486</v>
      </c>
      <c r="D533" t="s">
        <v>3606</v>
      </c>
      <c r="E533" t="s">
        <v>296</v>
      </c>
      <c r="F533" t="s">
        <v>305</v>
      </c>
      <c r="G533" t="s">
        <v>337</v>
      </c>
      <c r="H533" t="s">
        <v>54</v>
      </c>
      <c r="I533" t="s">
        <v>68</v>
      </c>
      <c r="J533" t="s">
        <v>58</v>
      </c>
      <c r="K533" t="s">
        <v>44</v>
      </c>
      <c r="L533" t="s">
        <v>195</v>
      </c>
      <c r="M533" t="s">
        <v>324</v>
      </c>
      <c r="N533" t="s">
        <v>60</v>
      </c>
      <c r="O533" t="s">
        <v>145</v>
      </c>
      <c r="P533" t="s">
        <v>133</v>
      </c>
      <c r="Q533" t="s">
        <v>2769</v>
      </c>
      <c r="R533" s="5">
        <v>42913.446863425925</v>
      </c>
      <c r="S533" s="5">
        <v>42934.65766203704</v>
      </c>
      <c r="T533" t="s">
        <v>301</v>
      </c>
      <c r="U533" t="s">
        <v>35</v>
      </c>
      <c r="V533" s="3" t="s">
        <v>35</v>
      </c>
      <c r="W533" s="3" t="s">
        <v>69</v>
      </c>
      <c r="AM533" s="5"/>
      <c r="AN533" s="5"/>
      <c r="AQ533" s="6"/>
    </row>
    <row r="534" spans="2:43" x14ac:dyDescent="0.25">
      <c r="B534" t="s">
        <v>3311</v>
      </c>
      <c r="C534">
        <v>101181</v>
      </c>
      <c r="D534" t="s">
        <v>3603</v>
      </c>
      <c r="E534" t="s">
        <v>84</v>
      </c>
      <c r="F534" t="s">
        <v>305</v>
      </c>
      <c r="G534" t="s">
        <v>337</v>
      </c>
      <c r="H534" t="s">
        <v>54</v>
      </c>
      <c r="I534" t="s">
        <v>31</v>
      </c>
      <c r="J534" t="s">
        <v>32</v>
      </c>
      <c r="K534" t="s">
        <v>33</v>
      </c>
      <c r="L534" t="s">
        <v>73</v>
      </c>
      <c r="M534" t="s">
        <v>263</v>
      </c>
      <c r="N534" t="s">
        <v>579</v>
      </c>
      <c r="O534" t="s">
        <v>3604</v>
      </c>
      <c r="P534" t="s">
        <v>3233</v>
      </c>
      <c r="Q534" t="s">
        <v>3605</v>
      </c>
      <c r="R534" s="5">
        <v>42906.560567129629</v>
      </c>
      <c r="S534" s="5">
        <v>42996.486168981479</v>
      </c>
      <c r="T534" t="s">
        <v>84</v>
      </c>
      <c r="U534" t="s">
        <v>35</v>
      </c>
      <c r="V534" s="3" t="s">
        <v>321</v>
      </c>
      <c r="W534" s="3" t="s">
        <v>4170</v>
      </c>
      <c r="AM534" s="5"/>
      <c r="AN534" s="5"/>
      <c r="AQ534" s="6"/>
    </row>
    <row r="535" spans="2:43" x14ac:dyDescent="0.25">
      <c r="B535" t="s">
        <v>238</v>
      </c>
      <c r="C535">
        <v>101035</v>
      </c>
      <c r="D535" t="s">
        <v>5096</v>
      </c>
      <c r="E535" t="s">
        <v>170</v>
      </c>
      <c r="F535" t="s">
        <v>67</v>
      </c>
      <c r="H535" t="s">
        <v>30</v>
      </c>
      <c r="I535" t="s">
        <v>68</v>
      </c>
      <c r="J535" t="s">
        <v>43</v>
      </c>
      <c r="K535" t="s">
        <v>33</v>
      </c>
      <c r="L535" t="s">
        <v>73</v>
      </c>
      <c r="M535" t="s">
        <v>263</v>
      </c>
      <c r="N535" t="s">
        <v>46</v>
      </c>
      <c r="O535" t="s">
        <v>132</v>
      </c>
      <c r="P535" t="s">
        <v>107</v>
      </c>
      <c r="R535" s="5">
        <v>42902.420937499999</v>
      </c>
      <c r="S535" s="5">
        <v>43423.897962962961</v>
      </c>
      <c r="T535" t="s">
        <v>171</v>
      </c>
      <c r="U535" t="s">
        <v>35</v>
      </c>
      <c r="V535" s="3" t="s">
        <v>35</v>
      </c>
      <c r="W535" s="3" t="s">
        <v>4166</v>
      </c>
      <c r="AM535" s="5"/>
      <c r="AN535" s="5"/>
      <c r="AQ535" s="6"/>
    </row>
    <row r="536" spans="2:43" x14ac:dyDescent="0.25">
      <c r="B536" t="s">
        <v>238</v>
      </c>
      <c r="C536">
        <v>101034</v>
      </c>
      <c r="D536" t="s">
        <v>3602</v>
      </c>
      <c r="E536" t="s">
        <v>72</v>
      </c>
      <c r="F536" t="s">
        <v>305</v>
      </c>
      <c r="G536" t="s">
        <v>337</v>
      </c>
      <c r="H536" t="s">
        <v>30</v>
      </c>
      <c r="I536" t="s">
        <v>68</v>
      </c>
      <c r="J536" t="s">
        <v>43</v>
      </c>
      <c r="K536" t="s">
        <v>33</v>
      </c>
      <c r="L536" t="s">
        <v>73</v>
      </c>
      <c r="M536" t="s">
        <v>263</v>
      </c>
      <c r="N536" t="s">
        <v>46</v>
      </c>
      <c r="O536" t="s">
        <v>132</v>
      </c>
      <c r="P536" t="s">
        <v>107</v>
      </c>
      <c r="Q536" t="s">
        <v>2481</v>
      </c>
      <c r="R536" s="5">
        <v>42902.419675925928</v>
      </c>
      <c r="S536" s="5">
        <v>42927.365960648145</v>
      </c>
      <c r="T536" t="s">
        <v>171</v>
      </c>
      <c r="U536" t="s">
        <v>35</v>
      </c>
      <c r="V536" s="3" t="s">
        <v>35</v>
      </c>
      <c r="W536" s="3" t="s">
        <v>69</v>
      </c>
      <c r="AM536" s="5"/>
      <c r="AN536" s="5"/>
      <c r="AQ536" s="6"/>
    </row>
    <row r="537" spans="2:43" x14ac:dyDescent="0.25">
      <c r="B537" t="s">
        <v>238</v>
      </c>
      <c r="C537">
        <v>101033</v>
      </c>
      <c r="D537" t="s">
        <v>169</v>
      </c>
      <c r="E537" t="s">
        <v>170</v>
      </c>
      <c r="F537" t="s">
        <v>67</v>
      </c>
      <c r="H537" t="s">
        <v>30</v>
      </c>
      <c r="I537" t="s">
        <v>68</v>
      </c>
      <c r="J537" t="s">
        <v>43</v>
      </c>
      <c r="K537" t="s">
        <v>33</v>
      </c>
      <c r="L537" t="s">
        <v>73</v>
      </c>
      <c r="M537" t="s">
        <v>263</v>
      </c>
      <c r="N537" t="s">
        <v>46</v>
      </c>
      <c r="O537" t="s">
        <v>132</v>
      </c>
      <c r="P537" t="s">
        <v>107</v>
      </c>
      <c r="R537" s="5">
        <v>42902.419687499998</v>
      </c>
      <c r="S537" s="5">
        <v>42955.324131944442</v>
      </c>
      <c r="T537" t="s">
        <v>171</v>
      </c>
      <c r="U537" t="s">
        <v>35</v>
      </c>
      <c r="V537" s="3" t="s">
        <v>35</v>
      </c>
      <c r="W537" s="3" t="s">
        <v>4098</v>
      </c>
      <c r="AM537" s="5"/>
      <c r="AN537" s="5"/>
      <c r="AQ537" s="6"/>
    </row>
    <row r="538" spans="2:43" x14ac:dyDescent="0.25">
      <c r="B538" t="s">
        <v>4813</v>
      </c>
      <c r="C538">
        <v>100824</v>
      </c>
      <c r="D538" t="s">
        <v>5224</v>
      </c>
      <c r="E538" t="s">
        <v>376</v>
      </c>
      <c r="F538" t="s">
        <v>67</v>
      </c>
      <c r="H538" t="s">
        <v>30</v>
      </c>
      <c r="I538" t="s">
        <v>57</v>
      </c>
      <c r="J538" t="s">
        <v>58</v>
      </c>
      <c r="K538" t="s">
        <v>33</v>
      </c>
      <c r="L538" t="s">
        <v>34</v>
      </c>
      <c r="M538" t="s">
        <v>4815</v>
      </c>
      <c r="N538" t="s">
        <v>46</v>
      </c>
      <c r="O538" t="s">
        <v>4816</v>
      </c>
      <c r="P538" t="s">
        <v>3187</v>
      </c>
      <c r="R538" s="5">
        <v>42899.423194444447</v>
      </c>
      <c r="S538" s="5">
        <v>43482.96434027778</v>
      </c>
      <c r="T538" t="s">
        <v>4817</v>
      </c>
      <c r="U538" t="s">
        <v>35</v>
      </c>
      <c r="V538" s="3" t="s">
        <v>35</v>
      </c>
      <c r="W538" s="3" t="s">
        <v>5225</v>
      </c>
      <c r="AM538" s="5"/>
      <c r="AN538" s="5"/>
      <c r="AQ538" s="6"/>
    </row>
    <row r="539" spans="2:43" x14ac:dyDescent="0.25">
      <c r="B539" t="s">
        <v>237</v>
      </c>
      <c r="C539">
        <v>100790</v>
      </c>
      <c r="D539" t="s">
        <v>3601</v>
      </c>
      <c r="E539" t="s">
        <v>143</v>
      </c>
      <c r="F539" t="s">
        <v>305</v>
      </c>
      <c r="G539" t="s">
        <v>353</v>
      </c>
      <c r="H539" t="s">
        <v>54</v>
      </c>
      <c r="I539" t="s">
        <v>31</v>
      </c>
      <c r="J539" t="s">
        <v>32</v>
      </c>
      <c r="K539" t="s">
        <v>44</v>
      </c>
      <c r="L539" t="s">
        <v>45</v>
      </c>
      <c r="M539" t="s">
        <v>106</v>
      </c>
      <c r="N539" t="s">
        <v>518</v>
      </c>
      <c r="P539" t="s">
        <v>77</v>
      </c>
      <c r="Q539" t="s">
        <v>2416</v>
      </c>
      <c r="R539" s="5">
        <v>42899.149212962962</v>
      </c>
      <c r="S539" s="5">
        <v>43093.147418981483</v>
      </c>
      <c r="T539" t="s">
        <v>301</v>
      </c>
      <c r="U539" t="s">
        <v>35</v>
      </c>
      <c r="V539" s="3" t="s">
        <v>35</v>
      </c>
      <c r="W539" s="3" t="s">
        <v>307</v>
      </c>
      <c r="AM539" s="5"/>
      <c r="AN539" s="5"/>
      <c r="AQ539" s="6"/>
    </row>
    <row r="540" spans="2:43" x14ac:dyDescent="0.25">
      <c r="B540" t="s">
        <v>237</v>
      </c>
      <c r="C540">
        <v>100789</v>
      </c>
      <c r="D540" t="s">
        <v>3600</v>
      </c>
      <c r="E540" t="s">
        <v>143</v>
      </c>
      <c r="F540" t="s">
        <v>305</v>
      </c>
      <c r="G540" t="s">
        <v>353</v>
      </c>
      <c r="H540" t="s">
        <v>54</v>
      </c>
      <c r="I540" t="s">
        <v>31</v>
      </c>
      <c r="J540" t="s">
        <v>32</v>
      </c>
      <c r="K540" t="s">
        <v>44</v>
      </c>
      <c r="L540" t="s">
        <v>45</v>
      </c>
      <c r="M540" t="s">
        <v>106</v>
      </c>
      <c r="N540" t="s">
        <v>60</v>
      </c>
      <c r="P540" t="s">
        <v>77</v>
      </c>
      <c r="Q540" t="s">
        <v>2416</v>
      </c>
      <c r="R540" s="5">
        <v>42899.147847222222</v>
      </c>
      <c r="S540" s="5">
        <v>42972.904074074075</v>
      </c>
      <c r="T540" t="s">
        <v>301</v>
      </c>
      <c r="U540" t="s">
        <v>35</v>
      </c>
      <c r="V540" s="3" t="s">
        <v>35</v>
      </c>
      <c r="W540" s="3" t="s">
        <v>69</v>
      </c>
      <c r="AM540" s="5"/>
      <c r="AN540" s="5"/>
      <c r="AQ540" s="6"/>
    </row>
    <row r="541" spans="2:43" x14ac:dyDescent="0.25">
      <c r="B541" t="s">
        <v>237</v>
      </c>
      <c r="C541">
        <v>100707</v>
      </c>
      <c r="D541" t="s">
        <v>168</v>
      </c>
      <c r="E541" t="s">
        <v>143</v>
      </c>
      <c r="F541" t="s">
        <v>67</v>
      </c>
      <c r="H541" t="s">
        <v>54</v>
      </c>
      <c r="I541" t="s">
        <v>31</v>
      </c>
      <c r="J541" t="s">
        <v>32</v>
      </c>
      <c r="K541" t="s">
        <v>44</v>
      </c>
      <c r="L541" t="s">
        <v>45</v>
      </c>
      <c r="M541" t="s">
        <v>260</v>
      </c>
      <c r="N541" t="s">
        <v>60</v>
      </c>
      <c r="O541" t="s">
        <v>487</v>
      </c>
      <c r="P541" t="s">
        <v>77</v>
      </c>
      <c r="R541" s="5">
        <v>42895.571712962963</v>
      </c>
      <c r="S541" s="5">
        <v>43059.347951388889</v>
      </c>
      <c r="T541" t="s">
        <v>5</v>
      </c>
      <c r="U541" t="s">
        <v>35</v>
      </c>
      <c r="V541" s="3" t="s">
        <v>35</v>
      </c>
      <c r="W541" s="3" t="s">
        <v>4098</v>
      </c>
      <c r="AM541" s="5"/>
      <c r="AN541" s="5"/>
      <c r="AQ541" s="6"/>
    </row>
    <row r="542" spans="2:43" x14ac:dyDescent="0.25">
      <c r="B542" t="s">
        <v>3597</v>
      </c>
      <c r="C542">
        <v>100527</v>
      </c>
      <c r="D542" t="s">
        <v>3598</v>
      </c>
      <c r="E542" t="s">
        <v>175</v>
      </c>
      <c r="F542" t="s">
        <v>305</v>
      </c>
      <c r="G542" t="s">
        <v>328</v>
      </c>
      <c r="H542" t="s">
        <v>54</v>
      </c>
      <c r="I542" t="s">
        <v>68</v>
      </c>
      <c r="J542" t="s">
        <v>43</v>
      </c>
      <c r="K542" t="s">
        <v>33</v>
      </c>
      <c r="L542" t="s">
        <v>34</v>
      </c>
      <c r="M542" t="s">
        <v>266</v>
      </c>
      <c r="N542" t="s">
        <v>60</v>
      </c>
      <c r="O542" t="s">
        <v>3599</v>
      </c>
      <c r="P542" t="s">
        <v>133</v>
      </c>
      <c r="Q542" t="s">
        <v>133</v>
      </c>
      <c r="R542" s="5">
        <v>42893.266388888886</v>
      </c>
      <c r="S542" s="5">
        <v>43039.261018518519</v>
      </c>
      <c r="T542" t="s">
        <v>4</v>
      </c>
      <c r="U542" t="s">
        <v>35</v>
      </c>
      <c r="V542" s="3" t="s">
        <v>35</v>
      </c>
      <c r="W542" s="3" t="s">
        <v>4143</v>
      </c>
      <c r="AM542" s="5"/>
      <c r="AN542" s="5"/>
      <c r="AQ542" s="6"/>
    </row>
    <row r="543" spans="2:43" x14ac:dyDescent="0.25">
      <c r="B543" t="s">
        <v>4196</v>
      </c>
      <c r="C543">
        <v>100520</v>
      </c>
      <c r="D543" t="s">
        <v>4197</v>
      </c>
      <c r="E543" t="s">
        <v>175</v>
      </c>
      <c r="F543" t="s">
        <v>67</v>
      </c>
      <c r="H543" t="s">
        <v>30</v>
      </c>
      <c r="I543" t="s">
        <v>68</v>
      </c>
      <c r="J543" t="s">
        <v>43</v>
      </c>
      <c r="K543" t="s">
        <v>33</v>
      </c>
      <c r="L543" t="s">
        <v>34</v>
      </c>
      <c r="M543" t="s">
        <v>266</v>
      </c>
      <c r="N543" t="s">
        <v>46</v>
      </c>
      <c r="O543" t="s">
        <v>533</v>
      </c>
      <c r="P543" t="s">
        <v>107</v>
      </c>
      <c r="R543" s="5">
        <v>42892.913912037038</v>
      </c>
      <c r="S543" s="5">
        <v>43131.829837962963</v>
      </c>
      <c r="T543" t="s">
        <v>1</v>
      </c>
      <c r="U543" t="s">
        <v>35</v>
      </c>
      <c r="V543" s="3" t="s">
        <v>35</v>
      </c>
      <c r="W543" s="3" t="s">
        <v>4143</v>
      </c>
      <c r="AM543" s="5"/>
      <c r="AN543" s="5"/>
      <c r="AQ543" s="6"/>
    </row>
    <row r="544" spans="2:43" x14ac:dyDescent="0.25">
      <c r="B544" t="s">
        <v>234</v>
      </c>
      <c r="C544">
        <v>100184</v>
      </c>
      <c r="D544" t="s">
        <v>563</v>
      </c>
      <c r="E544" t="s">
        <v>161</v>
      </c>
      <c r="F544" t="s">
        <v>305</v>
      </c>
      <c r="G544" t="s">
        <v>337</v>
      </c>
      <c r="H544" t="s">
        <v>54</v>
      </c>
      <c r="I544" t="s">
        <v>31</v>
      </c>
      <c r="J544" t="s">
        <v>32</v>
      </c>
      <c r="K544" t="s">
        <v>33</v>
      </c>
      <c r="L544" t="s">
        <v>45</v>
      </c>
      <c r="M544" t="s">
        <v>260</v>
      </c>
      <c r="N544" t="s">
        <v>518</v>
      </c>
      <c r="P544" t="s">
        <v>75</v>
      </c>
      <c r="Q544" t="s">
        <v>75</v>
      </c>
      <c r="R544" s="5">
        <v>42886.500856481478</v>
      </c>
      <c r="S544" s="5">
        <v>43204.161562499998</v>
      </c>
      <c r="T544" t="s">
        <v>301</v>
      </c>
      <c r="U544" t="s">
        <v>35</v>
      </c>
      <c r="V544" s="3" t="s">
        <v>321</v>
      </c>
      <c r="W544" s="3" t="s">
        <v>307</v>
      </c>
      <c r="AM544" s="5"/>
      <c r="AN544" s="5"/>
      <c r="AQ544" s="6"/>
    </row>
    <row r="545" spans="2:43" x14ac:dyDescent="0.25">
      <c r="B545" t="s">
        <v>234</v>
      </c>
      <c r="C545">
        <v>100183</v>
      </c>
      <c r="D545" t="s">
        <v>3596</v>
      </c>
      <c r="E545" t="s">
        <v>161</v>
      </c>
      <c r="F545" t="s">
        <v>305</v>
      </c>
      <c r="G545" t="s">
        <v>337</v>
      </c>
      <c r="H545" t="s">
        <v>54</v>
      </c>
      <c r="I545" t="s">
        <v>31</v>
      </c>
      <c r="J545" t="s">
        <v>32</v>
      </c>
      <c r="K545" t="s">
        <v>33</v>
      </c>
      <c r="L545" t="s">
        <v>45</v>
      </c>
      <c r="M545" t="s">
        <v>260</v>
      </c>
      <c r="N545" t="s">
        <v>60</v>
      </c>
      <c r="P545" t="s">
        <v>75</v>
      </c>
      <c r="Q545" t="s">
        <v>2731</v>
      </c>
      <c r="R545" s="5">
        <v>42886.499641203707</v>
      </c>
      <c r="S545" s="5">
        <v>42969.480844907404</v>
      </c>
      <c r="T545" t="s">
        <v>301</v>
      </c>
      <c r="U545" t="s">
        <v>35</v>
      </c>
      <c r="V545" s="3" t="s">
        <v>321</v>
      </c>
      <c r="W545" s="3" t="s">
        <v>69</v>
      </c>
      <c r="AM545" s="5"/>
      <c r="AN545" s="5"/>
      <c r="AQ545" s="6"/>
    </row>
    <row r="546" spans="2:43" x14ac:dyDescent="0.25">
      <c r="B546" t="s">
        <v>3311</v>
      </c>
      <c r="C546">
        <v>100166</v>
      </c>
      <c r="D546" t="s">
        <v>3595</v>
      </c>
      <c r="E546" t="s">
        <v>84</v>
      </c>
      <c r="F546" t="s">
        <v>305</v>
      </c>
      <c r="G546" t="s">
        <v>304</v>
      </c>
      <c r="H546" t="s">
        <v>54</v>
      </c>
      <c r="I546" t="s">
        <v>31</v>
      </c>
      <c r="J546" t="s">
        <v>32</v>
      </c>
      <c r="K546" t="s">
        <v>33</v>
      </c>
      <c r="L546" t="s">
        <v>73</v>
      </c>
      <c r="M546" t="s">
        <v>263</v>
      </c>
      <c r="N546" t="s">
        <v>579</v>
      </c>
      <c r="P546" t="s">
        <v>3233</v>
      </c>
      <c r="Q546" t="s">
        <v>3041</v>
      </c>
      <c r="R546" s="5">
        <v>42886.356226851851</v>
      </c>
      <c r="S546" s="5">
        <v>42958.483275462961</v>
      </c>
      <c r="T546" t="s">
        <v>84</v>
      </c>
      <c r="U546" t="s">
        <v>4007</v>
      </c>
      <c r="V546" s="3" t="s">
        <v>321</v>
      </c>
      <c r="W546" s="3" t="s">
        <v>69</v>
      </c>
      <c r="AM546" s="5"/>
      <c r="AN546" s="5"/>
      <c r="AQ546" s="6"/>
    </row>
    <row r="547" spans="2:43" x14ac:dyDescent="0.25">
      <c r="B547" t="s">
        <v>233</v>
      </c>
      <c r="C547">
        <v>100124</v>
      </c>
      <c r="D547" t="s">
        <v>559</v>
      </c>
      <c r="E547" t="s">
        <v>301</v>
      </c>
      <c r="F547" t="s">
        <v>305</v>
      </c>
      <c r="G547" t="s">
        <v>337</v>
      </c>
      <c r="H547" t="s">
        <v>54</v>
      </c>
      <c r="I547" t="s">
        <v>31</v>
      </c>
      <c r="J547" t="s">
        <v>43</v>
      </c>
      <c r="K547" t="s">
        <v>44</v>
      </c>
      <c r="L547" t="s">
        <v>73</v>
      </c>
      <c r="M547" t="s">
        <v>264</v>
      </c>
      <c r="N547" t="s">
        <v>4085</v>
      </c>
      <c r="P547" t="s">
        <v>107</v>
      </c>
      <c r="Q547" t="s">
        <v>562</v>
      </c>
      <c r="R547" s="5">
        <v>42885.441388888888</v>
      </c>
      <c r="S547" s="5">
        <v>43208.164768518516</v>
      </c>
      <c r="T547" t="s">
        <v>301</v>
      </c>
      <c r="U547" t="s">
        <v>35</v>
      </c>
      <c r="V547" s="3" t="s">
        <v>35</v>
      </c>
      <c r="W547" s="3" t="s">
        <v>307</v>
      </c>
      <c r="AM547" s="5"/>
      <c r="AN547" s="5"/>
      <c r="AQ547" s="6"/>
    </row>
    <row r="548" spans="2:43" x14ac:dyDescent="0.25">
      <c r="B548" t="s">
        <v>233</v>
      </c>
      <c r="C548">
        <v>100123</v>
      </c>
      <c r="D548" t="s">
        <v>3594</v>
      </c>
      <c r="E548" t="s">
        <v>94</v>
      </c>
      <c r="F548" t="s">
        <v>305</v>
      </c>
      <c r="G548" t="s">
        <v>337</v>
      </c>
      <c r="H548" t="s">
        <v>54</v>
      </c>
      <c r="I548" t="s">
        <v>31</v>
      </c>
      <c r="J548" t="s">
        <v>32</v>
      </c>
      <c r="K548" t="s">
        <v>33</v>
      </c>
      <c r="L548" t="s">
        <v>73</v>
      </c>
      <c r="M548" t="s">
        <v>264</v>
      </c>
      <c r="N548" t="s">
        <v>60</v>
      </c>
      <c r="P548" t="s">
        <v>107</v>
      </c>
      <c r="Q548" t="s">
        <v>2481</v>
      </c>
      <c r="R548" s="5">
        <v>42885.440057870372</v>
      </c>
      <c r="S548" s="5">
        <v>43019.731689814813</v>
      </c>
      <c r="T548" t="s">
        <v>301</v>
      </c>
      <c r="U548" t="s">
        <v>35</v>
      </c>
      <c r="V548" s="3" t="s">
        <v>321</v>
      </c>
      <c r="W548" s="3" t="s">
        <v>69</v>
      </c>
      <c r="AM548" s="5"/>
      <c r="AN548" s="5"/>
      <c r="AQ548" s="6"/>
    </row>
    <row r="549" spans="2:43" x14ac:dyDescent="0.25">
      <c r="B549" t="s">
        <v>235</v>
      </c>
      <c r="C549">
        <v>100070</v>
      </c>
      <c r="D549" t="s">
        <v>3592</v>
      </c>
      <c r="E549" t="s">
        <v>134</v>
      </c>
      <c r="F549" t="s">
        <v>305</v>
      </c>
      <c r="G549" t="s">
        <v>304</v>
      </c>
      <c r="H549" t="s">
        <v>54</v>
      </c>
      <c r="I549" t="s">
        <v>31</v>
      </c>
      <c r="J549" t="s">
        <v>43</v>
      </c>
      <c r="K549" t="s">
        <v>51</v>
      </c>
      <c r="L549" t="s">
        <v>34</v>
      </c>
      <c r="M549" t="s">
        <v>278</v>
      </c>
      <c r="N549" t="s">
        <v>518</v>
      </c>
      <c r="P549" t="s">
        <v>107</v>
      </c>
      <c r="Q549" t="s">
        <v>3593</v>
      </c>
      <c r="R549" s="5">
        <v>42881.855104166665</v>
      </c>
      <c r="S549" s="5">
        <v>43111.907824074071</v>
      </c>
      <c r="T549" t="s">
        <v>53</v>
      </c>
      <c r="U549" t="s">
        <v>35</v>
      </c>
      <c r="V549" s="3" t="s">
        <v>35</v>
      </c>
      <c r="W549" s="3" t="s">
        <v>4143</v>
      </c>
      <c r="AM549" s="5"/>
      <c r="AN549" s="5"/>
      <c r="AQ549" s="6"/>
    </row>
    <row r="550" spans="2:43" x14ac:dyDescent="0.25">
      <c r="B550" t="s">
        <v>236</v>
      </c>
      <c r="C550">
        <v>100069</v>
      </c>
      <c r="D550" t="s">
        <v>3591</v>
      </c>
      <c r="E550" t="s">
        <v>134</v>
      </c>
      <c r="F550" t="s">
        <v>305</v>
      </c>
      <c r="G550" t="s">
        <v>304</v>
      </c>
      <c r="H550" t="s">
        <v>54</v>
      </c>
      <c r="I550" t="s">
        <v>31</v>
      </c>
      <c r="J550" t="s">
        <v>43</v>
      </c>
      <c r="K550" t="s">
        <v>44</v>
      </c>
      <c r="L550" t="s">
        <v>34</v>
      </c>
      <c r="M550" t="s">
        <v>278</v>
      </c>
      <c r="N550" t="s">
        <v>4195</v>
      </c>
      <c r="O550" t="s">
        <v>533</v>
      </c>
      <c r="P550" t="s">
        <v>107</v>
      </c>
      <c r="Q550" t="s">
        <v>3509</v>
      </c>
      <c r="R550" s="5">
        <v>42881.854375000003</v>
      </c>
      <c r="S550" s="5">
        <v>43305.509768518517</v>
      </c>
      <c r="T550" t="s">
        <v>53</v>
      </c>
      <c r="U550" t="s">
        <v>35</v>
      </c>
      <c r="V550" s="3" t="s">
        <v>35</v>
      </c>
      <c r="W550" s="3" t="s">
        <v>4143</v>
      </c>
      <c r="AM550" s="5"/>
      <c r="AN550" s="5"/>
      <c r="AQ550" s="6"/>
    </row>
    <row r="551" spans="2:43" x14ac:dyDescent="0.25">
      <c r="B551" t="s">
        <v>236</v>
      </c>
      <c r="C551">
        <v>100068</v>
      </c>
      <c r="D551" t="s">
        <v>3589</v>
      </c>
      <c r="E551" t="s">
        <v>167</v>
      </c>
      <c r="F551" t="s">
        <v>305</v>
      </c>
      <c r="G551" t="s">
        <v>337</v>
      </c>
      <c r="H551" t="s">
        <v>54</v>
      </c>
      <c r="I551" t="s">
        <v>31</v>
      </c>
      <c r="J551" t="s">
        <v>43</v>
      </c>
      <c r="K551" t="s">
        <v>51</v>
      </c>
      <c r="L551" t="s">
        <v>34</v>
      </c>
      <c r="M551" t="s">
        <v>278</v>
      </c>
      <c r="N551" t="s">
        <v>60</v>
      </c>
      <c r="P551" t="s">
        <v>107</v>
      </c>
      <c r="Q551" t="s">
        <v>3590</v>
      </c>
      <c r="R551" s="5">
        <v>42881.852048611108</v>
      </c>
      <c r="S551" s="5">
        <v>43019.782326388886</v>
      </c>
      <c r="T551" t="s">
        <v>53</v>
      </c>
      <c r="U551" t="s">
        <v>35</v>
      </c>
      <c r="V551" s="3" t="s">
        <v>35</v>
      </c>
      <c r="W551" s="3" t="s">
        <v>69</v>
      </c>
      <c r="AM551" s="5"/>
      <c r="AN551" s="5"/>
      <c r="AQ551" s="6"/>
    </row>
    <row r="552" spans="2:43" x14ac:dyDescent="0.25">
      <c r="B552" t="s">
        <v>236</v>
      </c>
      <c r="C552">
        <v>100067</v>
      </c>
      <c r="D552" t="s">
        <v>166</v>
      </c>
      <c r="E552" t="s">
        <v>175</v>
      </c>
      <c r="F552" t="s">
        <v>305</v>
      </c>
      <c r="G552" t="s">
        <v>304</v>
      </c>
      <c r="H552" t="s">
        <v>54</v>
      </c>
      <c r="I552" t="s">
        <v>31</v>
      </c>
      <c r="J552" t="s">
        <v>43</v>
      </c>
      <c r="K552" t="s">
        <v>44</v>
      </c>
      <c r="L552" t="s">
        <v>34</v>
      </c>
      <c r="M552" t="s">
        <v>278</v>
      </c>
      <c r="N552" t="s">
        <v>60</v>
      </c>
      <c r="O552" t="s">
        <v>4079</v>
      </c>
      <c r="P552" t="s">
        <v>107</v>
      </c>
      <c r="Q552" t="s">
        <v>3509</v>
      </c>
      <c r="R552" s="5">
        <v>42881.852060185185</v>
      </c>
      <c r="S552" s="5">
        <v>43232.006655092591</v>
      </c>
      <c r="T552" t="s">
        <v>53</v>
      </c>
      <c r="U552" t="s">
        <v>35</v>
      </c>
      <c r="V552" s="3" t="s">
        <v>35</v>
      </c>
      <c r="W552" s="3" t="s">
        <v>4098</v>
      </c>
      <c r="AM552" s="5"/>
      <c r="AN552" s="5"/>
      <c r="AQ552" s="6"/>
    </row>
    <row r="553" spans="2:43" x14ac:dyDescent="0.25">
      <c r="B553" t="s">
        <v>235</v>
      </c>
      <c r="C553">
        <v>100066</v>
      </c>
      <c r="D553" t="s">
        <v>3588</v>
      </c>
      <c r="E553" t="s">
        <v>167</v>
      </c>
      <c r="F553" t="s">
        <v>305</v>
      </c>
      <c r="G553" t="s">
        <v>337</v>
      </c>
      <c r="H553" t="s">
        <v>54</v>
      </c>
      <c r="I553" t="s">
        <v>31</v>
      </c>
      <c r="J553" t="s">
        <v>32</v>
      </c>
      <c r="K553" t="s">
        <v>33</v>
      </c>
      <c r="L553" t="s">
        <v>34</v>
      </c>
      <c r="M553" t="s">
        <v>278</v>
      </c>
      <c r="N553" t="s">
        <v>60</v>
      </c>
      <c r="P553" t="s">
        <v>107</v>
      </c>
      <c r="Q553" t="s">
        <v>107</v>
      </c>
      <c r="R553" s="5">
        <v>42881.8515162037</v>
      </c>
      <c r="S553" s="5">
        <v>42969.481064814812</v>
      </c>
      <c r="T553" t="s">
        <v>53</v>
      </c>
      <c r="U553" t="s">
        <v>35</v>
      </c>
      <c r="V553" s="3" t="s">
        <v>321</v>
      </c>
      <c r="W553" s="3" t="s">
        <v>69</v>
      </c>
      <c r="AM553" s="5"/>
      <c r="AN553" s="5"/>
      <c r="AQ553" s="6"/>
    </row>
    <row r="554" spans="2:43" x14ac:dyDescent="0.25">
      <c r="B554" t="s">
        <v>235</v>
      </c>
      <c r="C554">
        <v>100065</v>
      </c>
      <c r="D554" t="s">
        <v>163</v>
      </c>
      <c r="E554" t="s">
        <v>164</v>
      </c>
      <c r="F554" t="s">
        <v>319</v>
      </c>
      <c r="G554" t="s">
        <v>304</v>
      </c>
      <c r="H554" t="s">
        <v>54</v>
      </c>
      <c r="I554" t="s">
        <v>31</v>
      </c>
      <c r="J554" t="s">
        <v>43</v>
      </c>
      <c r="K554" t="s">
        <v>51</v>
      </c>
      <c r="L554" t="s">
        <v>34</v>
      </c>
      <c r="M554" t="s">
        <v>278</v>
      </c>
      <c r="N554" t="s">
        <v>60</v>
      </c>
      <c r="O554" t="s">
        <v>165</v>
      </c>
      <c r="P554" t="s">
        <v>107</v>
      </c>
      <c r="Q554" t="s">
        <v>3708</v>
      </c>
      <c r="R554" s="5">
        <v>42881.851539351854</v>
      </c>
      <c r="S554" s="5">
        <v>43423.895613425928</v>
      </c>
      <c r="T554" t="s">
        <v>53</v>
      </c>
      <c r="U554" t="s">
        <v>35</v>
      </c>
      <c r="V554" s="3" t="s">
        <v>35</v>
      </c>
      <c r="W554" s="3" t="s">
        <v>4098</v>
      </c>
      <c r="AM554" s="5"/>
      <c r="AN554" s="5"/>
      <c r="AQ554" s="6"/>
    </row>
    <row r="555" spans="2:43" x14ac:dyDescent="0.25">
      <c r="B555" t="s">
        <v>235</v>
      </c>
      <c r="C555">
        <v>100013</v>
      </c>
      <c r="D555" t="s">
        <v>558</v>
      </c>
      <c r="E555" t="s">
        <v>175</v>
      </c>
      <c r="F555" t="s">
        <v>305</v>
      </c>
      <c r="G555" t="s">
        <v>337</v>
      </c>
      <c r="H555" t="s">
        <v>54</v>
      </c>
      <c r="I555" t="s">
        <v>31</v>
      </c>
      <c r="J555" t="s">
        <v>43</v>
      </c>
      <c r="K555" t="s">
        <v>51</v>
      </c>
      <c r="L555" t="s">
        <v>34</v>
      </c>
      <c r="M555" t="s">
        <v>278</v>
      </c>
      <c r="N555" t="s">
        <v>60</v>
      </c>
      <c r="P555" t="s">
        <v>107</v>
      </c>
      <c r="Q555" t="s">
        <v>3708</v>
      </c>
      <c r="R555" s="5">
        <v>42880.880983796298</v>
      </c>
      <c r="S555" s="5">
        <v>43423.863564814812</v>
      </c>
      <c r="T555" t="s">
        <v>2</v>
      </c>
      <c r="U555" t="s">
        <v>35</v>
      </c>
      <c r="V555" s="3" t="s">
        <v>35</v>
      </c>
      <c r="W555" s="3" t="s">
        <v>4156</v>
      </c>
      <c r="AM555" s="5"/>
      <c r="AN555" s="5"/>
      <c r="AQ555" s="6"/>
    </row>
    <row r="556" spans="2:43" x14ac:dyDescent="0.25">
      <c r="B556" t="s">
        <v>3542</v>
      </c>
      <c r="C556">
        <v>100011</v>
      </c>
      <c r="D556" t="s">
        <v>3587</v>
      </c>
      <c r="E556" t="s">
        <v>82</v>
      </c>
      <c r="F556" t="s">
        <v>305</v>
      </c>
      <c r="G556" t="s">
        <v>304</v>
      </c>
      <c r="H556" t="s">
        <v>54</v>
      </c>
      <c r="I556" t="s">
        <v>31</v>
      </c>
      <c r="J556" t="s">
        <v>32</v>
      </c>
      <c r="K556" t="s">
        <v>33</v>
      </c>
      <c r="L556" t="s">
        <v>73</v>
      </c>
      <c r="M556" t="s">
        <v>263</v>
      </c>
      <c r="N556" t="s">
        <v>518</v>
      </c>
      <c r="P556" t="s">
        <v>107</v>
      </c>
      <c r="Q556" t="s">
        <v>2028</v>
      </c>
      <c r="R556" s="5">
        <v>42880.860752314817</v>
      </c>
      <c r="S556" s="5">
        <v>43215.183657407404</v>
      </c>
      <c r="T556" t="s">
        <v>301</v>
      </c>
      <c r="U556" t="s">
        <v>35</v>
      </c>
      <c r="V556" s="3" t="s">
        <v>321</v>
      </c>
      <c r="W556" s="3" t="s">
        <v>307</v>
      </c>
      <c r="AM556" s="5"/>
      <c r="AN556" s="5"/>
      <c r="AQ556" s="6"/>
    </row>
    <row r="557" spans="2:43" x14ac:dyDescent="0.25">
      <c r="B557" t="s">
        <v>212</v>
      </c>
      <c r="C557">
        <v>100009</v>
      </c>
      <c r="D557" t="s">
        <v>3586</v>
      </c>
      <c r="E557" t="s">
        <v>110</v>
      </c>
      <c r="F557" t="s">
        <v>305</v>
      </c>
      <c r="G557" t="s">
        <v>353</v>
      </c>
      <c r="H557" t="s">
        <v>54</v>
      </c>
      <c r="I557" t="s">
        <v>31</v>
      </c>
      <c r="J557" t="s">
        <v>32</v>
      </c>
      <c r="K557" t="s">
        <v>33</v>
      </c>
      <c r="L557" t="s">
        <v>73</v>
      </c>
      <c r="M557" t="s">
        <v>263</v>
      </c>
      <c r="N557" t="s">
        <v>518</v>
      </c>
      <c r="P557" t="s">
        <v>107</v>
      </c>
      <c r="Q557" t="s">
        <v>107</v>
      </c>
      <c r="R557" s="5">
        <v>42880.823634259257</v>
      </c>
      <c r="S557" s="5">
        <v>43129.148888888885</v>
      </c>
      <c r="T557" t="s">
        <v>301</v>
      </c>
      <c r="U557" t="s">
        <v>35</v>
      </c>
      <c r="V557" s="3" t="s">
        <v>321</v>
      </c>
      <c r="W557" s="3" t="s">
        <v>307</v>
      </c>
      <c r="AM557" s="5"/>
      <c r="AN557" s="5"/>
      <c r="AQ557" s="6"/>
    </row>
    <row r="558" spans="2:43" x14ac:dyDescent="0.25">
      <c r="B558" t="s">
        <v>236</v>
      </c>
      <c r="C558">
        <v>100008</v>
      </c>
      <c r="D558" t="s">
        <v>3585</v>
      </c>
      <c r="E558" t="s">
        <v>167</v>
      </c>
      <c r="F558" t="s">
        <v>305</v>
      </c>
      <c r="G558" t="s">
        <v>310</v>
      </c>
      <c r="H558" t="s">
        <v>54</v>
      </c>
      <c r="I558" t="s">
        <v>31</v>
      </c>
      <c r="J558" t="s">
        <v>43</v>
      </c>
      <c r="K558" t="s">
        <v>51</v>
      </c>
      <c r="L558" t="s">
        <v>34</v>
      </c>
      <c r="M558" t="s">
        <v>278</v>
      </c>
      <c r="N558" t="s">
        <v>60</v>
      </c>
      <c r="P558" t="s">
        <v>107</v>
      </c>
      <c r="Q558" t="s">
        <v>3509</v>
      </c>
      <c r="R558" s="5">
        <v>42880.822430555556</v>
      </c>
      <c r="S558" s="5">
        <v>43164.131550925929</v>
      </c>
      <c r="T558" t="s">
        <v>2</v>
      </c>
      <c r="U558" t="s">
        <v>35</v>
      </c>
      <c r="V558" s="3" t="s">
        <v>35</v>
      </c>
      <c r="W558" s="3" t="s">
        <v>4156</v>
      </c>
      <c r="AM558" s="5"/>
      <c r="AN558" s="5"/>
      <c r="AQ558" s="6"/>
    </row>
    <row r="559" spans="2:43" x14ac:dyDescent="0.25">
      <c r="B559" t="s">
        <v>232</v>
      </c>
      <c r="C559">
        <v>99999</v>
      </c>
      <c r="D559" t="s">
        <v>3584</v>
      </c>
      <c r="E559" t="s">
        <v>155</v>
      </c>
      <c r="F559" t="s">
        <v>305</v>
      </c>
      <c r="G559" t="s">
        <v>304</v>
      </c>
      <c r="H559" t="s">
        <v>116</v>
      </c>
      <c r="I559" t="s">
        <v>31</v>
      </c>
      <c r="J559" t="s">
        <v>43</v>
      </c>
      <c r="K559" t="s">
        <v>44</v>
      </c>
      <c r="L559" t="s">
        <v>73</v>
      </c>
      <c r="M559" t="s">
        <v>263</v>
      </c>
      <c r="N559" t="s">
        <v>510</v>
      </c>
      <c r="P559" t="s">
        <v>133</v>
      </c>
      <c r="Q559" t="s">
        <v>2416</v>
      </c>
      <c r="R559" s="5">
        <v>42880.638090277775</v>
      </c>
      <c r="S559" s="5">
        <v>43230.986863425926</v>
      </c>
      <c r="T559" t="s">
        <v>301</v>
      </c>
      <c r="U559" t="s">
        <v>4021</v>
      </c>
      <c r="V559" s="3" t="s">
        <v>35</v>
      </c>
      <c r="W559" s="3" t="s">
        <v>307</v>
      </c>
      <c r="AM559" s="5"/>
      <c r="AN559" s="5"/>
      <c r="AQ559" s="6"/>
    </row>
    <row r="560" spans="2:43" x14ac:dyDescent="0.25">
      <c r="B560" t="s">
        <v>232</v>
      </c>
      <c r="C560">
        <v>99998</v>
      </c>
      <c r="D560" t="s">
        <v>3583</v>
      </c>
      <c r="E560" t="s">
        <v>155</v>
      </c>
      <c r="F560" t="s">
        <v>305</v>
      </c>
      <c r="G560" t="s">
        <v>304</v>
      </c>
      <c r="H560" t="s">
        <v>54</v>
      </c>
      <c r="I560" t="s">
        <v>31</v>
      </c>
      <c r="J560" t="s">
        <v>43</v>
      </c>
      <c r="K560" t="s">
        <v>44</v>
      </c>
      <c r="L560" t="s">
        <v>73</v>
      </c>
      <c r="M560" t="s">
        <v>263</v>
      </c>
      <c r="N560" t="s">
        <v>60</v>
      </c>
      <c r="P560" t="s">
        <v>133</v>
      </c>
      <c r="Q560" t="s">
        <v>2416</v>
      </c>
      <c r="R560" s="5">
        <v>42880.636782407404</v>
      </c>
      <c r="S560" s="5">
        <v>42954.125150462962</v>
      </c>
      <c r="T560" t="s">
        <v>301</v>
      </c>
      <c r="U560" t="s">
        <v>4007</v>
      </c>
      <c r="V560" s="3" t="s">
        <v>35</v>
      </c>
      <c r="W560" s="3" t="s">
        <v>69</v>
      </c>
      <c r="AM560" s="5"/>
      <c r="AN560" s="5"/>
      <c r="AQ560" s="6"/>
    </row>
    <row r="561" spans="2:43" x14ac:dyDescent="0.25">
      <c r="B561" t="s">
        <v>234</v>
      </c>
      <c r="C561">
        <v>99949</v>
      </c>
      <c r="D561" t="s">
        <v>160</v>
      </c>
      <c r="E561" t="s">
        <v>161</v>
      </c>
      <c r="F561" t="s">
        <v>305</v>
      </c>
      <c r="G561" t="s">
        <v>328</v>
      </c>
      <c r="H561" t="s">
        <v>54</v>
      </c>
      <c r="I561" t="s">
        <v>31</v>
      </c>
      <c r="J561" t="s">
        <v>32</v>
      </c>
      <c r="K561" t="s">
        <v>33</v>
      </c>
      <c r="L561" t="s">
        <v>45</v>
      </c>
      <c r="M561" t="s">
        <v>260</v>
      </c>
      <c r="N561" t="s">
        <v>46</v>
      </c>
      <c r="O561" t="s">
        <v>492</v>
      </c>
      <c r="P561" t="s">
        <v>75</v>
      </c>
      <c r="Q561" t="s">
        <v>3708</v>
      </c>
      <c r="R561" s="5">
        <v>42879.999201388891</v>
      </c>
      <c r="S561" s="5">
        <v>43459.155416666668</v>
      </c>
      <c r="T561" t="s">
        <v>162</v>
      </c>
      <c r="U561" t="s">
        <v>35</v>
      </c>
      <c r="V561" s="3" t="s">
        <v>321</v>
      </c>
      <c r="W561" s="3" t="s">
        <v>4098</v>
      </c>
      <c r="AM561" s="5"/>
      <c r="AN561" s="5"/>
      <c r="AQ561" s="6"/>
    </row>
    <row r="562" spans="2:43" x14ac:dyDescent="0.25">
      <c r="B562" t="s">
        <v>233</v>
      </c>
      <c r="C562">
        <v>99942</v>
      </c>
      <c r="D562" t="s">
        <v>156</v>
      </c>
      <c r="E562" t="s">
        <v>94</v>
      </c>
      <c r="F562" t="s">
        <v>305</v>
      </c>
      <c r="G562" t="s">
        <v>304</v>
      </c>
      <c r="H562" t="s">
        <v>54</v>
      </c>
      <c r="I562" t="s">
        <v>31</v>
      </c>
      <c r="J562" t="s">
        <v>32</v>
      </c>
      <c r="K562" t="s">
        <v>33</v>
      </c>
      <c r="L562" t="s">
        <v>73</v>
      </c>
      <c r="M562" t="s">
        <v>264</v>
      </c>
      <c r="N562" t="s">
        <v>157</v>
      </c>
      <c r="O562" t="s">
        <v>158</v>
      </c>
      <c r="P562" t="s">
        <v>107</v>
      </c>
      <c r="Q562" t="s">
        <v>159</v>
      </c>
      <c r="R562" s="5">
        <v>42879.858148148145</v>
      </c>
      <c r="S562" s="5">
        <v>43423.923761574071</v>
      </c>
      <c r="T562" t="s">
        <v>1</v>
      </c>
      <c r="U562" t="s">
        <v>35</v>
      </c>
      <c r="V562" s="3" t="s">
        <v>321</v>
      </c>
      <c r="W562" s="3" t="s">
        <v>4098</v>
      </c>
      <c r="AM562" s="5"/>
      <c r="AN562" s="5"/>
      <c r="AQ562" s="6"/>
    </row>
    <row r="563" spans="2:43" x14ac:dyDescent="0.25">
      <c r="B563" t="s">
        <v>232</v>
      </c>
      <c r="C563">
        <v>99933</v>
      </c>
      <c r="D563" t="s">
        <v>154</v>
      </c>
      <c r="E563" t="s">
        <v>155</v>
      </c>
      <c r="F563" t="s">
        <v>319</v>
      </c>
      <c r="G563" t="s">
        <v>304</v>
      </c>
      <c r="H563" t="s">
        <v>54</v>
      </c>
      <c r="I563" t="s">
        <v>31</v>
      </c>
      <c r="J563" t="s">
        <v>43</v>
      </c>
      <c r="K563" t="s">
        <v>44</v>
      </c>
      <c r="L563" t="s">
        <v>73</v>
      </c>
      <c r="M563" t="s">
        <v>263</v>
      </c>
      <c r="N563" t="s">
        <v>60</v>
      </c>
      <c r="P563" t="s">
        <v>133</v>
      </c>
      <c r="Q563" t="s">
        <v>3708</v>
      </c>
      <c r="R563" s="5">
        <v>42879.606689814813</v>
      </c>
      <c r="S563" s="5">
        <v>43423.907083333332</v>
      </c>
      <c r="T563" t="s">
        <v>5</v>
      </c>
      <c r="U563" t="s">
        <v>35</v>
      </c>
      <c r="V563" s="3" t="s">
        <v>35</v>
      </c>
      <c r="W563" s="3" t="s">
        <v>4098</v>
      </c>
      <c r="AM563" s="5"/>
      <c r="AN563" s="5"/>
      <c r="AQ563" s="6"/>
    </row>
    <row r="564" spans="2:43" x14ac:dyDescent="0.25">
      <c r="B564" t="s">
        <v>217</v>
      </c>
      <c r="C564">
        <v>99932</v>
      </c>
      <c r="D564" t="s">
        <v>3582</v>
      </c>
      <c r="E564" t="s">
        <v>91</v>
      </c>
      <c r="F564" t="s">
        <v>305</v>
      </c>
      <c r="G564" t="s">
        <v>304</v>
      </c>
      <c r="H564" t="s">
        <v>54</v>
      </c>
      <c r="I564" t="s">
        <v>31</v>
      </c>
      <c r="J564" t="s">
        <v>32</v>
      </c>
      <c r="K564" t="s">
        <v>44</v>
      </c>
      <c r="L564" t="s">
        <v>73</v>
      </c>
      <c r="M564" t="s">
        <v>263</v>
      </c>
      <c r="N564" t="s">
        <v>60</v>
      </c>
      <c r="O564" t="s">
        <v>3581</v>
      </c>
      <c r="P564" t="s">
        <v>92</v>
      </c>
      <c r="Q564" t="s">
        <v>3459</v>
      </c>
      <c r="R564" s="5">
        <v>42879.603958333333</v>
      </c>
      <c r="S564" s="5">
        <v>42926.560324074075</v>
      </c>
      <c r="T564" t="s">
        <v>3579</v>
      </c>
      <c r="U564" t="s">
        <v>35</v>
      </c>
      <c r="V564" s="3" t="s">
        <v>35</v>
      </c>
      <c r="W564" s="3" t="s">
        <v>449</v>
      </c>
      <c r="AM564" s="5"/>
      <c r="AN564" s="5"/>
      <c r="AQ564" s="6"/>
    </row>
    <row r="565" spans="2:43" x14ac:dyDescent="0.25">
      <c r="B565" t="s">
        <v>3315</v>
      </c>
      <c r="C565">
        <v>99929</v>
      </c>
      <c r="D565" t="s">
        <v>3580</v>
      </c>
      <c r="E565" t="s">
        <v>84</v>
      </c>
      <c r="F565" t="s">
        <v>305</v>
      </c>
      <c r="G565" t="s">
        <v>304</v>
      </c>
      <c r="H565" t="s">
        <v>30</v>
      </c>
      <c r="I565" t="s">
        <v>31</v>
      </c>
      <c r="J565" t="s">
        <v>43</v>
      </c>
      <c r="K565" t="s">
        <v>51</v>
      </c>
      <c r="L565" t="s">
        <v>73</v>
      </c>
      <c r="M565" t="s">
        <v>263</v>
      </c>
      <c r="N565" t="s">
        <v>46</v>
      </c>
      <c r="O565" t="s">
        <v>3581</v>
      </c>
      <c r="P565" t="s">
        <v>85</v>
      </c>
      <c r="Q565" t="s">
        <v>85</v>
      </c>
      <c r="R565" s="5">
        <v>42879.597291666665</v>
      </c>
      <c r="S565" s="5">
        <v>42929.125092592592</v>
      </c>
      <c r="T565" t="s">
        <v>3579</v>
      </c>
      <c r="U565" t="s">
        <v>35</v>
      </c>
      <c r="V565" s="3" t="s">
        <v>35</v>
      </c>
      <c r="W565" s="3" t="s">
        <v>449</v>
      </c>
      <c r="AM565" s="5"/>
      <c r="AN565" s="5"/>
      <c r="AQ565" s="6"/>
    </row>
    <row r="566" spans="2:43" x14ac:dyDescent="0.25">
      <c r="B566" t="s">
        <v>3311</v>
      </c>
      <c r="C566">
        <v>99928</v>
      </c>
      <c r="D566" t="s">
        <v>3577</v>
      </c>
      <c r="E566" t="s">
        <v>84</v>
      </c>
      <c r="F566" t="s">
        <v>305</v>
      </c>
      <c r="G566" t="s">
        <v>304</v>
      </c>
      <c r="H566" t="s">
        <v>54</v>
      </c>
      <c r="I566" t="s">
        <v>31</v>
      </c>
      <c r="J566" t="s">
        <v>32</v>
      </c>
      <c r="K566" t="s">
        <v>33</v>
      </c>
      <c r="L566" t="s">
        <v>73</v>
      </c>
      <c r="M566" t="s">
        <v>263</v>
      </c>
      <c r="N566" t="s">
        <v>579</v>
      </c>
      <c r="O566" t="s">
        <v>3578</v>
      </c>
      <c r="P566" t="s">
        <v>3233</v>
      </c>
      <c r="Q566" t="s">
        <v>3233</v>
      </c>
      <c r="R566" s="5">
        <v>42879.594826388886</v>
      </c>
      <c r="S566" s="5">
        <v>42929.125092592592</v>
      </c>
      <c r="T566" t="s">
        <v>3579</v>
      </c>
      <c r="U566" t="s">
        <v>35</v>
      </c>
      <c r="V566" s="3" t="s">
        <v>321</v>
      </c>
      <c r="W566" s="3" t="s">
        <v>449</v>
      </c>
      <c r="AM566" s="5"/>
      <c r="AN566" s="5"/>
      <c r="AQ566" s="6"/>
    </row>
    <row r="567" spans="2:43" x14ac:dyDescent="0.25">
      <c r="B567" t="s">
        <v>4089</v>
      </c>
      <c r="C567">
        <v>99851</v>
      </c>
      <c r="D567" t="s">
        <v>4194</v>
      </c>
      <c r="E567" t="s">
        <v>2537</v>
      </c>
      <c r="F567" t="s">
        <v>305</v>
      </c>
      <c r="G567" t="s">
        <v>304</v>
      </c>
      <c r="H567" t="s">
        <v>30</v>
      </c>
      <c r="I567" t="s">
        <v>31</v>
      </c>
      <c r="J567" t="s">
        <v>32</v>
      </c>
      <c r="K567" t="s">
        <v>33</v>
      </c>
      <c r="L567" t="s">
        <v>45</v>
      </c>
      <c r="M567" t="s">
        <v>106</v>
      </c>
      <c r="N567" t="s">
        <v>518</v>
      </c>
      <c r="P567" t="s">
        <v>69</v>
      </c>
      <c r="R567" s="5">
        <v>42878.494525462964</v>
      </c>
      <c r="S567" s="5">
        <v>43223.478090277778</v>
      </c>
      <c r="T567" t="s">
        <v>3147</v>
      </c>
      <c r="U567" t="s">
        <v>4014</v>
      </c>
      <c r="V567" s="3" t="s">
        <v>35</v>
      </c>
      <c r="W567" s="3" t="s">
        <v>307</v>
      </c>
      <c r="AM567" s="5"/>
      <c r="AN567" s="5"/>
      <c r="AQ567" s="6"/>
    </row>
    <row r="568" spans="2:43" x14ac:dyDescent="0.25">
      <c r="B568" t="s">
        <v>3483</v>
      </c>
      <c r="C568">
        <v>99812</v>
      </c>
      <c r="D568" t="s">
        <v>3576</v>
      </c>
      <c r="E568" t="s">
        <v>155</v>
      </c>
      <c r="F568" t="s">
        <v>305</v>
      </c>
      <c r="G568" t="s">
        <v>304</v>
      </c>
      <c r="H568" t="s">
        <v>116</v>
      </c>
      <c r="I568" t="s">
        <v>31</v>
      </c>
      <c r="J568" t="s">
        <v>43</v>
      </c>
      <c r="K568" t="s">
        <v>51</v>
      </c>
      <c r="L568" t="s">
        <v>73</v>
      </c>
      <c r="M568" t="s">
        <v>263</v>
      </c>
      <c r="N568" t="s">
        <v>510</v>
      </c>
      <c r="P568" t="s">
        <v>107</v>
      </c>
      <c r="Q568" t="s">
        <v>2416</v>
      </c>
      <c r="R568" s="5">
        <v>42877.594918981478</v>
      </c>
      <c r="S568" s="5">
        <v>43230.97828703704</v>
      </c>
      <c r="T568" t="s">
        <v>301</v>
      </c>
      <c r="U568" t="s">
        <v>4020</v>
      </c>
      <c r="V568" s="3" t="s">
        <v>35</v>
      </c>
      <c r="W568" s="3" t="s">
        <v>307</v>
      </c>
      <c r="AM568" s="5"/>
      <c r="AN568" s="5"/>
      <c r="AQ568" s="6"/>
    </row>
    <row r="569" spans="2:43" x14ac:dyDescent="0.25">
      <c r="B569" t="s">
        <v>3573</v>
      </c>
      <c r="C569">
        <v>99809</v>
      </c>
      <c r="D569" t="s">
        <v>3574</v>
      </c>
      <c r="E569" t="s">
        <v>84</v>
      </c>
      <c r="F569" t="s">
        <v>305</v>
      </c>
      <c r="G569" t="s">
        <v>353</v>
      </c>
      <c r="H569" t="s">
        <v>54</v>
      </c>
      <c r="I569" t="s">
        <v>31</v>
      </c>
      <c r="J569" t="s">
        <v>43</v>
      </c>
      <c r="K569" t="s">
        <v>44</v>
      </c>
      <c r="L569" t="s">
        <v>73</v>
      </c>
      <c r="M569" t="s">
        <v>263</v>
      </c>
      <c r="N569" t="s">
        <v>60</v>
      </c>
      <c r="P569" t="s">
        <v>3498</v>
      </c>
      <c r="Q569" t="s">
        <v>3575</v>
      </c>
      <c r="R569" s="5">
        <v>42877.554768518516</v>
      </c>
      <c r="S569" s="5">
        <v>43216.011944444443</v>
      </c>
      <c r="T569" t="s">
        <v>86</v>
      </c>
      <c r="U569" t="s">
        <v>35</v>
      </c>
      <c r="V569" s="3" t="s">
        <v>35</v>
      </c>
      <c r="W569" s="3" t="s">
        <v>4098</v>
      </c>
      <c r="AM569" s="5"/>
      <c r="AN569" s="5"/>
      <c r="AQ569" s="6"/>
    </row>
    <row r="570" spans="2:43" x14ac:dyDescent="0.25">
      <c r="B570" t="s">
        <v>231</v>
      </c>
      <c r="C570">
        <v>99794</v>
      </c>
      <c r="D570" t="s">
        <v>3571</v>
      </c>
      <c r="E570" t="s">
        <v>153</v>
      </c>
      <c r="F570" t="s">
        <v>305</v>
      </c>
      <c r="G570" t="s">
        <v>304</v>
      </c>
      <c r="H570" t="s">
        <v>116</v>
      </c>
      <c r="I570" t="s">
        <v>31</v>
      </c>
      <c r="J570" t="s">
        <v>32</v>
      </c>
      <c r="K570" t="s">
        <v>33</v>
      </c>
      <c r="L570" t="s">
        <v>45</v>
      </c>
      <c r="M570" t="s">
        <v>280</v>
      </c>
      <c r="N570" t="s">
        <v>512</v>
      </c>
      <c r="P570" t="s">
        <v>107</v>
      </c>
      <c r="Q570" t="s">
        <v>3572</v>
      </c>
      <c r="R570" s="5">
        <v>42877.483414351853</v>
      </c>
      <c r="S570" s="5">
        <v>43439.149282407408</v>
      </c>
      <c r="T570" t="s">
        <v>3479</v>
      </c>
      <c r="U570" t="s">
        <v>35</v>
      </c>
      <c r="V570" s="3" t="s">
        <v>35</v>
      </c>
      <c r="W570" s="3" t="s">
        <v>4151</v>
      </c>
      <c r="AM570" s="5"/>
      <c r="AN570" s="5"/>
      <c r="AQ570" s="6"/>
    </row>
    <row r="571" spans="2:43" x14ac:dyDescent="0.25">
      <c r="B571" t="s">
        <v>231</v>
      </c>
      <c r="C571">
        <v>99788</v>
      </c>
      <c r="D571" t="s">
        <v>3570</v>
      </c>
      <c r="E571" t="s">
        <v>153</v>
      </c>
      <c r="F571" t="s">
        <v>305</v>
      </c>
      <c r="G571" t="s">
        <v>304</v>
      </c>
      <c r="H571" t="s">
        <v>116</v>
      </c>
      <c r="I571" t="s">
        <v>31</v>
      </c>
      <c r="J571" t="s">
        <v>32</v>
      </c>
      <c r="K571" t="s">
        <v>33</v>
      </c>
      <c r="L571" t="s">
        <v>45</v>
      </c>
      <c r="M571" t="s">
        <v>280</v>
      </c>
      <c r="N571" t="s">
        <v>510</v>
      </c>
      <c r="P571" t="s">
        <v>107</v>
      </c>
      <c r="Q571" t="s">
        <v>3530</v>
      </c>
      <c r="R571" s="5">
        <v>42877.480393518519</v>
      </c>
      <c r="S571" s="5">
        <v>43230.947280092594</v>
      </c>
      <c r="T571" t="s">
        <v>3479</v>
      </c>
      <c r="U571" t="s">
        <v>35</v>
      </c>
      <c r="V571" s="3" t="s">
        <v>321</v>
      </c>
      <c r="W571" s="3" t="s">
        <v>307</v>
      </c>
      <c r="AM571" s="5"/>
      <c r="AN571" s="5"/>
      <c r="AQ571" s="6"/>
    </row>
    <row r="572" spans="2:43" x14ac:dyDescent="0.25">
      <c r="B572" t="s">
        <v>231</v>
      </c>
      <c r="C572">
        <v>99786</v>
      </c>
      <c r="D572" t="s">
        <v>557</v>
      </c>
      <c r="E572" t="s">
        <v>153</v>
      </c>
      <c r="F572" t="s">
        <v>305</v>
      </c>
      <c r="G572" t="s">
        <v>337</v>
      </c>
      <c r="H572" t="s">
        <v>116</v>
      </c>
      <c r="I572" t="s">
        <v>31</v>
      </c>
      <c r="J572" t="s">
        <v>32</v>
      </c>
      <c r="K572" t="s">
        <v>33</v>
      </c>
      <c r="L572" t="s">
        <v>45</v>
      </c>
      <c r="M572" t="s">
        <v>280</v>
      </c>
      <c r="N572" t="s">
        <v>60</v>
      </c>
      <c r="O572" t="s">
        <v>487</v>
      </c>
      <c r="P572" t="s">
        <v>107</v>
      </c>
      <c r="Q572" t="s">
        <v>3708</v>
      </c>
      <c r="R572" s="5">
        <v>42877.467141203706</v>
      </c>
      <c r="S572" s="5">
        <v>43423.863599537035</v>
      </c>
      <c r="T572" t="s">
        <v>153</v>
      </c>
      <c r="U572" t="s">
        <v>4010</v>
      </c>
      <c r="V572" s="3" t="s">
        <v>35</v>
      </c>
      <c r="W572" s="3" t="s">
        <v>4156</v>
      </c>
      <c r="AM572" s="5"/>
      <c r="AN572" s="5"/>
      <c r="AQ572" s="6"/>
    </row>
    <row r="573" spans="2:43" x14ac:dyDescent="0.25">
      <c r="B573" t="s">
        <v>231</v>
      </c>
      <c r="C573">
        <v>99785</v>
      </c>
      <c r="D573" t="s">
        <v>152</v>
      </c>
      <c r="E573" t="s">
        <v>153</v>
      </c>
      <c r="F573" t="s">
        <v>319</v>
      </c>
      <c r="G573" t="s">
        <v>304</v>
      </c>
      <c r="H573" t="s">
        <v>56</v>
      </c>
      <c r="I573" t="s">
        <v>31</v>
      </c>
      <c r="J573" t="s">
        <v>32</v>
      </c>
      <c r="K573" t="s">
        <v>33</v>
      </c>
      <c r="L573" t="s">
        <v>45</v>
      </c>
      <c r="M573" t="s">
        <v>280</v>
      </c>
      <c r="N573" t="s">
        <v>46</v>
      </c>
      <c r="O573" t="s">
        <v>487</v>
      </c>
      <c r="P573" t="s">
        <v>107</v>
      </c>
      <c r="Q573" t="s">
        <v>3708</v>
      </c>
      <c r="R573" s="5">
        <v>42877.467152777775</v>
      </c>
      <c r="S573" s="5">
        <v>43423.894189814811</v>
      </c>
      <c r="T573" t="s">
        <v>153</v>
      </c>
      <c r="U573" t="s">
        <v>35</v>
      </c>
      <c r="V573" s="3" t="s">
        <v>35</v>
      </c>
      <c r="W573" s="3" t="s">
        <v>4098</v>
      </c>
      <c r="AM573" s="5"/>
      <c r="AN573" s="5"/>
      <c r="AQ573" s="6"/>
    </row>
    <row r="574" spans="2:43" x14ac:dyDescent="0.25">
      <c r="B574" t="s">
        <v>3315</v>
      </c>
      <c r="C574">
        <v>99657</v>
      </c>
      <c r="D574" t="s">
        <v>3569</v>
      </c>
      <c r="E574" t="s">
        <v>514</v>
      </c>
      <c r="F574" t="s">
        <v>305</v>
      </c>
      <c r="G574" t="s">
        <v>304</v>
      </c>
      <c r="H574" t="s">
        <v>54</v>
      </c>
      <c r="I574" t="s">
        <v>31</v>
      </c>
      <c r="J574" t="s">
        <v>43</v>
      </c>
      <c r="K574" t="s">
        <v>44</v>
      </c>
      <c r="L574" t="s">
        <v>73</v>
      </c>
      <c r="M574" t="s">
        <v>263</v>
      </c>
      <c r="N574" t="s">
        <v>3549</v>
      </c>
      <c r="P574" t="s">
        <v>85</v>
      </c>
      <c r="Q574" t="s">
        <v>85</v>
      </c>
      <c r="R574" s="5">
        <v>42873.334247685183</v>
      </c>
      <c r="S574" s="5">
        <v>43214.207407407404</v>
      </c>
      <c r="T574" t="s">
        <v>84</v>
      </c>
      <c r="U574" t="s">
        <v>4008</v>
      </c>
      <c r="V574" s="3" t="s">
        <v>35</v>
      </c>
      <c r="W574" s="3" t="s">
        <v>307</v>
      </c>
      <c r="AM574" s="5"/>
      <c r="AN574" s="5"/>
      <c r="AQ574" s="6"/>
    </row>
    <row r="575" spans="2:43" x14ac:dyDescent="0.25">
      <c r="B575" t="s">
        <v>3420</v>
      </c>
      <c r="C575">
        <v>99612</v>
      </c>
      <c r="D575" t="s">
        <v>3568</v>
      </c>
      <c r="E575" t="s">
        <v>82</v>
      </c>
      <c r="F575" t="s">
        <v>305</v>
      </c>
      <c r="G575" t="s">
        <v>304</v>
      </c>
      <c r="H575" t="s">
        <v>54</v>
      </c>
      <c r="I575" t="s">
        <v>31</v>
      </c>
      <c r="J575" t="s">
        <v>32</v>
      </c>
      <c r="K575" t="s">
        <v>51</v>
      </c>
      <c r="L575" t="s">
        <v>73</v>
      </c>
      <c r="M575" t="s">
        <v>263</v>
      </c>
      <c r="N575" t="s">
        <v>518</v>
      </c>
      <c r="O575" t="s">
        <v>3017</v>
      </c>
      <c r="P575" t="s">
        <v>85</v>
      </c>
      <c r="Q575" t="s">
        <v>3428</v>
      </c>
      <c r="R575" s="5">
        <v>42872.609814814816</v>
      </c>
      <c r="S575" s="5">
        <v>43214.207349537035</v>
      </c>
      <c r="T575" t="s">
        <v>82</v>
      </c>
      <c r="U575" t="s">
        <v>4019</v>
      </c>
      <c r="V575" s="3" t="s">
        <v>35</v>
      </c>
      <c r="W575" s="3" t="s">
        <v>307</v>
      </c>
      <c r="AM575" s="5"/>
      <c r="AN575" s="5"/>
      <c r="AQ575" s="6"/>
    </row>
    <row r="576" spans="2:43" x14ac:dyDescent="0.25">
      <c r="B576" t="s">
        <v>3565</v>
      </c>
      <c r="C576">
        <v>99532</v>
      </c>
      <c r="D576" t="s">
        <v>3566</v>
      </c>
      <c r="E576" t="s">
        <v>3567</v>
      </c>
      <c r="F576" t="s">
        <v>305</v>
      </c>
      <c r="G576" t="s">
        <v>353</v>
      </c>
      <c r="H576" t="s">
        <v>30</v>
      </c>
      <c r="I576" t="s">
        <v>68</v>
      </c>
      <c r="J576" t="s">
        <v>58</v>
      </c>
      <c r="K576" t="s">
        <v>44</v>
      </c>
      <c r="L576" t="s">
        <v>45</v>
      </c>
      <c r="M576" t="s">
        <v>265</v>
      </c>
      <c r="N576" t="s">
        <v>46</v>
      </c>
      <c r="O576" t="s">
        <v>325</v>
      </c>
      <c r="P576" t="s">
        <v>107</v>
      </c>
      <c r="Q576" t="s">
        <v>65</v>
      </c>
      <c r="R576" s="5">
        <v>42871.4221412037</v>
      </c>
      <c r="S576" s="5">
        <v>42923.438159722224</v>
      </c>
      <c r="T576" t="s">
        <v>4</v>
      </c>
      <c r="U576" t="s">
        <v>35</v>
      </c>
      <c r="V576" s="3" t="s">
        <v>35</v>
      </c>
      <c r="W576" s="3" t="s">
        <v>69</v>
      </c>
      <c r="AM576" s="5"/>
      <c r="AN576" s="5"/>
      <c r="AQ576" s="6"/>
    </row>
    <row r="577" spans="2:43" x14ac:dyDescent="0.25">
      <c r="B577" t="s">
        <v>230</v>
      </c>
      <c r="C577">
        <v>99490</v>
      </c>
      <c r="D577" t="s">
        <v>286</v>
      </c>
      <c r="E577" t="s">
        <v>78</v>
      </c>
      <c r="F577" t="s">
        <v>319</v>
      </c>
      <c r="G577" t="s">
        <v>304</v>
      </c>
      <c r="H577" t="s">
        <v>54</v>
      </c>
      <c r="I577" t="s">
        <v>31</v>
      </c>
      <c r="J577" t="s">
        <v>43</v>
      </c>
      <c r="K577" t="s">
        <v>51</v>
      </c>
      <c r="L577" t="s">
        <v>73</v>
      </c>
      <c r="M577" t="s">
        <v>263</v>
      </c>
      <c r="N577" t="s">
        <v>46</v>
      </c>
      <c r="P577" t="s">
        <v>107</v>
      </c>
      <c r="Q577" t="s">
        <v>2854</v>
      </c>
      <c r="R577" s="5">
        <v>42870.860798611109</v>
      </c>
      <c r="S577" s="5">
        <v>43215.936597222222</v>
      </c>
      <c r="T577" t="s">
        <v>1</v>
      </c>
      <c r="U577" t="s">
        <v>35</v>
      </c>
      <c r="V577" s="3" t="s">
        <v>35</v>
      </c>
      <c r="W577" s="3" t="s">
        <v>4098</v>
      </c>
      <c r="AM577" s="5"/>
      <c r="AN577" s="5"/>
      <c r="AQ577" s="6"/>
    </row>
    <row r="578" spans="2:43" x14ac:dyDescent="0.25">
      <c r="B578" t="s">
        <v>216</v>
      </c>
      <c r="C578">
        <v>99300</v>
      </c>
      <c r="D578" t="s">
        <v>3564</v>
      </c>
      <c r="E578" t="s">
        <v>78</v>
      </c>
      <c r="F578" t="s">
        <v>305</v>
      </c>
      <c r="G578" t="s">
        <v>304</v>
      </c>
      <c r="H578" t="s">
        <v>54</v>
      </c>
      <c r="I578" t="s">
        <v>31</v>
      </c>
      <c r="J578" t="s">
        <v>43</v>
      </c>
      <c r="K578" t="s">
        <v>44</v>
      </c>
      <c r="L578" t="s">
        <v>73</v>
      </c>
      <c r="M578" t="s">
        <v>263</v>
      </c>
      <c r="N578" t="s">
        <v>60</v>
      </c>
      <c r="P578" t="s">
        <v>107</v>
      </c>
      <c r="Q578" t="s">
        <v>547</v>
      </c>
      <c r="R578" s="5">
        <v>42865.777615740742</v>
      </c>
      <c r="S578" s="5">
        <v>43424.143865740742</v>
      </c>
      <c r="T578" t="s">
        <v>301</v>
      </c>
      <c r="U578" t="s">
        <v>35</v>
      </c>
      <c r="V578" s="3" t="s">
        <v>35</v>
      </c>
      <c r="W578" s="3" t="s">
        <v>4163</v>
      </c>
      <c r="AM578" s="5"/>
      <c r="AN578" s="5"/>
      <c r="AQ578" s="6"/>
    </row>
    <row r="579" spans="2:43" x14ac:dyDescent="0.25">
      <c r="B579" t="s">
        <v>216</v>
      </c>
      <c r="C579">
        <v>99299</v>
      </c>
      <c r="D579" t="s">
        <v>3563</v>
      </c>
      <c r="E579" t="s">
        <v>78</v>
      </c>
      <c r="F579" t="s">
        <v>305</v>
      </c>
      <c r="G579" t="s">
        <v>304</v>
      </c>
      <c r="H579" t="s">
        <v>54</v>
      </c>
      <c r="I579" t="s">
        <v>31</v>
      </c>
      <c r="J579" t="s">
        <v>43</v>
      </c>
      <c r="K579" t="s">
        <v>44</v>
      </c>
      <c r="L579" t="s">
        <v>73</v>
      </c>
      <c r="M579" t="s">
        <v>263</v>
      </c>
      <c r="N579" t="s">
        <v>121</v>
      </c>
      <c r="P579" t="s">
        <v>107</v>
      </c>
      <c r="Q579" t="s">
        <v>547</v>
      </c>
      <c r="R579" s="5">
        <v>42865.776990740742</v>
      </c>
      <c r="S579" s="5">
        <v>42922.686585648145</v>
      </c>
      <c r="T579" t="s">
        <v>301</v>
      </c>
      <c r="U579" t="s">
        <v>35</v>
      </c>
      <c r="V579" s="3" t="s">
        <v>35</v>
      </c>
      <c r="W579" s="3" t="s">
        <v>190</v>
      </c>
      <c r="AM579" s="5"/>
      <c r="AN579" s="5"/>
      <c r="AQ579" s="6"/>
    </row>
    <row r="580" spans="2:43" x14ac:dyDescent="0.25">
      <c r="B580" t="s">
        <v>216</v>
      </c>
      <c r="C580">
        <v>99298</v>
      </c>
      <c r="D580" t="s">
        <v>3562</v>
      </c>
      <c r="E580" t="s">
        <v>78</v>
      </c>
      <c r="F580" t="s">
        <v>305</v>
      </c>
      <c r="G580" t="s">
        <v>304</v>
      </c>
      <c r="H580" t="s">
        <v>116</v>
      </c>
      <c r="I580" t="s">
        <v>31</v>
      </c>
      <c r="J580" t="s">
        <v>43</v>
      </c>
      <c r="K580" t="s">
        <v>44</v>
      </c>
      <c r="L580" t="s">
        <v>73</v>
      </c>
      <c r="M580" t="s">
        <v>263</v>
      </c>
      <c r="N580" t="s">
        <v>510</v>
      </c>
      <c r="P580" t="s">
        <v>107</v>
      </c>
      <c r="Q580" t="s">
        <v>2416</v>
      </c>
      <c r="R580" s="5">
        <v>42865.776030092595</v>
      </c>
      <c r="S580" s="5">
        <v>43230.977037037039</v>
      </c>
      <c r="T580" t="s">
        <v>301</v>
      </c>
      <c r="U580" t="s">
        <v>4018</v>
      </c>
      <c r="V580" s="3" t="s">
        <v>35</v>
      </c>
      <c r="W580" s="3" t="s">
        <v>307</v>
      </c>
      <c r="AM580" s="5"/>
      <c r="AN580" s="5"/>
      <c r="AQ580" s="6"/>
    </row>
    <row r="581" spans="2:43" x14ac:dyDescent="0.25">
      <c r="B581" t="s">
        <v>216</v>
      </c>
      <c r="C581">
        <v>99297</v>
      </c>
      <c r="D581" t="s">
        <v>3561</v>
      </c>
      <c r="E581" t="s">
        <v>78</v>
      </c>
      <c r="F581" t="s">
        <v>305</v>
      </c>
      <c r="G581" t="s">
        <v>304</v>
      </c>
      <c r="H581" t="s">
        <v>116</v>
      </c>
      <c r="I581" t="s">
        <v>31</v>
      </c>
      <c r="J581" t="s">
        <v>43</v>
      </c>
      <c r="K581" t="s">
        <v>44</v>
      </c>
      <c r="L581" t="s">
        <v>73</v>
      </c>
      <c r="M581" t="s">
        <v>263</v>
      </c>
      <c r="N581" t="s">
        <v>510</v>
      </c>
      <c r="P581" t="s">
        <v>107</v>
      </c>
      <c r="Q581" t="s">
        <v>547</v>
      </c>
      <c r="R581" s="5">
        <v>42865.775138888886</v>
      </c>
      <c r="S581" s="5">
        <v>42947.793923611112</v>
      </c>
      <c r="T581" t="s">
        <v>301</v>
      </c>
      <c r="U581" t="s">
        <v>4010</v>
      </c>
      <c r="V581" s="3" t="s">
        <v>35</v>
      </c>
      <c r="W581" s="3" t="s">
        <v>69</v>
      </c>
      <c r="AM581" s="5"/>
      <c r="AN581" s="5"/>
      <c r="AQ581" s="6"/>
    </row>
    <row r="582" spans="2:43" x14ac:dyDescent="0.25">
      <c r="B582" t="s">
        <v>210</v>
      </c>
      <c r="C582">
        <v>99290</v>
      </c>
      <c r="D582" t="s">
        <v>3559</v>
      </c>
      <c r="E582" t="s">
        <v>139</v>
      </c>
      <c r="F582" t="s">
        <v>305</v>
      </c>
      <c r="G582" t="s">
        <v>304</v>
      </c>
      <c r="H582" t="s">
        <v>116</v>
      </c>
      <c r="I582" t="s">
        <v>31</v>
      </c>
      <c r="J582" t="s">
        <v>32</v>
      </c>
      <c r="K582" t="s">
        <v>44</v>
      </c>
      <c r="L582" t="s">
        <v>96</v>
      </c>
      <c r="M582" t="s">
        <v>269</v>
      </c>
      <c r="N582" t="s">
        <v>3560</v>
      </c>
      <c r="P582" t="s">
        <v>77</v>
      </c>
      <c r="Q582" t="s">
        <v>77</v>
      </c>
      <c r="R582" s="5">
        <v>42865.747650462959</v>
      </c>
      <c r="S582" s="5">
        <v>43206.798819444448</v>
      </c>
      <c r="T582" t="s">
        <v>288</v>
      </c>
      <c r="U582" t="s">
        <v>4017</v>
      </c>
      <c r="V582" s="3" t="s">
        <v>321</v>
      </c>
      <c r="W582" s="3" t="s">
        <v>307</v>
      </c>
      <c r="AM582" s="5"/>
      <c r="AN582" s="5"/>
      <c r="AQ582" s="6"/>
    </row>
    <row r="583" spans="2:43" x14ac:dyDescent="0.25">
      <c r="B583" t="s">
        <v>3910</v>
      </c>
      <c r="C583">
        <v>99179</v>
      </c>
      <c r="D583" t="s">
        <v>4193</v>
      </c>
      <c r="E583" t="s">
        <v>3787</v>
      </c>
      <c r="F583" t="s">
        <v>305</v>
      </c>
      <c r="G583" t="s">
        <v>304</v>
      </c>
      <c r="H583" t="s">
        <v>54</v>
      </c>
      <c r="I583" t="s">
        <v>68</v>
      </c>
      <c r="J583" t="s">
        <v>58</v>
      </c>
      <c r="K583" t="s">
        <v>51</v>
      </c>
      <c r="L583" t="s">
        <v>34</v>
      </c>
      <c r="M583" t="s">
        <v>3780</v>
      </c>
      <c r="N583" t="s">
        <v>46</v>
      </c>
      <c r="O583" t="s">
        <v>4659</v>
      </c>
      <c r="P583" t="s">
        <v>3911</v>
      </c>
      <c r="Q583" t="s">
        <v>3911</v>
      </c>
      <c r="R583" s="5">
        <v>42863.919953703706</v>
      </c>
      <c r="S583" s="5">
        <v>43425.865949074076</v>
      </c>
      <c r="T583" t="s">
        <v>39</v>
      </c>
      <c r="U583" t="s">
        <v>35</v>
      </c>
      <c r="V583" s="3" t="s">
        <v>35</v>
      </c>
      <c r="W583" s="3" t="s">
        <v>3915</v>
      </c>
      <c r="AM583" s="5"/>
      <c r="AN583" s="5"/>
      <c r="AQ583" s="6"/>
    </row>
    <row r="584" spans="2:43" x14ac:dyDescent="0.25">
      <c r="B584" t="s">
        <v>229</v>
      </c>
      <c r="C584">
        <v>99171</v>
      </c>
      <c r="D584" t="s">
        <v>3558</v>
      </c>
      <c r="E584" t="s">
        <v>134</v>
      </c>
      <c r="F584" t="s">
        <v>305</v>
      </c>
      <c r="G584" t="s">
        <v>304</v>
      </c>
      <c r="H584" t="s">
        <v>116</v>
      </c>
      <c r="I584" t="s">
        <v>31</v>
      </c>
      <c r="J584" t="s">
        <v>32</v>
      </c>
      <c r="K584" t="s">
        <v>33</v>
      </c>
      <c r="L584" t="s">
        <v>34</v>
      </c>
      <c r="M584" t="s">
        <v>279</v>
      </c>
      <c r="N584" t="s">
        <v>510</v>
      </c>
      <c r="P584" t="s">
        <v>77</v>
      </c>
      <c r="Q584" t="s">
        <v>3389</v>
      </c>
      <c r="R584" s="5">
        <v>42863.699062500003</v>
      </c>
      <c r="S584" s="5">
        <v>43103.516400462962</v>
      </c>
      <c r="T584" t="s">
        <v>53</v>
      </c>
      <c r="U584" t="s">
        <v>4016</v>
      </c>
      <c r="V584" s="3" t="s">
        <v>321</v>
      </c>
      <c r="W584" s="3" t="s">
        <v>4143</v>
      </c>
      <c r="AM584" s="5"/>
      <c r="AN584" s="5"/>
      <c r="AQ584" s="6"/>
    </row>
    <row r="585" spans="2:43" x14ac:dyDescent="0.25">
      <c r="B585" t="s">
        <v>229</v>
      </c>
      <c r="C585">
        <v>99169</v>
      </c>
      <c r="D585" t="s">
        <v>3557</v>
      </c>
      <c r="E585" t="s">
        <v>134</v>
      </c>
      <c r="F585" t="s">
        <v>319</v>
      </c>
      <c r="G585" t="s">
        <v>304</v>
      </c>
      <c r="H585" t="s">
        <v>54</v>
      </c>
      <c r="I585" t="s">
        <v>31</v>
      </c>
      <c r="J585" t="s">
        <v>32</v>
      </c>
      <c r="K585" t="s">
        <v>33</v>
      </c>
      <c r="L585" t="s">
        <v>34</v>
      </c>
      <c r="M585" t="s">
        <v>279</v>
      </c>
      <c r="N585" t="s">
        <v>60</v>
      </c>
      <c r="P585" t="s">
        <v>77</v>
      </c>
      <c r="Q585" t="s">
        <v>3389</v>
      </c>
      <c r="R585" s="5">
        <v>42863.695081018515</v>
      </c>
      <c r="S585" s="5">
        <v>43042.616747685184</v>
      </c>
      <c r="T585" t="s">
        <v>53</v>
      </c>
      <c r="U585" t="s">
        <v>4010</v>
      </c>
      <c r="V585" s="3" t="s">
        <v>321</v>
      </c>
      <c r="W585" s="3" t="s">
        <v>4167</v>
      </c>
      <c r="AM585" s="5"/>
      <c r="AN585" s="5"/>
      <c r="AQ585" s="6"/>
    </row>
    <row r="586" spans="2:43" x14ac:dyDescent="0.25">
      <c r="B586" t="s">
        <v>229</v>
      </c>
      <c r="C586">
        <v>99168</v>
      </c>
      <c r="D586" t="s">
        <v>150</v>
      </c>
      <c r="E586" t="s">
        <v>4899</v>
      </c>
      <c r="F586" t="s">
        <v>319</v>
      </c>
      <c r="G586" t="s">
        <v>304</v>
      </c>
      <c r="H586" t="s">
        <v>54</v>
      </c>
      <c r="I586" t="s">
        <v>31</v>
      </c>
      <c r="J586" t="s">
        <v>32</v>
      </c>
      <c r="K586" t="s">
        <v>33</v>
      </c>
      <c r="L586" t="s">
        <v>34</v>
      </c>
      <c r="M586" t="s">
        <v>279</v>
      </c>
      <c r="N586" t="s">
        <v>60</v>
      </c>
      <c r="O586" t="s">
        <v>151</v>
      </c>
      <c r="P586" t="s">
        <v>77</v>
      </c>
      <c r="Q586" t="s">
        <v>3708</v>
      </c>
      <c r="R586" s="5">
        <v>42863.695092592592</v>
      </c>
      <c r="S586" s="5">
        <v>43423.891041666669</v>
      </c>
      <c r="T586" t="s">
        <v>53</v>
      </c>
      <c r="U586" t="s">
        <v>35</v>
      </c>
      <c r="V586" s="3" t="s">
        <v>321</v>
      </c>
      <c r="W586" s="3" t="s">
        <v>4098</v>
      </c>
      <c r="AM586" s="5"/>
      <c r="AN586" s="5"/>
      <c r="AQ586" s="6"/>
    </row>
    <row r="587" spans="2:43" x14ac:dyDescent="0.25">
      <c r="B587" t="s">
        <v>3551</v>
      </c>
      <c r="C587">
        <v>99041</v>
      </c>
      <c r="D587" t="s">
        <v>3552</v>
      </c>
      <c r="E587" t="s">
        <v>3553</v>
      </c>
      <c r="F587" t="s">
        <v>305</v>
      </c>
      <c r="G587" t="s">
        <v>304</v>
      </c>
      <c r="H587" t="s">
        <v>30</v>
      </c>
      <c r="I587" t="s">
        <v>68</v>
      </c>
      <c r="J587" t="s">
        <v>43</v>
      </c>
      <c r="K587" t="s">
        <v>33</v>
      </c>
      <c r="L587" t="s">
        <v>34</v>
      </c>
      <c r="M587" t="s">
        <v>1853</v>
      </c>
      <c r="N587" t="s">
        <v>46</v>
      </c>
      <c r="O587" t="s">
        <v>3554</v>
      </c>
      <c r="P587" t="s">
        <v>3555</v>
      </c>
      <c r="Q587" t="s">
        <v>3556</v>
      </c>
      <c r="R587" s="5">
        <v>42859.401875000003</v>
      </c>
      <c r="S587" s="5">
        <v>43298.557974537034</v>
      </c>
      <c r="T587" t="s">
        <v>3553</v>
      </c>
      <c r="U587" t="s">
        <v>35</v>
      </c>
      <c r="V587" s="3" t="s">
        <v>35</v>
      </c>
      <c r="W587" s="3" t="s">
        <v>4143</v>
      </c>
      <c r="AM587" s="5"/>
      <c r="AN587" s="5"/>
      <c r="AQ587" s="6"/>
    </row>
    <row r="588" spans="2:43" x14ac:dyDescent="0.25">
      <c r="B588" t="s">
        <v>229</v>
      </c>
      <c r="C588">
        <v>99022</v>
      </c>
      <c r="D588" t="s">
        <v>555</v>
      </c>
      <c r="E588" t="s">
        <v>4899</v>
      </c>
      <c r="F588" t="s">
        <v>305</v>
      </c>
      <c r="G588" t="s">
        <v>337</v>
      </c>
      <c r="H588" t="s">
        <v>54</v>
      </c>
      <c r="I588" t="s">
        <v>31</v>
      </c>
      <c r="J588" t="s">
        <v>32</v>
      </c>
      <c r="K588" t="s">
        <v>33</v>
      </c>
      <c r="L588" t="s">
        <v>34</v>
      </c>
      <c r="M588" t="s">
        <v>279</v>
      </c>
      <c r="N588" t="s">
        <v>60</v>
      </c>
      <c r="O588" t="s">
        <v>556</v>
      </c>
      <c r="P588" t="s">
        <v>77</v>
      </c>
      <c r="Q588" t="s">
        <v>3708</v>
      </c>
      <c r="R588" s="5">
        <v>42858.890682870369</v>
      </c>
      <c r="S588" s="5">
        <v>43423.863506944443</v>
      </c>
      <c r="T588" t="s">
        <v>2</v>
      </c>
      <c r="U588" t="s">
        <v>35</v>
      </c>
      <c r="V588" s="3" t="s">
        <v>321</v>
      </c>
      <c r="W588" s="3" t="s">
        <v>4156</v>
      </c>
      <c r="AM588" s="5"/>
      <c r="AN588" s="5"/>
      <c r="AQ588" s="6"/>
    </row>
    <row r="589" spans="2:43" x14ac:dyDescent="0.25">
      <c r="B589" t="s">
        <v>2845</v>
      </c>
      <c r="C589">
        <v>98997</v>
      </c>
      <c r="D589" t="s">
        <v>308</v>
      </c>
      <c r="E589" t="s">
        <v>309</v>
      </c>
      <c r="F589" t="s">
        <v>305</v>
      </c>
      <c r="G589" t="s">
        <v>304</v>
      </c>
      <c r="H589" t="s">
        <v>30</v>
      </c>
      <c r="I589" t="s">
        <v>68</v>
      </c>
      <c r="J589" t="s">
        <v>58</v>
      </c>
      <c r="K589" t="s">
        <v>51</v>
      </c>
      <c r="L589" t="s">
        <v>303</v>
      </c>
      <c r="M589" t="s">
        <v>302</v>
      </c>
      <c r="N589" t="s">
        <v>46</v>
      </c>
      <c r="P589" t="s">
        <v>61</v>
      </c>
      <c r="R589" s="5">
        <v>42858.356747685182</v>
      </c>
      <c r="S589" s="5">
        <v>43222.877743055556</v>
      </c>
      <c r="T589" t="s">
        <v>306</v>
      </c>
      <c r="U589" t="s">
        <v>35</v>
      </c>
      <c r="V589" s="3" t="s">
        <v>35</v>
      </c>
      <c r="W589" s="3" t="s">
        <v>307</v>
      </c>
      <c r="AM589" s="5"/>
      <c r="AN589" s="5"/>
      <c r="AQ589" s="6"/>
    </row>
    <row r="590" spans="2:43" x14ac:dyDescent="0.25">
      <c r="B590" t="s">
        <v>3311</v>
      </c>
      <c r="C590">
        <v>98988</v>
      </c>
      <c r="D590" t="s">
        <v>3548</v>
      </c>
      <c r="E590" t="s">
        <v>72</v>
      </c>
      <c r="F590" t="s">
        <v>305</v>
      </c>
      <c r="G590" t="s">
        <v>304</v>
      </c>
      <c r="H590" t="s">
        <v>54</v>
      </c>
      <c r="I590" t="s">
        <v>31</v>
      </c>
      <c r="J590" t="s">
        <v>32</v>
      </c>
      <c r="K590" t="s">
        <v>33</v>
      </c>
      <c r="L590" t="s">
        <v>73</v>
      </c>
      <c r="M590" t="s">
        <v>263</v>
      </c>
      <c r="N590" t="s">
        <v>4192</v>
      </c>
      <c r="P590" t="s">
        <v>307</v>
      </c>
      <c r="Q590" t="s">
        <v>3550</v>
      </c>
      <c r="R590" s="5">
        <v>42857.933888888889</v>
      </c>
      <c r="S590" s="5">
        <v>43214.207372685189</v>
      </c>
      <c r="T590" t="s">
        <v>3313</v>
      </c>
      <c r="U590" t="s">
        <v>4004</v>
      </c>
      <c r="V590" s="3" t="s">
        <v>321</v>
      </c>
      <c r="W590" s="3" t="s">
        <v>307</v>
      </c>
      <c r="AM590" s="5"/>
      <c r="AN590" s="5"/>
      <c r="AQ590" s="6"/>
    </row>
    <row r="591" spans="2:43" x14ac:dyDescent="0.25">
      <c r="B591" t="s">
        <v>228</v>
      </c>
      <c r="C591">
        <v>98975</v>
      </c>
      <c r="D591" t="s">
        <v>3547</v>
      </c>
      <c r="E591" t="s">
        <v>167</v>
      </c>
      <c r="F591" t="s">
        <v>305</v>
      </c>
      <c r="G591" t="s">
        <v>337</v>
      </c>
      <c r="H591" t="s">
        <v>54</v>
      </c>
      <c r="I591" t="s">
        <v>31</v>
      </c>
      <c r="J591" t="s">
        <v>43</v>
      </c>
      <c r="K591" t="s">
        <v>44</v>
      </c>
      <c r="L591" t="s">
        <v>34</v>
      </c>
      <c r="M591" t="s">
        <v>278</v>
      </c>
      <c r="N591" t="s">
        <v>60</v>
      </c>
      <c r="O591" t="s">
        <v>533</v>
      </c>
      <c r="P591" t="s">
        <v>107</v>
      </c>
      <c r="Q591" t="s">
        <v>3521</v>
      </c>
      <c r="R591" s="5">
        <v>42857.815833333334</v>
      </c>
      <c r="S591" s="5">
        <v>42969.480775462966</v>
      </c>
      <c r="T591" t="s">
        <v>149</v>
      </c>
      <c r="U591" t="s">
        <v>35</v>
      </c>
      <c r="V591" s="3" t="s">
        <v>35</v>
      </c>
      <c r="W591" s="3" t="s">
        <v>69</v>
      </c>
      <c r="AM591" s="5"/>
      <c r="AN591" s="5"/>
      <c r="AQ591" s="6"/>
    </row>
    <row r="592" spans="2:43" x14ac:dyDescent="0.25">
      <c r="B592" t="s">
        <v>228</v>
      </c>
      <c r="C592">
        <v>98974</v>
      </c>
      <c r="D592" t="s">
        <v>554</v>
      </c>
      <c r="E592" t="s">
        <v>175</v>
      </c>
      <c r="F592" t="s">
        <v>305</v>
      </c>
      <c r="G592" t="s">
        <v>337</v>
      </c>
      <c r="H592" t="s">
        <v>54</v>
      </c>
      <c r="I592" t="s">
        <v>31</v>
      </c>
      <c r="J592" t="s">
        <v>43</v>
      </c>
      <c r="K592" t="s">
        <v>44</v>
      </c>
      <c r="L592" t="s">
        <v>34</v>
      </c>
      <c r="M592" t="s">
        <v>278</v>
      </c>
      <c r="N592" t="s">
        <v>60</v>
      </c>
      <c r="P592" t="s">
        <v>107</v>
      </c>
      <c r="Q592" t="s">
        <v>3708</v>
      </c>
      <c r="R592" s="5">
        <v>42857.811805555553</v>
      </c>
      <c r="S592" s="5">
        <v>43423.863553240742</v>
      </c>
      <c r="T592" t="s">
        <v>149</v>
      </c>
      <c r="U592" t="s">
        <v>35</v>
      </c>
      <c r="V592" s="3" t="s">
        <v>35</v>
      </c>
      <c r="W592" s="3" t="s">
        <v>4156</v>
      </c>
      <c r="AM592" s="5"/>
      <c r="AN592" s="5"/>
      <c r="AQ592" s="6"/>
    </row>
    <row r="593" spans="2:43" x14ac:dyDescent="0.25">
      <c r="B593" t="s">
        <v>228</v>
      </c>
      <c r="C593">
        <v>98973</v>
      </c>
      <c r="D593" t="s">
        <v>146</v>
      </c>
      <c r="E593" t="s">
        <v>175</v>
      </c>
      <c r="F593" t="s">
        <v>319</v>
      </c>
      <c r="G593" t="s">
        <v>304</v>
      </c>
      <c r="H593" t="s">
        <v>54</v>
      </c>
      <c r="I593" t="s">
        <v>31</v>
      </c>
      <c r="J593" t="s">
        <v>43</v>
      </c>
      <c r="K593" t="s">
        <v>44</v>
      </c>
      <c r="L593" t="s">
        <v>34</v>
      </c>
      <c r="M593" t="s">
        <v>278</v>
      </c>
      <c r="N593" t="s">
        <v>60</v>
      </c>
      <c r="O593" t="s">
        <v>148</v>
      </c>
      <c r="P593" t="s">
        <v>107</v>
      </c>
      <c r="Q593" t="s">
        <v>3708</v>
      </c>
      <c r="R593" s="5">
        <v>42857.81181712963</v>
      </c>
      <c r="S593" s="5">
        <v>43423.897164351853</v>
      </c>
      <c r="T593" t="s">
        <v>149</v>
      </c>
      <c r="U593" t="s">
        <v>35</v>
      </c>
      <c r="V593" s="3" t="s">
        <v>35</v>
      </c>
      <c r="W593" s="3" t="s">
        <v>4098</v>
      </c>
      <c r="AM593" s="5"/>
      <c r="AN593" s="5"/>
      <c r="AQ593" s="6"/>
    </row>
    <row r="594" spans="2:43" x14ac:dyDescent="0.25">
      <c r="B594" t="s">
        <v>226</v>
      </c>
      <c r="C594">
        <v>98941</v>
      </c>
      <c r="D594" t="s">
        <v>3546</v>
      </c>
      <c r="E594" t="s">
        <v>110</v>
      </c>
      <c r="F594" t="s">
        <v>305</v>
      </c>
      <c r="G594" t="s">
        <v>337</v>
      </c>
      <c r="H594" t="s">
        <v>54</v>
      </c>
      <c r="I594" t="s">
        <v>31</v>
      </c>
      <c r="J594" t="s">
        <v>32</v>
      </c>
      <c r="K594" t="s">
        <v>33</v>
      </c>
      <c r="L594" t="s">
        <v>73</v>
      </c>
      <c r="M594" t="s">
        <v>263</v>
      </c>
      <c r="N594" t="s">
        <v>157</v>
      </c>
      <c r="P594" t="s">
        <v>107</v>
      </c>
      <c r="Q594" t="s">
        <v>107</v>
      </c>
      <c r="R594" s="5">
        <v>42857.443495370368</v>
      </c>
      <c r="S594" s="5">
        <v>42986.589803240742</v>
      </c>
      <c r="T594" t="s">
        <v>301</v>
      </c>
      <c r="U594" t="s">
        <v>35</v>
      </c>
      <c r="V594" s="3" t="s">
        <v>321</v>
      </c>
      <c r="W594" s="3" t="s">
        <v>69</v>
      </c>
      <c r="AM594" s="5"/>
      <c r="AN594" s="5"/>
      <c r="AQ594" s="6"/>
    </row>
    <row r="595" spans="2:43" x14ac:dyDescent="0.25">
      <c r="B595" t="s">
        <v>3542</v>
      </c>
      <c r="C595">
        <v>98940</v>
      </c>
      <c r="D595" t="s">
        <v>3544</v>
      </c>
      <c r="E595" t="s">
        <v>3545</v>
      </c>
      <c r="F595" t="s">
        <v>305</v>
      </c>
      <c r="G595" t="s">
        <v>337</v>
      </c>
      <c r="H595" t="s">
        <v>54</v>
      </c>
      <c r="I595" t="s">
        <v>31</v>
      </c>
      <c r="J595" t="s">
        <v>32</v>
      </c>
      <c r="K595" t="s">
        <v>33</v>
      </c>
      <c r="L595" t="s">
        <v>73</v>
      </c>
      <c r="M595" t="s">
        <v>263</v>
      </c>
      <c r="N595" t="s">
        <v>60</v>
      </c>
      <c r="P595" t="s">
        <v>107</v>
      </c>
      <c r="Q595" t="s">
        <v>2028</v>
      </c>
      <c r="R595" s="5">
        <v>42857.441631944443</v>
      </c>
      <c r="S595" s="5">
        <v>42986.589803240742</v>
      </c>
      <c r="T595" t="s">
        <v>301</v>
      </c>
      <c r="U595" t="s">
        <v>35</v>
      </c>
      <c r="V595" s="3" t="s">
        <v>321</v>
      </c>
      <c r="W595" s="3" t="s">
        <v>69</v>
      </c>
      <c r="AM595" s="5"/>
      <c r="AN595" s="5"/>
      <c r="AQ595" s="6"/>
    </row>
    <row r="596" spans="2:43" x14ac:dyDescent="0.25">
      <c r="B596" t="s">
        <v>227</v>
      </c>
      <c r="C596">
        <v>98917</v>
      </c>
      <c r="D596" t="s">
        <v>144</v>
      </c>
      <c r="E596" t="s">
        <v>296</v>
      </c>
      <c r="F596" t="s">
        <v>67</v>
      </c>
      <c r="H596" t="s">
        <v>54</v>
      </c>
      <c r="I596" t="s">
        <v>68</v>
      </c>
      <c r="J596" t="s">
        <v>58</v>
      </c>
      <c r="K596" t="s">
        <v>44</v>
      </c>
      <c r="L596" t="s">
        <v>73</v>
      </c>
      <c r="M596" t="s">
        <v>277</v>
      </c>
      <c r="N596" t="s">
        <v>60</v>
      </c>
      <c r="O596" t="s">
        <v>145</v>
      </c>
      <c r="P596" t="s">
        <v>133</v>
      </c>
      <c r="Q596" t="s">
        <v>1503</v>
      </c>
      <c r="R596" s="5">
        <v>42857.039803240739</v>
      </c>
      <c r="S596" s="5">
        <v>43073.774293981478</v>
      </c>
      <c r="T596" t="s">
        <v>4</v>
      </c>
      <c r="U596" t="s">
        <v>35</v>
      </c>
      <c r="V596" s="3" t="s">
        <v>35</v>
      </c>
      <c r="W596" s="3" t="s">
        <v>4098</v>
      </c>
      <c r="AM596" s="5"/>
      <c r="AN596" s="5"/>
      <c r="AQ596" s="6"/>
    </row>
    <row r="597" spans="2:43" x14ac:dyDescent="0.25">
      <c r="B597" t="s">
        <v>3774</v>
      </c>
      <c r="C597">
        <v>98910</v>
      </c>
      <c r="D597" t="s">
        <v>4067</v>
      </c>
      <c r="E597" t="s">
        <v>110</v>
      </c>
      <c r="F597" t="s">
        <v>319</v>
      </c>
      <c r="G597" t="s">
        <v>304</v>
      </c>
      <c r="H597" t="s">
        <v>30</v>
      </c>
      <c r="I597" t="s">
        <v>68</v>
      </c>
      <c r="J597" t="s">
        <v>43</v>
      </c>
      <c r="K597" t="s">
        <v>33</v>
      </c>
      <c r="L597" t="s">
        <v>73</v>
      </c>
      <c r="M597" t="s">
        <v>263</v>
      </c>
      <c r="N597" t="s">
        <v>60</v>
      </c>
      <c r="P597" t="s">
        <v>307</v>
      </c>
      <c r="Q597" t="s">
        <v>3762</v>
      </c>
      <c r="R597" s="5">
        <v>42856.738692129627</v>
      </c>
      <c r="S597" s="5">
        <v>43088.86273148148</v>
      </c>
      <c r="T597" t="s">
        <v>53</v>
      </c>
      <c r="U597" t="s">
        <v>35</v>
      </c>
      <c r="V597" s="3" t="s">
        <v>35</v>
      </c>
      <c r="W597" s="3" t="s">
        <v>4158</v>
      </c>
      <c r="AM597" s="5"/>
      <c r="AN597" s="5"/>
      <c r="AQ597" s="6"/>
    </row>
    <row r="598" spans="2:43" x14ac:dyDescent="0.25">
      <c r="B598" t="s">
        <v>4190</v>
      </c>
      <c r="C598">
        <v>98891</v>
      </c>
      <c r="D598" t="s">
        <v>4191</v>
      </c>
      <c r="E598" t="s">
        <v>110</v>
      </c>
      <c r="F598" t="s">
        <v>29</v>
      </c>
      <c r="H598" t="s">
        <v>54</v>
      </c>
      <c r="I598" t="s">
        <v>68</v>
      </c>
      <c r="J598" t="s">
        <v>43</v>
      </c>
      <c r="K598" t="s">
        <v>33</v>
      </c>
      <c r="L598" t="s">
        <v>73</v>
      </c>
      <c r="M598" t="s">
        <v>263</v>
      </c>
      <c r="N598" t="s">
        <v>157</v>
      </c>
      <c r="O598" t="s">
        <v>132</v>
      </c>
      <c r="P598" t="s">
        <v>107</v>
      </c>
      <c r="Q598" t="s">
        <v>107</v>
      </c>
      <c r="R598" s="5">
        <v>42853.872870370367</v>
      </c>
      <c r="S598" s="5">
        <v>43423.887615740743</v>
      </c>
      <c r="T598" t="s">
        <v>1</v>
      </c>
      <c r="U598" t="s">
        <v>35</v>
      </c>
      <c r="V598" s="3" t="s">
        <v>35</v>
      </c>
      <c r="W598" s="3" t="s">
        <v>4098</v>
      </c>
      <c r="AM598" s="5"/>
      <c r="AN598" s="5"/>
      <c r="AQ598" s="6"/>
    </row>
    <row r="599" spans="2:43" x14ac:dyDescent="0.25">
      <c r="B599" t="s">
        <v>3542</v>
      </c>
      <c r="C599">
        <v>98888</v>
      </c>
      <c r="D599" t="s">
        <v>3543</v>
      </c>
      <c r="E599" t="s">
        <v>82</v>
      </c>
      <c r="F599" t="s">
        <v>319</v>
      </c>
      <c r="G599" t="s">
        <v>304</v>
      </c>
      <c r="H599" t="s">
        <v>54</v>
      </c>
      <c r="I599" t="s">
        <v>31</v>
      </c>
      <c r="J599" t="s">
        <v>32</v>
      </c>
      <c r="K599" t="s">
        <v>33</v>
      </c>
      <c r="L599" t="s">
        <v>73</v>
      </c>
      <c r="M599" t="s">
        <v>263</v>
      </c>
      <c r="N599" t="s">
        <v>60</v>
      </c>
      <c r="O599" t="s">
        <v>132</v>
      </c>
      <c r="P599" t="s">
        <v>107</v>
      </c>
      <c r="Q599" t="s">
        <v>2028</v>
      </c>
      <c r="R599" s="5">
        <v>42853.845312500001</v>
      </c>
      <c r="S599" s="5">
        <v>42998.386250000003</v>
      </c>
      <c r="T599" t="s">
        <v>1</v>
      </c>
      <c r="U599" t="s">
        <v>35</v>
      </c>
      <c r="V599" s="3" t="s">
        <v>321</v>
      </c>
      <c r="W599" s="3" t="s">
        <v>4098</v>
      </c>
      <c r="AM599" s="5"/>
      <c r="AN599" s="5"/>
      <c r="AQ599" s="6"/>
    </row>
    <row r="600" spans="2:43" x14ac:dyDescent="0.25">
      <c r="B600" t="s">
        <v>2288</v>
      </c>
      <c r="C600">
        <v>98845</v>
      </c>
      <c r="D600" t="s">
        <v>3540</v>
      </c>
      <c r="E600" t="s">
        <v>490</v>
      </c>
      <c r="F600" t="s">
        <v>305</v>
      </c>
      <c r="G600" t="s">
        <v>304</v>
      </c>
      <c r="H600" t="s">
        <v>30</v>
      </c>
      <c r="I600" t="s">
        <v>68</v>
      </c>
      <c r="J600" t="s">
        <v>43</v>
      </c>
      <c r="K600" t="s">
        <v>33</v>
      </c>
      <c r="L600" t="s">
        <v>73</v>
      </c>
      <c r="M600" t="s">
        <v>263</v>
      </c>
      <c r="N600" t="s">
        <v>46</v>
      </c>
      <c r="P600" t="s">
        <v>2121</v>
      </c>
      <c r="Q600" t="s">
        <v>3541</v>
      </c>
      <c r="R600" s="5">
        <v>42853.16611111111</v>
      </c>
      <c r="S600" s="5">
        <v>42978.86005787037</v>
      </c>
      <c r="T600" t="s">
        <v>490</v>
      </c>
      <c r="U600" t="s">
        <v>35</v>
      </c>
      <c r="V600" s="3" t="s">
        <v>35</v>
      </c>
      <c r="W600" s="3" t="s">
        <v>4169</v>
      </c>
      <c r="AM600" s="5"/>
      <c r="AN600" s="5"/>
      <c r="AQ600" s="6"/>
    </row>
    <row r="601" spans="2:43" x14ac:dyDescent="0.25">
      <c r="B601" t="s">
        <v>2461</v>
      </c>
      <c r="C601">
        <v>98844</v>
      </c>
      <c r="D601" t="s">
        <v>3539</v>
      </c>
      <c r="E601" t="s">
        <v>490</v>
      </c>
      <c r="F601" t="s">
        <v>305</v>
      </c>
      <c r="G601" t="s">
        <v>304</v>
      </c>
      <c r="H601" t="s">
        <v>30</v>
      </c>
      <c r="I601" t="s">
        <v>31</v>
      </c>
      <c r="J601" t="s">
        <v>43</v>
      </c>
      <c r="K601" t="s">
        <v>44</v>
      </c>
      <c r="L601" t="s">
        <v>73</v>
      </c>
      <c r="M601" t="s">
        <v>264</v>
      </c>
      <c r="N601" t="s">
        <v>46</v>
      </c>
      <c r="P601" t="s">
        <v>491</v>
      </c>
      <c r="Q601" t="s">
        <v>3538</v>
      </c>
      <c r="R601" s="5">
        <v>42853.162499999999</v>
      </c>
      <c r="S601" s="5">
        <v>42912.538541666669</v>
      </c>
      <c r="T601" t="s">
        <v>490</v>
      </c>
      <c r="U601" t="s">
        <v>35</v>
      </c>
      <c r="V601" s="3" t="s">
        <v>35</v>
      </c>
      <c r="W601" s="3" t="s">
        <v>4169</v>
      </c>
      <c r="AM601" s="5"/>
      <c r="AN601" s="5"/>
      <c r="AQ601" s="6"/>
    </row>
    <row r="602" spans="2:43" x14ac:dyDescent="0.25">
      <c r="B602" t="s">
        <v>2403</v>
      </c>
      <c r="C602">
        <v>98843</v>
      </c>
      <c r="D602" t="s">
        <v>3537</v>
      </c>
      <c r="E602" t="s">
        <v>490</v>
      </c>
      <c r="F602" t="s">
        <v>305</v>
      </c>
      <c r="G602" t="s">
        <v>304</v>
      </c>
      <c r="H602" t="s">
        <v>30</v>
      </c>
      <c r="I602" t="s">
        <v>31</v>
      </c>
      <c r="J602" t="s">
        <v>32</v>
      </c>
      <c r="K602" t="s">
        <v>44</v>
      </c>
      <c r="L602" t="s">
        <v>73</v>
      </c>
      <c r="M602" t="s">
        <v>264</v>
      </c>
      <c r="N602" t="s">
        <v>46</v>
      </c>
      <c r="P602" t="s">
        <v>491</v>
      </c>
      <c r="Q602" t="s">
        <v>3538</v>
      </c>
      <c r="R602" s="5">
        <v>42853.156087962961</v>
      </c>
      <c r="S602" s="5">
        <v>42933.568576388891</v>
      </c>
      <c r="T602" t="s">
        <v>490</v>
      </c>
      <c r="U602" t="s">
        <v>35</v>
      </c>
      <c r="V602" s="3" t="s">
        <v>35</v>
      </c>
      <c r="W602" s="3" t="s">
        <v>4169</v>
      </c>
      <c r="AM602" s="5"/>
      <c r="AN602" s="5"/>
      <c r="AQ602" s="6"/>
    </row>
    <row r="603" spans="2:43" x14ac:dyDescent="0.25">
      <c r="B603" t="s">
        <v>3531</v>
      </c>
      <c r="C603">
        <v>98815</v>
      </c>
      <c r="D603" t="s">
        <v>3535</v>
      </c>
      <c r="E603" t="s">
        <v>3178</v>
      </c>
      <c r="F603" t="s">
        <v>305</v>
      </c>
      <c r="G603" t="s">
        <v>304</v>
      </c>
      <c r="H603" t="s">
        <v>30</v>
      </c>
      <c r="I603" t="s">
        <v>31</v>
      </c>
      <c r="J603" t="s">
        <v>32</v>
      </c>
      <c r="K603" t="s">
        <v>44</v>
      </c>
      <c r="L603" t="s">
        <v>34</v>
      </c>
      <c r="M603" t="s">
        <v>2056</v>
      </c>
      <c r="N603" t="s">
        <v>46</v>
      </c>
      <c r="O603" t="s">
        <v>3536</v>
      </c>
      <c r="P603" t="s">
        <v>3428</v>
      </c>
      <c r="Q603" t="s">
        <v>3534</v>
      </c>
      <c r="R603" s="5">
        <v>42852.570520833331</v>
      </c>
      <c r="S603" s="5">
        <v>42901.276562500003</v>
      </c>
      <c r="T603" t="s">
        <v>1917</v>
      </c>
      <c r="U603" t="s">
        <v>35</v>
      </c>
      <c r="V603" s="3" t="s">
        <v>35</v>
      </c>
      <c r="W603" s="3" t="s">
        <v>449</v>
      </c>
      <c r="AM603" s="5"/>
      <c r="AN603" s="5"/>
      <c r="AQ603" s="6"/>
    </row>
    <row r="604" spans="2:43" x14ac:dyDescent="0.25">
      <c r="B604" t="s">
        <v>3531</v>
      </c>
      <c r="C604">
        <v>98814</v>
      </c>
      <c r="D604" t="s">
        <v>3532</v>
      </c>
      <c r="E604" t="s">
        <v>3178</v>
      </c>
      <c r="F604" t="s">
        <v>305</v>
      </c>
      <c r="G604" t="s">
        <v>304</v>
      </c>
      <c r="H604" t="s">
        <v>30</v>
      </c>
      <c r="I604" t="s">
        <v>31</v>
      </c>
      <c r="J604" t="s">
        <v>32</v>
      </c>
      <c r="K604" t="s">
        <v>44</v>
      </c>
      <c r="L604" t="s">
        <v>34</v>
      </c>
      <c r="M604" t="s">
        <v>2056</v>
      </c>
      <c r="N604" t="s">
        <v>46</v>
      </c>
      <c r="O604" t="s">
        <v>3533</v>
      </c>
      <c r="P604" t="s">
        <v>3428</v>
      </c>
      <c r="Q604" t="s">
        <v>3534</v>
      </c>
      <c r="R604" s="5">
        <v>42852.570532407408</v>
      </c>
      <c r="S604" s="5">
        <v>43217.241516203707</v>
      </c>
      <c r="T604" t="s">
        <v>1917</v>
      </c>
      <c r="U604" t="s">
        <v>35</v>
      </c>
      <c r="V604" s="3" t="s">
        <v>35</v>
      </c>
      <c r="W604" s="3" t="s">
        <v>4098</v>
      </c>
      <c r="AM604" s="5"/>
      <c r="AN604" s="5"/>
      <c r="AQ604" s="6"/>
    </row>
    <row r="605" spans="2:43" x14ac:dyDescent="0.25">
      <c r="B605" t="s">
        <v>231</v>
      </c>
      <c r="C605">
        <v>98778</v>
      </c>
      <c r="D605" t="s">
        <v>3529</v>
      </c>
      <c r="E605" t="s">
        <v>1</v>
      </c>
      <c r="F605" t="s">
        <v>305</v>
      </c>
      <c r="G605" t="s">
        <v>304</v>
      </c>
      <c r="H605" t="s">
        <v>116</v>
      </c>
      <c r="I605" t="s">
        <v>31</v>
      </c>
      <c r="J605" t="s">
        <v>32</v>
      </c>
      <c r="K605" t="s">
        <v>33</v>
      </c>
      <c r="L605" t="s">
        <v>45</v>
      </c>
      <c r="M605" t="s">
        <v>280</v>
      </c>
      <c r="N605" t="s">
        <v>60</v>
      </c>
      <c r="P605" t="s">
        <v>107</v>
      </c>
      <c r="Q605" t="s">
        <v>3530</v>
      </c>
      <c r="R605" s="5">
        <v>42851.918726851851</v>
      </c>
      <c r="S605" s="5">
        <v>42937.433738425927</v>
      </c>
      <c r="T605" t="s">
        <v>1</v>
      </c>
      <c r="U605" t="s">
        <v>4010</v>
      </c>
      <c r="V605" s="3" t="s">
        <v>321</v>
      </c>
      <c r="W605" s="3" t="s">
        <v>69</v>
      </c>
      <c r="AM605" s="5"/>
      <c r="AN605" s="5"/>
      <c r="AQ605" s="6"/>
    </row>
    <row r="606" spans="2:43" x14ac:dyDescent="0.25">
      <c r="B606" t="s">
        <v>3515</v>
      </c>
      <c r="C606">
        <v>98775</v>
      </c>
      <c r="D606" t="s">
        <v>3528</v>
      </c>
      <c r="E606" t="s">
        <v>110</v>
      </c>
      <c r="F606" t="s">
        <v>305</v>
      </c>
      <c r="G606" t="s">
        <v>304</v>
      </c>
      <c r="H606" t="s">
        <v>116</v>
      </c>
      <c r="I606" t="s">
        <v>31</v>
      </c>
      <c r="J606" t="s">
        <v>32</v>
      </c>
      <c r="K606" t="s">
        <v>33</v>
      </c>
      <c r="L606" t="s">
        <v>73</v>
      </c>
      <c r="M606" t="s">
        <v>263</v>
      </c>
      <c r="N606" t="s">
        <v>510</v>
      </c>
      <c r="P606" t="s">
        <v>107</v>
      </c>
      <c r="Q606" t="s">
        <v>107</v>
      </c>
      <c r="R606" s="5">
        <v>42851.836145833331</v>
      </c>
      <c r="S606" s="5">
        <v>43230.945277777777</v>
      </c>
      <c r="T606" t="s">
        <v>301</v>
      </c>
      <c r="U606" t="s">
        <v>4015</v>
      </c>
      <c r="V606" s="3" t="s">
        <v>35</v>
      </c>
      <c r="W606" s="3" t="s">
        <v>307</v>
      </c>
      <c r="AM606" s="5"/>
      <c r="AN606" s="5"/>
      <c r="AQ606" s="6"/>
    </row>
    <row r="607" spans="2:43" x14ac:dyDescent="0.25">
      <c r="B607" t="s">
        <v>3774</v>
      </c>
      <c r="C607">
        <v>98774</v>
      </c>
      <c r="D607" t="s">
        <v>4066</v>
      </c>
      <c r="E607" t="s">
        <v>110</v>
      </c>
      <c r="F607" t="s">
        <v>319</v>
      </c>
      <c r="G607" t="s">
        <v>304</v>
      </c>
      <c r="H607" t="s">
        <v>30</v>
      </c>
      <c r="I607" t="s">
        <v>68</v>
      </c>
      <c r="J607" t="s">
        <v>43</v>
      </c>
      <c r="K607" t="s">
        <v>33</v>
      </c>
      <c r="L607" t="s">
        <v>73</v>
      </c>
      <c r="M607" t="s">
        <v>263</v>
      </c>
      <c r="N607" t="s">
        <v>60</v>
      </c>
      <c r="P607" t="s">
        <v>307</v>
      </c>
      <c r="Q607" t="s">
        <v>3762</v>
      </c>
      <c r="R607" s="5">
        <v>42851.821701388886</v>
      </c>
      <c r="S607" s="5">
        <v>43153.850011574075</v>
      </c>
      <c r="T607" t="s">
        <v>3313</v>
      </c>
      <c r="U607" t="s">
        <v>35</v>
      </c>
      <c r="V607" s="3" t="s">
        <v>35</v>
      </c>
      <c r="W607" s="3" t="s">
        <v>4098</v>
      </c>
      <c r="AM607" s="5"/>
      <c r="AN607" s="5"/>
      <c r="AQ607" s="6"/>
    </row>
    <row r="608" spans="2:43" x14ac:dyDescent="0.25">
      <c r="B608" t="s">
        <v>3515</v>
      </c>
      <c r="C608">
        <v>98767</v>
      </c>
      <c r="D608" t="s">
        <v>3527</v>
      </c>
      <c r="E608" t="s">
        <v>110</v>
      </c>
      <c r="F608" t="s">
        <v>305</v>
      </c>
      <c r="G608" t="s">
        <v>304</v>
      </c>
      <c r="H608" t="s">
        <v>54</v>
      </c>
      <c r="I608" t="s">
        <v>31</v>
      </c>
      <c r="J608" t="s">
        <v>32</v>
      </c>
      <c r="K608" t="s">
        <v>33</v>
      </c>
      <c r="L608" t="s">
        <v>73</v>
      </c>
      <c r="M608" t="s">
        <v>263</v>
      </c>
      <c r="N608" t="s">
        <v>60</v>
      </c>
      <c r="P608" t="s">
        <v>107</v>
      </c>
      <c r="Q608" t="s">
        <v>107</v>
      </c>
      <c r="R608" s="5">
        <v>42851.713229166664</v>
      </c>
      <c r="S608" s="5">
        <v>42947.89298611111</v>
      </c>
      <c r="T608" t="s">
        <v>301</v>
      </c>
      <c r="U608" t="s">
        <v>4010</v>
      </c>
      <c r="V608" s="3" t="s">
        <v>35</v>
      </c>
      <c r="W608" s="3" t="s">
        <v>69</v>
      </c>
      <c r="AM608" s="5"/>
      <c r="AN608" s="5"/>
      <c r="AQ608" s="6"/>
    </row>
    <row r="609" spans="2:43" x14ac:dyDescent="0.25">
      <c r="B609" t="s">
        <v>3519</v>
      </c>
      <c r="C609">
        <v>98756</v>
      </c>
      <c r="D609" t="s">
        <v>3526</v>
      </c>
      <c r="E609" t="s">
        <v>3313</v>
      </c>
      <c r="F609" t="s">
        <v>305</v>
      </c>
      <c r="G609" t="s">
        <v>304</v>
      </c>
      <c r="H609" t="s">
        <v>116</v>
      </c>
      <c r="I609" t="s">
        <v>31</v>
      </c>
      <c r="J609" t="s">
        <v>32</v>
      </c>
      <c r="K609" t="s">
        <v>33</v>
      </c>
      <c r="L609" t="s">
        <v>73</v>
      </c>
      <c r="M609" t="s">
        <v>263</v>
      </c>
      <c r="N609" t="s">
        <v>518</v>
      </c>
      <c r="P609" t="s">
        <v>107</v>
      </c>
      <c r="Q609" t="s">
        <v>107</v>
      </c>
      <c r="R609" s="5">
        <v>42851.55909722222</v>
      </c>
      <c r="S609" s="5">
        <v>43215.183645833335</v>
      </c>
      <c r="T609" t="s">
        <v>288</v>
      </c>
      <c r="U609" t="s">
        <v>4014</v>
      </c>
      <c r="V609" s="3" t="s">
        <v>321</v>
      </c>
      <c r="W609" s="3" t="s">
        <v>307</v>
      </c>
      <c r="AM609" s="5"/>
      <c r="AN609" s="5"/>
      <c r="AQ609" s="6"/>
    </row>
    <row r="610" spans="2:43" x14ac:dyDescent="0.25">
      <c r="B610" t="s">
        <v>3524</v>
      </c>
      <c r="C610">
        <v>98755</v>
      </c>
      <c r="D610" t="s">
        <v>3525</v>
      </c>
      <c r="E610" t="s">
        <v>3313</v>
      </c>
      <c r="F610" t="s">
        <v>29</v>
      </c>
      <c r="H610" t="s">
        <v>54</v>
      </c>
      <c r="I610" t="s">
        <v>31</v>
      </c>
      <c r="J610" t="s">
        <v>32</v>
      </c>
      <c r="K610" t="s">
        <v>33</v>
      </c>
      <c r="L610" t="s">
        <v>73</v>
      </c>
      <c r="M610" t="s">
        <v>263</v>
      </c>
      <c r="N610" t="s">
        <v>3724</v>
      </c>
      <c r="P610" t="s">
        <v>107</v>
      </c>
      <c r="Q610" t="s">
        <v>2481</v>
      </c>
      <c r="R610" s="5">
        <v>42851.559108796297</v>
      </c>
      <c r="S610" s="5">
        <v>43222.27003472222</v>
      </c>
      <c r="T610" t="s">
        <v>288</v>
      </c>
      <c r="U610" t="s">
        <v>35</v>
      </c>
      <c r="V610" s="3" t="s">
        <v>321</v>
      </c>
      <c r="W610" s="3" t="s">
        <v>4098</v>
      </c>
      <c r="AM610" s="5"/>
      <c r="AN610" s="5"/>
      <c r="AQ610" s="6"/>
    </row>
    <row r="611" spans="2:43" x14ac:dyDescent="0.25">
      <c r="B611" t="s">
        <v>228</v>
      </c>
      <c r="C611">
        <v>98723</v>
      </c>
      <c r="D611" t="s">
        <v>3522</v>
      </c>
      <c r="E611" t="s">
        <v>147</v>
      </c>
      <c r="F611" t="s">
        <v>305</v>
      </c>
      <c r="G611" t="s">
        <v>304</v>
      </c>
      <c r="H611" t="s">
        <v>54</v>
      </c>
      <c r="I611" t="s">
        <v>31</v>
      </c>
      <c r="J611" t="s">
        <v>43</v>
      </c>
      <c r="K611" t="s">
        <v>44</v>
      </c>
      <c r="L611" t="s">
        <v>34</v>
      </c>
      <c r="M611" t="s">
        <v>278</v>
      </c>
      <c r="N611" t="s">
        <v>3560</v>
      </c>
      <c r="O611" t="s">
        <v>4189</v>
      </c>
      <c r="P611" t="s">
        <v>107</v>
      </c>
      <c r="Q611" t="s">
        <v>3523</v>
      </c>
      <c r="R611" s="5">
        <v>42850.870844907404</v>
      </c>
      <c r="S611" s="5">
        <v>43255.607615740744</v>
      </c>
      <c r="T611" t="s">
        <v>5</v>
      </c>
      <c r="U611" t="s">
        <v>35</v>
      </c>
      <c r="V611" s="3" t="s">
        <v>35</v>
      </c>
      <c r="W611" s="3" t="s">
        <v>4143</v>
      </c>
      <c r="AM611" s="5"/>
      <c r="AN611" s="5"/>
      <c r="AQ611" s="6"/>
    </row>
    <row r="612" spans="2:43" x14ac:dyDescent="0.25">
      <c r="B612" t="s">
        <v>3519</v>
      </c>
      <c r="C612">
        <v>98719</v>
      </c>
      <c r="D612" t="s">
        <v>3520</v>
      </c>
      <c r="E612" t="s">
        <v>131</v>
      </c>
      <c r="F612" t="s">
        <v>305</v>
      </c>
      <c r="G612" t="s">
        <v>337</v>
      </c>
      <c r="H612" t="s">
        <v>54</v>
      </c>
      <c r="I612" t="s">
        <v>31</v>
      </c>
      <c r="J612" t="s">
        <v>32</v>
      </c>
      <c r="K612" t="s">
        <v>33</v>
      </c>
      <c r="L612" t="s">
        <v>73</v>
      </c>
      <c r="M612" t="s">
        <v>263</v>
      </c>
      <c r="N612" t="s">
        <v>60</v>
      </c>
      <c r="P612" t="s">
        <v>107</v>
      </c>
      <c r="Q612" t="s">
        <v>3521</v>
      </c>
      <c r="R612" s="5">
        <v>42850.847083333334</v>
      </c>
      <c r="S612" s="5">
        <v>42969.481076388889</v>
      </c>
      <c r="T612" t="s">
        <v>1</v>
      </c>
      <c r="U612" t="s">
        <v>35</v>
      </c>
      <c r="V612" s="3" t="s">
        <v>321</v>
      </c>
      <c r="W612" s="3" t="s">
        <v>69</v>
      </c>
      <c r="AM612" s="5"/>
      <c r="AN612" s="5"/>
      <c r="AQ612" s="6"/>
    </row>
    <row r="613" spans="2:43" x14ac:dyDescent="0.25">
      <c r="B613" t="s">
        <v>216</v>
      </c>
      <c r="C613">
        <v>98708</v>
      </c>
      <c r="D613" t="s">
        <v>3517</v>
      </c>
      <c r="E613" t="s">
        <v>78</v>
      </c>
      <c r="F613" t="s">
        <v>305</v>
      </c>
      <c r="G613" t="s">
        <v>304</v>
      </c>
      <c r="H613" t="s">
        <v>54</v>
      </c>
      <c r="I613" t="s">
        <v>31</v>
      </c>
      <c r="J613" t="s">
        <v>43</v>
      </c>
      <c r="K613" t="s">
        <v>44</v>
      </c>
      <c r="L613" t="s">
        <v>73</v>
      </c>
      <c r="M613" t="s">
        <v>263</v>
      </c>
      <c r="N613" t="s">
        <v>3518</v>
      </c>
      <c r="P613" t="s">
        <v>107</v>
      </c>
      <c r="Q613" t="s">
        <v>159</v>
      </c>
      <c r="R613" s="5">
        <v>42850.626377314817</v>
      </c>
      <c r="S613" s="5">
        <v>42998.932523148149</v>
      </c>
      <c r="T613" t="s">
        <v>78</v>
      </c>
      <c r="U613" t="s">
        <v>35</v>
      </c>
      <c r="V613" s="3" t="s">
        <v>35</v>
      </c>
      <c r="W613" s="3" t="s">
        <v>4098</v>
      </c>
      <c r="AM613" s="5"/>
      <c r="AN613" s="5"/>
      <c r="AQ613" s="6"/>
    </row>
    <row r="614" spans="2:43" x14ac:dyDescent="0.25">
      <c r="B614" t="s">
        <v>3515</v>
      </c>
      <c r="C614">
        <v>98671</v>
      </c>
      <c r="D614" t="s">
        <v>3516</v>
      </c>
      <c r="E614" t="s">
        <v>110</v>
      </c>
      <c r="F614" t="s">
        <v>305</v>
      </c>
      <c r="G614" t="s">
        <v>304</v>
      </c>
      <c r="H614" t="s">
        <v>54</v>
      </c>
      <c r="I614" t="s">
        <v>31</v>
      </c>
      <c r="J614" t="s">
        <v>32</v>
      </c>
      <c r="K614" t="s">
        <v>33</v>
      </c>
      <c r="L614" t="s">
        <v>73</v>
      </c>
      <c r="M614" t="s">
        <v>263</v>
      </c>
      <c r="N614" t="s">
        <v>60</v>
      </c>
      <c r="O614" t="s">
        <v>132</v>
      </c>
      <c r="P614" t="s">
        <v>107</v>
      </c>
      <c r="Q614" t="s">
        <v>159</v>
      </c>
      <c r="R614" s="5">
        <v>42849.672395833331</v>
      </c>
      <c r="S614" s="5">
        <v>43445.134895833333</v>
      </c>
      <c r="T614" t="s">
        <v>1</v>
      </c>
      <c r="U614" t="s">
        <v>35</v>
      </c>
      <c r="V614" s="3" t="s">
        <v>35</v>
      </c>
      <c r="W614" s="3" t="s">
        <v>4098</v>
      </c>
      <c r="AM614" s="5"/>
      <c r="AN614" s="5"/>
      <c r="AQ614" s="6"/>
    </row>
    <row r="615" spans="2:43" x14ac:dyDescent="0.25">
      <c r="B615" t="s">
        <v>207</v>
      </c>
      <c r="C615">
        <v>98613</v>
      </c>
      <c r="D615" t="s">
        <v>553</v>
      </c>
      <c r="E615" t="s">
        <v>387</v>
      </c>
      <c r="F615" t="s">
        <v>305</v>
      </c>
      <c r="G615" t="s">
        <v>337</v>
      </c>
      <c r="H615" t="s">
        <v>30</v>
      </c>
      <c r="I615" t="s">
        <v>31</v>
      </c>
      <c r="J615" t="s">
        <v>43</v>
      </c>
      <c r="K615" t="s">
        <v>44</v>
      </c>
      <c r="L615" t="s">
        <v>73</v>
      </c>
      <c r="M615" t="s">
        <v>263</v>
      </c>
      <c r="N615" t="s">
        <v>523</v>
      </c>
      <c r="P615" t="s">
        <v>77</v>
      </c>
      <c r="Q615" t="s">
        <v>3708</v>
      </c>
      <c r="R615" s="5">
        <v>42846.767118055555</v>
      </c>
      <c r="S615" s="5">
        <v>43423.866747685184</v>
      </c>
      <c r="T615" t="s">
        <v>548</v>
      </c>
      <c r="U615" t="s">
        <v>35</v>
      </c>
      <c r="V615" s="3" t="s">
        <v>35</v>
      </c>
      <c r="W615" s="3" t="s">
        <v>4163</v>
      </c>
      <c r="AM615" s="5"/>
      <c r="AN615" s="5"/>
      <c r="AQ615" s="6"/>
    </row>
    <row r="616" spans="2:43" x14ac:dyDescent="0.25">
      <c r="B616" t="s">
        <v>222</v>
      </c>
      <c r="C616">
        <v>98612</v>
      </c>
      <c r="D616" t="s">
        <v>552</v>
      </c>
      <c r="E616" t="s">
        <v>131</v>
      </c>
      <c r="F616" t="s">
        <v>305</v>
      </c>
      <c r="G616" t="s">
        <v>337</v>
      </c>
      <c r="H616" t="s">
        <v>54</v>
      </c>
      <c r="I616" t="s">
        <v>31</v>
      </c>
      <c r="J616" t="s">
        <v>32</v>
      </c>
      <c r="K616" t="s">
        <v>33</v>
      </c>
      <c r="L616" t="s">
        <v>73</v>
      </c>
      <c r="M616" t="s">
        <v>273</v>
      </c>
      <c r="N616" t="s">
        <v>46</v>
      </c>
      <c r="P616" t="s">
        <v>133</v>
      </c>
      <c r="Q616" t="s">
        <v>3708</v>
      </c>
      <c r="R616" s="5">
        <v>42846.76390046296</v>
      </c>
      <c r="S616" s="5">
        <v>43423.866724537038</v>
      </c>
      <c r="T616" t="s">
        <v>548</v>
      </c>
      <c r="U616" t="s">
        <v>35</v>
      </c>
      <c r="V616" s="3" t="s">
        <v>35</v>
      </c>
      <c r="W616" s="3" t="s">
        <v>4163</v>
      </c>
      <c r="AM616" s="5"/>
      <c r="AN616" s="5"/>
      <c r="AQ616" s="6"/>
    </row>
    <row r="617" spans="2:43" x14ac:dyDescent="0.25">
      <c r="B617" t="s">
        <v>222</v>
      </c>
      <c r="C617">
        <v>98610</v>
      </c>
      <c r="D617" t="s">
        <v>551</v>
      </c>
      <c r="E617" t="s">
        <v>131</v>
      </c>
      <c r="F617" t="s">
        <v>305</v>
      </c>
      <c r="G617" t="s">
        <v>337</v>
      </c>
      <c r="H617" t="s">
        <v>54</v>
      </c>
      <c r="I617" t="s">
        <v>31</v>
      </c>
      <c r="J617" t="s">
        <v>32</v>
      </c>
      <c r="K617" t="s">
        <v>33</v>
      </c>
      <c r="L617" t="s">
        <v>73</v>
      </c>
      <c r="M617" t="s">
        <v>273</v>
      </c>
      <c r="N617" t="s">
        <v>523</v>
      </c>
      <c r="P617" t="s">
        <v>133</v>
      </c>
      <c r="Q617" t="s">
        <v>3708</v>
      </c>
      <c r="R617" s="5">
        <v>42846.761122685188</v>
      </c>
      <c r="S617" s="5">
        <v>43423.863645833335</v>
      </c>
      <c r="T617" t="s">
        <v>548</v>
      </c>
      <c r="U617" t="s">
        <v>35</v>
      </c>
      <c r="V617" s="3" t="s">
        <v>35</v>
      </c>
      <c r="W617" s="3" t="s">
        <v>4156</v>
      </c>
      <c r="AM617" s="5"/>
      <c r="AN617" s="5"/>
      <c r="AQ617" s="6"/>
    </row>
    <row r="618" spans="2:43" x14ac:dyDescent="0.25">
      <c r="B618" t="s">
        <v>225</v>
      </c>
      <c r="C618">
        <v>98609</v>
      </c>
      <c r="D618" t="s">
        <v>550</v>
      </c>
      <c r="E618" t="s">
        <v>64</v>
      </c>
      <c r="F618" t="s">
        <v>319</v>
      </c>
      <c r="G618" t="s">
        <v>304</v>
      </c>
      <c r="H618" t="s">
        <v>30</v>
      </c>
      <c r="I618" t="s">
        <v>31</v>
      </c>
      <c r="J618" t="s">
        <v>32</v>
      </c>
      <c r="K618" t="s">
        <v>33</v>
      </c>
      <c r="L618" t="s">
        <v>52</v>
      </c>
      <c r="M618" t="s">
        <v>276</v>
      </c>
      <c r="N618" t="s">
        <v>523</v>
      </c>
      <c r="P618" t="s">
        <v>65</v>
      </c>
      <c r="Q618" t="s">
        <v>1503</v>
      </c>
      <c r="R618" s="5">
        <v>42846.757372685184</v>
      </c>
      <c r="S618" s="5">
        <v>43391.459143518521</v>
      </c>
      <c r="T618" t="s">
        <v>548</v>
      </c>
      <c r="U618" t="s">
        <v>35</v>
      </c>
      <c r="V618" s="3" t="s">
        <v>321</v>
      </c>
      <c r="W618" s="3" t="s">
        <v>4163</v>
      </c>
      <c r="AM618" s="5"/>
      <c r="AN618" s="5"/>
      <c r="AQ618" s="6"/>
    </row>
    <row r="619" spans="2:43" x14ac:dyDescent="0.25">
      <c r="B619" t="s">
        <v>221</v>
      </c>
      <c r="C619">
        <v>98606</v>
      </c>
      <c r="D619" t="s">
        <v>549</v>
      </c>
      <c r="E619" t="s">
        <v>64</v>
      </c>
      <c r="F619" t="s">
        <v>305</v>
      </c>
      <c r="G619" t="s">
        <v>337</v>
      </c>
      <c r="H619" t="s">
        <v>56</v>
      </c>
      <c r="I619" t="s">
        <v>31</v>
      </c>
      <c r="J619" t="s">
        <v>32</v>
      </c>
      <c r="K619" t="s">
        <v>33</v>
      </c>
      <c r="L619" t="s">
        <v>52</v>
      </c>
      <c r="M619" t="s">
        <v>272</v>
      </c>
      <c r="N619" t="s">
        <v>523</v>
      </c>
      <c r="P619" t="s">
        <v>107</v>
      </c>
      <c r="Q619" t="s">
        <v>3708</v>
      </c>
      <c r="R619" s="5">
        <v>42846.734675925924</v>
      </c>
      <c r="S619" s="5">
        <v>43423.866736111115</v>
      </c>
      <c r="T619" t="s">
        <v>548</v>
      </c>
      <c r="U619" t="s">
        <v>35</v>
      </c>
      <c r="V619" s="3" t="s">
        <v>321</v>
      </c>
      <c r="W619" s="3" t="s">
        <v>4163</v>
      </c>
      <c r="AM619" s="5"/>
      <c r="AN619" s="5"/>
      <c r="AQ619" s="6"/>
    </row>
    <row r="620" spans="2:43" x14ac:dyDescent="0.25">
      <c r="B620" t="s">
        <v>216</v>
      </c>
      <c r="C620">
        <v>98605</v>
      </c>
      <c r="D620" t="s">
        <v>3514</v>
      </c>
      <c r="E620" t="s">
        <v>78</v>
      </c>
      <c r="F620" t="s">
        <v>305</v>
      </c>
      <c r="G620" t="s">
        <v>304</v>
      </c>
      <c r="H620" t="s">
        <v>54</v>
      </c>
      <c r="I620" t="s">
        <v>68</v>
      </c>
      <c r="J620" t="s">
        <v>43</v>
      </c>
      <c r="K620" t="s">
        <v>33</v>
      </c>
      <c r="L620" t="s">
        <v>73</v>
      </c>
      <c r="M620" t="s">
        <v>263</v>
      </c>
      <c r="N620" t="s">
        <v>121</v>
      </c>
      <c r="P620" t="s">
        <v>107</v>
      </c>
      <c r="Q620" t="s">
        <v>547</v>
      </c>
      <c r="R620" s="5">
        <v>42846.727546296293</v>
      </c>
      <c r="S620" s="5">
        <v>43424.143842592595</v>
      </c>
      <c r="T620" t="s">
        <v>548</v>
      </c>
      <c r="U620" t="s">
        <v>35</v>
      </c>
      <c r="V620" s="3" t="s">
        <v>35</v>
      </c>
      <c r="W620" s="3" t="s">
        <v>4163</v>
      </c>
      <c r="AM620" s="5"/>
      <c r="AN620" s="5"/>
      <c r="AQ620" s="6"/>
    </row>
    <row r="621" spans="2:43" x14ac:dyDescent="0.25">
      <c r="B621" t="s">
        <v>216</v>
      </c>
      <c r="C621">
        <v>98603</v>
      </c>
      <c r="D621" t="s">
        <v>546</v>
      </c>
      <c r="E621" t="s">
        <v>78</v>
      </c>
      <c r="F621" t="s">
        <v>319</v>
      </c>
      <c r="G621" t="s">
        <v>304</v>
      </c>
      <c r="H621" t="s">
        <v>54</v>
      </c>
      <c r="I621" t="s">
        <v>68</v>
      </c>
      <c r="J621" t="s">
        <v>43</v>
      </c>
      <c r="K621" t="s">
        <v>33</v>
      </c>
      <c r="L621" t="s">
        <v>73</v>
      </c>
      <c r="M621" t="s">
        <v>263</v>
      </c>
      <c r="N621" t="s">
        <v>121</v>
      </c>
      <c r="P621" t="s">
        <v>107</v>
      </c>
      <c r="Q621" t="s">
        <v>547</v>
      </c>
      <c r="R621" s="5">
        <v>42846.724699074075</v>
      </c>
      <c r="S621" s="5">
        <v>43423.857395833336</v>
      </c>
      <c r="T621" t="s">
        <v>548</v>
      </c>
      <c r="U621" t="s">
        <v>35</v>
      </c>
      <c r="V621" s="3" t="s">
        <v>35</v>
      </c>
      <c r="W621" s="3" t="s">
        <v>4156</v>
      </c>
      <c r="AM621" s="5"/>
      <c r="AN621" s="5"/>
      <c r="AQ621" s="6"/>
    </row>
    <row r="622" spans="2:43" x14ac:dyDescent="0.25">
      <c r="B622" t="s">
        <v>207</v>
      </c>
      <c r="C622">
        <v>98599</v>
      </c>
      <c r="D622" t="s">
        <v>3512</v>
      </c>
      <c r="E622" t="s">
        <v>94</v>
      </c>
      <c r="F622" t="s">
        <v>305</v>
      </c>
      <c r="G622" t="s">
        <v>304</v>
      </c>
      <c r="H622" t="s">
        <v>116</v>
      </c>
      <c r="I622" t="s">
        <v>31</v>
      </c>
      <c r="J622" t="s">
        <v>43</v>
      </c>
      <c r="K622" t="s">
        <v>44</v>
      </c>
      <c r="L622" t="s">
        <v>73</v>
      </c>
      <c r="M622" t="s">
        <v>263</v>
      </c>
      <c r="N622" t="s">
        <v>3513</v>
      </c>
      <c r="P622" t="s">
        <v>77</v>
      </c>
      <c r="Q622" t="s">
        <v>562</v>
      </c>
      <c r="R622" s="5">
        <v>42846.633969907409</v>
      </c>
      <c r="S622" s="5">
        <v>43230.941574074073</v>
      </c>
      <c r="T622" t="s">
        <v>301</v>
      </c>
      <c r="U622" t="s">
        <v>4013</v>
      </c>
      <c r="V622" s="3" t="s">
        <v>35</v>
      </c>
      <c r="W622" s="3" t="s">
        <v>307</v>
      </c>
      <c r="AM622" s="5"/>
      <c r="AN622" s="5"/>
      <c r="AQ622" s="6"/>
    </row>
    <row r="623" spans="2:43" x14ac:dyDescent="0.25">
      <c r="B623" t="s">
        <v>206</v>
      </c>
      <c r="C623">
        <v>98531</v>
      </c>
      <c r="D623" t="s">
        <v>545</v>
      </c>
      <c r="E623" t="s">
        <v>91</v>
      </c>
      <c r="F623" t="s">
        <v>67</v>
      </c>
      <c r="H623" t="s">
        <v>30</v>
      </c>
      <c r="I623" t="s">
        <v>68</v>
      </c>
      <c r="J623" t="s">
        <v>43</v>
      </c>
      <c r="K623" t="s">
        <v>33</v>
      </c>
      <c r="L623" t="s">
        <v>73</v>
      </c>
      <c r="M623" t="s">
        <v>263</v>
      </c>
      <c r="N623" t="s">
        <v>46</v>
      </c>
      <c r="P623" t="s">
        <v>92</v>
      </c>
      <c r="R623" s="5">
        <v>42845.389537037037</v>
      </c>
      <c r="S623" s="5">
        <v>42859.373425925929</v>
      </c>
      <c r="T623" t="s">
        <v>84</v>
      </c>
      <c r="U623" t="s">
        <v>35</v>
      </c>
      <c r="V623" s="3" t="s">
        <v>35</v>
      </c>
      <c r="W623" s="3" t="s">
        <v>4168</v>
      </c>
      <c r="AM623" s="5"/>
      <c r="AN623" s="5"/>
      <c r="AQ623" s="6"/>
    </row>
    <row r="624" spans="2:43" x14ac:dyDescent="0.25">
      <c r="B624" t="s">
        <v>3495</v>
      </c>
      <c r="C624">
        <v>98530</v>
      </c>
      <c r="D624" t="s">
        <v>3511</v>
      </c>
      <c r="E624" t="s">
        <v>82</v>
      </c>
      <c r="F624" t="s">
        <v>305</v>
      </c>
      <c r="G624" t="s">
        <v>353</v>
      </c>
      <c r="H624" t="s">
        <v>54</v>
      </c>
      <c r="I624" t="s">
        <v>31</v>
      </c>
      <c r="J624" t="s">
        <v>43</v>
      </c>
      <c r="K624" t="s">
        <v>44</v>
      </c>
      <c r="L624" t="s">
        <v>73</v>
      </c>
      <c r="M624" t="s">
        <v>263</v>
      </c>
      <c r="N624" t="s">
        <v>60</v>
      </c>
      <c r="P624" t="s">
        <v>3498</v>
      </c>
      <c r="Q624" t="s">
        <v>159</v>
      </c>
      <c r="R624" s="5">
        <v>42845.384479166663</v>
      </c>
      <c r="S624" s="5">
        <v>43333.468611111108</v>
      </c>
      <c r="T624" t="s">
        <v>84</v>
      </c>
      <c r="U624" t="s">
        <v>35</v>
      </c>
      <c r="V624" s="3" t="s">
        <v>35</v>
      </c>
      <c r="W624" s="3" t="s">
        <v>4168</v>
      </c>
      <c r="AM624" s="5"/>
      <c r="AN624" s="5"/>
      <c r="AQ624" s="6"/>
    </row>
    <row r="625" spans="2:43" x14ac:dyDescent="0.25">
      <c r="B625" t="s">
        <v>2841</v>
      </c>
      <c r="C625">
        <v>98529</v>
      </c>
      <c r="D625" t="s">
        <v>3510</v>
      </c>
      <c r="E625" t="s">
        <v>3467</v>
      </c>
      <c r="F625" t="s">
        <v>305</v>
      </c>
      <c r="G625" t="s">
        <v>353</v>
      </c>
      <c r="H625" t="s">
        <v>30</v>
      </c>
      <c r="I625" t="s">
        <v>31</v>
      </c>
      <c r="J625" t="s">
        <v>32</v>
      </c>
      <c r="K625" t="s">
        <v>33</v>
      </c>
      <c r="L625" t="s">
        <v>73</v>
      </c>
      <c r="M625" t="s">
        <v>263</v>
      </c>
      <c r="N625" t="s">
        <v>46</v>
      </c>
      <c r="P625" t="s">
        <v>3233</v>
      </c>
      <c r="Q625" t="s">
        <v>3468</v>
      </c>
      <c r="R625" s="5">
        <v>42845.382280092592</v>
      </c>
      <c r="S625" s="5">
        <v>43333.466527777775</v>
      </c>
      <c r="T625" t="s">
        <v>84</v>
      </c>
      <c r="U625" t="s">
        <v>35</v>
      </c>
      <c r="V625" s="3" t="s">
        <v>35</v>
      </c>
      <c r="W625" s="3" t="s">
        <v>4168</v>
      </c>
      <c r="AM625" s="5"/>
      <c r="AN625" s="5"/>
      <c r="AQ625" s="6"/>
    </row>
    <row r="626" spans="2:43" x14ac:dyDescent="0.25">
      <c r="B626" t="s">
        <v>239</v>
      </c>
      <c r="C626">
        <v>98359</v>
      </c>
      <c r="D626" t="s">
        <v>3508</v>
      </c>
      <c r="E626" t="s">
        <v>173</v>
      </c>
      <c r="F626" t="s">
        <v>305</v>
      </c>
      <c r="G626" t="s">
        <v>337</v>
      </c>
      <c r="H626" t="s">
        <v>54</v>
      </c>
      <c r="I626" t="s">
        <v>31</v>
      </c>
      <c r="J626" t="s">
        <v>32</v>
      </c>
      <c r="K626" t="s">
        <v>33</v>
      </c>
      <c r="L626" t="s">
        <v>52</v>
      </c>
      <c r="M626" t="s">
        <v>272</v>
      </c>
      <c r="N626" t="s">
        <v>60</v>
      </c>
      <c r="P626" t="s">
        <v>107</v>
      </c>
      <c r="Q626" t="s">
        <v>3509</v>
      </c>
      <c r="R626" s="5">
        <v>42842.912604166668</v>
      </c>
      <c r="S626" s="5">
        <v>42969.481134259258</v>
      </c>
      <c r="T626" t="s">
        <v>1</v>
      </c>
      <c r="U626" t="s">
        <v>35</v>
      </c>
      <c r="V626" s="3" t="s">
        <v>321</v>
      </c>
      <c r="W626" s="3" t="s">
        <v>69</v>
      </c>
      <c r="AM626" s="5"/>
      <c r="AN626" s="5"/>
      <c r="AQ626" s="6"/>
    </row>
    <row r="627" spans="2:43" x14ac:dyDescent="0.25">
      <c r="B627" t="s">
        <v>3506</v>
      </c>
      <c r="C627">
        <v>98278</v>
      </c>
      <c r="D627" t="s">
        <v>3507</v>
      </c>
      <c r="E627" t="s">
        <v>335</v>
      </c>
      <c r="F627" t="s">
        <v>305</v>
      </c>
      <c r="G627" t="s">
        <v>304</v>
      </c>
      <c r="H627" t="s">
        <v>30</v>
      </c>
      <c r="I627" t="s">
        <v>68</v>
      </c>
      <c r="J627" t="s">
        <v>58</v>
      </c>
      <c r="K627" t="s">
        <v>44</v>
      </c>
      <c r="L627" t="s">
        <v>73</v>
      </c>
      <c r="M627" t="s">
        <v>277</v>
      </c>
      <c r="N627" t="s">
        <v>46</v>
      </c>
      <c r="O627" t="s">
        <v>3017</v>
      </c>
      <c r="P627" t="s">
        <v>77</v>
      </c>
      <c r="Q627" t="s">
        <v>1503</v>
      </c>
      <c r="R627" s="5">
        <v>42842.175995370373</v>
      </c>
      <c r="S627" s="5">
        <v>43215.183657407404</v>
      </c>
      <c r="T627" t="s">
        <v>4</v>
      </c>
      <c r="U627" t="s">
        <v>35</v>
      </c>
      <c r="V627" s="3" t="s">
        <v>35</v>
      </c>
      <c r="W627" s="3" t="s">
        <v>307</v>
      </c>
      <c r="AM627" s="5"/>
      <c r="AN627" s="5"/>
      <c r="AQ627" s="6"/>
    </row>
    <row r="628" spans="2:43" x14ac:dyDescent="0.25">
      <c r="B628" t="s">
        <v>3504</v>
      </c>
      <c r="C628">
        <v>98255</v>
      </c>
      <c r="D628" t="s">
        <v>3505</v>
      </c>
      <c r="E628" t="s">
        <v>108</v>
      </c>
      <c r="F628" t="s">
        <v>305</v>
      </c>
      <c r="G628" t="s">
        <v>1621</v>
      </c>
      <c r="H628" t="s">
        <v>30</v>
      </c>
      <c r="I628" t="s">
        <v>68</v>
      </c>
      <c r="J628" t="s">
        <v>58</v>
      </c>
      <c r="K628" t="s">
        <v>44</v>
      </c>
      <c r="L628" t="s">
        <v>106</v>
      </c>
      <c r="M628" t="s">
        <v>270</v>
      </c>
      <c r="N628" t="s">
        <v>46</v>
      </c>
      <c r="P628" t="s">
        <v>133</v>
      </c>
      <c r="Q628" t="s">
        <v>3503</v>
      </c>
      <c r="R628" s="5">
        <v>42839.221284722225</v>
      </c>
      <c r="S628" s="5">
        <v>42867.218402777777</v>
      </c>
      <c r="T628" t="s">
        <v>4</v>
      </c>
      <c r="U628" t="s">
        <v>35</v>
      </c>
      <c r="V628" s="3" t="s">
        <v>35</v>
      </c>
      <c r="W628" s="3" t="s">
        <v>4126</v>
      </c>
      <c r="AM628" s="5"/>
      <c r="AN628" s="5"/>
      <c r="AQ628" s="6"/>
    </row>
    <row r="629" spans="2:43" x14ac:dyDescent="0.25">
      <c r="B629" t="s">
        <v>3501</v>
      </c>
      <c r="C629">
        <v>98224</v>
      </c>
      <c r="D629" t="s">
        <v>3502</v>
      </c>
      <c r="E629" t="s">
        <v>108</v>
      </c>
      <c r="F629" t="s">
        <v>305</v>
      </c>
      <c r="G629" t="s">
        <v>1621</v>
      </c>
      <c r="H629" t="s">
        <v>30</v>
      </c>
      <c r="I629" t="s">
        <v>68</v>
      </c>
      <c r="J629" t="s">
        <v>58</v>
      </c>
      <c r="K629" t="s">
        <v>44</v>
      </c>
      <c r="L629" t="s">
        <v>106</v>
      </c>
      <c r="M629" t="s">
        <v>270</v>
      </c>
      <c r="N629" t="s">
        <v>46</v>
      </c>
      <c r="P629" t="s">
        <v>133</v>
      </c>
      <c r="Q629" t="s">
        <v>3503</v>
      </c>
      <c r="R629" s="5">
        <v>42838.428217592591</v>
      </c>
      <c r="S629" s="5">
        <v>42867.218738425923</v>
      </c>
      <c r="T629" t="s">
        <v>4</v>
      </c>
      <c r="U629" t="s">
        <v>35</v>
      </c>
      <c r="V629" s="3" t="s">
        <v>35</v>
      </c>
      <c r="W629" s="3" t="s">
        <v>4126</v>
      </c>
      <c r="AM629" s="5"/>
      <c r="AN629" s="5"/>
      <c r="AQ629" s="6"/>
    </row>
    <row r="630" spans="2:43" x14ac:dyDescent="0.25">
      <c r="B630" t="s">
        <v>3499</v>
      </c>
      <c r="C630">
        <v>98162</v>
      </c>
      <c r="D630" t="s">
        <v>3500</v>
      </c>
      <c r="E630" t="s">
        <v>91</v>
      </c>
      <c r="F630" t="s">
        <v>305</v>
      </c>
      <c r="G630" t="s">
        <v>353</v>
      </c>
      <c r="H630" t="s">
        <v>30</v>
      </c>
      <c r="I630" t="s">
        <v>31</v>
      </c>
      <c r="J630" t="s">
        <v>32</v>
      </c>
      <c r="K630" t="s">
        <v>33</v>
      </c>
      <c r="L630" t="s">
        <v>73</v>
      </c>
      <c r="M630" t="s">
        <v>263</v>
      </c>
      <c r="N630" t="s">
        <v>60</v>
      </c>
      <c r="O630" t="s">
        <v>132</v>
      </c>
      <c r="P630" t="s">
        <v>75</v>
      </c>
      <c r="Q630" t="s">
        <v>75</v>
      </c>
      <c r="R630" s="5">
        <v>42836.847199074073</v>
      </c>
      <c r="S630" s="5">
        <v>43079.149525462963</v>
      </c>
      <c r="T630" t="s">
        <v>2</v>
      </c>
      <c r="U630" t="s">
        <v>35</v>
      </c>
      <c r="V630" s="3" t="s">
        <v>35</v>
      </c>
      <c r="W630" s="3" t="s">
        <v>307</v>
      </c>
      <c r="AM630" s="5"/>
      <c r="AN630" s="5"/>
      <c r="AQ630" s="6"/>
    </row>
    <row r="631" spans="2:43" x14ac:dyDescent="0.25">
      <c r="B631" t="s">
        <v>4186</v>
      </c>
      <c r="C631">
        <v>98161</v>
      </c>
      <c r="D631" t="s">
        <v>4187</v>
      </c>
      <c r="E631" t="s">
        <v>28</v>
      </c>
      <c r="F631" t="s">
        <v>305</v>
      </c>
      <c r="G631" t="s">
        <v>304</v>
      </c>
      <c r="H631" t="s">
        <v>30</v>
      </c>
      <c r="I631" t="s">
        <v>68</v>
      </c>
      <c r="J631" t="s">
        <v>58</v>
      </c>
      <c r="K631" t="s">
        <v>44</v>
      </c>
      <c r="L631" t="s">
        <v>34</v>
      </c>
      <c r="M631" t="s">
        <v>3780</v>
      </c>
      <c r="N631" t="s">
        <v>46</v>
      </c>
      <c r="P631" t="s">
        <v>56</v>
      </c>
      <c r="Q631" t="s">
        <v>4188</v>
      </c>
      <c r="R631" s="5">
        <v>42836.839560185188</v>
      </c>
      <c r="S631" s="5">
        <v>43335.447592592594</v>
      </c>
      <c r="T631" t="s">
        <v>450</v>
      </c>
      <c r="U631" t="s">
        <v>35</v>
      </c>
      <c r="V631" s="3" t="s">
        <v>35</v>
      </c>
      <c r="W631" s="3" t="s">
        <v>3915</v>
      </c>
      <c r="AM631" s="5"/>
      <c r="AN631" s="5"/>
      <c r="AQ631" s="6"/>
    </row>
    <row r="632" spans="2:43" x14ac:dyDescent="0.25">
      <c r="B632" t="s">
        <v>3495</v>
      </c>
      <c r="C632">
        <v>98149</v>
      </c>
      <c r="D632" t="s">
        <v>3496</v>
      </c>
      <c r="E632" t="s">
        <v>82</v>
      </c>
      <c r="F632" t="s">
        <v>305</v>
      </c>
      <c r="G632" t="s">
        <v>353</v>
      </c>
      <c r="H632" t="s">
        <v>54</v>
      </c>
      <c r="I632" t="s">
        <v>31</v>
      </c>
      <c r="J632" t="s">
        <v>43</v>
      </c>
      <c r="K632" t="s">
        <v>44</v>
      </c>
      <c r="L632" t="s">
        <v>73</v>
      </c>
      <c r="M632" t="s">
        <v>263</v>
      </c>
      <c r="N632" t="s">
        <v>60</v>
      </c>
      <c r="O632" t="s">
        <v>3497</v>
      </c>
      <c r="P632" t="s">
        <v>3498</v>
      </c>
      <c r="Q632" t="s">
        <v>3459</v>
      </c>
      <c r="R632" s="5">
        <v>42836.634479166663</v>
      </c>
      <c r="S632" s="5">
        <v>43333.468622685185</v>
      </c>
      <c r="T632" t="s">
        <v>86</v>
      </c>
      <c r="U632" t="s">
        <v>35</v>
      </c>
      <c r="V632" s="3" t="s">
        <v>35</v>
      </c>
      <c r="W632" s="3" t="s">
        <v>4098</v>
      </c>
      <c r="AM632" s="5"/>
      <c r="AN632" s="5"/>
      <c r="AQ632" s="6"/>
    </row>
    <row r="633" spans="2:43" x14ac:dyDescent="0.25">
      <c r="B633" t="s">
        <v>3221</v>
      </c>
      <c r="C633">
        <v>98046</v>
      </c>
      <c r="D633" t="s">
        <v>3494</v>
      </c>
      <c r="E633" t="s">
        <v>84</v>
      </c>
      <c r="F633" t="s">
        <v>305</v>
      </c>
      <c r="G633" t="s">
        <v>304</v>
      </c>
      <c r="H633" t="s">
        <v>30</v>
      </c>
      <c r="I633" t="s">
        <v>68</v>
      </c>
      <c r="J633" t="s">
        <v>43</v>
      </c>
      <c r="K633" t="s">
        <v>33</v>
      </c>
      <c r="L633" t="s">
        <v>73</v>
      </c>
      <c r="M633" t="s">
        <v>263</v>
      </c>
      <c r="N633" t="s">
        <v>46</v>
      </c>
      <c r="P633" t="s">
        <v>85</v>
      </c>
      <c r="Q633" t="s">
        <v>85</v>
      </c>
      <c r="R633" s="5">
        <v>42832.576585648145</v>
      </c>
      <c r="S633" s="5">
        <v>43406.138020833336</v>
      </c>
      <c r="T633" t="s">
        <v>84</v>
      </c>
      <c r="U633" t="s">
        <v>35</v>
      </c>
      <c r="V633" s="3" t="s">
        <v>35</v>
      </c>
      <c r="W633" s="3" t="s">
        <v>4168</v>
      </c>
      <c r="AM633" s="5"/>
      <c r="AN633" s="5"/>
      <c r="AQ633" s="6"/>
    </row>
    <row r="634" spans="2:43" x14ac:dyDescent="0.25">
      <c r="B634" t="s">
        <v>220</v>
      </c>
      <c r="C634">
        <v>98041</v>
      </c>
      <c r="D634" t="s">
        <v>3493</v>
      </c>
      <c r="E634" t="s">
        <v>72</v>
      </c>
      <c r="F634" t="s">
        <v>305</v>
      </c>
      <c r="G634" t="s">
        <v>304</v>
      </c>
      <c r="H634" t="s">
        <v>54</v>
      </c>
      <c r="I634" t="s">
        <v>31</v>
      </c>
      <c r="J634" t="s">
        <v>43</v>
      </c>
      <c r="K634" t="s">
        <v>44</v>
      </c>
      <c r="L634" t="s">
        <v>73</v>
      </c>
      <c r="M634" t="s">
        <v>263</v>
      </c>
      <c r="N634" t="s">
        <v>582</v>
      </c>
      <c r="P634" t="s">
        <v>77</v>
      </c>
      <c r="Q634" t="s">
        <v>77</v>
      </c>
      <c r="R634" s="5">
        <v>42832.529004629629</v>
      </c>
      <c r="S634" s="5">
        <v>43230.933611111112</v>
      </c>
      <c r="T634" t="s">
        <v>110</v>
      </c>
      <c r="U634" t="s">
        <v>4012</v>
      </c>
      <c r="V634" s="3" t="s">
        <v>35</v>
      </c>
      <c r="W634" s="3" t="s">
        <v>307</v>
      </c>
      <c r="AM634" s="5"/>
      <c r="AN634" s="5"/>
      <c r="AQ634" s="6"/>
    </row>
    <row r="635" spans="2:43" x14ac:dyDescent="0.25">
      <c r="B635" t="s">
        <v>2841</v>
      </c>
      <c r="C635">
        <v>97947</v>
      </c>
      <c r="D635" t="s">
        <v>3492</v>
      </c>
      <c r="E635" t="s">
        <v>3367</v>
      </c>
      <c r="F635" t="s">
        <v>305</v>
      </c>
      <c r="G635" t="s">
        <v>328</v>
      </c>
      <c r="H635" t="s">
        <v>30</v>
      </c>
      <c r="I635" t="s">
        <v>31</v>
      </c>
      <c r="J635" t="s">
        <v>32</v>
      </c>
      <c r="K635" t="s">
        <v>33</v>
      </c>
      <c r="L635" t="s">
        <v>73</v>
      </c>
      <c r="M635" t="s">
        <v>263</v>
      </c>
      <c r="N635" t="s">
        <v>46</v>
      </c>
      <c r="P635" t="s">
        <v>3120</v>
      </c>
      <c r="Q635" t="s">
        <v>3368</v>
      </c>
      <c r="R635" s="5">
        <v>42830.472384259258</v>
      </c>
      <c r="S635" s="5">
        <v>42956.125104166669</v>
      </c>
      <c r="T635" t="s">
        <v>84</v>
      </c>
      <c r="U635" t="s">
        <v>35</v>
      </c>
      <c r="V635" s="3" t="s">
        <v>35</v>
      </c>
      <c r="W635" s="3" t="s">
        <v>4168</v>
      </c>
      <c r="AM635" s="5"/>
      <c r="AN635" s="5"/>
      <c r="AQ635" s="6"/>
    </row>
    <row r="636" spans="2:43" x14ac:dyDescent="0.25">
      <c r="B636" t="s">
        <v>3046</v>
      </c>
      <c r="C636">
        <v>97946</v>
      </c>
      <c r="D636" t="s">
        <v>3491</v>
      </c>
      <c r="E636" t="s">
        <v>72</v>
      </c>
      <c r="F636" t="s">
        <v>305</v>
      </c>
      <c r="G636" t="s">
        <v>310</v>
      </c>
      <c r="H636" t="s">
        <v>30</v>
      </c>
      <c r="I636" t="s">
        <v>68</v>
      </c>
      <c r="J636" t="s">
        <v>58</v>
      </c>
      <c r="K636" t="s">
        <v>44</v>
      </c>
      <c r="L636" t="s">
        <v>73</v>
      </c>
      <c r="M636" t="s">
        <v>263</v>
      </c>
      <c r="N636" t="s">
        <v>46</v>
      </c>
      <c r="P636" t="s">
        <v>1634</v>
      </c>
      <c r="Q636" t="s">
        <v>1634</v>
      </c>
      <c r="R636" s="5">
        <v>42830.468530092592</v>
      </c>
      <c r="S636" s="5">
        <v>42997.125138888892</v>
      </c>
      <c r="T636" t="s">
        <v>84</v>
      </c>
      <c r="U636" t="s">
        <v>35</v>
      </c>
      <c r="V636" s="3" t="s">
        <v>35</v>
      </c>
      <c r="W636" s="3" t="s">
        <v>4168</v>
      </c>
      <c r="AM636" s="5"/>
      <c r="AN636" s="5"/>
      <c r="AQ636" s="6"/>
    </row>
    <row r="637" spans="2:43" x14ac:dyDescent="0.25">
      <c r="B637" t="s">
        <v>3425</v>
      </c>
      <c r="C637">
        <v>97944</v>
      </c>
      <c r="D637" t="s">
        <v>3490</v>
      </c>
      <c r="E637" t="s">
        <v>521</v>
      </c>
      <c r="F637" t="s">
        <v>319</v>
      </c>
      <c r="G637" t="s">
        <v>304</v>
      </c>
      <c r="H637" t="s">
        <v>56</v>
      </c>
      <c r="I637" t="s">
        <v>31</v>
      </c>
      <c r="J637" t="s">
        <v>32</v>
      </c>
      <c r="K637" t="s">
        <v>51</v>
      </c>
      <c r="L637" t="s">
        <v>73</v>
      </c>
      <c r="M637" t="s">
        <v>263</v>
      </c>
      <c r="N637" t="s">
        <v>60</v>
      </c>
      <c r="P637" t="s">
        <v>85</v>
      </c>
      <c r="Q637" t="s">
        <v>3428</v>
      </c>
      <c r="R637" s="5">
        <v>42830.457245370373</v>
      </c>
      <c r="S637" s="5">
        <v>42971.48128472222</v>
      </c>
      <c r="T637" t="s">
        <v>84</v>
      </c>
      <c r="U637" t="s">
        <v>35</v>
      </c>
      <c r="V637" s="3" t="s">
        <v>35</v>
      </c>
      <c r="W637" s="3" t="s">
        <v>4168</v>
      </c>
      <c r="AM637" s="5"/>
      <c r="AN637" s="5"/>
      <c r="AQ637" s="6"/>
    </row>
    <row r="638" spans="2:43" x14ac:dyDescent="0.25">
      <c r="B638" t="s">
        <v>3457</v>
      </c>
      <c r="C638">
        <v>97937</v>
      </c>
      <c r="D638" t="s">
        <v>3489</v>
      </c>
      <c r="E638" t="s">
        <v>521</v>
      </c>
      <c r="F638" t="s">
        <v>305</v>
      </c>
      <c r="G638" t="s">
        <v>353</v>
      </c>
      <c r="H638" t="s">
        <v>54</v>
      </c>
      <c r="I638" t="s">
        <v>31</v>
      </c>
      <c r="J638" t="s">
        <v>43</v>
      </c>
      <c r="K638" t="s">
        <v>44</v>
      </c>
      <c r="L638" t="s">
        <v>73</v>
      </c>
      <c r="M638" t="s">
        <v>263</v>
      </c>
      <c r="N638" t="s">
        <v>60</v>
      </c>
      <c r="P638" t="s">
        <v>3233</v>
      </c>
      <c r="Q638" t="s">
        <v>3459</v>
      </c>
      <c r="R638" s="5">
        <v>42830.441250000003</v>
      </c>
      <c r="S638" s="5">
        <v>42956.125115740739</v>
      </c>
      <c r="T638" t="s">
        <v>84</v>
      </c>
      <c r="U638" t="s">
        <v>35</v>
      </c>
      <c r="V638" s="3" t="s">
        <v>35</v>
      </c>
      <c r="W638" s="3" t="s">
        <v>4168</v>
      </c>
      <c r="AM638" s="5"/>
      <c r="AN638" s="5"/>
      <c r="AQ638" s="6"/>
    </row>
    <row r="639" spans="2:43" x14ac:dyDescent="0.25">
      <c r="B639" t="s">
        <v>3311</v>
      </c>
      <c r="C639">
        <v>97936</v>
      </c>
      <c r="D639" t="s">
        <v>3488</v>
      </c>
      <c r="E639" t="s">
        <v>84</v>
      </c>
      <c r="F639" t="s">
        <v>305</v>
      </c>
      <c r="G639" t="s">
        <v>304</v>
      </c>
      <c r="H639" t="s">
        <v>54</v>
      </c>
      <c r="I639" t="s">
        <v>31</v>
      </c>
      <c r="J639" t="s">
        <v>32</v>
      </c>
      <c r="K639" t="s">
        <v>33</v>
      </c>
      <c r="L639" t="s">
        <v>73</v>
      </c>
      <c r="M639" t="s">
        <v>263</v>
      </c>
      <c r="N639" t="s">
        <v>579</v>
      </c>
      <c r="P639" t="s">
        <v>3233</v>
      </c>
      <c r="Q639" t="s">
        <v>3041</v>
      </c>
      <c r="R639" s="5">
        <v>42830.438344907408</v>
      </c>
      <c r="S639" s="5">
        <v>43439.149131944447</v>
      </c>
      <c r="T639" t="s">
        <v>84</v>
      </c>
      <c r="U639" t="s">
        <v>35</v>
      </c>
      <c r="V639" s="3" t="s">
        <v>321</v>
      </c>
      <c r="W639" s="3" t="s">
        <v>4168</v>
      </c>
      <c r="AM639" s="5"/>
      <c r="AN639" s="5"/>
      <c r="AQ639" s="6"/>
    </row>
    <row r="640" spans="2:43" x14ac:dyDescent="0.25">
      <c r="B640" t="s">
        <v>3438</v>
      </c>
      <c r="C640">
        <v>97837</v>
      </c>
      <c r="D640" t="s">
        <v>3487</v>
      </c>
      <c r="E640" t="s">
        <v>3440</v>
      </c>
      <c r="F640" t="s">
        <v>305</v>
      </c>
      <c r="G640" t="s">
        <v>304</v>
      </c>
      <c r="H640" t="s">
        <v>116</v>
      </c>
      <c r="I640" t="s">
        <v>31</v>
      </c>
      <c r="J640" t="s">
        <v>32</v>
      </c>
      <c r="K640" t="s">
        <v>33</v>
      </c>
      <c r="L640" t="s">
        <v>380</v>
      </c>
      <c r="M640" t="s">
        <v>434</v>
      </c>
      <c r="N640" t="s">
        <v>510</v>
      </c>
      <c r="O640" t="s">
        <v>4185</v>
      </c>
      <c r="P640" t="s">
        <v>107</v>
      </c>
      <c r="Q640" t="s">
        <v>1503</v>
      </c>
      <c r="R640" s="5">
        <v>42829.500219907408</v>
      </c>
      <c r="S640" s="5">
        <v>43231.864641203705</v>
      </c>
      <c r="T640" t="s">
        <v>2151</v>
      </c>
      <c r="U640" t="s">
        <v>4011</v>
      </c>
      <c r="V640" s="3" t="s">
        <v>321</v>
      </c>
      <c r="W640" s="3" t="s">
        <v>307</v>
      </c>
      <c r="AM640" s="5"/>
      <c r="AN640" s="5"/>
      <c r="AQ640" s="6"/>
    </row>
    <row r="641" spans="2:43" x14ac:dyDescent="0.25">
      <c r="B641" t="s">
        <v>3483</v>
      </c>
      <c r="C641">
        <v>97762</v>
      </c>
      <c r="D641" t="s">
        <v>3486</v>
      </c>
      <c r="E641" t="s">
        <v>155</v>
      </c>
      <c r="F641" t="s">
        <v>305</v>
      </c>
      <c r="G641" t="s">
        <v>304</v>
      </c>
      <c r="H641" t="s">
        <v>54</v>
      </c>
      <c r="I641" t="s">
        <v>31</v>
      </c>
      <c r="J641" t="s">
        <v>43</v>
      </c>
      <c r="K641" t="s">
        <v>51</v>
      </c>
      <c r="L641" t="s">
        <v>73</v>
      </c>
      <c r="M641" t="s">
        <v>263</v>
      </c>
      <c r="N641" t="s">
        <v>60</v>
      </c>
      <c r="P641" t="s">
        <v>107</v>
      </c>
      <c r="Q641" t="s">
        <v>69</v>
      </c>
      <c r="R641" s="5">
        <v>42825.730578703704</v>
      </c>
      <c r="S641" s="5">
        <v>42948.051192129627</v>
      </c>
      <c r="T641" t="s">
        <v>301</v>
      </c>
      <c r="U641" t="s">
        <v>4010</v>
      </c>
      <c r="V641" s="3" t="s">
        <v>35</v>
      </c>
      <c r="W641" s="3" t="s">
        <v>69</v>
      </c>
      <c r="AM641" s="5"/>
      <c r="AN641" s="5"/>
      <c r="AQ641" s="6"/>
    </row>
    <row r="642" spans="2:43" x14ac:dyDescent="0.25">
      <c r="B642" t="s">
        <v>3457</v>
      </c>
      <c r="C642">
        <v>97729</v>
      </c>
      <c r="D642" t="s">
        <v>3485</v>
      </c>
      <c r="E642" t="s">
        <v>521</v>
      </c>
      <c r="F642" t="s">
        <v>305</v>
      </c>
      <c r="G642" t="s">
        <v>353</v>
      </c>
      <c r="H642" t="s">
        <v>54</v>
      </c>
      <c r="I642" t="s">
        <v>31</v>
      </c>
      <c r="J642" t="s">
        <v>43</v>
      </c>
      <c r="K642" t="s">
        <v>44</v>
      </c>
      <c r="L642" t="s">
        <v>73</v>
      </c>
      <c r="M642" t="s">
        <v>263</v>
      </c>
      <c r="N642" t="s">
        <v>60</v>
      </c>
      <c r="P642" t="s">
        <v>3233</v>
      </c>
      <c r="Q642" t="s">
        <v>3459</v>
      </c>
      <c r="R642" s="5">
        <v>42825.43582175926</v>
      </c>
      <c r="S642" s="5">
        <v>42956.125115740739</v>
      </c>
      <c r="T642" t="s">
        <v>171</v>
      </c>
      <c r="U642" t="s">
        <v>35</v>
      </c>
      <c r="V642" s="3" t="s">
        <v>35</v>
      </c>
      <c r="W642" s="3" t="s">
        <v>3555</v>
      </c>
      <c r="AM642" s="5"/>
      <c r="AN642" s="5"/>
      <c r="AQ642" s="6"/>
    </row>
    <row r="643" spans="2:43" x14ac:dyDescent="0.25">
      <c r="B643" t="s">
        <v>3483</v>
      </c>
      <c r="C643">
        <v>97710</v>
      </c>
      <c r="D643" t="s">
        <v>3484</v>
      </c>
      <c r="E643" t="s">
        <v>155</v>
      </c>
      <c r="F643" t="s">
        <v>305</v>
      </c>
      <c r="G643" t="s">
        <v>304</v>
      </c>
      <c r="H643" t="s">
        <v>30</v>
      </c>
      <c r="I643" t="s">
        <v>31</v>
      </c>
      <c r="J643" t="s">
        <v>43</v>
      </c>
      <c r="K643" t="s">
        <v>51</v>
      </c>
      <c r="L643" t="s">
        <v>73</v>
      </c>
      <c r="M643" t="s">
        <v>263</v>
      </c>
      <c r="N643" t="s">
        <v>46</v>
      </c>
      <c r="P643" t="s">
        <v>107</v>
      </c>
      <c r="Q643" t="s">
        <v>159</v>
      </c>
      <c r="R643" s="5">
        <v>42824.926435185182</v>
      </c>
      <c r="S643" s="5">
        <v>42998.793958333335</v>
      </c>
      <c r="T643" t="s">
        <v>1</v>
      </c>
      <c r="U643" t="s">
        <v>35</v>
      </c>
      <c r="V643" s="3" t="s">
        <v>35</v>
      </c>
      <c r="W643" s="3" t="s">
        <v>4098</v>
      </c>
      <c r="AM643" s="5"/>
      <c r="AN643" s="5"/>
      <c r="AQ643" s="6"/>
    </row>
    <row r="644" spans="2:43" x14ac:dyDescent="0.25">
      <c r="B644" t="s">
        <v>3443</v>
      </c>
      <c r="C644">
        <v>97674</v>
      </c>
      <c r="D644" t="s">
        <v>3482</v>
      </c>
      <c r="E644" t="s">
        <v>64</v>
      </c>
      <c r="F644" t="s">
        <v>305</v>
      </c>
      <c r="G644" t="s">
        <v>328</v>
      </c>
      <c r="H644" t="s">
        <v>116</v>
      </c>
      <c r="I644" t="s">
        <v>31</v>
      </c>
      <c r="J644" t="s">
        <v>32</v>
      </c>
      <c r="K644" t="s">
        <v>44</v>
      </c>
      <c r="L644" t="s">
        <v>52</v>
      </c>
      <c r="M644" t="s">
        <v>3445</v>
      </c>
      <c r="N644" t="s">
        <v>582</v>
      </c>
      <c r="P644" t="s">
        <v>107</v>
      </c>
      <c r="Q644" t="s">
        <v>65</v>
      </c>
      <c r="R644" s="5">
        <v>42824.398101851853</v>
      </c>
      <c r="S644" s="5">
        <v>42964.125081018516</v>
      </c>
      <c r="T644" t="s">
        <v>3479</v>
      </c>
      <c r="U644" t="s">
        <v>35</v>
      </c>
      <c r="V644" s="3" t="s">
        <v>4057</v>
      </c>
      <c r="W644" s="3" t="s">
        <v>428</v>
      </c>
      <c r="AM644" s="5"/>
      <c r="AN644" s="5"/>
      <c r="AQ644" s="6"/>
    </row>
    <row r="645" spans="2:43" x14ac:dyDescent="0.25">
      <c r="B645" t="s">
        <v>3443</v>
      </c>
      <c r="C645">
        <v>97673</v>
      </c>
      <c r="D645" t="s">
        <v>3481</v>
      </c>
      <c r="E645" t="s">
        <v>64</v>
      </c>
      <c r="F645" t="s">
        <v>305</v>
      </c>
      <c r="G645" t="s">
        <v>328</v>
      </c>
      <c r="H645" t="s">
        <v>116</v>
      </c>
      <c r="I645" t="s">
        <v>31</v>
      </c>
      <c r="J645" t="s">
        <v>32</v>
      </c>
      <c r="K645" t="s">
        <v>44</v>
      </c>
      <c r="L645" t="s">
        <v>52</v>
      </c>
      <c r="M645" t="s">
        <v>3445</v>
      </c>
      <c r="N645" t="s">
        <v>518</v>
      </c>
      <c r="P645" t="s">
        <v>107</v>
      </c>
      <c r="Q645" t="s">
        <v>65</v>
      </c>
      <c r="R645" s="5">
        <v>42824.397233796299</v>
      </c>
      <c r="S645" s="5">
        <v>42884.369768518518</v>
      </c>
      <c r="T645" t="s">
        <v>3479</v>
      </c>
      <c r="U645" t="s">
        <v>35</v>
      </c>
      <c r="V645" s="3" t="s">
        <v>4057</v>
      </c>
      <c r="W645" s="3" t="s">
        <v>69</v>
      </c>
      <c r="AM645" s="5"/>
      <c r="AN645" s="5"/>
      <c r="AQ645" s="6"/>
    </row>
    <row r="646" spans="2:43" x14ac:dyDescent="0.25">
      <c r="B646" t="s">
        <v>3443</v>
      </c>
      <c r="C646">
        <v>97672</v>
      </c>
      <c r="D646" t="s">
        <v>3480</v>
      </c>
      <c r="E646" t="s">
        <v>64</v>
      </c>
      <c r="F646" t="s">
        <v>305</v>
      </c>
      <c r="G646" t="s">
        <v>337</v>
      </c>
      <c r="H646" t="s">
        <v>116</v>
      </c>
      <c r="I646" t="s">
        <v>31</v>
      </c>
      <c r="J646" t="s">
        <v>32</v>
      </c>
      <c r="K646" t="s">
        <v>44</v>
      </c>
      <c r="L646" t="s">
        <v>52</v>
      </c>
      <c r="M646" t="s">
        <v>3445</v>
      </c>
      <c r="N646" t="s">
        <v>60</v>
      </c>
      <c r="P646" t="s">
        <v>107</v>
      </c>
      <c r="Q646" t="s">
        <v>65</v>
      </c>
      <c r="R646" s="5">
        <v>42824.395497685182</v>
      </c>
      <c r="S646" s="5">
        <v>42837.555266203701</v>
      </c>
      <c r="T646" t="s">
        <v>3479</v>
      </c>
      <c r="U646" t="s">
        <v>35</v>
      </c>
      <c r="V646" s="3" t="s">
        <v>4057</v>
      </c>
      <c r="W646" s="3" t="s">
        <v>133</v>
      </c>
      <c r="AM646" s="5"/>
      <c r="AN646" s="5"/>
      <c r="AQ646" s="6"/>
    </row>
    <row r="647" spans="2:43" x14ac:dyDescent="0.25">
      <c r="B647" t="s">
        <v>3443</v>
      </c>
      <c r="C647">
        <v>97671</v>
      </c>
      <c r="D647" t="s">
        <v>3478</v>
      </c>
      <c r="E647" t="s">
        <v>1</v>
      </c>
      <c r="F647" t="s">
        <v>305</v>
      </c>
      <c r="G647" t="s">
        <v>328</v>
      </c>
      <c r="H647" t="s">
        <v>116</v>
      </c>
      <c r="I647" t="s">
        <v>31</v>
      </c>
      <c r="J647" t="s">
        <v>32</v>
      </c>
      <c r="K647" t="s">
        <v>44</v>
      </c>
      <c r="L647" t="s">
        <v>52</v>
      </c>
      <c r="M647" t="s">
        <v>3445</v>
      </c>
      <c r="N647" t="s">
        <v>60</v>
      </c>
      <c r="P647" t="s">
        <v>107</v>
      </c>
      <c r="Q647" t="s">
        <v>65</v>
      </c>
      <c r="R647" s="5">
        <v>42824.395509259259</v>
      </c>
      <c r="S647" s="5">
        <v>42963.125069444446</v>
      </c>
      <c r="T647" t="s">
        <v>3479</v>
      </c>
      <c r="U647" t="s">
        <v>35</v>
      </c>
      <c r="V647" s="3" t="s">
        <v>4057</v>
      </c>
      <c r="W647" s="3" t="s">
        <v>4098</v>
      </c>
      <c r="AM647" s="5"/>
      <c r="AN647" s="5"/>
      <c r="AQ647" s="6"/>
    </row>
    <row r="648" spans="2:43" x14ac:dyDescent="0.25">
      <c r="B648" t="s">
        <v>222</v>
      </c>
      <c r="C648">
        <v>97646</v>
      </c>
      <c r="D648" t="s">
        <v>3477</v>
      </c>
      <c r="E648" t="s">
        <v>131</v>
      </c>
      <c r="F648" t="s">
        <v>305</v>
      </c>
      <c r="G648" t="s">
        <v>304</v>
      </c>
      <c r="H648" t="s">
        <v>54</v>
      </c>
      <c r="I648" t="s">
        <v>31</v>
      </c>
      <c r="J648" t="s">
        <v>32</v>
      </c>
      <c r="K648" t="s">
        <v>33</v>
      </c>
      <c r="L648" t="s">
        <v>73</v>
      </c>
      <c r="M648" t="s">
        <v>273</v>
      </c>
      <c r="N648" t="s">
        <v>518</v>
      </c>
      <c r="P648" t="s">
        <v>133</v>
      </c>
      <c r="Q648" t="s">
        <v>2944</v>
      </c>
      <c r="R648" s="5">
        <v>42823.843645833331</v>
      </c>
      <c r="S648" s="5">
        <v>43214.207303240742</v>
      </c>
      <c r="T648" t="s">
        <v>301</v>
      </c>
      <c r="U648" t="s">
        <v>3993</v>
      </c>
      <c r="V648" s="3" t="s">
        <v>35</v>
      </c>
      <c r="W648" s="3" t="s">
        <v>307</v>
      </c>
      <c r="AM648" s="5"/>
      <c r="AN648" s="5"/>
      <c r="AQ648" s="6"/>
    </row>
    <row r="649" spans="2:43" x14ac:dyDescent="0.25">
      <c r="B649" t="s">
        <v>224</v>
      </c>
      <c r="C649">
        <v>97644</v>
      </c>
      <c r="D649" t="s">
        <v>3476</v>
      </c>
      <c r="E649" t="s">
        <v>2996</v>
      </c>
      <c r="F649" t="s">
        <v>305</v>
      </c>
      <c r="G649" t="s">
        <v>304</v>
      </c>
      <c r="H649" t="s">
        <v>54</v>
      </c>
      <c r="I649" t="s">
        <v>31</v>
      </c>
      <c r="J649" t="s">
        <v>32</v>
      </c>
      <c r="K649" t="s">
        <v>33</v>
      </c>
      <c r="L649" t="s">
        <v>96</v>
      </c>
      <c r="M649" t="s">
        <v>269</v>
      </c>
      <c r="N649" t="s">
        <v>518</v>
      </c>
      <c r="P649" t="s">
        <v>133</v>
      </c>
      <c r="Q649" t="s">
        <v>3260</v>
      </c>
      <c r="R649" s="5">
        <v>42823.84275462963</v>
      </c>
      <c r="S649" s="5">
        <v>43206.798819444448</v>
      </c>
      <c r="T649" t="s">
        <v>301</v>
      </c>
      <c r="U649" t="s">
        <v>4009</v>
      </c>
      <c r="V649" s="3" t="s">
        <v>35</v>
      </c>
      <c r="W649" s="3" t="s">
        <v>307</v>
      </c>
      <c r="AM649" s="5"/>
      <c r="AN649" s="5"/>
      <c r="AQ649" s="6"/>
    </row>
    <row r="650" spans="2:43" x14ac:dyDescent="0.25">
      <c r="B650" t="s">
        <v>218</v>
      </c>
      <c r="C650">
        <v>97641</v>
      </c>
      <c r="D650" t="s">
        <v>544</v>
      </c>
      <c r="E650" t="s">
        <v>82</v>
      </c>
      <c r="F650" t="s">
        <v>42</v>
      </c>
      <c r="H650" t="s">
        <v>30</v>
      </c>
      <c r="I650" t="s">
        <v>68</v>
      </c>
      <c r="J650" t="s">
        <v>43</v>
      </c>
      <c r="K650" t="s">
        <v>33</v>
      </c>
      <c r="L650" t="s">
        <v>73</v>
      </c>
      <c r="M650" t="s">
        <v>263</v>
      </c>
      <c r="N650" t="s">
        <v>46</v>
      </c>
      <c r="P650" t="s">
        <v>107</v>
      </c>
      <c r="R650" s="5">
        <v>42823.816435185188</v>
      </c>
      <c r="S650" s="5">
        <v>43045.811979166669</v>
      </c>
      <c r="T650" t="s">
        <v>301</v>
      </c>
      <c r="U650" t="s">
        <v>35</v>
      </c>
      <c r="V650" s="3" t="s">
        <v>35</v>
      </c>
      <c r="W650" s="3" t="s">
        <v>4166</v>
      </c>
      <c r="AM650" s="5"/>
      <c r="AN650" s="5"/>
      <c r="AQ650" s="6"/>
    </row>
    <row r="651" spans="2:43" x14ac:dyDescent="0.25">
      <c r="B651" t="s">
        <v>213</v>
      </c>
      <c r="C651">
        <v>97636</v>
      </c>
      <c r="D651" t="s">
        <v>3475</v>
      </c>
      <c r="E651" t="s">
        <v>112</v>
      </c>
      <c r="F651" t="s">
        <v>305</v>
      </c>
      <c r="G651" t="s">
        <v>304</v>
      </c>
      <c r="H651" t="s">
        <v>54</v>
      </c>
      <c r="I651" t="s">
        <v>31</v>
      </c>
      <c r="J651" t="s">
        <v>43</v>
      </c>
      <c r="K651" t="s">
        <v>44</v>
      </c>
      <c r="L651" t="s">
        <v>73</v>
      </c>
      <c r="M651" t="s">
        <v>263</v>
      </c>
      <c r="N651" t="s">
        <v>579</v>
      </c>
      <c r="P651" t="s">
        <v>107</v>
      </c>
      <c r="Q651" t="s">
        <v>107</v>
      </c>
      <c r="R651" s="5">
        <v>42823.811956018515</v>
      </c>
      <c r="S651" s="5">
        <v>43214.207337962966</v>
      </c>
      <c r="T651" t="s">
        <v>301</v>
      </c>
      <c r="U651" t="s">
        <v>4008</v>
      </c>
      <c r="V651" s="3" t="s">
        <v>35</v>
      </c>
      <c r="W651" s="3" t="s">
        <v>307</v>
      </c>
      <c r="AM651" s="5"/>
      <c r="AN651" s="5"/>
      <c r="AQ651" s="6"/>
    </row>
    <row r="652" spans="2:43" x14ac:dyDescent="0.25">
      <c r="B652" t="s">
        <v>203</v>
      </c>
      <c r="C652">
        <v>97628</v>
      </c>
      <c r="D652" t="s">
        <v>543</v>
      </c>
      <c r="E652" t="s">
        <v>82</v>
      </c>
      <c r="F652" t="s">
        <v>42</v>
      </c>
      <c r="H652" t="s">
        <v>30</v>
      </c>
      <c r="I652" t="s">
        <v>68</v>
      </c>
      <c r="J652" t="s">
        <v>43</v>
      </c>
      <c r="K652" t="s">
        <v>33</v>
      </c>
      <c r="L652" t="s">
        <v>73</v>
      </c>
      <c r="M652" t="s">
        <v>263</v>
      </c>
      <c r="N652" t="s">
        <v>46</v>
      </c>
      <c r="P652" t="s">
        <v>61</v>
      </c>
      <c r="R652" s="5">
        <v>42823.802465277775</v>
      </c>
      <c r="S652" s="5">
        <v>42958.66983796296</v>
      </c>
      <c r="T652" t="s">
        <v>301</v>
      </c>
      <c r="U652" t="s">
        <v>35</v>
      </c>
      <c r="V652" s="3" t="s">
        <v>35</v>
      </c>
      <c r="W652" s="3" t="s">
        <v>4166</v>
      </c>
      <c r="AM652" s="5"/>
      <c r="AN652" s="5"/>
      <c r="AQ652" s="6"/>
    </row>
    <row r="653" spans="2:43" x14ac:dyDescent="0.25">
      <c r="B653" t="s">
        <v>199</v>
      </c>
      <c r="C653">
        <v>97627</v>
      </c>
      <c r="D653" t="s">
        <v>542</v>
      </c>
      <c r="E653" t="s">
        <v>435</v>
      </c>
      <c r="F653" t="s">
        <v>42</v>
      </c>
      <c r="H653" t="s">
        <v>30</v>
      </c>
      <c r="I653" t="s">
        <v>68</v>
      </c>
      <c r="J653" t="s">
        <v>43</v>
      </c>
      <c r="K653" t="s">
        <v>33</v>
      </c>
      <c r="L653" t="s">
        <v>73</v>
      </c>
      <c r="M653" t="s">
        <v>263</v>
      </c>
      <c r="N653" t="s">
        <v>46</v>
      </c>
      <c r="P653" t="s">
        <v>61</v>
      </c>
      <c r="R653" s="5">
        <v>42823.801423611112</v>
      </c>
      <c r="S653" s="5">
        <v>43050.27679398148</v>
      </c>
      <c r="T653" t="s">
        <v>301</v>
      </c>
      <c r="U653" t="s">
        <v>35</v>
      </c>
      <c r="V653" s="3" t="s">
        <v>35</v>
      </c>
      <c r="W653" s="3" t="s">
        <v>4166</v>
      </c>
      <c r="AM653" s="5"/>
      <c r="AN653" s="5"/>
      <c r="AQ653" s="6"/>
    </row>
    <row r="654" spans="2:43" x14ac:dyDescent="0.25">
      <c r="B654" t="s">
        <v>200</v>
      </c>
      <c r="C654">
        <v>97626</v>
      </c>
      <c r="D654" t="s">
        <v>541</v>
      </c>
      <c r="E654" t="s">
        <v>387</v>
      </c>
      <c r="F654" t="s">
        <v>305</v>
      </c>
      <c r="G654" t="s">
        <v>353</v>
      </c>
      <c r="H654" t="s">
        <v>30</v>
      </c>
      <c r="I654" t="s">
        <v>68</v>
      </c>
      <c r="J654" t="s">
        <v>43</v>
      </c>
      <c r="K654" t="s">
        <v>33</v>
      </c>
      <c r="L654" t="s">
        <v>73</v>
      </c>
      <c r="M654" t="s">
        <v>264</v>
      </c>
      <c r="N654" t="s">
        <v>46</v>
      </c>
      <c r="P654" t="s">
        <v>75</v>
      </c>
      <c r="Q654" t="s">
        <v>3287</v>
      </c>
      <c r="R654" s="5">
        <v>42823.800625000003</v>
      </c>
      <c r="S654" s="5">
        <v>43359.139340277776</v>
      </c>
      <c r="T654" t="s">
        <v>301</v>
      </c>
      <c r="U654" t="s">
        <v>35</v>
      </c>
      <c r="V654" s="3" t="s">
        <v>35</v>
      </c>
      <c r="W654" s="3" t="s">
        <v>4166</v>
      </c>
      <c r="AM654" s="5"/>
      <c r="AN654" s="5"/>
      <c r="AQ654" s="6"/>
    </row>
    <row r="655" spans="2:43" x14ac:dyDescent="0.25">
      <c r="B655" t="s">
        <v>2994</v>
      </c>
      <c r="C655">
        <v>97625</v>
      </c>
      <c r="D655" t="s">
        <v>3474</v>
      </c>
      <c r="E655" t="s">
        <v>2996</v>
      </c>
      <c r="F655" t="s">
        <v>305</v>
      </c>
      <c r="G655" t="s">
        <v>304</v>
      </c>
      <c r="H655" t="s">
        <v>30</v>
      </c>
      <c r="I655" t="s">
        <v>68</v>
      </c>
      <c r="J655" t="s">
        <v>43</v>
      </c>
      <c r="K655" t="s">
        <v>33</v>
      </c>
      <c r="L655" t="s">
        <v>96</v>
      </c>
      <c r="M655" t="s">
        <v>275</v>
      </c>
      <c r="N655" t="s">
        <v>60</v>
      </c>
      <c r="P655" t="s">
        <v>65</v>
      </c>
      <c r="Q655" t="s">
        <v>2997</v>
      </c>
      <c r="R655" s="5">
        <v>42823.799444444441</v>
      </c>
      <c r="S655" s="5">
        <v>43206.798819444448</v>
      </c>
      <c r="T655" t="s">
        <v>301</v>
      </c>
      <c r="U655" t="s">
        <v>35</v>
      </c>
      <c r="V655" s="3" t="s">
        <v>35</v>
      </c>
      <c r="W655" s="3" t="s">
        <v>307</v>
      </c>
      <c r="AM655" s="5"/>
      <c r="AN655" s="5"/>
      <c r="AQ655" s="6"/>
    </row>
    <row r="656" spans="2:43" x14ac:dyDescent="0.25">
      <c r="B656" t="s">
        <v>3438</v>
      </c>
      <c r="C656">
        <v>97565</v>
      </c>
      <c r="D656" t="s">
        <v>3473</v>
      </c>
      <c r="E656" t="s">
        <v>2151</v>
      </c>
      <c r="F656" t="s">
        <v>305</v>
      </c>
      <c r="G656" t="s">
        <v>304</v>
      </c>
      <c r="H656" t="s">
        <v>54</v>
      </c>
      <c r="I656" t="s">
        <v>31</v>
      </c>
      <c r="J656" t="s">
        <v>32</v>
      </c>
      <c r="K656" t="s">
        <v>33</v>
      </c>
      <c r="L656" t="s">
        <v>380</v>
      </c>
      <c r="M656" t="s">
        <v>434</v>
      </c>
      <c r="N656" t="s">
        <v>518</v>
      </c>
      <c r="P656" t="s">
        <v>107</v>
      </c>
      <c r="Q656" t="s">
        <v>107</v>
      </c>
      <c r="R656" s="5">
        <v>42822.739374999997</v>
      </c>
      <c r="S656" s="5">
        <v>42935.405775462961</v>
      </c>
      <c r="T656" t="s">
        <v>288</v>
      </c>
      <c r="U656" t="s">
        <v>4006</v>
      </c>
      <c r="V656" s="3" t="s">
        <v>321</v>
      </c>
      <c r="W656" s="3" t="s">
        <v>69</v>
      </c>
      <c r="AM656" s="5"/>
      <c r="AN656" s="5"/>
      <c r="AQ656" s="6"/>
    </row>
    <row r="657" spans="2:43" x14ac:dyDescent="0.25">
      <c r="B657" t="s">
        <v>3438</v>
      </c>
      <c r="C657">
        <v>97560</v>
      </c>
      <c r="D657" t="s">
        <v>3472</v>
      </c>
      <c r="E657" t="s">
        <v>2151</v>
      </c>
      <c r="F657" t="s">
        <v>305</v>
      </c>
      <c r="G657" t="s">
        <v>337</v>
      </c>
      <c r="H657" t="s">
        <v>54</v>
      </c>
      <c r="I657" t="s">
        <v>31</v>
      </c>
      <c r="J657" t="s">
        <v>32</v>
      </c>
      <c r="K657" t="s">
        <v>33</v>
      </c>
      <c r="L657" t="s">
        <v>380</v>
      </c>
      <c r="M657" t="s">
        <v>434</v>
      </c>
      <c r="N657" t="s">
        <v>60</v>
      </c>
      <c r="P657" t="s">
        <v>107</v>
      </c>
      <c r="Q657" t="s">
        <v>65</v>
      </c>
      <c r="R657" s="5">
        <v>42822.63</v>
      </c>
      <c r="S657" s="5">
        <v>42831.796180555553</v>
      </c>
      <c r="T657" t="s">
        <v>288</v>
      </c>
      <c r="U657" t="s">
        <v>35</v>
      </c>
      <c r="V657" s="3" t="s">
        <v>321</v>
      </c>
      <c r="W657" s="3" t="s">
        <v>133</v>
      </c>
      <c r="AM657" s="5"/>
      <c r="AN657" s="5"/>
      <c r="AQ657" s="6"/>
    </row>
    <row r="658" spans="2:43" x14ac:dyDescent="0.25">
      <c r="B658" t="s">
        <v>539</v>
      </c>
      <c r="C658">
        <v>97551</v>
      </c>
      <c r="D658" t="s">
        <v>3471</v>
      </c>
      <c r="E658" t="s">
        <v>173</v>
      </c>
      <c r="F658" t="s">
        <v>305</v>
      </c>
      <c r="G658" t="s">
        <v>304</v>
      </c>
      <c r="H658" t="s">
        <v>116</v>
      </c>
      <c r="I658" t="s">
        <v>31</v>
      </c>
      <c r="J658" t="s">
        <v>32</v>
      </c>
      <c r="K658" t="s">
        <v>33</v>
      </c>
      <c r="L658" t="s">
        <v>52</v>
      </c>
      <c r="M658" t="s">
        <v>272</v>
      </c>
      <c r="N658" t="s">
        <v>518</v>
      </c>
      <c r="P658" t="s">
        <v>107</v>
      </c>
      <c r="Q658" t="s">
        <v>65</v>
      </c>
      <c r="R658" s="5">
        <v>42822.535578703704</v>
      </c>
      <c r="S658" s="5">
        <v>42940.792060185187</v>
      </c>
      <c r="T658" t="s">
        <v>62</v>
      </c>
      <c r="U658" t="s">
        <v>4007</v>
      </c>
      <c r="V658" s="3" t="s">
        <v>4057</v>
      </c>
      <c r="W658" s="3" t="s">
        <v>69</v>
      </c>
      <c r="AM658" s="5"/>
      <c r="AN658" s="5"/>
      <c r="AQ658" s="6"/>
    </row>
    <row r="659" spans="2:43" x14ac:dyDescent="0.25">
      <c r="B659" t="s">
        <v>222</v>
      </c>
      <c r="C659">
        <v>97543</v>
      </c>
      <c r="D659" t="s">
        <v>3470</v>
      </c>
      <c r="E659" t="s">
        <v>131</v>
      </c>
      <c r="F659" t="s">
        <v>305</v>
      </c>
      <c r="G659" t="s">
        <v>337</v>
      </c>
      <c r="H659" t="s">
        <v>54</v>
      </c>
      <c r="I659" t="s">
        <v>31</v>
      </c>
      <c r="J659" t="s">
        <v>32</v>
      </c>
      <c r="K659" t="s">
        <v>33</v>
      </c>
      <c r="L659" t="s">
        <v>73</v>
      </c>
      <c r="M659" t="s">
        <v>273</v>
      </c>
      <c r="N659" t="s">
        <v>561</v>
      </c>
      <c r="O659" t="s">
        <v>132</v>
      </c>
      <c r="P659" t="s">
        <v>133</v>
      </c>
      <c r="Q659" t="s">
        <v>2944</v>
      </c>
      <c r="R659" s="5">
        <v>42822.246874999997</v>
      </c>
      <c r="S659" s="5">
        <v>43171.68650462963</v>
      </c>
      <c r="T659" t="s">
        <v>82</v>
      </c>
      <c r="U659" t="s">
        <v>35</v>
      </c>
      <c r="V659" s="3" t="s">
        <v>35</v>
      </c>
      <c r="W659" s="3" t="s">
        <v>69</v>
      </c>
      <c r="AM659" s="5"/>
      <c r="AN659" s="5"/>
      <c r="AQ659" s="6"/>
    </row>
    <row r="660" spans="2:43" x14ac:dyDescent="0.25">
      <c r="B660" t="s">
        <v>225</v>
      </c>
      <c r="C660">
        <v>97523</v>
      </c>
      <c r="D660" t="s">
        <v>3469</v>
      </c>
      <c r="E660" t="s">
        <v>143</v>
      </c>
      <c r="F660" t="s">
        <v>305</v>
      </c>
      <c r="G660" t="s">
        <v>304</v>
      </c>
      <c r="H660" t="s">
        <v>30</v>
      </c>
      <c r="I660" t="s">
        <v>31</v>
      </c>
      <c r="J660" t="s">
        <v>32</v>
      </c>
      <c r="K660" t="s">
        <v>33</v>
      </c>
      <c r="L660" t="s">
        <v>52</v>
      </c>
      <c r="M660" t="s">
        <v>276</v>
      </c>
      <c r="N660" t="s">
        <v>523</v>
      </c>
      <c r="P660" t="s">
        <v>65</v>
      </c>
      <c r="R660" s="5">
        <v>42821.430243055554</v>
      </c>
      <c r="S660" s="5">
        <v>42923.285474537035</v>
      </c>
      <c r="T660" t="s">
        <v>143</v>
      </c>
      <c r="U660" t="s">
        <v>35</v>
      </c>
      <c r="V660" s="3" t="s">
        <v>35</v>
      </c>
      <c r="W660" s="3" t="s">
        <v>190</v>
      </c>
      <c r="AM660" s="5"/>
      <c r="AN660" s="5"/>
      <c r="AQ660" s="6"/>
    </row>
    <row r="661" spans="2:43" x14ac:dyDescent="0.25">
      <c r="B661" t="s">
        <v>225</v>
      </c>
      <c r="C661">
        <v>97520</v>
      </c>
      <c r="D661" t="s">
        <v>142</v>
      </c>
      <c r="E661" t="s">
        <v>143</v>
      </c>
      <c r="F661" t="s">
        <v>67</v>
      </c>
      <c r="H661" t="s">
        <v>30</v>
      </c>
      <c r="I661" t="s">
        <v>31</v>
      </c>
      <c r="J661" t="s">
        <v>32</v>
      </c>
      <c r="K661" t="s">
        <v>33</v>
      </c>
      <c r="L661" t="s">
        <v>52</v>
      </c>
      <c r="M661" t="s">
        <v>276</v>
      </c>
      <c r="N661" t="s">
        <v>46</v>
      </c>
      <c r="P661" t="s">
        <v>65</v>
      </c>
      <c r="R661" s="5">
        <v>42821.426192129627</v>
      </c>
      <c r="S661" s="5">
        <v>42846.757372685184</v>
      </c>
      <c r="T661" t="s">
        <v>143</v>
      </c>
      <c r="U661" t="s">
        <v>35</v>
      </c>
      <c r="V661" s="3" t="s">
        <v>321</v>
      </c>
      <c r="W661" s="3" t="s">
        <v>4098</v>
      </c>
      <c r="AM661" s="5"/>
      <c r="AN661" s="5"/>
      <c r="AQ661" s="6"/>
    </row>
    <row r="662" spans="2:43" x14ac:dyDescent="0.25">
      <c r="B662" t="s">
        <v>2841</v>
      </c>
      <c r="C662">
        <v>97519</v>
      </c>
      <c r="D662" t="s">
        <v>3466</v>
      </c>
      <c r="E662" t="s">
        <v>3467</v>
      </c>
      <c r="F662" t="s">
        <v>305</v>
      </c>
      <c r="G662" t="s">
        <v>353</v>
      </c>
      <c r="H662" t="s">
        <v>30</v>
      </c>
      <c r="I662" t="s">
        <v>31</v>
      </c>
      <c r="J662" t="s">
        <v>32</v>
      </c>
      <c r="K662" t="s">
        <v>33</v>
      </c>
      <c r="L662" t="s">
        <v>73</v>
      </c>
      <c r="M662" t="s">
        <v>263</v>
      </c>
      <c r="N662" t="s">
        <v>46</v>
      </c>
      <c r="P662" t="s">
        <v>3233</v>
      </c>
      <c r="Q662" t="s">
        <v>3468</v>
      </c>
      <c r="R662" s="5">
        <v>42821.408194444448</v>
      </c>
      <c r="S662" s="5">
        <v>43272.398692129631</v>
      </c>
      <c r="T662" t="s">
        <v>3467</v>
      </c>
      <c r="U662" t="s">
        <v>35</v>
      </c>
      <c r="V662" s="3" t="s">
        <v>35</v>
      </c>
      <c r="W662" s="3" t="s">
        <v>3233</v>
      </c>
      <c r="AM662" s="5"/>
      <c r="AN662" s="5"/>
      <c r="AQ662" s="6"/>
    </row>
    <row r="663" spans="2:43" x14ac:dyDescent="0.25">
      <c r="B663" t="s">
        <v>3464</v>
      </c>
      <c r="C663">
        <v>97497</v>
      </c>
      <c r="D663" t="s">
        <v>3465</v>
      </c>
      <c r="E663" t="s">
        <v>1</v>
      </c>
      <c r="F663" t="s">
        <v>305</v>
      </c>
      <c r="G663" t="s">
        <v>310</v>
      </c>
      <c r="H663" t="s">
        <v>54</v>
      </c>
      <c r="I663" t="s">
        <v>31</v>
      </c>
      <c r="J663" t="s">
        <v>32</v>
      </c>
      <c r="K663" t="s">
        <v>33</v>
      </c>
      <c r="L663" t="s">
        <v>52</v>
      </c>
      <c r="M663" t="s">
        <v>272</v>
      </c>
      <c r="N663" t="s">
        <v>60</v>
      </c>
      <c r="P663" t="s">
        <v>107</v>
      </c>
      <c r="Q663" t="s">
        <v>2922</v>
      </c>
      <c r="R663" s="5">
        <v>42818.855405092596</v>
      </c>
      <c r="S663" s="5">
        <v>43242.154374999998</v>
      </c>
      <c r="T663" t="s">
        <v>1</v>
      </c>
      <c r="U663" t="s">
        <v>35</v>
      </c>
      <c r="V663" s="3" t="s">
        <v>321</v>
      </c>
      <c r="W663" s="3" t="s">
        <v>4156</v>
      </c>
      <c r="AM663" s="5"/>
      <c r="AN663" s="5"/>
      <c r="AQ663" s="6"/>
    </row>
    <row r="664" spans="2:43" x14ac:dyDescent="0.25">
      <c r="B664" t="s">
        <v>539</v>
      </c>
      <c r="C664">
        <v>97496</v>
      </c>
      <c r="D664" t="s">
        <v>540</v>
      </c>
      <c r="E664" t="s">
        <v>143</v>
      </c>
      <c r="F664" t="s">
        <v>305</v>
      </c>
      <c r="G664" t="s">
        <v>337</v>
      </c>
      <c r="H664" t="s">
        <v>116</v>
      </c>
      <c r="I664" t="s">
        <v>31</v>
      </c>
      <c r="J664" t="s">
        <v>32</v>
      </c>
      <c r="K664" t="s">
        <v>33</v>
      </c>
      <c r="L664" t="s">
        <v>52</v>
      </c>
      <c r="M664" t="s">
        <v>272</v>
      </c>
      <c r="N664" t="s">
        <v>60</v>
      </c>
      <c r="P664" t="s">
        <v>107</v>
      </c>
      <c r="Q664" t="s">
        <v>3708</v>
      </c>
      <c r="R664" s="5">
        <v>42818.853414351855</v>
      </c>
      <c r="S664" s="5">
        <v>43423.863541666666</v>
      </c>
      <c r="T664" t="s">
        <v>1</v>
      </c>
      <c r="U664" t="s">
        <v>35</v>
      </c>
      <c r="V664" s="3" t="s">
        <v>4057</v>
      </c>
      <c r="W664" s="3" t="s">
        <v>4156</v>
      </c>
      <c r="AM664" s="5"/>
      <c r="AN664" s="5"/>
      <c r="AQ664" s="6"/>
    </row>
    <row r="665" spans="2:43" x14ac:dyDescent="0.25">
      <c r="B665" t="s">
        <v>224</v>
      </c>
      <c r="C665">
        <v>97480</v>
      </c>
      <c r="D665" t="s">
        <v>138</v>
      </c>
      <c r="E665" t="s">
        <v>2996</v>
      </c>
      <c r="F665" t="s">
        <v>305</v>
      </c>
      <c r="G665" t="s">
        <v>304</v>
      </c>
      <c r="H665" t="s">
        <v>56</v>
      </c>
      <c r="I665" t="s">
        <v>31</v>
      </c>
      <c r="J665" t="s">
        <v>32</v>
      </c>
      <c r="K665" t="s">
        <v>33</v>
      </c>
      <c r="L665" t="s">
        <v>96</v>
      </c>
      <c r="M665" t="s">
        <v>275</v>
      </c>
      <c r="N665" t="s">
        <v>140</v>
      </c>
      <c r="P665" t="s">
        <v>133</v>
      </c>
      <c r="Q665" t="s">
        <v>3708</v>
      </c>
      <c r="R665" s="5">
        <v>42818.626030092593</v>
      </c>
      <c r="S665" s="5">
        <v>43423.919733796298</v>
      </c>
      <c r="T665" t="s">
        <v>141</v>
      </c>
      <c r="U665" t="s">
        <v>35</v>
      </c>
      <c r="V665" s="3" t="s">
        <v>35</v>
      </c>
      <c r="W665" s="3" t="s">
        <v>4098</v>
      </c>
      <c r="AM665" s="5"/>
      <c r="AN665" s="5"/>
      <c r="AQ665" s="6"/>
    </row>
    <row r="666" spans="2:43" x14ac:dyDescent="0.25">
      <c r="B666" t="s">
        <v>225</v>
      </c>
      <c r="C666">
        <v>97354</v>
      </c>
      <c r="D666" t="s">
        <v>3463</v>
      </c>
      <c r="E666" t="s">
        <v>143</v>
      </c>
      <c r="F666" t="s">
        <v>305</v>
      </c>
      <c r="G666" t="s">
        <v>304</v>
      </c>
      <c r="H666" t="s">
        <v>116</v>
      </c>
      <c r="I666" t="s">
        <v>31</v>
      </c>
      <c r="J666" t="s">
        <v>32</v>
      </c>
      <c r="K666" t="s">
        <v>33</v>
      </c>
      <c r="L666" t="s">
        <v>52</v>
      </c>
      <c r="M666" t="s">
        <v>276</v>
      </c>
      <c r="N666" t="s">
        <v>510</v>
      </c>
      <c r="P666" t="s">
        <v>69</v>
      </c>
      <c r="Q666" t="s">
        <v>2416</v>
      </c>
      <c r="R666" s="5">
        <v>42816.306284722225</v>
      </c>
      <c r="S666" s="5">
        <v>42948.607986111114</v>
      </c>
      <c r="T666" t="s">
        <v>143</v>
      </c>
      <c r="U666" t="s">
        <v>3996</v>
      </c>
      <c r="V666" s="3" t="s">
        <v>321</v>
      </c>
      <c r="W666" s="3" t="s">
        <v>69</v>
      </c>
      <c r="AM666" s="5"/>
      <c r="AN666" s="5"/>
      <c r="AQ666" s="6"/>
    </row>
    <row r="667" spans="2:43" x14ac:dyDescent="0.25">
      <c r="B667" t="s">
        <v>219</v>
      </c>
      <c r="C667">
        <v>97280</v>
      </c>
      <c r="D667" t="s">
        <v>3462</v>
      </c>
      <c r="E667" t="s">
        <v>134</v>
      </c>
      <c r="F667" t="s">
        <v>305</v>
      </c>
      <c r="G667" t="s">
        <v>304</v>
      </c>
      <c r="H667" t="s">
        <v>116</v>
      </c>
      <c r="I667" t="s">
        <v>31</v>
      </c>
      <c r="J667" t="s">
        <v>32</v>
      </c>
      <c r="K667" t="s">
        <v>33</v>
      </c>
      <c r="L667" t="s">
        <v>34</v>
      </c>
      <c r="M667" t="s">
        <v>271</v>
      </c>
      <c r="N667" t="s">
        <v>510</v>
      </c>
      <c r="P667" t="s">
        <v>107</v>
      </c>
      <c r="Q667" t="s">
        <v>3389</v>
      </c>
      <c r="R667" s="5">
        <v>42814.714050925926</v>
      </c>
      <c r="S667" s="5">
        <v>43104.578240740739</v>
      </c>
      <c r="T667" t="s">
        <v>53</v>
      </c>
      <c r="U667" t="s">
        <v>4004</v>
      </c>
      <c r="V667" s="3" t="s">
        <v>321</v>
      </c>
      <c r="W667" s="3" t="s">
        <v>4143</v>
      </c>
      <c r="AM667" s="5"/>
      <c r="AN667" s="5"/>
      <c r="AQ667" s="6"/>
    </row>
    <row r="668" spans="2:43" x14ac:dyDescent="0.25">
      <c r="B668" t="s">
        <v>219</v>
      </c>
      <c r="C668">
        <v>97279</v>
      </c>
      <c r="D668" t="s">
        <v>3461</v>
      </c>
      <c r="E668" t="s">
        <v>134</v>
      </c>
      <c r="F668" t="s">
        <v>305</v>
      </c>
      <c r="G668" t="s">
        <v>304</v>
      </c>
      <c r="H668" t="s">
        <v>54</v>
      </c>
      <c r="I668" t="s">
        <v>31</v>
      </c>
      <c r="J668" t="s">
        <v>32</v>
      </c>
      <c r="K668" t="s">
        <v>33</v>
      </c>
      <c r="L668" t="s">
        <v>34</v>
      </c>
      <c r="M668" t="s">
        <v>271</v>
      </c>
      <c r="N668" t="s">
        <v>518</v>
      </c>
      <c r="P668" t="s">
        <v>107</v>
      </c>
      <c r="Q668" t="s">
        <v>159</v>
      </c>
      <c r="R668" s="5">
        <v>42814.712037037039</v>
      </c>
      <c r="S668" s="5">
        <v>42950.797500000001</v>
      </c>
      <c r="T668" t="s">
        <v>53</v>
      </c>
      <c r="U668" t="s">
        <v>3996</v>
      </c>
      <c r="V668" s="3" t="s">
        <v>321</v>
      </c>
      <c r="W668" s="3" t="s">
        <v>4167</v>
      </c>
      <c r="AM668" s="5"/>
      <c r="AN668" s="5"/>
      <c r="AQ668" s="6"/>
    </row>
    <row r="669" spans="2:43" x14ac:dyDescent="0.25">
      <c r="B669" t="s">
        <v>219</v>
      </c>
      <c r="C669">
        <v>97278</v>
      </c>
      <c r="D669" t="s">
        <v>3460</v>
      </c>
      <c r="E669" t="s">
        <v>136</v>
      </c>
      <c r="F669" t="s">
        <v>305</v>
      </c>
      <c r="G669" t="s">
        <v>337</v>
      </c>
      <c r="H669" t="s">
        <v>54</v>
      </c>
      <c r="I669" t="s">
        <v>31</v>
      </c>
      <c r="J669" t="s">
        <v>32</v>
      </c>
      <c r="K669" t="s">
        <v>33</v>
      </c>
      <c r="L669" t="s">
        <v>34</v>
      </c>
      <c r="M669" t="s">
        <v>279</v>
      </c>
      <c r="N669" t="s">
        <v>60</v>
      </c>
      <c r="O669" t="s">
        <v>533</v>
      </c>
      <c r="P669" t="s">
        <v>107</v>
      </c>
      <c r="Q669" t="s">
        <v>65</v>
      </c>
      <c r="R669" s="5">
        <v>42814.710231481484</v>
      </c>
      <c r="S669" s="5">
        <v>42829.7655787037</v>
      </c>
      <c r="T669" t="s">
        <v>53</v>
      </c>
      <c r="U669" t="s">
        <v>35</v>
      </c>
      <c r="V669" s="3" t="s">
        <v>321</v>
      </c>
      <c r="W669" s="3" t="s">
        <v>133</v>
      </c>
      <c r="AM669" s="5"/>
      <c r="AN669" s="5"/>
      <c r="AQ669" s="6"/>
    </row>
    <row r="670" spans="2:43" x14ac:dyDescent="0.25">
      <c r="B670" t="s">
        <v>219</v>
      </c>
      <c r="C670">
        <v>97277</v>
      </c>
      <c r="D670" t="s">
        <v>538</v>
      </c>
      <c r="E670" t="s">
        <v>175</v>
      </c>
      <c r="F670" t="s">
        <v>305</v>
      </c>
      <c r="G670" t="s">
        <v>337</v>
      </c>
      <c r="H670" t="s">
        <v>54</v>
      </c>
      <c r="I670" t="s">
        <v>31</v>
      </c>
      <c r="J670" t="s">
        <v>32</v>
      </c>
      <c r="K670" t="s">
        <v>33</v>
      </c>
      <c r="L670" t="s">
        <v>34</v>
      </c>
      <c r="M670" t="s">
        <v>271</v>
      </c>
      <c r="N670" t="s">
        <v>60</v>
      </c>
      <c r="P670" t="s">
        <v>107</v>
      </c>
      <c r="Q670" t="s">
        <v>3708</v>
      </c>
      <c r="R670" s="5">
        <v>42814.709201388891</v>
      </c>
      <c r="S670" s="5">
        <v>43423.863483796296</v>
      </c>
      <c r="T670" t="s">
        <v>53</v>
      </c>
      <c r="U670" t="s">
        <v>35</v>
      </c>
      <c r="V670" s="3" t="s">
        <v>321</v>
      </c>
      <c r="W670" s="3" t="s">
        <v>4156</v>
      </c>
      <c r="AM670" s="5"/>
      <c r="AN670" s="5"/>
      <c r="AQ670" s="6"/>
    </row>
    <row r="671" spans="2:43" x14ac:dyDescent="0.25">
      <c r="B671" t="s">
        <v>3457</v>
      </c>
      <c r="C671">
        <v>97266</v>
      </c>
      <c r="D671" t="s">
        <v>3458</v>
      </c>
      <c r="E671" t="s">
        <v>521</v>
      </c>
      <c r="F671" t="s">
        <v>305</v>
      </c>
      <c r="G671" t="s">
        <v>353</v>
      </c>
      <c r="H671" t="s">
        <v>54</v>
      </c>
      <c r="I671" t="s">
        <v>31</v>
      </c>
      <c r="J671" t="s">
        <v>43</v>
      </c>
      <c r="K671" t="s">
        <v>44</v>
      </c>
      <c r="L671" t="s">
        <v>73</v>
      </c>
      <c r="M671" t="s">
        <v>263</v>
      </c>
      <c r="N671" t="s">
        <v>60</v>
      </c>
      <c r="P671" t="s">
        <v>3233</v>
      </c>
      <c r="Q671" t="s">
        <v>3459</v>
      </c>
      <c r="R671" s="5">
        <v>42814.509826388887</v>
      </c>
      <c r="S671" s="5">
        <v>42871.700740740744</v>
      </c>
      <c r="T671" t="s">
        <v>86</v>
      </c>
      <c r="U671" t="s">
        <v>35</v>
      </c>
      <c r="V671" s="3" t="s">
        <v>35</v>
      </c>
      <c r="W671" s="3" t="s">
        <v>4098</v>
      </c>
      <c r="AM671" s="5"/>
      <c r="AN671" s="5"/>
      <c r="AQ671" s="6"/>
    </row>
    <row r="672" spans="2:43" x14ac:dyDescent="0.25">
      <c r="B672" t="s">
        <v>223</v>
      </c>
      <c r="C672">
        <v>97243</v>
      </c>
      <c r="D672" t="s">
        <v>3456</v>
      </c>
      <c r="E672" t="s">
        <v>134</v>
      </c>
      <c r="F672" t="s">
        <v>305</v>
      </c>
      <c r="G672" t="s">
        <v>304</v>
      </c>
      <c r="H672" t="s">
        <v>54</v>
      </c>
      <c r="I672" t="s">
        <v>31</v>
      </c>
      <c r="J672" t="s">
        <v>32</v>
      </c>
      <c r="K672" t="s">
        <v>33</v>
      </c>
      <c r="L672" t="s">
        <v>34</v>
      </c>
      <c r="M672" t="s">
        <v>279</v>
      </c>
      <c r="N672" t="s">
        <v>582</v>
      </c>
      <c r="P672" t="s">
        <v>107</v>
      </c>
      <c r="Q672" t="s">
        <v>3389</v>
      </c>
      <c r="R672" s="5">
        <v>42811.961921296293</v>
      </c>
      <c r="S672" s="5">
        <v>43104.299120370371</v>
      </c>
      <c r="T672" t="s">
        <v>53</v>
      </c>
      <c r="U672" t="s">
        <v>4004</v>
      </c>
      <c r="V672" s="3" t="s">
        <v>321</v>
      </c>
      <c r="W672" s="3" t="s">
        <v>4143</v>
      </c>
      <c r="AM672" s="5"/>
      <c r="AN672" s="5"/>
      <c r="AQ672" s="6"/>
    </row>
    <row r="673" spans="2:43" x14ac:dyDescent="0.25">
      <c r="B673" t="s">
        <v>223</v>
      </c>
      <c r="C673">
        <v>97242</v>
      </c>
      <c r="D673" t="s">
        <v>3455</v>
      </c>
      <c r="E673" t="s">
        <v>134</v>
      </c>
      <c r="F673" t="s">
        <v>305</v>
      </c>
      <c r="G673" t="s">
        <v>304</v>
      </c>
      <c r="H673" t="s">
        <v>54</v>
      </c>
      <c r="I673" t="s">
        <v>31</v>
      </c>
      <c r="J673" t="s">
        <v>32</v>
      </c>
      <c r="K673" t="s">
        <v>33</v>
      </c>
      <c r="L673" t="s">
        <v>34</v>
      </c>
      <c r="M673" t="s">
        <v>274</v>
      </c>
      <c r="N673" t="s">
        <v>518</v>
      </c>
      <c r="O673" t="s">
        <v>315</v>
      </c>
      <c r="P673" t="s">
        <v>107</v>
      </c>
      <c r="Q673" t="s">
        <v>3389</v>
      </c>
      <c r="R673" s="5">
        <v>42811.9606712963</v>
      </c>
      <c r="S673" s="5">
        <v>42950.797349537039</v>
      </c>
      <c r="T673" t="s">
        <v>53</v>
      </c>
      <c r="U673" t="s">
        <v>4006</v>
      </c>
      <c r="V673" s="3" t="s">
        <v>321</v>
      </c>
      <c r="W673" s="3" t="s">
        <v>4167</v>
      </c>
      <c r="AM673" s="5"/>
      <c r="AN673" s="5"/>
      <c r="AQ673" s="6"/>
    </row>
    <row r="674" spans="2:43" x14ac:dyDescent="0.25">
      <c r="B674" t="s">
        <v>223</v>
      </c>
      <c r="C674">
        <v>97241</v>
      </c>
      <c r="D674" t="s">
        <v>3454</v>
      </c>
      <c r="E674" t="s">
        <v>136</v>
      </c>
      <c r="F674" t="s">
        <v>305</v>
      </c>
      <c r="G674" t="s">
        <v>337</v>
      </c>
      <c r="H674" t="s">
        <v>54</v>
      </c>
      <c r="I674" t="s">
        <v>31</v>
      </c>
      <c r="J674" t="s">
        <v>32</v>
      </c>
      <c r="K674" t="s">
        <v>33</v>
      </c>
      <c r="L674" t="s">
        <v>34</v>
      </c>
      <c r="M674" t="s">
        <v>279</v>
      </c>
      <c r="N674" t="s">
        <v>60</v>
      </c>
      <c r="O674" t="s">
        <v>533</v>
      </c>
      <c r="P674" t="s">
        <v>107</v>
      </c>
      <c r="Q674" t="s">
        <v>65</v>
      </c>
      <c r="R674" s="5">
        <v>42811.959479166668</v>
      </c>
      <c r="S674" s="5">
        <v>42866.668217592596</v>
      </c>
      <c r="T674" t="s">
        <v>53</v>
      </c>
      <c r="U674" t="s">
        <v>35</v>
      </c>
      <c r="V674" s="3" t="s">
        <v>321</v>
      </c>
      <c r="W674" s="3" t="s">
        <v>133</v>
      </c>
      <c r="AM674" s="5"/>
      <c r="AN674" s="5"/>
      <c r="AQ674" s="6"/>
    </row>
    <row r="675" spans="2:43" x14ac:dyDescent="0.25">
      <c r="B675" t="s">
        <v>223</v>
      </c>
      <c r="C675">
        <v>97240</v>
      </c>
      <c r="D675" t="s">
        <v>537</v>
      </c>
      <c r="E675" t="s">
        <v>4899</v>
      </c>
      <c r="F675" t="s">
        <v>305</v>
      </c>
      <c r="G675" t="s">
        <v>337</v>
      </c>
      <c r="H675" t="s">
        <v>54</v>
      </c>
      <c r="I675" t="s">
        <v>31</v>
      </c>
      <c r="J675" t="s">
        <v>32</v>
      </c>
      <c r="K675" t="s">
        <v>33</v>
      </c>
      <c r="L675" t="s">
        <v>34</v>
      </c>
      <c r="M675" t="s">
        <v>274</v>
      </c>
      <c r="N675" t="s">
        <v>60</v>
      </c>
      <c r="P675" t="s">
        <v>107</v>
      </c>
      <c r="Q675" t="s">
        <v>3708</v>
      </c>
      <c r="R675" s="5">
        <v>42811.958518518521</v>
      </c>
      <c r="S675" s="5">
        <v>43423.86347222222</v>
      </c>
      <c r="T675" t="s">
        <v>53</v>
      </c>
      <c r="U675" t="s">
        <v>35</v>
      </c>
      <c r="V675" s="3" t="s">
        <v>321</v>
      </c>
      <c r="W675" s="3" t="s">
        <v>4156</v>
      </c>
      <c r="AM675" s="5"/>
      <c r="AN675" s="5"/>
      <c r="AQ675" s="6"/>
    </row>
    <row r="676" spans="2:43" x14ac:dyDescent="0.25">
      <c r="B676" t="s">
        <v>221</v>
      </c>
      <c r="C676">
        <v>97189</v>
      </c>
      <c r="D676" t="s">
        <v>536</v>
      </c>
      <c r="E676" t="s">
        <v>80</v>
      </c>
      <c r="F676" t="s">
        <v>42</v>
      </c>
      <c r="H676" t="s">
        <v>116</v>
      </c>
      <c r="I676" t="s">
        <v>31</v>
      </c>
      <c r="J676" t="s">
        <v>32</v>
      </c>
      <c r="K676" t="s">
        <v>33</v>
      </c>
      <c r="L676" t="s">
        <v>52</v>
      </c>
      <c r="M676" t="s">
        <v>272</v>
      </c>
      <c r="N676" t="s">
        <v>510</v>
      </c>
      <c r="P676" t="s">
        <v>107</v>
      </c>
      <c r="R676" s="5">
        <v>42811.621967592589</v>
      </c>
      <c r="S676" s="5">
        <v>43423.906712962962</v>
      </c>
      <c r="T676" t="s">
        <v>53</v>
      </c>
      <c r="U676" t="s">
        <v>35</v>
      </c>
      <c r="V676" s="3" t="s">
        <v>321</v>
      </c>
      <c r="W676" s="3" t="s">
        <v>4143</v>
      </c>
      <c r="AM676" s="5"/>
      <c r="AN676" s="5"/>
      <c r="AQ676" s="6"/>
    </row>
    <row r="677" spans="2:43" x14ac:dyDescent="0.25">
      <c r="B677" t="s">
        <v>221</v>
      </c>
      <c r="C677">
        <v>97187</v>
      </c>
      <c r="D677" t="s">
        <v>3452</v>
      </c>
      <c r="E677" t="s">
        <v>80</v>
      </c>
      <c r="F677" t="s">
        <v>305</v>
      </c>
      <c r="G677" t="s">
        <v>304</v>
      </c>
      <c r="H677" t="s">
        <v>116</v>
      </c>
      <c r="I677" t="s">
        <v>31</v>
      </c>
      <c r="J677" t="s">
        <v>32</v>
      </c>
      <c r="K677" t="s">
        <v>33</v>
      </c>
      <c r="L677" t="s">
        <v>52</v>
      </c>
      <c r="M677" t="s">
        <v>272</v>
      </c>
      <c r="N677" t="s">
        <v>3453</v>
      </c>
      <c r="P677" t="s">
        <v>107</v>
      </c>
      <c r="Q677" t="s">
        <v>394</v>
      </c>
      <c r="R677" s="5">
        <v>42811.621180555558</v>
      </c>
      <c r="S677" s="5">
        <v>42930.251226851855</v>
      </c>
      <c r="T677" t="s">
        <v>53</v>
      </c>
      <c r="U677" t="s">
        <v>3996</v>
      </c>
      <c r="V677" s="3" t="s">
        <v>321</v>
      </c>
      <c r="W677" s="3" t="s">
        <v>69</v>
      </c>
      <c r="AM677" s="5"/>
      <c r="AN677" s="5"/>
      <c r="AQ677" s="6"/>
    </row>
    <row r="678" spans="2:43" x14ac:dyDescent="0.25">
      <c r="B678" t="s">
        <v>221</v>
      </c>
      <c r="C678">
        <v>97186</v>
      </c>
      <c r="D678" t="s">
        <v>3451</v>
      </c>
      <c r="E678" t="s">
        <v>80</v>
      </c>
      <c r="F678" t="s">
        <v>305</v>
      </c>
      <c r="G678" t="s">
        <v>337</v>
      </c>
      <c r="H678" t="s">
        <v>54</v>
      </c>
      <c r="I678" t="s">
        <v>31</v>
      </c>
      <c r="J678" t="s">
        <v>32</v>
      </c>
      <c r="K678" t="s">
        <v>33</v>
      </c>
      <c r="L678" t="s">
        <v>52</v>
      </c>
      <c r="M678" t="s">
        <v>272</v>
      </c>
      <c r="N678" t="s">
        <v>60</v>
      </c>
      <c r="P678" t="s">
        <v>107</v>
      </c>
      <c r="Q678" t="s">
        <v>65</v>
      </c>
      <c r="R678" s="5">
        <v>42811.620509259257</v>
      </c>
      <c r="S678" s="5">
        <v>42866.844247685185</v>
      </c>
      <c r="T678" t="s">
        <v>53</v>
      </c>
      <c r="U678" t="s">
        <v>35</v>
      </c>
      <c r="V678" s="3" t="s">
        <v>321</v>
      </c>
      <c r="W678" s="3" t="s">
        <v>133</v>
      </c>
      <c r="AM678" s="5"/>
      <c r="AN678" s="5"/>
      <c r="AQ678" s="6"/>
    </row>
    <row r="679" spans="2:43" x14ac:dyDescent="0.25">
      <c r="B679" t="s">
        <v>221</v>
      </c>
      <c r="C679">
        <v>97185</v>
      </c>
      <c r="D679" t="s">
        <v>3450</v>
      </c>
      <c r="E679" t="s">
        <v>80</v>
      </c>
      <c r="F679" t="s">
        <v>305</v>
      </c>
      <c r="G679" t="s">
        <v>304</v>
      </c>
      <c r="H679" t="s">
        <v>54</v>
      </c>
      <c r="I679" t="s">
        <v>31</v>
      </c>
      <c r="J679" t="s">
        <v>32</v>
      </c>
      <c r="K679" t="s">
        <v>33</v>
      </c>
      <c r="L679" t="s">
        <v>52</v>
      </c>
      <c r="M679" t="s">
        <v>272</v>
      </c>
      <c r="N679" t="s">
        <v>121</v>
      </c>
      <c r="P679" t="s">
        <v>107</v>
      </c>
      <c r="Q679" t="s">
        <v>394</v>
      </c>
      <c r="R679" s="5">
        <v>42811.619791666664</v>
      </c>
      <c r="S679" s="5">
        <v>42905.900983796295</v>
      </c>
      <c r="T679" t="s">
        <v>53</v>
      </c>
      <c r="U679" t="s">
        <v>35</v>
      </c>
      <c r="V679" s="3" t="s">
        <v>321</v>
      </c>
      <c r="W679" s="3" t="s">
        <v>190</v>
      </c>
      <c r="AM679" s="5"/>
      <c r="AN679" s="5"/>
      <c r="AQ679" s="6"/>
    </row>
    <row r="680" spans="2:43" x14ac:dyDescent="0.25">
      <c r="B680" t="s">
        <v>223</v>
      </c>
      <c r="C680">
        <v>97077</v>
      </c>
      <c r="D680" t="s">
        <v>135</v>
      </c>
      <c r="E680" t="s">
        <v>4899</v>
      </c>
      <c r="F680" t="s">
        <v>319</v>
      </c>
      <c r="G680" t="s">
        <v>304</v>
      </c>
      <c r="H680" t="s">
        <v>54</v>
      </c>
      <c r="I680" t="s">
        <v>31</v>
      </c>
      <c r="J680" t="s">
        <v>32</v>
      </c>
      <c r="K680" t="s">
        <v>33</v>
      </c>
      <c r="L680" t="s">
        <v>34</v>
      </c>
      <c r="M680" t="s">
        <v>274</v>
      </c>
      <c r="N680" t="s">
        <v>46</v>
      </c>
      <c r="O680" t="s">
        <v>137</v>
      </c>
      <c r="P680" t="s">
        <v>107</v>
      </c>
      <c r="Q680" t="s">
        <v>3708</v>
      </c>
      <c r="R680" s="5">
        <v>42808.837905092594</v>
      </c>
      <c r="S680" s="5">
        <v>43423.888275462959</v>
      </c>
      <c r="T680" t="s">
        <v>1</v>
      </c>
      <c r="U680" t="s">
        <v>35</v>
      </c>
      <c r="V680" s="3" t="s">
        <v>321</v>
      </c>
      <c r="W680" s="3" t="s">
        <v>4098</v>
      </c>
      <c r="AM680" s="5"/>
      <c r="AN680" s="5"/>
      <c r="AQ680" s="6"/>
    </row>
    <row r="681" spans="2:43" x14ac:dyDescent="0.25">
      <c r="B681" t="s">
        <v>2750</v>
      </c>
      <c r="C681">
        <v>97076</v>
      </c>
      <c r="D681" t="s">
        <v>3448</v>
      </c>
      <c r="E681" t="s">
        <v>88</v>
      </c>
      <c r="F681" t="s">
        <v>305</v>
      </c>
      <c r="G681" t="s">
        <v>353</v>
      </c>
      <c r="H681" t="s">
        <v>30</v>
      </c>
      <c r="I681" t="s">
        <v>68</v>
      </c>
      <c r="J681" t="s">
        <v>43</v>
      </c>
      <c r="K681" t="s">
        <v>33</v>
      </c>
      <c r="L681" t="s">
        <v>34</v>
      </c>
      <c r="M681" t="s">
        <v>266</v>
      </c>
      <c r="N681" t="s">
        <v>46</v>
      </c>
      <c r="O681" t="s">
        <v>3449</v>
      </c>
      <c r="P681" t="s">
        <v>107</v>
      </c>
      <c r="Q681" t="s">
        <v>528</v>
      </c>
      <c r="R681" s="5">
        <v>42808.83734953704</v>
      </c>
      <c r="S681" s="5">
        <v>43025.125497685185</v>
      </c>
      <c r="T681" t="s">
        <v>1</v>
      </c>
      <c r="U681" t="s">
        <v>35</v>
      </c>
      <c r="V681" s="3" t="s">
        <v>35</v>
      </c>
      <c r="W681" s="3" t="s">
        <v>4143</v>
      </c>
      <c r="AM681" s="5"/>
      <c r="AN681" s="5"/>
      <c r="AQ681" s="6"/>
    </row>
    <row r="682" spans="2:43" x14ac:dyDescent="0.25">
      <c r="B682" t="s">
        <v>222</v>
      </c>
      <c r="C682">
        <v>97056</v>
      </c>
      <c r="D682" t="s">
        <v>130</v>
      </c>
      <c r="E682" t="s">
        <v>131</v>
      </c>
      <c r="F682" t="s">
        <v>319</v>
      </c>
      <c r="G682" t="s">
        <v>304</v>
      </c>
      <c r="H682" t="s">
        <v>54</v>
      </c>
      <c r="I682" t="s">
        <v>31</v>
      </c>
      <c r="J682" t="s">
        <v>32</v>
      </c>
      <c r="K682" t="s">
        <v>33</v>
      </c>
      <c r="L682" t="s">
        <v>73</v>
      </c>
      <c r="M682" t="s">
        <v>273</v>
      </c>
      <c r="N682" t="s">
        <v>60</v>
      </c>
      <c r="O682" t="s">
        <v>132</v>
      </c>
      <c r="P682" t="s">
        <v>133</v>
      </c>
      <c r="Q682" t="s">
        <v>3708</v>
      </c>
      <c r="R682" s="5">
        <v>42808.529050925928</v>
      </c>
      <c r="S682" s="5">
        <v>43423.89025462963</v>
      </c>
      <c r="T682" t="s">
        <v>134</v>
      </c>
      <c r="U682" t="s">
        <v>35</v>
      </c>
      <c r="V682" s="3" t="s">
        <v>35</v>
      </c>
      <c r="W682" s="3" t="s">
        <v>4098</v>
      </c>
      <c r="AM682" s="5"/>
      <c r="AN682" s="5"/>
      <c r="AQ682" s="6"/>
    </row>
    <row r="683" spans="2:43" x14ac:dyDescent="0.25">
      <c r="B683" t="s">
        <v>220</v>
      </c>
      <c r="C683">
        <v>97041</v>
      </c>
      <c r="D683" t="s">
        <v>3447</v>
      </c>
      <c r="E683" t="s">
        <v>72</v>
      </c>
      <c r="F683" t="s">
        <v>305</v>
      </c>
      <c r="G683" t="s">
        <v>304</v>
      </c>
      <c r="H683" t="s">
        <v>54</v>
      </c>
      <c r="I683" t="s">
        <v>31</v>
      </c>
      <c r="J683" t="s">
        <v>43</v>
      </c>
      <c r="K683" t="s">
        <v>44</v>
      </c>
      <c r="L683" t="s">
        <v>73</v>
      </c>
      <c r="M683" t="s">
        <v>263</v>
      </c>
      <c r="N683" t="s">
        <v>518</v>
      </c>
      <c r="P683" t="s">
        <v>77</v>
      </c>
      <c r="Q683" t="s">
        <v>77</v>
      </c>
      <c r="R683" s="5">
        <v>42808.439444444448</v>
      </c>
      <c r="S683" s="5">
        <v>42958.48809027778</v>
      </c>
      <c r="T683" t="s">
        <v>301</v>
      </c>
      <c r="U683" t="s">
        <v>4006</v>
      </c>
      <c r="V683" s="3" t="s">
        <v>35</v>
      </c>
      <c r="W683" s="3" t="s">
        <v>69</v>
      </c>
      <c r="AM683" s="5"/>
      <c r="AN683" s="5"/>
      <c r="AQ683" s="6"/>
    </row>
    <row r="684" spans="2:43" x14ac:dyDescent="0.25">
      <c r="B684" t="s">
        <v>220</v>
      </c>
      <c r="C684">
        <v>97040</v>
      </c>
      <c r="D684" t="s">
        <v>3446</v>
      </c>
      <c r="E684" t="s">
        <v>72</v>
      </c>
      <c r="F684" t="s">
        <v>305</v>
      </c>
      <c r="G684" t="s">
        <v>337</v>
      </c>
      <c r="H684" t="s">
        <v>54</v>
      </c>
      <c r="I684" t="s">
        <v>31</v>
      </c>
      <c r="J684" t="s">
        <v>43</v>
      </c>
      <c r="K684" t="s">
        <v>44</v>
      </c>
      <c r="L684" t="s">
        <v>73</v>
      </c>
      <c r="M684" t="s">
        <v>263</v>
      </c>
      <c r="N684" t="s">
        <v>60</v>
      </c>
      <c r="P684" t="s">
        <v>77</v>
      </c>
      <c r="Q684" t="s">
        <v>65</v>
      </c>
      <c r="R684" s="5">
        <v>42808.438703703701</v>
      </c>
      <c r="S684" s="5">
        <v>42870.385277777779</v>
      </c>
      <c r="T684" t="s">
        <v>301</v>
      </c>
      <c r="U684" t="s">
        <v>35</v>
      </c>
      <c r="V684" s="3" t="s">
        <v>35</v>
      </c>
      <c r="W684" s="3" t="s">
        <v>133</v>
      </c>
      <c r="AM684" s="5"/>
      <c r="AN684" s="5"/>
      <c r="AQ684" s="6"/>
    </row>
    <row r="685" spans="2:43" x14ac:dyDescent="0.25">
      <c r="B685" t="s">
        <v>220</v>
      </c>
      <c r="C685">
        <v>97039</v>
      </c>
      <c r="D685" t="s">
        <v>534</v>
      </c>
      <c r="E685" t="s">
        <v>110</v>
      </c>
      <c r="F685" t="s">
        <v>305</v>
      </c>
      <c r="G685" t="s">
        <v>337</v>
      </c>
      <c r="H685" t="s">
        <v>54</v>
      </c>
      <c r="I685" t="s">
        <v>31</v>
      </c>
      <c r="J685" t="s">
        <v>43</v>
      </c>
      <c r="K685" t="s">
        <v>44</v>
      </c>
      <c r="L685" t="s">
        <v>73</v>
      </c>
      <c r="M685" t="s">
        <v>263</v>
      </c>
      <c r="N685" t="s">
        <v>60</v>
      </c>
      <c r="O685" t="s">
        <v>535</v>
      </c>
      <c r="P685" t="s">
        <v>77</v>
      </c>
      <c r="Q685" t="s">
        <v>3708</v>
      </c>
      <c r="R685" s="5">
        <v>42808.437638888892</v>
      </c>
      <c r="S685" s="5">
        <v>43423.863657407404</v>
      </c>
      <c r="T685" t="s">
        <v>301</v>
      </c>
      <c r="U685" t="s">
        <v>35</v>
      </c>
      <c r="V685" s="3" t="s">
        <v>35</v>
      </c>
      <c r="W685" s="3" t="s">
        <v>4156</v>
      </c>
      <c r="AM685" s="5"/>
      <c r="AN685" s="5"/>
      <c r="AQ685" s="6"/>
    </row>
    <row r="686" spans="2:43" x14ac:dyDescent="0.25">
      <c r="B686" t="s">
        <v>221</v>
      </c>
      <c r="C686">
        <v>97008</v>
      </c>
      <c r="D686" t="s">
        <v>129</v>
      </c>
      <c r="E686" t="s">
        <v>80</v>
      </c>
      <c r="F686" t="s">
        <v>67</v>
      </c>
      <c r="H686" t="s">
        <v>56</v>
      </c>
      <c r="I686" t="s">
        <v>31</v>
      </c>
      <c r="J686" t="s">
        <v>32</v>
      </c>
      <c r="K686" t="s">
        <v>33</v>
      </c>
      <c r="L686" t="s">
        <v>52</v>
      </c>
      <c r="M686" t="s">
        <v>272</v>
      </c>
      <c r="N686" t="s">
        <v>46</v>
      </c>
      <c r="P686" t="s">
        <v>107</v>
      </c>
      <c r="R686" s="5">
        <v>42807.882627314815</v>
      </c>
      <c r="S686" s="5">
        <v>42846.734675925924</v>
      </c>
      <c r="T686" t="s">
        <v>1</v>
      </c>
      <c r="U686" t="s">
        <v>35</v>
      </c>
      <c r="V686" s="3" t="s">
        <v>321</v>
      </c>
      <c r="W686" s="3" t="s">
        <v>4098</v>
      </c>
      <c r="AM686" s="5"/>
      <c r="AN686" s="5"/>
      <c r="AQ686" s="6"/>
    </row>
    <row r="687" spans="2:43" x14ac:dyDescent="0.25">
      <c r="B687" t="s">
        <v>220</v>
      </c>
      <c r="C687">
        <v>97007</v>
      </c>
      <c r="D687" t="s">
        <v>127</v>
      </c>
      <c r="E687" t="s">
        <v>110</v>
      </c>
      <c r="F687" t="s">
        <v>319</v>
      </c>
      <c r="G687" t="s">
        <v>304</v>
      </c>
      <c r="H687" t="s">
        <v>54</v>
      </c>
      <c r="I687" t="s">
        <v>31</v>
      </c>
      <c r="J687" t="s">
        <v>43</v>
      </c>
      <c r="K687" t="s">
        <v>44</v>
      </c>
      <c r="L687" t="s">
        <v>73</v>
      </c>
      <c r="M687" t="s">
        <v>263</v>
      </c>
      <c r="N687" t="s">
        <v>60</v>
      </c>
      <c r="O687" t="s">
        <v>128</v>
      </c>
      <c r="P687" t="s">
        <v>77</v>
      </c>
      <c r="Q687" t="s">
        <v>3708</v>
      </c>
      <c r="R687" s="5">
        <v>42807.877870370372</v>
      </c>
      <c r="S687" s="5">
        <v>43423.896782407406</v>
      </c>
      <c r="T687" t="s">
        <v>2</v>
      </c>
      <c r="U687" t="s">
        <v>35</v>
      </c>
      <c r="V687" s="3" t="s">
        <v>35</v>
      </c>
      <c r="W687" s="3" t="s">
        <v>4098</v>
      </c>
      <c r="AM687" s="5"/>
      <c r="AN687" s="5"/>
      <c r="AQ687" s="6"/>
    </row>
    <row r="688" spans="2:43" x14ac:dyDescent="0.25">
      <c r="B688" t="s">
        <v>219</v>
      </c>
      <c r="C688">
        <v>96996</v>
      </c>
      <c r="D688" t="s">
        <v>124</v>
      </c>
      <c r="E688" t="s">
        <v>175</v>
      </c>
      <c r="F688" t="s">
        <v>319</v>
      </c>
      <c r="G688" t="s">
        <v>304</v>
      </c>
      <c r="H688" t="s">
        <v>56</v>
      </c>
      <c r="I688" t="s">
        <v>31</v>
      </c>
      <c r="J688" t="s">
        <v>32</v>
      </c>
      <c r="K688" t="s">
        <v>33</v>
      </c>
      <c r="L688" t="s">
        <v>34</v>
      </c>
      <c r="M688" t="s">
        <v>271</v>
      </c>
      <c r="N688" t="s">
        <v>46</v>
      </c>
      <c r="O688" t="s">
        <v>126</v>
      </c>
      <c r="P688" t="s">
        <v>107</v>
      </c>
      <c r="Q688" t="s">
        <v>3708</v>
      </c>
      <c r="R688" s="5">
        <v>42807.735324074078</v>
      </c>
      <c r="S688" s="5">
        <v>43423.889270833337</v>
      </c>
      <c r="T688" t="s">
        <v>1</v>
      </c>
      <c r="U688" t="s">
        <v>35</v>
      </c>
      <c r="V688" s="3" t="s">
        <v>321</v>
      </c>
      <c r="W688" s="3" t="s">
        <v>4098</v>
      </c>
      <c r="AM688" s="5"/>
      <c r="AN688" s="5"/>
      <c r="AQ688" s="6"/>
    </row>
    <row r="689" spans="2:43" x14ac:dyDescent="0.25">
      <c r="B689" t="s">
        <v>3443</v>
      </c>
      <c r="C689">
        <v>96925</v>
      </c>
      <c r="D689" t="s">
        <v>3444</v>
      </c>
      <c r="E689" t="s">
        <v>1</v>
      </c>
      <c r="F689" t="s">
        <v>305</v>
      </c>
      <c r="G689" t="s">
        <v>328</v>
      </c>
      <c r="H689" t="s">
        <v>116</v>
      </c>
      <c r="I689" t="s">
        <v>31</v>
      </c>
      <c r="J689" t="s">
        <v>32</v>
      </c>
      <c r="K689" t="s">
        <v>44</v>
      </c>
      <c r="L689" t="s">
        <v>52</v>
      </c>
      <c r="M689" t="s">
        <v>3445</v>
      </c>
      <c r="N689" t="s">
        <v>60</v>
      </c>
      <c r="P689" t="s">
        <v>107</v>
      </c>
      <c r="Q689" t="s">
        <v>65</v>
      </c>
      <c r="R689" s="5">
        <v>42803.919606481482</v>
      </c>
      <c r="S689" s="5">
        <v>42894.120949074073</v>
      </c>
      <c r="T689" t="s">
        <v>1</v>
      </c>
      <c r="U689" t="s">
        <v>35</v>
      </c>
      <c r="V689" s="3" t="s">
        <v>4057</v>
      </c>
      <c r="W689" s="3" t="s">
        <v>4156</v>
      </c>
      <c r="AM689" s="5"/>
      <c r="AN689" s="5"/>
      <c r="AQ689" s="6"/>
    </row>
    <row r="690" spans="2:43" x14ac:dyDescent="0.25">
      <c r="B690" t="s">
        <v>217</v>
      </c>
      <c r="C690">
        <v>96608</v>
      </c>
      <c r="D690" t="s">
        <v>3442</v>
      </c>
      <c r="E690" t="s">
        <v>91</v>
      </c>
      <c r="F690" t="s">
        <v>305</v>
      </c>
      <c r="G690" t="s">
        <v>304</v>
      </c>
      <c r="H690" t="s">
        <v>54</v>
      </c>
      <c r="I690" t="s">
        <v>31</v>
      </c>
      <c r="J690" t="s">
        <v>32</v>
      </c>
      <c r="K690" t="s">
        <v>44</v>
      </c>
      <c r="L690" t="s">
        <v>73</v>
      </c>
      <c r="M690" t="s">
        <v>263</v>
      </c>
      <c r="N690" t="s">
        <v>572</v>
      </c>
      <c r="P690" t="s">
        <v>92</v>
      </c>
      <c r="Q690" t="s">
        <v>92</v>
      </c>
      <c r="R690" s="5">
        <v>42796.860208333332</v>
      </c>
      <c r="S690" s="5">
        <v>43214.207418981481</v>
      </c>
      <c r="T690" t="s">
        <v>301</v>
      </c>
      <c r="U690" t="s">
        <v>35</v>
      </c>
      <c r="V690" s="3" t="s">
        <v>35</v>
      </c>
      <c r="W690" s="3" t="s">
        <v>307</v>
      </c>
      <c r="AM690" s="5"/>
      <c r="AN690" s="5"/>
      <c r="AQ690" s="6"/>
    </row>
    <row r="691" spans="2:43" x14ac:dyDescent="0.25">
      <c r="B691" t="s">
        <v>218</v>
      </c>
      <c r="C691">
        <v>96342</v>
      </c>
      <c r="D691" t="s">
        <v>3441</v>
      </c>
      <c r="E691" t="s">
        <v>72</v>
      </c>
      <c r="F691" t="s">
        <v>305</v>
      </c>
      <c r="G691" t="s">
        <v>337</v>
      </c>
      <c r="H691" t="s">
        <v>30</v>
      </c>
      <c r="I691" t="s">
        <v>68</v>
      </c>
      <c r="J691" t="s">
        <v>43</v>
      </c>
      <c r="K691" t="s">
        <v>33</v>
      </c>
      <c r="L691" t="s">
        <v>73</v>
      </c>
      <c r="M691" t="s">
        <v>263</v>
      </c>
      <c r="N691" t="s">
        <v>46</v>
      </c>
      <c r="P691" t="s">
        <v>107</v>
      </c>
      <c r="Q691" t="s">
        <v>65</v>
      </c>
      <c r="R691" s="5">
        <v>42789.952361111114</v>
      </c>
      <c r="S691" s="5">
        <v>42823.827893518515</v>
      </c>
      <c r="T691" t="s">
        <v>301</v>
      </c>
      <c r="U691" t="s">
        <v>35</v>
      </c>
      <c r="V691" s="3" t="s">
        <v>35</v>
      </c>
      <c r="W691" s="3" t="s">
        <v>69</v>
      </c>
      <c r="AM691" s="5"/>
      <c r="AN691" s="5"/>
      <c r="AQ691" s="6"/>
    </row>
    <row r="692" spans="2:43" x14ac:dyDescent="0.25">
      <c r="B692" t="s">
        <v>218</v>
      </c>
      <c r="C692">
        <v>96335</v>
      </c>
      <c r="D692" t="s">
        <v>123</v>
      </c>
      <c r="E692" t="s">
        <v>82</v>
      </c>
      <c r="F692" t="s">
        <v>42</v>
      </c>
      <c r="H692" t="s">
        <v>30</v>
      </c>
      <c r="I692" t="s">
        <v>68</v>
      </c>
      <c r="J692" t="s">
        <v>43</v>
      </c>
      <c r="K692" t="s">
        <v>33</v>
      </c>
      <c r="L692" t="s">
        <v>73</v>
      </c>
      <c r="M692" t="s">
        <v>263</v>
      </c>
      <c r="N692" t="s">
        <v>46</v>
      </c>
      <c r="P692" t="s">
        <v>107</v>
      </c>
      <c r="R692" s="5">
        <v>42789.908043981479</v>
      </c>
      <c r="S692" s="5">
        <v>43017.577523148146</v>
      </c>
      <c r="T692" t="s">
        <v>1</v>
      </c>
      <c r="U692" t="s">
        <v>35</v>
      </c>
      <c r="V692" s="3" t="s">
        <v>35</v>
      </c>
      <c r="W692" s="3" t="s">
        <v>4098</v>
      </c>
      <c r="AM692" s="5"/>
      <c r="AN692" s="5"/>
      <c r="AQ692" s="6"/>
    </row>
    <row r="693" spans="2:43" x14ac:dyDescent="0.25">
      <c r="B693" t="s">
        <v>3438</v>
      </c>
      <c r="C693">
        <v>96172</v>
      </c>
      <c r="D693" t="s">
        <v>3439</v>
      </c>
      <c r="E693" t="s">
        <v>3440</v>
      </c>
      <c r="F693" t="s">
        <v>305</v>
      </c>
      <c r="G693" t="s">
        <v>304</v>
      </c>
      <c r="H693" t="s">
        <v>30</v>
      </c>
      <c r="I693" t="s">
        <v>31</v>
      </c>
      <c r="J693" t="s">
        <v>32</v>
      </c>
      <c r="K693" t="s">
        <v>33</v>
      </c>
      <c r="L693" t="s">
        <v>380</v>
      </c>
      <c r="M693" t="s">
        <v>434</v>
      </c>
      <c r="N693" t="s">
        <v>46</v>
      </c>
      <c r="P693" t="s">
        <v>107</v>
      </c>
      <c r="Q693" t="s">
        <v>1503</v>
      </c>
      <c r="R693" s="5">
        <v>42783.924027777779</v>
      </c>
      <c r="S693" s="5">
        <v>42935.7733912037</v>
      </c>
      <c r="T693" t="s">
        <v>2</v>
      </c>
      <c r="U693" t="s">
        <v>35</v>
      </c>
      <c r="V693" s="3" t="s">
        <v>321</v>
      </c>
      <c r="W693" s="3" t="s">
        <v>4098</v>
      </c>
      <c r="AM693" s="5"/>
      <c r="AN693" s="5"/>
      <c r="AQ693" s="6"/>
    </row>
    <row r="694" spans="2:43" x14ac:dyDescent="0.25">
      <c r="B694" t="s">
        <v>217</v>
      </c>
      <c r="C694">
        <v>96060</v>
      </c>
      <c r="D694" t="s">
        <v>122</v>
      </c>
      <c r="E694" t="s">
        <v>91</v>
      </c>
      <c r="F694" t="s">
        <v>305</v>
      </c>
      <c r="G694" t="s">
        <v>304</v>
      </c>
      <c r="H694" t="s">
        <v>54</v>
      </c>
      <c r="I694" t="s">
        <v>31</v>
      </c>
      <c r="J694" t="s">
        <v>32</v>
      </c>
      <c r="K694" t="s">
        <v>44</v>
      </c>
      <c r="L694" t="s">
        <v>73</v>
      </c>
      <c r="M694" t="s">
        <v>263</v>
      </c>
      <c r="N694" t="s">
        <v>60</v>
      </c>
      <c r="P694" t="s">
        <v>92</v>
      </c>
      <c r="Q694" t="s">
        <v>3708</v>
      </c>
      <c r="R694" s="5">
        <v>42782.675324074073</v>
      </c>
      <c r="S694" s="5">
        <v>43423.913449074076</v>
      </c>
      <c r="T694" t="s">
        <v>86</v>
      </c>
      <c r="U694" t="s">
        <v>35</v>
      </c>
      <c r="V694" s="3" t="s">
        <v>35</v>
      </c>
      <c r="W694" s="3" t="s">
        <v>4098</v>
      </c>
      <c r="AM694" s="5"/>
      <c r="AN694" s="5"/>
      <c r="AQ694" s="6"/>
    </row>
    <row r="695" spans="2:43" x14ac:dyDescent="0.25">
      <c r="B695" t="s">
        <v>216</v>
      </c>
      <c r="C695">
        <v>96032</v>
      </c>
      <c r="D695" t="s">
        <v>3437</v>
      </c>
      <c r="E695" t="s">
        <v>78</v>
      </c>
      <c r="F695" t="s">
        <v>305</v>
      </c>
      <c r="G695" t="s">
        <v>304</v>
      </c>
      <c r="H695" t="s">
        <v>54</v>
      </c>
      <c r="I695" t="s">
        <v>31</v>
      </c>
      <c r="J695" t="s">
        <v>43</v>
      </c>
      <c r="K695" t="s">
        <v>44</v>
      </c>
      <c r="L695" t="s">
        <v>73</v>
      </c>
      <c r="M695" t="s">
        <v>263</v>
      </c>
      <c r="N695" t="s">
        <v>518</v>
      </c>
      <c r="P695" t="s">
        <v>107</v>
      </c>
      <c r="Q695" t="s">
        <v>69</v>
      </c>
      <c r="R695" s="5">
        <v>42782.539988425924</v>
      </c>
      <c r="S695" s="5">
        <v>42947.789988425924</v>
      </c>
      <c r="T695" t="s">
        <v>317</v>
      </c>
      <c r="U695" t="s">
        <v>3978</v>
      </c>
      <c r="V695" s="3" t="s">
        <v>35</v>
      </c>
      <c r="W695" s="3" t="s">
        <v>69</v>
      </c>
      <c r="AM695" s="5"/>
      <c r="AN695" s="5"/>
      <c r="AQ695" s="6"/>
    </row>
    <row r="696" spans="2:43" x14ac:dyDescent="0.25">
      <c r="B696" t="s">
        <v>216</v>
      </c>
      <c r="C696">
        <v>96031</v>
      </c>
      <c r="D696" t="s">
        <v>3436</v>
      </c>
      <c r="E696" t="s">
        <v>78</v>
      </c>
      <c r="F696" t="s">
        <v>305</v>
      </c>
      <c r="G696" t="s">
        <v>337</v>
      </c>
      <c r="H696" t="s">
        <v>54</v>
      </c>
      <c r="I696" t="s">
        <v>31</v>
      </c>
      <c r="J696" t="s">
        <v>43</v>
      </c>
      <c r="K696" t="s">
        <v>44</v>
      </c>
      <c r="L696" t="s">
        <v>73</v>
      </c>
      <c r="M696" t="s">
        <v>263</v>
      </c>
      <c r="N696" t="s">
        <v>60</v>
      </c>
      <c r="P696" t="s">
        <v>107</v>
      </c>
      <c r="Q696" t="s">
        <v>65</v>
      </c>
      <c r="R696" s="5">
        <v>42782.539872685185</v>
      </c>
      <c r="S696" s="5">
        <v>42829.731631944444</v>
      </c>
      <c r="T696" t="s">
        <v>317</v>
      </c>
      <c r="U696" t="s">
        <v>35</v>
      </c>
      <c r="V696" s="3" t="s">
        <v>35</v>
      </c>
      <c r="W696" s="3" t="s">
        <v>133</v>
      </c>
      <c r="AM696" s="5"/>
      <c r="AN696" s="5"/>
      <c r="AQ696" s="6"/>
    </row>
    <row r="697" spans="2:43" x14ac:dyDescent="0.25">
      <c r="B697" t="s">
        <v>216</v>
      </c>
      <c r="C697">
        <v>95967</v>
      </c>
      <c r="D697" t="s">
        <v>120</v>
      </c>
      <c r="E697" t="s">
        <v>78</v>
      </c>
      <c r="F697" t="s">
        <v>42</v>
      </c>
      <c r="H697" t="s">
        <v>54</v>
      </c>
      <c r="I697" t="s">
        <v>68</v>
      </c>
      <c r="J697" t="s">
        <v>43</v>
      </c>
      <c r="K697" t="s">
        <v>33</v>
      </c>
      <c r="L697" t="s">
        <v>73</v>
      </c>
      <c r="M697" t="s">
        <v>263</v>
      </c>
      <c r="N697" t="s">
        <v>121</v>
      </c>
      <c r="P697" t="s">
        <v>107</v>
      </c>
      <c r="R697" s="5">
        <v>42781.928854166668</v>
      </c>
      <c r="S697" s="5">
        <v>42998.932233796295</v>
      </c>
      <c r="T697" t="s">
        <v>1</v>
      </c>
      <c r="U697" t="s">
        <v>35</v>
      </c>
      <c r="V697" s="3" t="s">
        <v>35</v>
      </c>
      <c r="W697" s="3" t="s">
        <v>4098</v>
      </c>
      <c r="AM697" s="5"/>
      <c r="AN697" s="5"/>
      <c r="AQ697" s="6"/>
    </row>
    <row r="698" spans="2:43" x14ac:dyDescent="0.25">
      <c r="B698" t="s">
        <v>224</v>
      </c>
      <c r="C698">
        <v>95833</v>
      </c>
      <c r="D698" t="s">
        <v>3435</v>
      </c>
      <c r="E698" t="s">
        <v>53</v>
      </c>
      <c r="F698" t="s">
        <v>305</v>
      </c>
      <c r="G698" t="s">
        <v>337</v>
      </c>
      <c r="H698" t="s">
        <v>30</v>
      </c>
      <c r="I698" t="s">
        <v>68</v>
      </c>
      <c r="J698" t="s">
        <v>43</v>
      </c>
      <c r="K698" t="s">
        <v>33</v>
      </c>
      <c r="L698" t="s">
        <v>34</v>
      </c>
      <c r="M698" t="s">
        <v>266</v>
      </c>
      <c r="N698" t="s">
        <v>46</v>
      </c>
      <c r="O698" t="s">
        <v>533</v>
      </c>
      <c r="P698" t="s">
        <v>75</v>
      </c>
      <c r="Q698" t="s">
        <v>65</v>
      </c>
      <c r="R698" s="5">
        <v>42779.978009259263</v>
      </c>
      <c r="S698" s="5">
        <v>42885.59574074074</v>
      </c>
      <c r="T698" t="s">
        <v>53</v>
      </c>
      <c r="U698" t="s">
        <v>35</v>
      </c>
      <c r="V698" s="3" t="s">
        <v>35</v>
      </c>
      <c r="W698" s="3" t="s">
        <v>4167</v>
      </c>
      <c r="AM698" s="5"/>
      <c r="AN698" s="5"/>
      <c r="AQ698" s="6"/>
    </row>
    <row r="699" spans="2:43" x14ac:dyDescent="0.25">
      <c r="B699" t="s">
        <v>215</v>
      </c>
      <c r="C699">
        <v>95777</v>
      </c>
      <c r="D699" t="s">
        <v>3433</v>
      </c>
      <c r="E699" t="s">
        <v>115</v>
      </c>
      <c r="F699" t="s">
        <v>305</v>
      </c>
      <c r="G699" t="s">
        <v>304</v>
      </c>
      <c r="H699" t="s">
        <v>116</v>
      </c>
      <c r="I699" t="s">
        <v>31</v>
      </c>
      <c r="J699" t="s">
        <v>32</v>
      </c>
      <c r="K699" t="s">
        <v>33</v>
      </c>
      <c r="L699" t="s">
        <v>34</v>
      </c>
      <c r="M699" t="s">
        <v>268</v>
      </c>
      <c r="N699" t="s">
        <v>510</v>
      </c>
      <c r="O699" t="s">
        <v>3434</v>
      </c>
      <c r="P699" t="s">
        <v>118</v>
      </c>
      <c r="Q699" t="s">
        <v>2305</v>
      </c>
      <c r="R699" s="5">
        <v>42779.390694444446</v>
      </c>
      <c r="S699" s="5">
        <v>42851.126701388886</v>
      </c>
      <c r="T699" t="s">
        <v>119</v>
      </c>
      <c r="U699" t="s">
        <v>3978</v>
      </c>
      <c r="V699" s="3" t="s">
        <v>35</v>
      </c>
      <c r="W699" s="3" t="s">
        <v>4167</v>
      </c>
      <c r="AM699" s="5"/>
      <c r="AN699" s="5"/>
      <c r="AQ699" s="6"/>
    </row>
    <row r="700" spans="2:43" x14ac:dyDescent="0.25">
      <c r="B700" t="s">
        <v>215</v>
      </c>
      <c r="C700">
        <v>95776</v>
      </c>
      <c r="D700" t="s">
        <v>3431</v>
      </c>
      <c r="E700" t="s">
        <v>115</v>
      </c>
      <c r="F700" t="s">
        <v>305</v>
      </c>
      <c r="G700" t="s">
        <v>304</v>
      </c>
      <c r="H700" t="s">
        <v>116</v>
      </c>
      <c r="I700" t="s">
        <v>31</v>
      </c>
      <c r="J700" t="s">
        <v>32</v>
      </c>
      <c r="K700" t="s">
        <v>33</v>
      </c>
      <c r="L700" t="s">
        <v>34</v>
      </c>
      <c r="M700" t="s">
        <v>268</v>
      </c>
      <c r="N700" t="s">
        <v>60</v>
      </c>
      <c r="P700" t="s">
        <v>118</v>
      </c>
      <c r="Q700" t="s">
        <v>3432</v>
      </c>
      <c r="R700" s="5">
        <v>42779.389837962961</v>
      </c>
      <c r="S700" s="5">
        <v>42941.851851851854</v>
      </c>
      <c r="T700" t="s">
        <v>119</v>
      </c>
      <c r="U700" t="s">
        <v>4005</v>
      </c>
      <c r="V700" s="3" t="s">
        <v>35</v>
      </c>
      <c r="W700" s="3" t="s">
        <v>133</v>
      </c>
      <c r="AM700" s="5"/>
      <c r="AN700" s="5"/>
      <c r="AQ700" s="6"/>
    </row>
    <row r="701" spans="2:43" x14ac:dyDescent="0.25">
      <c r="B701" t="s">
        <v>215</v>
      </c>
      <c r="C701">
        <v>95772</v>
      </c>
      <c r="D701" t="s">
        <v>532</v>
      </c>
      <c r="E701" t="s">
        <v>115</v>
      </c>
      <c r="F701" t="s">
        <v>305</v>
      </c>
      <c r="G701" t="s">
        <v>337</v>
      </c>
      <c r="H701" t="s">
        <v>116</v>
      </c>
      <c r="I701" t="s">
        <v>31</v>
      </c>
      <c r="J701" t="s">
        <v>32</v>
      </c>
      <c r="K701" t="s">
        <v>33</v>
      </c>
      <c r="L701" t="s">
        <v>34</v>
      </c>
      <c r="M701" t="s">
        <v>268</v>
      </c>
      <c r="N701" t="s">
        <v>60</v>
      </c>
      <c r="O701" t="s">
        <v>533</v>
      </c>
      <c r="P701" t="s">
        <v>118</v>
      </c>
      <c r="Q701" t="s">
        <v>3708</v>
      </c>
      <c r="R701" s="5">
        <v>42779.358703703707</v>
      </c>
      <c r="S701" s="5">
        <v>43423.863645833335</v>
      </c>
      <c r="T701" t="s">
        <v>119</v>
      </c>
      <c r="U701" t="s">
        <v>35</v>
      </c>
      <c r="V701" s="3" t="s">
        <v>35</v>
      </c>
      <c r="W701" s="3" t="s">
        <v>4156</v>
      </c>
      <c r="AM701" s="5"/>
      <c r="AN701" s="5"/>
      <c r="AQ701" s="6"/>
    </row>
    <row r="702" spans="2:43" x14ac:dyDescent="0.25">
      <c r="B702" t="s">
        <v>215</v>
      </c>
      <c r="C702">
        <v>95771</v>
      </c>
      <c r="D702" t="s">
        <v>114</v>
      </c>
      <c r="E702" t="s">
        <v>115</v>
      </c>
      <c r="F702" t="s">
        <v>319</v>
      </c>
      <c r="G702" t="s">
        <v>304</v>
      </c>
      <c r="H702" t="s">
        <v>116</v>
      </c>
      <c r="I702" t="s">
        <v>31</v>
      </c>
      <c r="J702" t="s">
        <v>32</v>
      </c>
      <c r="K702" t="s">
        <v>33</v>
      </c>
      <c r="L702" t="s">
        <v>34</v>
      </c>
      <c r="M702" t="s">
        <v>268</v>
      </c>
      <c r="N702" t="s">
        <v>60</v>
      </c>
      <c r="O702" t="s">
        <v>117</v>
      </c>
      <c r="P702" t="s">
        <v>118</v>
      </c>
      <c r="Q702" t="s">
        <v>3708</v>
      </c>
      <c r="R702" s="5">
        <v>42779.358715277776</v>
      </c>
      <c r="S702" s="5">
        <v>43423.887928240743</v>
      </c>
      <c r="T702" t="s">
        <v>119</v>
      </c>
      <c r="U702" t="s">
        <v>35</v>
      </c>
      <c r="V702" s="3" t="s">
        <v>321</v>
      </c>
      <c r="W702" s="3" t="s">
        <v>4098</v>
      </c>
      <c r="AM702" s="5"/>
      <c r="AN702" s="5"/>
      <c r="AQ702" s="6"/>
    </row>
    <row r="703" spans="2:43" x14ac:dyDescent="0.25">
      <c r="B703" t="s">
        <v>214</v>
      </c>
      <c r="C703">
        <v>95765</v>
      </c>
      <c r="D703" t="s">
        <v>113</v>
      </c>
      <c r="E703" t="s">
        <v>5127</v>
      </c>
      <c r="F703" t="s">
        <v>42</v>
      </c>
      <c r="H703" t="s">
        <v>30</v>
      </c>
      <c r="I703" t="s">
        <v>68</v>
      </c>
      <c r="J703" t="s">
        <v>43</v>
      </c>
      <c r="K703" t="s">
        <v>33</v>
      </c>
      <c r="L703" t="s">
        <v>45</v>
      </c>
      <c r="M703" t="s">
        <v>265</v>
      </c>
      <c r="N703" t="s">
        <v>46</v>
      </c>
      <c r="O703" t="s">
        <v>4918</v>
      </c>
      <c r="P703" t="s">
        <v>107</v>
      </c>
      <c r="R703" s="5">
        <v>42779.258287037039</v>
      </c>
      <c r="S703" s="5">
        <v>43475.388784722221</v>
      </c>
      <c r="T703" t="s">
        <v>4</v>
      </c>
      <c r="U703" t="s">
        <v>35</v>
      </c>
      <c r="V703" s="3" t="s">
        <v>35</v>
      </c>
      <c r="W703" s="3" t="s">
        <v>4166</v>
      </c>
      <c r="AM703" s="5"/>
      <c r="AN703" s="5"/>
      <c r="AQ703" s="6"/>
    </row>
    <row r="704" spans="2:43" x14ac:dyDescent="0.25">
      <c r="B704" t="s">
        <v>2841</v>
      </c>
      <c r="C704">
        <v>95755</v>
      </c>
      <c r="D704" t="s">
        <v>3430</v>
      </c>
      <c r="E704" t="s">
        <v>3367</v>
      </c>
      <c r="F704" t="s">
        <v>305</v>
      </c>
      <c r="G704" t="s">
        <v>328</v>
      </c>
      <c r="H704" t="s">
        <v>30</v>
      </c>
      <c r="I704" t="s">
        <v>31</v>
      </c>
      <c r="J704" t="s">
        <v>32</v>
      </c>
      <c r="K704" t="s">
        <v>33</v>
      </c>
      <c r="L704" t="s">
        <v>73</v>
      </c>
      <c r="M704" t="s">
        <v>263</v>
      </c>
      <c r="N704" t="s">
        <v>46</v>
      </c>
      <c r="P704" t="s">
        <v>3120</v>
      </c>
      <c r="Q704" t="s">
        <v>3368</v>
      </c>
      <c r="R704" s="5">
        <v>42776.959594907406</v>
      </c>
      <c r="S704" s="5">
        <v>42885.636782407404</v>
      </c>
      <c r="T704" t="s">
        <v>317</v>
      </c>
      <c r="U704" t="s">
        <v>35</v>
      </c>
      <c r="V704" s="3" t="s">
        <v>35</v>
      </c>
      <c r="W704" s="3" t="s">
        <v>92</v>
      </c>
      <c r="AM704" s="5"/>
      <c r="AN704" s="5"/>
      <c r="AQ704" s="6"/>
    </row>
    <row r="705" spans="2:43" x14ac:dyDescent="0.25">
      <c r="B705" t="s">
        <v>215</v>
      </c>
      <c r="C705">
        <v>95715</v>
      </c>
      <c r="D705" t="s">
        <v>3429</v>
      </c>
      <c r="E705" t="s">
        <v>134</v>
      </c>
      <c r="F705" t="s">
        <v>305</v>
      </c>
      <c r="G705" t="s">
        <v>304</v>
      </c>
      <c r="H705" t="s">
        <v>116</v>
      </c>
      <c r="I705" t="s">
        <v>31</v>
      </c>
      <c r="J705" t="s">
        <v>32</v>
      </c>
      <c r="K705" t="s">
        <v>33</v>
      </c>
      <c r="L705" t="s">
        <v>34</v>
      </c>
      <c r="M705" t="s">
        <v>268</v>
      </c>
      <c r="N705" t="s">
        <v>510</v>
      </c>
      <c r="O705" t="s">
        <v>533</v>
      </c>
      <c r="P705" t="s">
        <v>118</v>
      </c>
      <c r="Q705" t="s">
        <v>2305</v>
      </c>
      <c r="R705" s="5">
        <v>42776.460879629631</v>
      </c>
      <c r="S705" s="5">
        <v>43111.583113425928</v>
      </c>
      <c r="T705" t="s">
        <v>119</v>
      </c>
      <c r="U705" t="s">
        <v>4004</v>
      </c>
      <c r="V705" s="3" t="s">
        <v>35</v>
      </c>
      <c r="W705" s="3" t="s">
        <v>4143</v>
      </c>
      <c r="AM705" s="5"/>
      <c r="AN705" s="5"/>
      <c r="AQ705" s="6"/>
    </row>
    <row r="706" spans="2:43" x14ac:dyDescent="0.25">
      <c r="B706" t="s">
        <v>3425</v>
      </c>
      <c r="C706">
        <v>95512</v>
      </c>
      <c r="D706" t="s">
        <v>3426</v>
      </c>
      <c r="E706" t="s">
        <v>72</v>
      </c>
      <c r="F706" t="s">
        <v>305</v>
      </c>
      <c r="G706" t="s">
        <v>304</v>
      </c>
      <c r="H706" t="s">
        <v>56</v>
      </c>
      <c r="I706" t="s">
        <v>31</v>
      </c>
      <c r="J706" t="s">
        <v>32</v>
      </c>
      <c r="K706" t="s">
        <v>51</v>
      </c>
      <c r="L706" t="s">
        <v>73</v>
      </c>
      <c r="M706" t="s">
        <v>263</v>
      </c>
      <c r="N706" t="s">
        <v>60</v>
      </c>
      <c r="O706" t="s">
        <v>3427</v>
      </c>
      <c r="P706" t="s">
        <v>85</v>
      </c>
      <c r="Q706" t="s">
        <v>3428</v>
      </c>
      <c r="R706" s="5">
        <v>42772.726597222223</v>
      </c>
      <c r="S706" s="5">
        <v>42971.48128472222</v>
      </c>
      <c r="T706" t="s">
        <v>317</v>
      </c>
      <c r="U706" t="s">
        <v>35</v>
      </c>
      <c r="V706" s="3" t="s">
        <v>35</v>
      </c>
      <c r="W706" s="3" t="s">
        <v>449</v>
      </c>
      <c r="AM706" s="5"/>
      <c r="AN706" s="5"/>
      <c r="AQ706" s="6"/>
    </row>
    <row r="707" spans="2:43" x14ac:dyDescent="0.25">
      <c r="B707" t="s">
        <v>3408</v>
      </c>
      <c r="C707">
        <v>95432</v>
      </c>
      <c r="D707" t="s">
        <v>3422</v>
      </c>
      <c r="E707" t="s">
        <v>3423</v>
      </c>
      <c r="F707" t="s">
        <v>305</v>
      </c>
      <c r="G707" t="s">
        <v>304</v>
      </c>
      <c r="H707" t="s">
        <v>56</v>
      </c>
      <c r="I707" t="s">
        <v>68</v>
      </c>
      <c r="J707" t="s">
        <v>43</v>
      </c>
      <c r="K707" t="s">
        <v>33</v>
      </c>
      <c r="L707" t="s">
        <v>34</v>
      </c>
      <c r="M707" t="s">
        <v>3411</v>
      </c>
      <c r="N707" t="s">
        <v>46</v>
      </c>
      <c r="O707" t="s">
        <v>3424</v>
      </c>
      <c r="P707" t="s">
        <v>2475</v>
      </c>
      <c r="Q707" t="s">
        <v>3413</v>
      </c>
      <c r="R707" s="5">
        <v>42769.604629629626</v>
      </c>
      <c r="S707" s="5">
        <v>43270.409594907411</v>
      </c>
      <c r="T707" t="s">
        <v>1917</v>
      </c>
      <c r="U707" t="s">
        <v>35</v>
      </c>
      <c r="V707" s="3" t="s">
        <v>35</v>
      </c>
      <c r="W707" s="3" t="s">
        <v>4165</v>
      </c>
      <c r="AM707" s="5"/>
      <c r="AN707" s="5"/>
      <c r="AQ707" s="6"/>
    </row>
    <row r="708" spans="2:43" x14ac:dyDescent="0.25">
      <c r="B708" t="s">
        <v>3420</v>
      </c>
      <c r="C708">
        <v>95394</v>
      </c>
      <c r="D708" t="s">
        <v>3421</v>
      </c>
      <c r="E708" t="s">
        <v>91</v>
      </c>
      <c r="F708" t="s">
        <v>305</v>
      </c>
      <c r="G708" t="s">
        <v>304</v>
      </c>
      <c r="H708" t="s">
        <v>56</v>
      </c>
      <c r="I708" t="s">
        <v>31</v>
      </c>
      <c r="J708" t="s">
        <v>32</v>
      </c>
      <c r="K708" t="s">
        <v>51</v>
      </c>
      <c r="L708" t="s">
        <v>73</v>
      </c>
      <c r="M708" t="s">
        <v>263</v>
      </c>
      <c r="N708" t="s">
        <v>60</v>
      </c>
      <c r="P708" t="s">
        <v>85</v>
      </c>
      <c r="Q708" t="s">
        <v>2481</v>
      </c>
      <c r="R708" s="5">
        <v>42768.754606481481</v>
      </c>
      <c r="S708" s="5">
        <v>42998.764537037037</v>
      </c>
      <c r="T708" t="s">
        <v>86</v>
      </c>
      <c r="U708" t="s">
        <v>35</v>
      </c>
      <c r="V708" s="3" t="s">
        <v>35</v>
      </c>
      <c r="W708" s="3" t="s">
        <v>4098</v>
      </c>
      <c r="AM708" s="5"/>
      <c r="AN708" s="5"/>
      <c r="AQ708" s="6"/>
    </row>
    <row r="709" spans="2:43" x14ac:dyDescent="0.25">
      <c r="B709" t="s">
        <v>224</v>
      </c>
      <c r="C709">
        <v>95392</v>
      </c>
      <c r="D709" t="s">
        <v>3418</v>
      </c>
      <c r="E709" t="s">
        <v>53</v>
      </c>
      <c r="F709" t="s">
        <v>305</v>
      </c>
      <c r="G709" t="s">
        <v>353</v>
      </c>
      <c r="H709" t="s">
        <v>30</v>
      </c>
      <c r="I709" t="s">
        <v>68</v>
      </c>
      <c r="J709" t="s">
        <v>43</v>
      </c>
      <c r="K709" t="s">
        <v>33</v>
      </c>
      <c r="L709" t="s">
        <v>34</v>
      </c>
      <c r="M709" t="s">
        <v>266</v>
      </c>
      <c r="N709" t="s">
        <v>46</v>
      </c>
      <c r="O709" t="s">
        <v>3419</v>
      </c>
      <c r="P709" t="s">
        <v>75</v>
      </c>
      <c r="Q709" t="s">
        <v>65</v>
      </c>
      <c r="R709" s="5">
        <v>42768.707245370373</v>
      </c>
      <c r="S709" s="5">
        <v>42930.587777777779</v>
      </c>
      <c r="T709" t="s">
        <v>53</v>
      </c>
      <c r="U709" t="s">
        <v>35</v>
      </c>
      <c r="V709" s="3" t="s">
        <v>35</v>
      </c>
      <c r="W709" s="3" t="s">
        <v>4143</v>
      </c>
      <c r="AM709" s="5"/>
      <c r="AN709" s="5"/>
      <c r="AQ709" s="6"/>
    </row>
    <row r="710" spans="2:43" x14ac:dyDescent="0.25">
      <c r="B710" t="s">
        <v>213</v>
      </c>
      <c r="C710">
        <v>94974</v>
      </c>
      <c r="D710" t="s">
        <v>531</v>
      </c>
      <c r="E710" t="s">
        <v>387</v>
      </c>
      <c r="F710" t="s">
        <v>305</v>
      </c>
      <c r="G710" t="s">
        <v>337</v>
      </c>
      <c r="H710" t="s">
        <v>54</v>
      </c>
      <c r="I710" t="s">
        <v>31</v>
      </c>
      <c r="J710" t="s">
        <v>43</v>
      </c>
      <c r="K710" t="s">
        <v>44</v>
      </c>
      <c r="L710" t="s">
        <v>73</v>
      </c>
      <c r="M710" t="s">
        <v>263</v>
      </c>
      <c r="N710" t="s">
        <v>60</v>
      </c>
      <c r="P710" t="s">
        <v>107</v>
      </c>
      <c r="Q710" t="s">
        <v>3708</v>
      </c>
      <c r="R710" s="5">
        <v>42759.783310185187</v>
      </c>
      <c r="S710" s="5">
        <v>43423.863622685189</v>
      </c>
      <c r="T710" t="s">
        <v>317</v>
      </c>
      <c r="U710" t="s">
        <v>35</v>
      </c>
      <c r="V710" s="3" t="s">
        <v>35</v>
      </c>
      <c r="W710" s="3" t="s">
        <v>4156</v>
      </c>
      <c r="AM710" s="5"/>
      <c r="AN710" s="5"/>
      <c r="AQ710" s="6"/>
    </row>
    <row r="711" spans="2:43" x14ac:dyDescent="0.25">
      <c r="B711" t="s">
        <v>213</v>
      </c>
      <c r="C711">
        <v>94973</v>
      </c>
      <c r="D711" t="s">
        <v>3417</v>
      </c>
      <c r="E711" t="s">
        <v>72</v>
      </c>
      <c r="F711" t="s">
        <v>305</v>
      </c>
      <c r="G711" t="s">
        <v>337</v>
      </c>
      <c r="H711" t="s">
        <v>54</v>
      </c>
      <c r="I711" t="s">
        <v>68</v>
      </c>
      <c r="J711" t="s">
        <v>43</v>
      </c>
      <c r="K711" t="s">
        <v>33</v>
      </c>
      <c r="L711" t="s">
        <v>73</v>
      </c>
      <c r="M711" t="s">
        <v>263</v>
      </c>
      <c r="N711" t="s">
        <v>60</v>
      </c>
      <c r="P711" t="s">
        <v>107</v>
      </c>
      <c r="Q711" t="s">
        <v>65</v>
      </c>
      <c r="R711" s="5">
        <v>42759.782094907408</v>
      </c>
      <c r="S711" s="5">
        <v>42983.354548611111</v>
      </c>
      <c r="T711" t="s">
        <v>317</v>
      </c>
      <c r="U711" t="s">
        <v>35</v>
      </c>
      <c r="V711" s="3" t="s">
        <v>35</v>
      </c>
      <c r="W711" s="3" t="s">
        <v>69</v>
      </c>
      <c r="AM711" s="5"/>
      <c r="AN711" s="5"/>
      <c r="AQ711" s="6"/>
    </row>
    <row r="712" spans="2:43" x14ac:dyDescent="0.25">
      <c r="B712" t="s">
        <v>3414</v>
      </c>
      <c r="C712">
        <v>94972</v>
      </c>
      <c r="D712" t="s">
        <v>3415</v>
      </c>
      <c r="E712" t="s">
        <v>72</v>
      </c>
      <c r="F712" t="s">
        <v>305</v>
      </c>
      <c r="G712" t="s">
        <v>337</v>
      </c>
      <c r="H712" t="s">
        <v>54</v>
      </c>
      <c r="I712" t="s">
        <v>68</v>
      </c>
      <c r="J712" t="s">
        <v>43</v>
      </c>
      <c r="K712" t="s">
        <v>33</v>
      </c>
      <c r="L712" t="s">
        <v>73</v>
      </c>
      <c r="M712" t="s">
        <v>263</v>
      </c>
      <c r="N712" t="s">
        <v>60</v>
      </c>
      <c r="O712" t="s">
        <v>3416</v>
      </c>
      <c r="P712" t="s">
        <v>107</v>
      </c>
      <c r="Q712" t="s">
        <v>3389</v>
      </c>
      <c r="R712" s="5">
        <v>42759.782013888886</v>
      </c>
      <c r="S712" s="5">
        <v>42760.661817129629</v>
      </c>
      <c r="T712" t="s">
        <v>317</v>
      </c>
      <c r="U712" t="s">
        <v>35</v>
      </c>
      <c r="V712" s="3" t="s">
        <v>35</v>
      </c>
      <c r="W712" s="3" t="s">
        <v>133</v>
      </c>
      <c r="AM712" s="5"/>
      <c r="AN712" s="5"/>
      <c r="AQ712" s="6"/>
    </row>
    <row r="713" spans="2:43" x14ac:dyDescent="0.25">
      <c r="B713" t="s">
        <v>213</v>
      </c>
      <c r="C713">
        <v>94968</v>
      </c>
      <c r="D713" t="s">
        <v>111</v>
      </c>
      <c r="E713" t="s">
        <v>112</v>
      </c>
      <c r="F713" t="s">
        <v>319</v>
      </c>
      <c r="G713" t="s">
        <v>304</v>
      </c>
      <c r="H713" t="s">
        <v>54</v>
      </c>
      <c r="I713" t="s">
        <v>31</v>
      </c>
      <c r="J713" t="s">
        <v>43</v>
      </c>
      <c r="K713" t="s">
        <v>44</v>
      </c>
      <c r="L713" t="s">
        <v>73</v>
      </c>
      <c r="M713" t="s">
        <v>263</v>
      </c>
      <c r="N713" t="s">
        <v>60</v>
      </c>
      <c r="P713" t="s">
        <v>107</v>
      </c>
      <c r="Q713" t="s">
        <v>3708</v>
      </c>
      <c r="R713" s="5">
        <v>42759.680289351854</v>
      </c>
      <c r="S713" s="5">
        <v>43423.896527777775</v>
      </c>
      <c r="T713" t="s">
        <v>1</v>
      </c>
      <c r="U713" t="s">
        <v>4003</v>
      </c>
      <c r="V713" s="3" t="s">
        <v>35</v>
      </c>
      <c r="W713" s="3" t="s">
        <v>4098</v>
      </c>
      <c r="AM713" s="5"/>
      <c r="AN713" s="5"/>
      <c r="AQ713" s="6"/>
    </row>
    <row r="714" spans="2:43" x14ac:dyDescent="0.25">
      <c r="B714" t="s">
        <v>238</v>
      </c>
      <c r="C714">
        <v>94912</v>
      </c>
      <c r="D714" t="s">
        <v>530</v>
      </c>
      <c r="E714" t="s">
        <v>170</v>
      </c>
      <c r="F714" t="s">
        <v>305</v>
      </c>
      <c r="G714" t="s">
        <v>337</v>
      </c>
      <c r="H714" t="s">
        <v>30</v>
      </c>
      <c r="I714" t="s">
        <v>68</v>
      </c>
      <c r="J714" t="s">
        <v>43</v>
      </c>
      <c r="K714" t="s">
        <v>33</v>
      </c>
      <c r="L714" t="s">
        <v>73</v>
      </c>
      <c r="M714" t="s">
        <v>263</v>
      </c>
      <c r="N714" t="s">
        <v>46</v>
      </c>
      <c r="P714" t="s">
        <v>107</v>
      </c>
      <c r="Q714" t="s">
        <v>3708</v>
      </c>
      <c r="R714" s="5">
        <v>42758.743067129632</v>
      </c>
      <c r="S714" s="5">
        <v>43423.863518518519</v>
      </c>
      <c r="T714" t="s">
        <v>94</v>
      </c>
      <c r="U714" t="s">
        <v>35</v>
      </c>
      <c r="V714" s="3" t="s">
        <v>35</v>
      </c>
      <c r="W714" s="3" t="s">
        <v>4156</v>
      </c>
      <c r="AM714" s="5"/>
      <c r="AN714" s="5"/>
      <c r="AQ714" s="6"/>
    </row>
    <row r="715" spans="2:43" x14ac:dyDescent="0.25">
      <c r="B715" t="s">
        <v>3408</v>
      </c>
      <c r="C715">
        <v>94841</v>
      </c>
      <c r="D715" t="s">
        <v>3409</v>
      </c>
      <c r="E715" t="s">
        <v>3410</v>
      </c>
      <c r="F715" t="s">
        <v>319</v>
      </c>
      <c r="G715" t="s">
        <v>304</v>
      </c>
      <c r="H715" t="s">
        <v>56</v>
      </c>
      <c r="I715" t="s">
        <v>68</v>
      </c>
      <c r="J715" t="s">
        <v>43</v>
      </c>
      <c r="K715" t="s">
        <v>33</v>
      </c>
      <c r="L715" t="s">
        <v>34</v>
      </c>
      <c r="M715" t="s">
        <v>3411</v>
      </c>
      <c r="N715" t="s">
        <v>46</v>
      </c>
      <c r="O715" t="s">
        <v>3412</v>
      </c>
      <c r="P715" t="s">
        <v>56</v>
      </c>
      <c r="Q715" t="s">
        <v>3413</v>
      </c>
      <c r="R715" s="5">
        <v>42755.88585648148</v>
      </c>
      <c r="S715" s="5">
        <v>43270.409594907411</v>
      </c>
      <c r="T715" t="s">
        <v>3410</v>
      </c>
      <c r="U715" t="s">
        <v>35</v>
      </c>
      <c r="V715" s="3" t="s">
        <v>35</v>
      </c>
      <c r="W715" s="3" t="s">
        <v>4098</v>
      </c>
      <c r="AM715" s="5"/>
      <c r="AN715" s="5"/>
      <c r="AQ715" s="6"/>
    </row>
    <row r="716" spans="2:43" x14ac:dyDescent="0.25">
      <c r="B716" t="s">
        <v>212</v>
      </c>
      <c r="C716">
        <v>94836</v>
      </c>
      <c r="D716" t="s">
        <v>529</v>
      </c>
      <c r="E716" t="s">
        <v>110</v>
      </c>
      <c r="F716" t="s">
        <v>305</v>
      </c>
      <c r="G716" t="s">
        <v>337</v>
      </c>
      <c r="H716" t="s">
        <v>54</v>
      </c>
      <c r="I716" t="s">
        <v>31</v>
      </c>
      <c r="J716" t="s">
        <v>32</v>
      </c>
      <c r="K716" t="s">
        <v>33</v>
      </c>
      <c r="L716" t="s">
        <v>73</v>
      </c>
      <c r="M716" t="s">
        <v>263</v>
      </c>
      <c r="N716" t="s">
        <v>60</v>
      </c>
      <c r="P716" t="s">
        <v>107</v>
      </c>
      <c r="Q716" t="s">
        <v>3708</v>
      </c>
      <c r="R716" s="5">
        <v>42755.776631944442</v>
      </c>
      <c r="S716" s="5">
        <v>43423.863587962966</v>
      </c>
      <c r="T716" t="s">
        <v>317</v>
      </c>
      <c r="U716" t="s">
        <v>35</v>
      </c>
      <c r="V716" s="3" t="s">
        <v>321</v>
      </c>
      <c r="W716" s="3" t="s">
        <v>4156</v>
      </c>
      <c r="AM716" s="5"/>
      <c r="AN716" s="5"/>
      <c r="AQ716" s="6"/>
    </row>
    <row r="717" spans="2:43" x14ac:dyDescent="0.25">
      <c r="B717" t="s">
        <v>3405</v>
      </c>
      <c r="C717">
        <v>94835</v>
      </c>
      <c r="D717" t="s">
        <v>3406</v>
      </c>
      <c r="E717" t="s">
        <v>155</v>
      </c>
      <c r="F717" t="s">
        <v>305</v>
      </c>
      <c r="G717" t="s">
        <v>337</v>
      </c>
      <c r="H717" t="s">
        <v>54</v>
      </c>
      <c r="I717" t="s">
        <v>31</v>
      </c>
      <c r="J717" t="s">
        <v>32</v>
      </c>
      <c r="K717" t="s">
        <v>33</v>
      </c>
      <c r="L717" t="s">
        <v>73</v>
      </c>
      <c r="M717" t="s">
        <v>263</v>
      </c>
      <c r="N717" t="s">
        <v>518</v>
      </c>
      <c r="O717" t="s">
        <v>3407</v>
      </c>
      <c r="P717" t="s">
        <v>107</v>
      </c>
      <c r="Q717" t="s">
        <v>2481</v>
      </c>
      <c r="R717" s="5">
        <v>42755.776539351849</v>
      </c>
      <c r="S717" s="5">
        <v>42986.584317129629</v>
      </c>
      <c r="T717" t="s">
        <v>317</v>
      </c>
      <c r="U717" t="s">
        <v>35</v>
      </c>
      <c r="V717" s="3" t="s">
        <v>321</v>
      </c>
      <c r="W717" s="3" t="s">
        <v>69</v>
      </c>
      <c r="AM717" s="5"/>
      <c r="AN717" s="5"/>
      <c r="AQ717" s="6"/>
    </row>
    <row r="718" spans="2:43" x14ac:dyDescent="0.25">
      <c r="B718" t="s">
        <v>212</v>
      </c>
      <c r="C718">
        <v>94834</v>
      </c>
      <c r="D718" t="s">
        <v>3404</v>
      </c>
      <c r="E718" t="s">
        <v>94</v>
      </c>
      <c r="F718" t="s">
        <v>305</v>
      </c>
      <c r="G718" t="s">
        <v>337</v>
      </c>
      <c r="H718" t="s">
        <v>54</v>
      </c>
      <c r="I718" t="s">
        <v>31</v>
      </c>
      <c r="J718" t="s">
        <v>32</v>
      </c>
      <c r="K718" t="s">
        <v>33</v>
      </c>
      <c r="L718" t="s">
        <v>73</v>
      </c>
      <c r="M718" t="s">
        <v>263</v>
      </c>
      <c r="N718" t="s">
        <v>60</v>
      </c>
      <c r="P718" t="s">
        <v>107</v>
      </c>
      <c r="Q718" t="s">
        <v>65</v>
      </c>
      <c r="R718" s="5">
        <v>42755.776435185187</v>
      </c>
      <c r="S718" s="5">
        <v>42829.689502314817</v>
      </c>
      <c r="T718" t="s">
        <v>317</v>
      </c>
      <c r="U718" t="s">
        <v>35</v>
      </c>
      <c r="V718" s="3" t="s">
        <v>321</v>
      </c>
      <c r="W718" s="3" t="s">
        <v>133</v>
      </c>
      <c r="AM718" s="5"/>
      <c r="AN718" s="5"/>
      <c r="AQ718" s="6"/>
    </row>
    <row r="719" spans="2:43" x14ac:dyDescent="0.25">
      <c r="B719" t="s">
        <v>212</v>
      </c>
      <c r="C719">
        <v>94830</v>
      </c>
      <c r="D719" t="s">
        <v>109</v>
      </c>
      <c r="E719" t="s">
        <v>110</v>
      </c>
      <c r="F719" t="s">
        <v>305</v>
      </c>
      <c r="G719" t="s">
        <v>353</v>
      </c>
      <c r="H719" t="s">
        <v>54</v>
      </c>
      <c r="I719" t="s">
        <v>31</v>
      </c>
      <c r="J719" t="s">
        <v>32</v>
      </c>
      <c r="K719" t="s">
        <v>33</v>
      </c>
      <c r="L719" t="s">
        <v>73</v>
      </c>
      <c r="M719" t="s">
        <v>263</v>
      </c>
      <c r="N719" t="s">
        <v>60</v>
      </c>
      <c r="P719" t="s">
        <v>107</v>
      </c>
      <c r="Q719" t="s">
        <v>3708</v>
      </c>
      <c r="R719" s="5">
        <v>42755.74523148148</v>
      </c>
      <c r="S719" s="5">
        <v>43459.15520833333</v>
      </c>
      <c r="T719" t="s">
        <v>1</v>
      </c>
      <c r="U719" t="s">
        <v>35</v>
      </c>
      <c r="V719" s="3" t="s">
        <v>321</v>
      </c>
      <c r="W719" s="3" t="s">
        <v>4098</v>
      </c>
      <c r="AM719" s="5"/>
      <c r="AN719" s="5"/>
      <c r="AQ719" s="6"/>
    </row>
    <row r="720" spans="2:43" x14ac:dyDescent="0.25">
      <c r="B720" t="s">
        <v>211</v>
      </c>
      <c r="C720">
        <v>94695</v>
      </c>
      <c r="D720" t="s">
        <v>3403</v>
      </c>
      <c r="E720" t="s">
        <v>527</v>
      </c>
      <c r="F720" t="s">
        <v>305</v>
      </c>
      <c r="G720" t="s">
        <v>304</v>
      </c>
      <c r="H720" t="s">
        <v>116</v>
      </c>
      <c r="I720" t="s">
        <v>31</v>
      </c>
      <c r="J720" t="s">
        <v>32</v>
      </c>
      <c r="K720" t="s">
        <v>33</v>
      </c>
      <c r="L720" t="s">
        <v>106</v>
      </c>
      <c r="M720" t="s">
        <v>270</v>
      </c>
      <c r="N720" t="s">
        <v>510</v>
      </c>
      <c r="P720" t="s">
        <v>107</v>
      </c>
      <c r="Q720" t="s">
        <v>528</v>
      </c>
      <c r="R720" s="5">
        <v>42753.482893518521</v>
      </c>
      <c r="S720" s="5">
        <v>42929.531261574077</v>
      </c>
      <c r="T720" t="s">
        <v>108</v>
      </c>
      <c r="U720" t="s">
        <v>4002</v>
      </c>
      <c r="V720" s="3" t="s">
        <v>35</v>
      </c>
      <c r="W720" s="3" t="s">
        <v>69</v>
      </c>
      <c r="AM720" s="5"/>
      <c r="AN720" s="5"/>
      <c r="AQ720" s="6"/>
    </row>
    <row r="721" spans="2:43" x14ac:dyDescent="0.25">
      <c r="B721" t="s">
        <v>211</v>
      </c>
      <c r="C721">
        <v>94694</v>
      </c>
      <c r="D721" t="s">
        <v>3402</v>
      </c>
      <c r="E721" t="s">
        <v>105</v>
      </c>
      <c r="F721" t="s">
        <v>305</v>
      </c>
      <c r="G721" t="s">
        <v>304</v>
      </c>
      <c r="H721" t="s">
        <v>54</v>
      </c>
      <c r="I721" t="s">
        <v>31</v>
      </c>
      <c r="J721" t="s">
        <v>32</v>
      </c>
      <c r="K721" t="s">
        <v>33</v>
      </c>
      <c r="L721" t="s">
        <v>106</v>
      </c>
      <c r="M721" t="s">
        <v>270</v>
      </c>
      <c r="N721" t="s">
        <v>60</v>
      </c>
      <c r="P721" t="s">
        <v>107</v>
      </c>
      <c r="R721" s="5">
        <v>42753.482835648145</v>
      </c>
      <c r="S721" s="5">
        <v>42941.881412037037</v>
      </c>
      <c r="T721" t="s">
        <v>108</v>
      </c>
      <c r="U721" t="s">
        <v>35</v>
      </c>
      <c r="V721" s="3" t="s">
        <v>35</v>
      </c>
      <c r="W721" s="3" t="s">
        <v>133</v>
      </c>
      <c r="AM721" s="5"/>
      <c r="AN721" s="5"/>
      <c r="AQ721" s="6"/>
    </row>
    <row r="722" spans="2:43" x14ac:dyDescent="0.25">
      <c r="B722" t="s">
        <v>211</v>
      </c>
      <c r="C722">
        <v>94693</v>
      </c>
      <c r="D722" t="s">
        <v>526</v>
      </c>
      <c r="E722" t="s">
        <v>527</v>
      </c>
      <c r="F722" t="s">
        <v>305</v>
      </c>
      <c r="G722" t="s">
        <v>337</v>
      </c>
      <c r="H722" t="s">
        <v>54</v>
      </c>
      <c r="I722" t="s">
        <v>31</v>
      </c>
      <c r="J722" t="s">
        <v>32</v>
      </c>
      <c r="K722" t="s">
        <v>33</v>
      </c>
      <c r="L722" t="s">
        <v>106</v>
      </c>
      <c r="M722" t="s">
        <v>270</v>
      </c>
      <c r="N722" t="s">
        <v>523</v>
      </c>
      <c r="P722" t="s">
        <v>107</v>
      </c>
      <c r="Q722" t="s">
        <v>3708</v>
      </c>
      <c r="R722" s="5">
        <v>42753.482789351852</v>
      </c>
      <c r="S722" s="5">
        <v>43423.863611111112</v>
      </c>
      <c r="T722" t="s">
        <v>108</v>
      </c>
      <c r="U722" t="s">
        <v>35</v>
      </c>
      <c r="V722" s="3" t="s">
        <v>35</v>
      </c>
      <c r="W722" s="3" t="s">
        <v>4156</v>
      </c>
      <c r="AM722" s="5"/>
      <c r="AN722" s="5"/>
      <c r="AQ722" s="6"/>
    </row>
    <row r="723" spans="2:43" x14ac:dyDescent="0.25">
      <c r="B723" t="s">
        <v>211</v>
      </c>
      <c r="C723">
        <v>94687</v>
      </c>
      <c r="D723" t="s">
        <v>104</v>
      </c>
      <c r="E723" t="s">
        <v>105</v>
      </c>
      <c r="F723" t="s">
        <v>319</v>
      </c>
      <c r="G723" t="s">
        <v>304</v>
      </c>
      <c r="H723" t="s">
        <v>54</v>
      </c>
      <c r="I723" t="s">
        <v>31</v>
      </c>
      <c r="J723" t="s">
        <v>32</v>
      </c>
      <c r="K723" t="s">
        <v>33</v>
      </c>
      <c r="L723" t="s">
        <v>106</v>
      </c>
      <c r="M723" t="s">
        <v>270</v>
      </c>
      <c r="N723" t="s">
        <v>46</v>
      </c>
      <c r="P723" t="s">
        <v>107</v>
      </c>
      <c r="Q723" t="s">
        <v>3708</v>
      </c>
      <c r="R723" s="5">
        <v>42753.419571759259</v>
      </c>
      <c r="S723" s="5">
        <v>43423.885428240741</v>
      </c>
      <c r="T723" t="s">
        <v>108</v>
      </c>
      <c r="U723" t="s">
        <v>35</v>
      </c>
      <c r="V723" s="3" t="s">
        <v>35</v>
      </c>
      <c r="W723" s="3" t="s">
        <v>4098</v>
      </c>
      <c r="AM723" s="5"/>
      <c r="AN723" s="5"/>
      <c r="AQ723" s="6"/>
    </row>
    <row r="724" spans="2:43" x14ac:dyDescent="0.25">
      <c r="B724" t="s">
        <v>211</v>
      </c>
      <c r="C724">
        <v>94268</v>
      </c>
      <c r="D724" t="s">
        <v>3401</v>
      </c>
      <c r="E724" t="s">
        <v>134</v>
      </c>
      <c r="F724" t="s">
        <v>305</v>
      </c>
      <c r="G724" t="s">
        <v>304</v>
      </c>
      <c r="H724" t="s">
        <v>54</v>
      </c>
      <c r="I724" t="s">
        <v>31</v>
      </c>
      <c r="J724" t="s">
        <v>32</v>
      </c>
      <c r="K724" t="s">
        <v>33</v>
      </c>
      <c r="L724" t="s">
        <v>106</v>
      </c>
      <c r="M724" t="s">
        <v>270</v>
      </c>
      <c r="N724" t="s">
        <v>518</v>
      </c>
      <c r="P724" t="s">
        <v>77</v>
      </c>
      <c r="Q724" t="s">
        <v>3298</v>
      </c>
      <c r="R724" s="5">
        <v>42741.538564814815</v>
      </c>
      <c r="S724" s="5">
        <v>42929.529027777775</v>
      </c>
      <c r="T724" t="s">
        <v>108</v>
      </c>
      <c r="U724" t="s">
        <v>4001</v>
      </c>
      <c r="V724" s="3" t="s">
        <v>35</v>
      </c>
      <c r="W724" s="3" t="s">
        <v>69</v>
      </c>
      <c r="AM724" s="5"/>
      <c r="AN724" s="5"/>
      <c r="AQ724" s="6"/>
    </row>
    <row r="725" spans="2:43" x14ac:dyDescent="0.25">
      <c r="B725" t="s">
        <v>211</v>
      </c>
      <c r="C725">
        <v>94267</v>
      </c>
      <c r="D725" t="s">
        <v>3400</v>
      </c>
      <c r="E725" t="s">
        <v>105</v>
      </c>
      <c r="F725" t="s">
        <v>305</v>
      </c>
      <c r="G725" t="s">
        <v>337</v>
      </c>
      <c r="H725" t="s">
        <v>54</v>
      </c>
      <c r="I725" t="s">
        <v>31</v>
      </c>
      <c r="J725" t="s">
        <v>32</v>
      </c>
      <c r="K725" t="s">
        <v>33</v>
      </c>
      <c r="L725" t="s">
        <v>106</v>
      </c>
      <c r="M725" t="s">
        <v>270</v>
      </c>
      <c r="N725" t="s">
        <v>60</v>
      </c>
      <c r="P725" t="s">
        <v>77</v>
      </c>
      <c r="Q725" t="s">
        <v>3298</v>
      </c>
      <c r="R725" s="5">
        <v>42741.538449074076</v>
      </c>
      <c r="S725" s="5">
        <v>42941.9606712963</v>
      </c>
      <c r="T725" t="s">
        <v>108</v>
      </c>
      <c r="U725" t="s">
        <v>35</v>
      </c>
      <c r="V725" s="3" t="s">
        <v>35</v>
      </c>
      <c r="W725" s="3" t="s">
        <v>133</v>
      </c>
      <c r="AM725" s="5"/>
      <c r="AN725" s="5"/>
      <c r="AQ725" s="6"/>
    </row>
    <row r="726" spans="2:43" x14ac:dyDescent="0.25">
      <c r="B726" t="s">
        <v>211</v>
      </c>
      <c r="C726">
        <v>94266</v>
      </c>
      <c r="D726" t="s">
        <v>3399</v>
      </c>
      <c r="E726" t="s">
        <v>105</v>
      </c>
      <c r="F726" t="s">
        <v>305</v>
      </c>
      <c r="G726" t="s">
        <v>337</v>
      </c>
      <c r="H726" t="s">
        <v>54</v>
      </c>
      <c r="I726" t="s">
        <v>31</v>
      </c>
      <c r="J726" t="s">
        <v>32</v>
      </c>
      <c r="K726" t="s">
        <v>33</v>
      </c>
      <c r="L726" t="s">
        <v>106</v>
      </c>
      <c r="M726" t="s">
        <v>270</v>
      </c>
      <c r="N726" t="s">
        <v>60</v>
      </c>
      <c r="P726" t="s">
        <v>77</v>
      </c>
      <c r="Q726" t="s">
        <v>3298</v>
      </c>
      <c r="R726" s="5">
        <v>42741.538368055553</v>
      </c>
      <c r="S726" s="5">
        <v>42759.743888888886</v>
      </c>
      <c r="T726" t="s">
        <v>108</v>
      </c>
      <c r="U726" t="s">
        <v>35</v>
      </c>
      <c r="V726" s="3" t="s">
        <v>35</v>
      </c>
      <c r="W726" s="3" t="s">
        <v>4156</v>
      </c>
      <c r="AM726" s="5"/>
      <c r="AN726" s="5"/>
      <c r="AQ726" s="6"/>
    </row>
    <row r="727" spans="2:43" x14ac:dyDescent="0.25">
      <c r="B727" t="s">
        <v>210</v>
      </c>
      <c r="C727">
        <v>94192</v>
      </c>
      <c r="D727" t="s">
        <v>525</v>
      </c>
      <c r="E727" t="s">
        <v>103</v>
      </c>
      <c r="F727" t="s">
        <v>305</v>
      </c>
      <c r="G727" t="s">
        <v>337</v>
      </c>
      <c r="H727" t="s">
        <v>54</v>
      </c>
      <c r="I727" t="s">
        <v>31</v>
      </c>
      <c r="J727" t="s">
        <v>32</v>
      </c>
      <c r="K727" t="s">
        <v>33</v>
      </c>
      <c r="L727" t="s">
        <v>96</v>
      </c>
      <c r="M727" t="s">
        <v>281</v>
      </c>
      <c r="N727" t="s">
        <v>60</v>
      </c>
      <c r="P727" t="s">
        <v>77</v>
      </c>
      <c r="Q727" t="s">
        <v>3708</v>
      </c>
      <c r="R727" s="5">
        <v>42740.289479166669</v>
      </c>
      <c r="S727" s="5">
        <v>43423.863495370373</v>
      </c>
      <c r="T727" t="s">
        <v>317</v>
      </c>
      <c r="U727" t="s">
        <v>35</v>
      </c>
      <c r="V727" s="3" t="s">
        <v>321</v>
      </c>
      <c r="W727" s="3" t="s">
        <v>4156</v>
      </c>
      <c r="AM727" s="5"/>
      <c r="AN727" s="5"/>
      <c r="AQ727" s="6"/>
    </row>
    <row r="728" spans="2:43" x14ac:dyDescent="0.25">
      <c r="B728" t="s">
        <v>210</v>
      </c>
      <c r="C728">
        <v>94191</v>
      </c>
      <c r="D728" t="s">
        <v>3398</v>
      </c>
      <c r="E728" t="s">
        <v>103</v>
      </c>
      <c r="F728" t="s">
        <v>305</v>
      </c>
      <c r="G728" t="s">
        <v>337</v>
      </c>
      <c r="H728" t="s">
        <v>116</v>
      </c>
      <c r="I728" t="s">
        <v>31</v>
      </c>
      <c r="J728" t="s">
        <v>32</v>
      </c>
      <c r="K728" t="s">
        <v>33</v>
      </c>
      <c r="L728" t="s">
        <v>96</v>
      </c>
      <c r="M728" t="s">
        <v>269</v>
      </c>
      <c r="N728" t="s">
        <v>518</v>
      </c>
      <c r="P728" t="s">
        <v>77</v>
      </c>
      <c r="Q728" t="s">
        <v>1503</v>
      </c>
      <c r="R728" s="5">
        <v>42740.289351851854</v>
      </c>
      <c r="S728" s="5">
        <v>42986.589675925927</v>
      </c>
      <c r="T728" t="s">
        <v>317</v>
      </c>
      <c r="U728" t="s">
        <v>35</v>
      </c>
      <c r="V728" s="3" t="s">
        <v>321</v>
      </c>
      <c r="W728" s="3" t="s">
        <v>69</v>
      </c>
      <c r="AM728" s="5"/>
      <c r="AN728" s="5"/>
      <c r="AQ728" s="6"/>
    </row>
    <row r="729" spans="2:43" x14ac:dyDescent="0.25">
      <c r="B729" t="s">
        <v>210</v>
      </c>
      <c r="C729">
        <v>94190</v>
      </c>
      <c r="D729" t="s">
        <v>3396</v>
      </c>
      <c r="E729" t="s">
        <v>3397</v>
      </c>
      <c r="F729" t="s">
        <v>305</v>
      </c>
      <c r="G729" t="s">
        <v>337</v>
      </c>
      <c r="H729" t="s">
        <v>54</v>
      </c>
      <c r="I729" t="s">
        <v>31</v>
      </c>
      <c r="J729" t="s">
        <v>32</v>
      </c>
      <c r="K729" t="s">
        <v>33</v>
      </c>
      <c r="L729" t="s">
        <v>96</v>
      </c>
      <c r="M729" t="s">
        <v>267</v>
      </c>
      <c r="N729" t="s">
        <v>60</v>
      </c>
      <c r="P729" t="s">
        <v>77</v>
      </c>
      <c r="Q729" t="s">
        <v>65</v>
      </c>
      <c r="R729" s="5">
        <v>42740.289247685185</v>
      </c>
      <c r="S729" s="5">
        <v>42941.880069444444</v>
      </c>
      <c r="T729" t="s">
        <v>317</v>
      </c>
      <c r="U729" t="s">
        <v>35</v>
      </c>
      <c r="V729" s="3" t="s">
        <v>321</v>
      </c>
      <c r="W729" s="3" t="s">
        <v>133</v>
      </c>
      <c r="AM729" s="5"/>
      <c r="AN729" s="5"/>
      <c r="AQ729" s="6"/>
    </row>
    <row r="730" spans="2:43" x14ac:dyDescent="0.25">
      <c r="B730" t="s">
        <v>3385</v>
      </c>
      <c r="C730">
        <v>94169</v>
      </c>
      <c r="D730" t="s">
        <v>3395</v>
      </c>
      <c r="E730" t="s">
        <v>175</v>
      </c>
      <c r="F730" t="s">
        <v>305</v>
      </c>
      <c r="G730" t="s">
        <v>395</v>
      </c>
      <c r="H730" t="s">
        <v>54</v>
      </c>
      <c r="I730" t="s">
        <v>68</v>
      </c>
      <c r="J730" t="s">
        <v>43</v>
      </c>
      <c r="K730" t="s">
        <v>33</v>
      </c>
      <c r="L730" t="s">
        <v>2529</v>
      </c>
      <c r="M730" t="s">
        <v>3387</v>
      </c>
      <c r="N730" t="s">
        <v>60</v>
      </c>
      <c r="P730" t="s">
        <v>107</v>
      </c>
      <c r="Q730" t="s">
        <v>3389</v>
      </c>
      <c r="R730" s="5">
        <v>42739.797384259262</v>
      </c>
      <c r="S730" s="5">
        <v>42871.458738425928</v>
      </c>
      <c r="T730" t="s">
        <v>288</v>
      </c>
      <c r="U730" t="s">
        <v>35</v>
      </c>
      <c r="V730" s="3" t="s">
        <v>35</v>
      </c>
      <c r="W730" s="3" t="s">
        <v>69</v>
      </c>
      <c r="AM730" s="5"/>
      <c r="AN730" s="5"/>
      <c r="AQ730" s="6"/>
    </row>
    <row r="731" spans="2:43" x14ac:dyDescent="0.25">
      <c r="B731" t="s">
        <v>3385</v>
      </c>
      <c r="C731">
        <v>94168</v>
      </c>
      <c r="D731" t="s">
        <v>3394</v>
      </c>
      <c r="E731" t="s">
        <v>194</v>
      </c>
      <c r="F731" t="s">
        <v>305</v>
      </c>
      <c r="G731" t="s">
        <v>395</v>
      </c>
      <c r="H731" t="s">
        <v>54</v>
      </c>
      <c r="I731" t="s">
        <v>68</v>
      </c>
      <c r="J731" t="s">
        <v>43</v>
      </c>
      <c r="K731" t="s">
        <v>33</v>
      </c>
      <c r="L731" t="s">
        <v>2529</v>
      </c>
      <c r="M731" t="s">
        <v>3387</v>
      </c>
      <c r="N731" t="s">
        <v>60</v>
      </c>
      <c r="P731" t="s">
        <v>107</v>
      </c>
      <c r="Q731" t="s">
        <v>3389</v>
      </c>
      <c r="R731" s="5">
        <v>42739.797407407408</v>
      </c>
      <c r="S731" s="5">
        <v>43291.150405092594</v>
      </c>
      <c r="T731" t="s">
        <v>288</v>
      </c>
      <c r="U731" t="s">
        <v>35</v>
      </c>
      <c r="V731" s="3" t="s">
        <v>35</v>
      </c>
      <c r="W731" s="3" t="s">
        <v>4098</v>
      </c>
      <c r="AM731" s="5"/>
      <c r="AN731" s="5"/>
      <c r="AQ731" s="6"/>
    </row>
    <row r="732" spans="2:43" x14ac:dyDescent="0.25">
      <c r="B732" t="s">
        <v>3182</v>
      </c>
      <c r="C732">
        <v>94155</v>
      </c>
      <c r="D732" t="s">
        <v>3391</v>
      </c>
      <c r="E732" t="s">
        <v>3392</v>
      </c>
      <c r="F732" t="s">
        <v>305</v>
      </c>
      <c r="G732" t="s">
        <v>328</v>
      </c>
      <c r="H732" t="s">
        <v>30</v>
      </c>
      <c r="I732" t="s">
        <v>31</v>
      </c>
      <c r="J732" t="s">
        <v>32</v>
      </c>
      <c r="K732" t="s">
        <v>33</v>
      </c>
      <c r="L732" t="s">
        <v>34</v>
      </c>
      <c r="M732" t="s">
        <v>3185</v>
      </c>
      <c r="N732" t="s">
        <v>46</v>
      </c>
      <c r="O732" t="s">
        <v>3393</v>
      </c>
      <c r="P732" t="s">
        <v>3187</v>
      </c>
      <c r="Q732" t="s">
        <v>3188</v>
      </c>
      <c r="R732" s="5">
        <v>42739.637650462966</v>
      </c>
      <c r="S732" s="5">
        <v>42929.392372685186</v>
      </c>
      <c r="T732" t="s">
        <v>171</v>
      </c>
      <c r="U732" t="s">
        <v>35</v>
      </c>
      <c r="V732" s="3" t="s">
        <v>35</v>
      </c>
      <c r="W732" s="3" t="s">
        <v>3555</v>
      </c>
      <c r="AM732" s="5"/>
      <c r="AN732" s="5"/>
      <c r="AQ732" s="6"/>
    </row>
    <row r="733" spans="2:43" x14ac:dyDescent="0.25">
      <c r="B733" t="s">
        <v>3182</v>
      </c>
      <c r="C733">
        <v>94154</v>
      </c>
      <c r="D733" t="s">
        <v>3390</v>
      </c>
      <c r="E733" t="s">
        <v>3184</v>
      </c>
      <c r="F733" t="s">
        <v>305</v>
      </c>
      <c r="G733" t="s">
        <v>337</v>
      </c>
      <c r="H733" t="s">
        <v>30</v>
      </c>
      <c r="I733" t="s">
        <v>31</v>
      </c>
      <c r="J733" t="s">
        <v>32</v>
      </c>
      <c r="K733" t="s">
        <v>33</v>
      </c>
      <c r="L733" t="s">
        <v>34</v>
      </c>
      <c r="M733" t="s">
        <v>3185</v>
      </c>
      <c r="N733" t="s">
        <v>46</v>
      </c>
      <c r="O733" t="s">
        <v>3186</v>
      </c>
      <c r="P733" t="s">
        <v>3187</v>
      </c>
      <c r="Q733" t="s">
        <v>3188</v>
      </c>
      <c r="R733" s="5">
        <v>42739.637673611112</v>
      </c>
      <c r="S733" s="5">
        <v>43025.125289351854</v>
      </c>
      <c r="T733" t="s">
        <v>171</v>
      </c>
      <c r="U733" t="s">
        <v>35</v>
      </c>
      <c r="V733" s="3" t="s">
        <v>35</v>
      </c>
      <c r="W733" s="3" t="s">
        <v>4098</v>
      </c>
      <c r="AM733" s="5"/>
      <c r="AN733" s="5"/>
      <c r="AQ733" s="6"/>
    </row>
    <row r="734" spans="2:43" x14ac:dyDescent="0.25">
      <c r="B734" t="s">
        <v>3385</v>
      </c>
      <c r="C734">
        <v>94085</v>
      </c>
      <c r="D734" t="s">
        <v>3386</v>
      </c>
      <c r="E734" t="s">
        <v>175</v>
      </c>
      <c r="F734" t="s">
        <v>305</v>
      </c>
      <c r="G734" t="s">
        <v>395</v>
      </c>
      <c r="H734" t="s">
        <v>54</v>
      </c>
      <c r="I734" t="s">
        <v>68</v>
      </c>
      <c r="J734" t="s">
        <v>43</v>
      </c>
      <c r="K734" t="s">
        <v>33</v>
      </c>
      <c r="L734" t="s">
        <v>2529</v>
      </c>
      <c r="M734" t="s">
        <v>3387</v>
      </c>
      <c r="N734" t="s">
        <v>60</v>
      </c>
      <c r="O734" t="s">
        <v>3388</v>
      </c>
      <c r="P734" t="s">
        <v>107</v>
      </c>
      <c r="Q734" t="s">
        <v>3389</v>
      </c>
      <c r="R734" s="5">
        <v>42738.748067129629</v>
      </c>
      <c r="S734" s="5">
        <v>42745.867210648146</v>
      </c>
      <c r="T734" t="s">
        <v>1</v>
      </c>
      <c r="U734" t="s">
        <v>35</v>
      </c>
      <c r="V734" s="3" t="s">
        <v>35</v>
      </c>
      <c r="W734" s="3" t="s">
        <v>133</v>
      </c>
      <c r="AM734" s="5"/>
      <c r="AN734" s="5"/>
      <c r="AQ734" s="6"/>
    </row>
    <row r="735" spans="2:43" x14ac:dyDescent="0.25">
      <c r="B735" t="s">
        <v>210</v>
      </c>
      <c r="C735">
        <v>94074</v>
      </c>
      <c r="D735" t="s">
        <v>102</v>
      </c>
      <c r="E735" t="s">
        <v>103</v>
      </c>
      <c r="F735" t="s">
        <v>319</v>
      </c>
      <c r="G735" t="s">
        <v>304</v>
      </c>
      <c r="H735" t="s">
        <v>54</v>
      </c>
      <c r="I735" t="s">
        <v>31</v>
      </c>
      <c r="J735" t="s">
        <v>32</v>
      </c>
      <c r="K735" t="s">
        <v>33</v>
      </c>
      <c r="L735" t="s">
        <v>96</v>
      </c>
      <c r="M735" t="s">
        <v>269</v>
      </c>
      <c r="N735" t="s">
        <v>60</v>
      </c>
      <c r="P735" t="s">
        <v>77</v>
      </c>
      <c r="Q735" t="s">
        <v>3708</v>
      </c>
      <c r="R735" s="5">
        <v>42738.692731481482</v>
      </c>
      <c r="S735" s="5">
        <v>43423.88484953704</v>
      </c>
      <c r="T735" t="s">
        <v>1</v>
      </c>
      <c r="U735" t="s">
        <v>35</v>
      </c>
      <c r="V735" s="3" t="s">
        <v>321</v>
      </c>
      <c r="W735" s="3" t="s">
        <v>4098</v>
      </c>
      <c r="AM735" s="5"/>
      <c r="AN735" s="5"/>
      <c r="AQ735" s="6"/>
    </row>
    <row r="736" spans="2:43" x14ac:dyDescent="0.25">
      <c r="B736" t="s">
        <v>3375</v>
      </c>
      <c r="C736">
        <v>93935</v>
      </c>
      <c r="D736" t="s">
        <v>3382</v>
      </c>
      <c r="E736" t="s">
        <v>3383</v>
      </c>
      <c r="F736" t="s">
        <v>305</v>
      </c>
      <c r="G736" t="s">
        <v>304</v>
      </c>
      <c r="H736" t="s">
        <v>30</v>
      </c>
      <c r="I736" t="s">
        <v>68</v>
      </c>
      <c r="J736" t="s">
        <v>58</v>
      </c>
      <c r="K736" t="s">
        <v>51</v>
      </c>
      <c r="L736" t="s">
        <v>34</v>
      </c>
      <c r="M736" t="s">
        <v>2691</v>
      </c>
      <c r="N736" t="s">
        <v>46</v>
      </c>
      <c r="O736" t="s">
        <v>3384</v>
      </c>
      <c r="P736" t="s">
        <v>77</v>
      </c>
      <c r="Q736" t="s">
        <v>159</v>
      </c>
      <c r="R736" s="5">
        <v>42724.663611111115</v>
      </c>
      <c r="S736" s="5">
        <v>42950.138310185182</v>
      </c>
      <c r="T736" t="s">
        <v>53</v>
      </c>
      <c r="U736" t="s">
        <v>3982</v>
      </c>
      <c r="V736" s="3" t="s">
        <v>35</v>
      </c>
      <c r="W736" s="3" t="s">
        <v>4143</v>
      </c>
      <c r="AM736" s="5"/>
      <c r="AN736" s="5"/>
      <c r="AQ736" s="6"/>
    </row>
    <row r="737" spans="2:43" x14ac:dyDescent="0.25">
      <c r="B737" t="s">
        <v>3375</v>
      </c>
      <c r="C737">
        <v>93934</v>
      </c>
      <c r="D737" t="s">
        <v>3381</v>
      </c>
      <c r="E737" t="s">
        <v>125</v>
      </c>
      <c r="F737" t="s">
        <v>305</v>
      </c>
      <c r="G737" t="s">
        <v>337</v>
      </c>
      <c r="H737" t="s">
        <v>30</v>
      </c>
      <c r="I737" t="s">
        <v>68</v>
      </c>
      <c r="J737" t="s">
        <v>58</v>
      </c>
      <c r="K737" t="s">
        <v>51</v>
      </c>
      <c r="L737" t="s">
        <v>34</v>
      </c>
      <c r="M737" t="s">
        <v>2691</v>
      </c>
      <c r="N737" t="s">
        <v>46</v>
      </c>
      <c r="O737" t="s">
        <v>533</v>
      </c>
      <c r="P737" t="s">
        <v>77</v>
      </c>
      <c r="Q737" t="s">
        <v>528</v>
      </c>
      <c r="R737" s="5">
        <v>42724.663518518515</v>
      </c>
      <c r="S737" s="5">
        <v>42929.392453703702</v>
      </c>
      <c r="T737" t="s">
        <v>53</v>
      </c>
      <c r="U737" t="s">
        <v>35</v>
      </c>
      <c r="V737" s="3" t="s">
        <v>35</v>
      </c>
      <c r="W737" s="3" t="s">
        <v>4155</v>
      </c>
      <c r="AM737" s="5"/>
      <c r="AN737" s="5"/>
      <c r="AQ737" s="6"/>
    </row>
    <row r="738" spans="2:43" x14ac:dyDescent="0.25">
      <c r="B738" t="s">
        <v>3375</v>
      </c>
      <c r="C738">
        <v>93933</v>
      </c>
      <c r="D738" t="s">
        <v>3380</v>
      </c>
      <c r="E738" t="s">
        <v>125</v>
      </c>
      <c r="F738" t="s">
        <v>305</v>
      </c>
      <c r="G738" t="s">
        <v>337</v>
      </c>
      <c r="H738" t="s">
        <v>30</v>
      </c>
      <c r="I738" t="s">
        <v>68</v>
      </c>
      <c r="J738" t="s">
        <v>58</v>
      </c>
      <c r="K738" t="s">
        <v>51</v>
      </c>
      <c r="L738" t="s">
        <v>34</v>
      </c>
      <c r="M738" t="s">
        <v>2691</v>
      </c>
      <c r="N738" t="s">
        <v>46</v>
      </c>
      <c r="O738" t="s">
        <v>533</v>
      </c>
      <c r="P738" t="s">
        <v>77</v>
      </c>
      <c r="Q738" t="s">
        <v>3379</v>
      </c>
      <c r="R738" s="5">
        <v>42724.663437499999</v>
      </c>
      <c r="S738" s="5">
        <v>42746.714525462965</v>
      </c>
      <c r="T738" t="s">
        <v>53</v>
      </c>
      <c r="U738" t="s">
        <v>35</v>
      </c>
      <c r="V738" s="3" t="s">
        <v>35</v>
      </c>
      <c r="W738" s="3" t="s">
        <v>133</v>
      </c>
      <c r="AM738" s="5"/>
      <c r="AN738" s="5"/>
      <c r="AQ738" s="6"/>
    </row>
    <row r="739" spans="2:43" x14ac:dyDescent="0.25">
      <c r="B739" t="s">
        <v>3375</v>
      </c>
      <c r="C739">
        <v>93932</v>
      </c>
      <c r="D739" t="s">
        <v>3378</v>
      </c>
      <c r="E739" t="s">
        <v>125</v>
      </c>
      <c r="F739" t="s">
        <v>305</v>
      </c>
      <c r="G739" t="s">
        <v>337</v>
      </c>
      <c r="H739" t="s">
        <v>30</v>
      </c>
      <c r="I739" t="s">
        <v>68</v>
      </c>
      <c r="J739" t="s">
        <v>58</v>
      </c>
      <c r="K739" t="s">
        <v>51</v>
      </c>
      <c r="L739" t="s">
        <v>34</v>
      </c>
      <c r="M739" t="s">
        <v>2691</v>
      </c>
      <c r="N739" t="s">
        <v>46</v>
      </c>
      <c r="O739" t="s">
        <v>533</v>
      </c>
      <c r="P739" t="s">
        <v>77</v>
      </c>
      <c r="Q739" t="s">
        <v>3379</v>
      </c>
      <c r="R739" s="5">
        <v>42724.663368055553</v>
      </c>
      <c r="S739" s="5">
        <v>42759.837708333333</v>
      </c>
      <c r="T739" t="s">
        <v>53</v>
      </c>
      <c r="U739" t="s">
        <v>35</v>
      </c>
      <c r="V739" s="3" t="s">
        <v>35</v>
      </c>
      <c r="W739" s="3" t="s">
        <v>4156</v>
      </c>
      <c r="AM739" s="5"/>
      <c r="AN739" s="5"/>
      <c r="AQ739" s="6"/>
    </row>
    <row r="740" spans="2:43" x14ac:dyDescent="0.25">
      <c r="B740" t="s">
        <v>3375</v>
      </c>
      <c r="C740">
        <v>93901</v>
      </c>
      <c r="D740" t="s">
        <v>3376</v>
      </c>
      <c r="E740" t="s">
        <v>125</v>
      </c>
      <c r="F740" t="s">
        <v>305</v>
      </c>
      <c r="G740" t="s">
        <v>304</v>
      </c>
      <c r="H740" t="s">
        <v>30</v>
      </c>
      <c r="I740" t="s">
        <v>68</v>
      </c>
      <c r="J740" t="s">
        <v>58</v>
      </c>
      <c r="K740" t="s">
        <v>51</v>
      </c>
      <c r="L740" t="s">
        <v>34</v>
      </c>
      <c r="M740" t="s">
        <v>2691</v>
      </c>
      <c r="N740" t="s">
        <v>46</v>
      </c>
      <c r="O740" t="s">
        <v>3377</v>
      </c>
      <c r="P740" t="s">
        <v>77</v>
      </c>
      <c r="Q740" t="s">
        <v>2416</v>
      </c>
      <c r="R740" s="5">
        <v>42724.199756944443</v>
      </c>
      <c r="S740" s="5">
        <v>43187.160821759258</v>
      </c>
      <c r="T740" t="s">
        <v>4</v>
      </c>
      <c r="U740" t="s">
        <v>35</v>
      </c>
      <c r="V740" s="3" t="s">
        <v>35</v>
      </c>
      <c r="W740" s="3" t="s">
        <v>4098</v>
      </c>
      <c r="AM740" s="5"/>
      <c r="AN740" s="5"/>
      <c r="AQ740" s="6"/>
    </row>
    <row r="741" spans="2:43" x14ac:dyDescent="0.25">
      <c r="B741" t="s">
        <v>209</v>
      </c>
      <c r="C741">
        <v>93777</v>
      </c>
      <c r="D741" t="s">
        <v>3374</v>
      </c>
      <c r="E741" t="s">
        <v>134</v>
      </c>
      <c r="F741" t="s">
        <v>305</v>
      </c>
      <c r="G741" t="s">
        <v>304</v>
      </c>
      <c r="H741" t="s">
        <v>116</v>
      </c>
      <c r="I741" t="s">
        <v>31</v>
      </c>
      <c r="J741" t="s">
        <v>32</v>
      </c>
      <c r="K741" t="s">
        <v>51</v>
      </c>
      <c r="L741" t="s">
        <v>34</v>
      </c>
      <c r="M741" t="s">
        <v>268</v>
      </c>
      <c r="N741" t="s">
        <v>510</v>
      </c>
      <c r="O741" t="s">
        <v>533</v>
      </c>
      <c r="P741" t="s">
        <v>77</v>
      </c>
      <c r="Q741" t="s">
        <v>3372</v>
      </c>
      <c r="R741" s="5">
        <v>42719.624050925922</v>
      </c>
      <c r="S741" s="5">
        <v>42922.534131944441</v>
      </c>
      <c r="T741" t="s">
        <v>149</v>
      </c>
      <c r="U741" t="s">
        <v>3982</v>
      </c>
      <c r="V741" s="3" t="s">
        <v>35</v>
      </c>
      <c r="W741" s="3" t="s">
        <v>4143</v>
      </c>
      <c r="AM741" s="5"/>
      <c r="AN741" s="5"/>
      <c r="AQ741" s="6"/>
    </row>
    <row r="742" spans="2:43" x14ac:dyDescent="0.25">
      <c r="B742" t="s">
        <v>4183</v>
      </c>
      <c r="C742">
        <v>93776</v>
      </c>
      <c r="D742" t="s">
        <v>4184</v>
      </c>
      <c r="E742" t="s">
        <v>100</v>
      </c>
      <c r="F742" t="s">
        <v>305</v>
      </c>
      <c r="G742" t="s">
        <v>337</v>
      </c>
      <c r="H742" t="s">
        <v>116</v>
      </c>
      <c r="I742" t="s">
        <v>31</v>
      </c>
      <c r="J742" t="s">
        <v>32</v>
      </c>
      <c r="K742" t="s">
        <v>51</v>
      </c>
      <c r="L742" t="s">
        <v>34</v>
      </c>
      <c r="M742" t="s">
        <v>268</v>
      </c>
      <c r="N742" t="s">
        <v>46</v>
      </c>
      <c r="P742" t="s">
        <v>77</v>
      </c>
      <c r="Q742" t="s">
        <v>3708</v>
      </c>
      <c r="R742" s="5">
        <v>42719.623935185184</v>
      </c>
      <c r="S742" s="5">
        <v>43423.863564814812</v>
      </c>
      <c r="T742" t="s">
        <v>149</v>
      </c>
      <c r="U742" t="s">
        <v>35</v>
      </c>
      <c r="V742" s="3" t="s">
        <v>35</v>
      </c>
      <c r="W742" s="3" t="s">
        <v>4156</v>
      </c>
      <c r="AM742" s="5"/>
      <c r="AN742" s="5"/>
      <c r="AQ742" s="6"/>
    </row>
    <row r="743" spans="2:43" x14ac:dyDescent="0.25">
      <c r="B743" t="s">
        <v>209</v>
      </c>
      <c r="C743">
        <v>93775</v>
      </c>
      <c r="D743" t="s">
        <v>3373</v>
      </c>
      <c r="E743" t="s">
        <v>100</v>
      </c>
      <c r="F743" t="s">
        <v>305</v>
      </c>
      <c r="G743" t="s">
        <v>337</v>
      </c>
      <c r="H743" t="s">
        <v>116</v>
      </c>
      <c r="I743" t="s">
        <v>31</v>
      </c>
      <c r="J743" t="s">
        <v>32</v>
      </c>
      <c r="K743" t="s">
        <v>51</v>
      </c>
      <c r="L743" t="s">
        <v>34</v>
      </c>
      <c r="M743" t="s">
        <v>268</v>
      </c>
      <c r="N743" t="s">
        <v>46</v>
      </c>
      <c r="O743" t="s">
        <v>533</v>
      </c>
      <c r="P743" t="s">
        <v>77</v>
      </c>
      <c r="Q743" t="s">
        <v>3372</v>
      </c>
      <c r="R743" s="5">
        <v>42719.623831018522</v>
      </c>
      <c r="S743" s="5">
        <v>42929.391944444447</v>
      </c>
      <c r="T743" t="s">
        <v>149</v>
      </c>
      <c r="U743" t="s">
        <v>35</v>
      </c>
      <c r="V743" s="3" t="s">
        <v>35</v>
      </c>
      <c r="W743" s="3" t="s">
        <v>4155</v>
      </c>
      <c r="AM743" s="5"/>
      <c r="AN743" s="5"/>
      <c r="AQ743" s="6"/>
    </row>
    <row r="744" spans="2:43" x14ac:dyDescent="0.25">
      <c r="B744" t="s">
        <v>209</v>
      </c>
      <c r="C744">
        <v>93774</v>
      </c>
      <c r="D744" t="s">
        <v>3371</v>
      </c>
      <c r="E744" t="s">
        <v>100</v>
      </c>
      <c r="F744" t="s">
        <v>305</v>
      </c>
      <c r="G744" t="s">
        <v>304</v>
      </c>
      <c r="H744" t="s">
        <v>116</v>
      </c>
      <c r="I744" t="s">
        <v>31</v>
      </c>
      <c r="J744" t="s">
        <v>32</v>
      </c>
      <c r="K744" t="s">
        <v>51</v>
      </c>
      <c r="L744" t="s">
        <v>34</v>
      </c>
      <c r="M744" t="s">
        <v>268</v>
      </c>
      <c r="N744" t="s">
        <v>60</v>
      </c>
      <c r="O744" t="s">
        <v>533</v>
      </c>
      <c r="P744" t="s">
        <v>77</v>
      </c>
      <c r="Q744" t="s">
        <v>3372</v>
      </c>
      <c r="R744" s="5">
        <v>42719.623738425929</v>
      </c>
      <c r="S744" s="5">
        <v>42793.603344907409</v>
      </c>
      <c r="T744" t="s">
        <v>149</v>
      </c>
      <c r="U744" t="s">
        <v>4000</v>
      </c>
      <c r="V744" s="3" t="s">
        <v>35</v>
      </c>
      <c r="W744" s="3" t="s">
        <v>133</v>
      </c>
      <c r="AM744" s="5"/>
      <c r="AN744" s="5"/>
      <c r="AQ744" s="6"/>
    </row>
    <row r="745" spans="2:43" x14ac:dyDescent="0.25">
      <c r="B745" t="s">
        <v>208</v>
      </c>
      <c r="C745">
        <v>93702</v>
      </c>
      <c r="D745" t="s">
        <v>3370</v>
      </c>
      <c r="E745" t="s">
        <v>72</v>
      </c>
      <c r="F745" t="s">
        <v>305</v>
      </c>
      <c r="G745" t="s">
        <v>337</v>
      </c>
      <c r="H745" t="s">
        <v>30</v>
      </c>
      <c r="I745" t="s">
        <v>68</v>
      </c>
      <c r="J745" t="s">
        <v>43</v>
      </c>
      <c r="K745" t="s">
        <v>33</v>
      </c>
      <c r="L745" t="s">
        <v>96</v>
      </c>
      <c r="M745" t="s">
        <v>267</v>
      </c>
      <c r="N745" t="s">
        <v>60</v>
      </c>
      <c r="P745" t="s">
        <v>77</v>
      </c>
      <c r="Q745" t="s">
        <v>1503</v>
      </c>
      <c r="R745" s="5">
        <v>42718.002199074072</v>
      </c>
      <c r="S745" s="5">
        <v>42741.766099537039</v>
      </c>
      <c r="T745" t="s">
        <v>3125</v>
      </c>
      <c r="U745" t="s">
        <v>35</v>
      </c>
      <c r="V745" s="3" t="s">
        <v>35</v>
      </c>
      <c r="W745" s="3" t="s">
        <v>4156</v>
      </c>
      <c r="AM745" s="5"/>
      <c r="AN745" s="5"/>
      <c r="AQ745" s="6"/>
    </row>
    <row r="746" spans="2:43" x14ac:dyDescent="0.25">
      <c r="B746" t="s">
        <v>208</v>
      </c>
      <c r="C746">
        <v>93701</v>
      </c>
      <c r="D746" t="s">
        <v>3369</v>
      </c>
      <c r="E746" t="s">
        <v>72</v>
      </c>
      <c r="F746" t="s">
        <v>305</v>
      </c>
      <c r="G746" t="s">
        <v>337</v>
      </c>
      <c r="H746" t="s">
        <v>30</v>
      </c>
      <c r="I746" t="s">
        <v>68</v>
      </c>
      <c r="J746" t="s">
        <v>43</v>
      </c>
      <c r="K746" t="s">
        <v>33</v>
      </c>
      <c r="L746" t="s">
        <v>96</v>
      </c>
      <c r="M746" t="s">
        <v>267</v>
      </c>
      <c r="N746" t="s">
        <v>60</v>
      </c>
      <c r="P746" t="s">
        <v>77</v>
      </c>
      <c r="Q746" t="s">
        <v>1503</v>
      </c>
      <c r="R746" s="5">
        <v>42718.001030092593</v>
      </c>
      <c r="S746" s="5">
        <v>42941.879247685189</v>
      </c>
      <c r="T746" t="s">
        <v>3125</v>
      </c>
      <c r="U746" t="s">
        <v>35</v>
      </c>
      <c r="V746" s="3" t="s">
        <v>35</v>
      </c>
      <c r="W746" s="3" t="s">
        <v>133</v>
      </c>
      <c r="AM746" s="5"/>
      <c r="AN746" s="5"/>
      <c r="AQ746" s="6"/>
    </row>
    <row r="747" spans="2:43" x14ac:dyDescent="0.25">
      <c r="B747" t="s">
        <v>209</v>
      </c>
      <c r="C747">
        <v>93566</v>
      </c>
      <c r="D747" t="s">
        <v>99</v>
      </c>
      <c r="E747" t="s">
        <v>100</v>
      </c>
      <c r="F747" t="s">
        <v>319</v>
      </c>
      <c r="G747" t="s">
        <v>304</v>
      </c>
      <c r="H747" t="s">
        <v>30</v>
      </c>
      <c r="I747" t="s">
        <v>31</v>
      </c>
      <c r="J747" t="s">
        <v>32</v>
      </c>
      <c r="K747" t="s">
        <v>51</v>
      </c>
      <c r="L747" t="s">
        <v>34</v>
      </c>
      <c r="M747" t="s">
        <v>268</v>
      </c>
      <c r="N747" t="s">
        <v>46</v>
      </c>
      <c r="O747" t="s">
        <v>101</v>
      </c>
      <c r="P747" t="s">
        <v>77</v>
      </c>
      <c r="Q747" t="s">
        <v>1503</v>
      </c>
      <c r="R747" s="5">
        <v>42713.720567129632</v>
      </c>
      <c r="S747" s="5">
        <v>43423.88212962963</v>
      </c>
      <c r="T747" t="s">
        <v>1</v>
      </c>
      <c r="U747" t="s">
        <v>35</v>
      </c>
      <c r="V747" s="3" t="s">
        <v>35</v>
      </c>
      <c r="W747" s="3" t="s">
        <v>4098</v>
      </c>
      <c r="AM747" s="5"/>
      <c r="AN747" s="5"/>
      <c r="AQ747" s="6"/>
    </row>
    <row r="748" spans="2:43" x14ac:dyDescent="0.25">
      <c r="B748" t="s">
        <v>2841</v>
      </c>
      <c r="C748">
        <v>93553</v>
      </c>
      <c r="D748" t="s">
        <v>3366</v>
      </c>
      <c r="E748" t="s">
        <v>3367</v>
      </c>
      <c r="F748" t="s">
        <v>305</v>
      </c>
      <c r="G748" t="s">
        <v>328</v>
      </c>
      <c r="H748" t="s">
        <v>30</v>
      </c>
      <c r="I748" t="s">
        <v>31</v>
      </c>
      <c r="J748" t="s">
        <v>32</v>
      </c>
      <c r="K748" t="s">
        <v>33</v>
      </c>
      <c r="L748" t="s">
        <v>73</v>
      </c>
      <c r="M748" t="s">
        <v>263</v>
      </c>
      <c r="N748" t="s">
        <v>46</v>
      </c>
      <c r="P748" t="s">
        <v>3120</v>
      </c>
      <c r="Q748" t="s">
        <v>3368</v>
      </c>
      <c r="R748" s="5">
        <v>42713.485601851855</v>
      </c>
      <c r="S748" s="5">
        <v>42871.700659722221</v>
      </c>
      <c r="T748" t="s">
        <v>3367</v>
      </c>
      <c r="U748" t="s">
        <v>35</v>
      </c>
      <c r="V748" s="3" t="s">
        <v>35</v>
      </c>
      <c r="W748" s="3" t="s">
        <v>4098</v>
      </c>
      <c r="AM748" s="5"/>
      <c r="AN748" s="5"/>
      <c r="AQ748" s="6"/>
    </row>
    <row r="749" spans="2:43" x14ac:dyDescent="0.25">
      <c r="B749" t="s">
        <v>3335</v>
      </c>
      <c r="C749">
        <v>93282</v>
      </c>
      <c r="D749" t="s">
        <v>3364</v>
      </c>
      <c r="E749" t="s">
        <v>3365</v>
      </c>
      <c r="F749" t="s">
        <v>305</v>
      </c>
      <c r="G749" t="s">
        <v>304</v>
      </c>
      <c r="H749" t="s">
        <v>30</v>
      </c>
      <c r="I749" t="s">
        <v>68</v>
      </c>
      <c r="J749" t="s">
        <v>43</v>
      </c>
      <c r="K749" t="s">
        <v>33</v>
      </c>
      <c r="L749" t="s">
        <v>34</v>
      </c>
      <c r="M749" t="s">
        <v>2888</v>
      </c>
      <c r="N749" t="s">
        <v>46</v>
      </c>
      <c r="O749" t="s">
        <v>533</v>
      </c>
      <c r="P749" t="s">
        <v>75</v>
      </c>
      <c r="Q749" t="s">
        <v>133</v>
      </c>
      <c r="R749" s="5">
        <v>42710.041655092595</v>
      </c>
      <c r="S749" s="5">
        <v>42831.635960648149</v>
      </c>
      <c r="T749" t="s">
        <v>149</v>
      </c>
      <c r="U749" t="s">
        <v>35</v>
      </c>
      <c r="V749" s="3" t="s">
        <v>35</v>
      </c>
      <c r="W749" s="3" t="s">
        <v>4143</v>
      </c>
      <c r="AM749" s="5"/>
      <c r="AN749" s="5"/>
      <c r="AQ749" s="6"/>
    </row>
    <row r="750" spans="2:43" x14ac:dyDescent="0.25">
      <c r="B750" t="s">
        <v>3335</v>
      </c>
      <c r="C750">
        <v>93281</v>
      </c>
      <c r="D750" t="s">
        <v>3363</v>
      </c>
      <c r="E750" t="s">
        <v>3337</v>
      </c>
      <c r="F750" t="s">
        <v>305</v>
      </c>
      <c r="G750" t="s">
        <v>337</v>
      </c>
      <c r="H750" t="s">
        <v>30</v>
      </c>
      <c r="I750" t="s">
        <v>68</v>
      </c>
      <c r="J750" t="s">
        <v>43</v>
      </c>
      <c r="K750" t="s">
        <v>33</v>
      </c>
      <c r="L750" t="s">
        <v>34</v>
      </c>
      <c r="M750" t="s">
        <v>2888</v>
      </c>
      <c r="N750" t="s">
        <v>46</v>
      </c>
      <c r="O750" t="s">
        <v>3361</v>
      </c>
      <c r="P750" t="s">
        <v>75</v>
      </c>
      <c r="Q750" t="s">
        <v>3067</v>
      </c>
      <c r="R750" s="5">
        <v>42710.041539351849</v>
      </c>
      <c r="S750" s="5">
        <v>42929.388495370367</v>
      </c>
      <c r="T750" t="s">
        <v>149</v>
      </c>
      <c r="U750" t="s">
        <v>35</v>
      </c>
      <c r="V750" s="3" t="s">
        <v>35</v>
      </c>
      <c r="W750" s="3" t="s">
        <v>4156</v>
      </c>
      <c r="AM750" s="5"/>
      <c r="AN750" s="5"/>
      <c r="AQ750" s="6"/>
    </row>
    <row r="751" spans="2:43" x14ac:dyDescent="0.25">
      <c r="B751" t="s">
        <v>3335</v>
      </c>
      <c r="C751">
        <v>93280</v>
      </c>
      <c r="D751" t="s">
        <v>3362</v>
      </c>
      <c r="E751" t="s">
        <v>3337</v>
      </c>
      <c r="F751" t="s">
        <v>305</v>
      </c>
      <c r="G751" t="s">
        <v>337</v>
      </c>
      <c r="H751" t="s">
        <v>30</v>
      </c>
      <c r="I751" t="s">
        <v>68</v>
      </c>
      <c r="J751" t="s">
        <v>43</v>
      </c>
      <c r="K751" t="s">
        <v>33</v>
      </c>
      <c r="L751" t="s">
        <v>34</v>
      </c>
      <c r="M751" t="s">
        <v>2888</v>
      </c>
      <c r="N751" t="s">
        <v>46</v>
      </c>
      <c r="O751" t="s">
        <v>533</v>
      </c>
      <c r="P751" t="s">
        <v>75</v>
      </c>
      <c r="Q751" t="s">
        <v>528</v>
      </c>
      <c r="R751" s="5">
        <v>42710.041400462964</v>
      </c>
      <c r="S751" s="5">
        <v>42933.857974537037</v>
      </c>
      <c r="T751" t="s">
        <v>149</v>
      </c>
      <c r="U751" t="s">
        <v>35</v>
      </c>
      <c r="V751" s="3" t="s">
        <v>35</v>
      </c>
      <c r="W751" s="3" t="s">
        <v>4155</v>
      </c>
      <c r="AM751" s="5"/>
      <c r="AN751" s="5"/>
      <c r="AQ751" s="6"/>
    </row>
    <row r="752" spans="2:43" x14ac:dyDescent="0.25">
      <c r="B752" t="s">
        <v>3335</v>
      </c>
      <c r="C752">
        <v>93279</v>
      </c>
      <c r="D752" t="s">
        <v>3360</v>
      </c>
      <c r="E752" t="s">
        <v>3337</v>
      </c>
      <c r="F752" t="s">
        <v>305</v>
      </c>
      <c r="G752" t="s">
        <v>337</v>
      </c>
      <c r="H752" t="s">
        <v>30</v>
      </c>
      <c r="I752" t="s">
        <v>68</v>
      </c>
      <c r="J752" t="s">
        <v>43</v>
      </c>
      <c r="K752" t="s">
        <v>33</v>
      </c>
      <c r="L752" t="s">
        <v>34</v>
      </c>
      <c r="M752" t="s">
        <v>2888</v>
      </c>
      <c r="N752" t="s">
        <v>46</v>
      </c>
      <c r="O752" t="s">
        <v>3361</v>
      </c>
      <c r="P752" t="s">
        <v>75</v>
      </c>
      <c r="Q752" t="s">
        <v>3067</v>
      </c>
      <c r="R752" s="5">
        <v>42710.041261574072</v>
      </c>
      <c r="S752" s="5">
        <v>42941.878576388888</v>
      </c>
      <c r="T752" t="s">
        <v>149</v>
      </c>
      <c r="U752" t="s">
        <v>35</v>
      </c>
      <c r="V752" s="3" t="s">
        <v>35</v>
      </c>
      <c r="W752" s="3" t="s">
        <v>133</v>
      </c>
      <c r="AM752" s="5"/>
      <c r="AN752" s="5"/>
      <c r="AQ752" s="6"/>
    </row>
    <row r="753" spans="2:43" x14ac:dyDescent="0.25">
      <c r="B753" t="s">
        <v>3190</v>
      </c>
      <c r="C753">
        <v>93164</v>
      </c>
      <c r="D753" t="s">
        <v>3359</v>
      </c>
      <c r="E753" t="s">
        <v>72</v>
      </c>
      <c r="F753" t="s">
        <v>305</v>
      </c>
      <c r="G753" t="s">
        <v>304</v>
      </c>
      <c r="H753" t="s">
        <v>30</v>
      </c>
      <c r="I753" t="s">
        <v>31</v>
      </c>
      <c r="J753" t="s">
        <v>43</v>
      </c>
      <c r="K753" t="s">
        <v>51</v>
      </c>
      <c r="L753" t="s">
        <v>73</v>
      </c>
      <c r="M753" t="s">
        <v>263</v>
      </c>
      <c r="N753" t="s">
        <v>46</v>
      </c>
      <c r="P753" t="s">
        <v>85</v>
      </c>
      <c r="Q753" t="s">
        <v>2708</v>
      </c>
      <c r="R753" s="5">
        <v>42705.492731481485</v>
      </c>
      <c r="S753" s="5">
        <v>42874.405358796299</v>
      </c>
      <c r="T753" t="s">
        <v>139</v>
      </c>
      <c r="U753" t="s">
        <v>35</v>
      </c>
      <c r="V753" s="3" t="s">
        <v>35</v>
      </c>
      <c r="W753" s="3" t="s">
        <v>3661</v>
      </c>
      <c r="AM753" s="5"/>
      <c r="AN753" s="5"/>
      <c r="AQ753" s="6"/>
    </row>
    <row r="754" spans="2:43" x14ac:dyDescent="0.25">
      <c r="B754" t="s">
        <v>3350</v>
      </c>
      <c r="C754">
        <v>93129</v>
      </c>
      <c r="D754" t="s">
        <v>3358</v>
      </c>
      <c r="E754" t="s">
        <v>314</v>
      </c>
      <c r="F754" t="s">
        <v>305</v>
      </c>
      <c r="G754" t="s">
        <v>304</v>
      </c>
      <c r="H754" t="s">
        <v>30</v>
      </c>
      <c r="I754" t="s">
        <v>31</v>
      </c>
      <c r="J754" t="s">
        <v>43</v>
      </c>
      <c r="K754" t="s">
        <v>44</v>
      </c>
      <c r="L754" t="s">
        <v>73</v>
      </c>
      <c r="M754" t="s">
        <v>264</v>
      </c>
      <c r="N754" t="s">
        <v>121</v>
      </c>
      <c r="P754" t="s">
        <v>61</v>
      </c>
      <c r="Q754" t="s">
        <v>3351</v>
      </c>
      <c r="R754" s="5">
        <v>42704.95212962963</v>
      </c>
      <c r="S754" s="5">
        <v>42922.68513888889</v>
      </c>
      <c r="T754" t="s">
        <v>317</v>
      </c>
      <c r="U754" t="s">
        <v>35</v>
      </c>
      <c r="V754" s="3" t="s">
        <v>35</v>
      </c>
      <c r="W754" s="3" t="s">
        <v>190</v>
      </c>
      <c r="AM754" s="5"/>
      <c r="AN754" s="5"/>
      <c r="AQ754" s="6"/>
    </row>
    <row r="755" spans="2:43" x14ac:dyDescent="0.25">
      <c r="B755" t="s">
        <v>3350</v>
      </c>
      <c r="C755">
        <v>93128</v>
      </c>
      <c r="D755" t="s">
        <v>3357</v>
      </c>
      <c r="E755" t="s">
        <v>314</v>
      </c>
      <c r="F755" t="s">
        <v>305</v>
      </c>
      <c r="G755" t="s">
        <v>304</v>
      </c>
      <c r="H755" t="s">
        <v>30</v>
      </c>
      <c r="I755" t="s">
        <v>31</v>
      </c>
      <c r="J755" t="s">
        <v>43</v>
      </c>
      <c r="K755" t="s">
        <v>44</v>
      </c>
      <c r="L755" t="s">
        <v>73</v>
      </c>
      <c r="M755" t="s">
        <v>264</v>
      </c>
      <c r="N755" t="s">
        <v>582</v>
      </c>
      <c r="P755" t="s">
        <v>61</v>
      </c>
      <c r="Q755" t="s">
        <v>3356</v>
      </c>
      <c r="R755" s="5">
        <v>42704.952060185184</v>
      </c>
      <c r="S755" s="5">
        <v>42948.44023148148</v>
      </c>
      <c r="T755" t="s">
        <v>317</v>
      </c>
      <c r="U755" t="s">
        <v>3999</v>
      </c>
      <c r="V755" s="3" t="s">
        <v>35</v>
      </c>
      <c r="W755" s="3" t="s">
        <v>69</v>
      </c>
      <c r="AM755" s="5"/>
      <c r="AN755" s="5"/>
      <c r="AQ755" s="6"/>
    </row>
    <row r="756" spans="2:43" x14ac:dyDescent="0.25">
      <c r="B756" t="s">
        <v>3350</v>
      </c>
      <c r="C756">
        <v>93127</v>
      </c>
      <c r="D756" t="s">
        <v>3355</v>
      </c>
      <c r="E756" t="s">
        <v>314</v>
      </c>
      <c r="F756" t="s">
        <v>305</v>
      </c>
      <c r="G756" t="s">
        <v>304</v>
      </c>
      <c r="H756" t="s">
        <v>116</v>
      </c>
      <c r="I756" t="s">
        <v>31</v>
      </c>
      <c r="J756" t="s">
        <v>43</v>
      </c>
      <c r="K756" t="s">
        <v>44</v>
      </c>
      <c r="L756" t="s">
        <v>73</v>
      </c>
      <c r="M756" t="s">
        <v>264</v>
      </c>
      <c r="N756" t="s">
        <v>60</v>
      </c>
      <c r="P756" t="s">
        <v>61</v>
      </c>
      <c r="Q756" t="s">
        <v>3356</v>
      </c>
      <c r="R756" s="5">
        <v>42704.951990740738</v>
      </c>
      <c r="S756" s="5">
        <v>42941.905868055554</v>
      </c>
      <c r="T756" t="s">
        <v>317</v>
      </c>
      <c r="U756" t="s">
        <v>3998</v>
      </c>
      <c r="V756" s="3" t="s">
        <v>35</v>
      </c>
      <c r="W756" s="3" t="s">
        <v>133</v>
      </c>
      <c r="AM756" s="5"/>
      <c r="AN756" s="5"/>
      <c r="AQ756" s="6"/>
    </row>
    <row r="757" spans="2:43" x14ac:dyDescent="0.25">
      <c r="B757" t="s">
        <v>208</v>
      </c>
      <c r="C757">
        <v>93104</v>
      </c>
      <c r="D757" t="s">
        <v>3354</v>
      </c>
      <c r="E757" t="s">
        <v>70</v>
      </c>
      <c r="F757" t="s">
        <v>305</v>
      </c>
      <c r="G757" t="s">
        <v>337</v>
      </c>
      <c r="H757" t="s">
        <v>30</v>
      </c>
      <c r="I757" t="s">
        <v>68</v>
      </c>
      <c r="J757" t="s">
        <v>43</v>
      </c>
      <c r="K757" t="s">
        <v>33</v>
      </c>
      <c r="L757" t="s">
        <v>96</v>
      </c>
      <c r="M757" t="s">
        <v>267</v>
      </c>
      <c r="N757" t="s">
        <v>60</v>
      </c>
      <c r="O757" t="s">
        <v>97</v>
      </c>
      <c r="P757" t="s">
        <v>77</v>
      </c>
      <c r="Q757" t="s">
        <v>65</v>
      </c>
      <c r="R757" s="5">
        <v>42704.593032407407</v>
      </c>
      <c r="S757" s="5">
        <v>42823.827881944446</v>
      </c>
      <c r="T757" t="s">
        <v>317</v>
      </c>
      <c r="U757" t="s">
        <v>35</v>
      </c>
      <c r="V757" s="3" t="s">
        <v>35</v>
      </c>
      <c r="W757" s="3" t="s">
        <v>69</v>
      </c>
      <c r="AM757" s="5"/>
      <c r="AN757" s="5"/>
      <c r="AQ757" s="6"/>
    </row>
    <row r="758" spans="2:43" x14ac:dyDescent="0.25">
      <c r="B758" t="s">
        <v>3344</v>
      </c>
      <c r="C758">
        <v>93056</v>
      </c>
      <c r="D758" t="s">
        <v>3352</v>
      </c>
      <c r="E758" t="s">
        <v>82</v>
      </c>
      <c r="F758" t="s">
        <v>305</v>
      </c>
      <c r="G758" t="s">
        <v>304</v>
      </c>
      <c r="H758" t="s">
        <v>30</v>
      </c>
      <c r="I758" t="s">
        <v>31</v>
      </c>
      <c r="J758" t="s">
        <v>43</v>
      </c>
      <c r="K758" t="s">
        <v>44</v>
      </c>
      <c r="L758" t="s">
        <v>73</v>
      </c>
      <c r="M758" t="s">
        <v>263</v>
      </c>
      <c r="N758" t="s">
        <v>121</v>
      </c>
      <c r="O758" t="s">
        <v>3353</v>
      </c>
      <c r="P758" t="s">
        <v>77</v>
      </c>
      <c r="Q758" t="s">
        <v>77</v>
      </c>
      <c r="R758" s="5">
        <v>42703.958703703705</v>
      </c>
      <c r="S758" s="5">
        <v>42922.687974537039</v>
      </c>
      <c r="T758" t="s">
        <v>3125</v>
      </c>
      <c r="U758" t="s">
        <v>35</v>
      </c>
      <c r="V758" s="3" t="s">
        <v>35</v>
      </c>
      <c r="W758" s="3" t="s">
        <v>190</v>
      </c>
      <c r="AM758" s="5"/>
      <c r="AN758" s="5"/>
      <c r="AQ758" s="6"/>
    </row>
    <row r="759" spans="2:43" x14ac:dyDescent="0.25">
      <c r="B759" t="s">
        <v>3350</v>
      </c>
      <c r="C759">
        <v>93032</v>
      </c>
      <c r="D759" t="s">
        <v>313</v>
      </c>
      <c r="E759" t="s">
        <v>314</v>
      </c>
      <c r="F759" t="s">
        <v>305</v>
      </c>
      <c r="G759" t="s">
        <v>304</v>
      </c>
      <c r="H759" t="s">
        <v>30</v>
      </c>
      <c r="I759" t="s">
        <v>31</v>
      </c>
      <c r="J759" t="s">
        <v>43</v>
      </c>
      <c r="K759" t="s">
        <v>44</v>
      </c>
      <c r="L759" t="s">
        <v>73</v>
      </c>
      <c r="M759" t="s">
        <v>264</v>
      </c>
      <c r="N759" t="s">
        <v>579</v>
      </c>
      <c r="P759" t="s">
        <v>61</v>
      </c>
      <c r="Q759" t="s">
        <v>3351</v>
      </c>
      <c r="R759" s="5">
        <v>42703.614027777781</v>
      </c>
      <c r="S759" s="5">
        <v>42871.700810185182</v>
      </c>
      <c r="T759" t="s">
        <v>312</v>
      </c>
      <c r="U759" t="s">
        <v>35</v>
      </c>
      <c r="V759" s="3" t="s">
        <v>35</v>
      </c>
      <c r="W759" s="3" t="s">
        <v>4098</v>
      </c>
      <c r="AM759" s="5"/>
      <c r="AN759" s="5"/>
      <c r="AQ759" s="6"/>
    </row>
    <row r="760" spans="2:43" x14ac:dyDescent="0.25">
      <c r="B760" t="s">
        <v>208</v>
      </c>
      <c r="C760">
        <v>92975</v>
      </c>
      <c r="D760" t="s">
        <v>95</v>
      </c>
      <c r="E760" t="s">
        <v>70</v>
      </c>
      <c r="F760" t="s">
        <v>305</v>
      </c>
      <c r="G760" t="s">
        <v>304</v>
      </c>
      <c r="H760" t="s">
        <v>30</v>
      </c>
      <c r="I760" t="s">
        <v>68</v>
      </c>
      <c r="J760" t="s">
        <v>43</v>
      </c>
      <c r="K760" t="s">
        <v>33</v>
      </c>
      <c r="L760" t="s">
        <v>96</v>
      </c>
      <c r="M760" t="s">
        <v>267</v>
      </c>
      <c r="N760" t="s">
        <v>60</v>
      </c>
      <c r="O760" t="s">
        <v>97</v>
      </c>
      <c r="P760" t="s">
        <v>77</v>
      </c>
      <c r="Q760" t="s">
        <v>159</v>
      </c>
      <c r="R760" s="5">
        <v>42702.792881944442</v>
      </c>
      <c r="S760" s="5">
        <v>43187.160671296297</v>
      </c>
      <c r="T760" t="s">
        <v>98</v>
      </c>
      <c r="U760" t="s">
        <v>35</v>
      </c>
      <c r="V760" s="3" t="s">
        <v>35</v>
      </c>
      <c r="W760" s="3" t="s">
        <v>4098</v>
      </c>
      <c r="AM760" s="5"/>
      <c r="AN760" s="5"/>
      <c r="AQ760" s="6"/>
    </row>
    <row r="761" spans="2:43" x14ac:dyDescent="0.25">
      <c r="B761" t="s">
        <v>3344</v>
      </c>
      <c r="C761">
        <v>92968</v>
      </c>
      <c r="D761" t="s">
        <v>3348</v>
      </c>
      <c r="E761" t="s">
        <v>94</v>
      </c>
      <c r="F761" t="s">
        <v>305</v>
      </c>
      <c r="G761" t="s">
        <v>304</v>
      </c>
      <c r="H761" t="s">
        <v>116</v>
      </c>
      <c r="I761" t="s">
        <v>31</v>
      </c>
      <c r="J761" t="s">
        <v>43</v>
      </c>
      <c r="K761" t="s">
        <v>44</v>
      </c>
      <c r="L761" t="s">
        <v>73</v>
      </c>
      <c r="M761" t="s">
        <v>263</v>
      </c>
      <c r="N761" t="s">
        <v>510</v>
      </c>
      <c r="P761" t="s">
        <v>77</v>
      </c>
      <c r="Q761" t="s">
        <v>3349</v>
      </c>
      <c r="R761" s="5">
        <v>42702.692118055558</v>
      </c>
      <c r="S761" s="5">
        <v>42948.503379629627</v>
      </c>
      <c r="T761" t="s">
        <v>317</v>
      </c>
      <c r="U761" t="s">
        <v>3997</v>
      </c>
      <c r="V761" s="3" t="s">
        <v>35</v>
      </c>
      <c r="W761" s="3" t="s">
        <v>69</v>
      </c>
      <c r="AM761" s="5"/>
      <c r="AN761" s="5"/>
      <c r="AQ761" s="6"/>
    </row>
    <row r="762" spans="2:43" x14ac:dyDescent="0.25">
      <c r="B762" t="s">
        <v>3344</v>
      </c>
      <c r="C762">
        <v>92967</v>
      </c>
      <c r="D762" t="s">
        <v>3347</v>
      </c>
      <c r="E762" t="s">
        <v>94</v>
      </c>
      <c r="F762" t="s">
        <v>305</v>
      </c>
      <c r="G762" t="s">
        <v>304</v>
      </c>
      <c r="H762" t="s">
        <v>30</v>
      </c>
      <c r="I762" t="s">
        <v>31</v>
      </c>
      <c r="J762" t="s">
        <v>43</v>
      </c>
      <c r="K762" t="s">
        <v>44</v>
      </c>
      <c r="L762" t="s">
        <v>73</v>
      </c>
      <c r="M762" t="s">
        <v>263</v>
      </c>
      <c r="N762" t="s">
        <v>60</v>
      </c>
      <c r="P762" t="s">
        <v>77</v>
      </c>
      <c r="Q762" t="s">
        <v>65</v>
      </c>
      <c r="R762" s="5">
        <v>42702.692025462966</v>
      </c>
      <c r="S762" s="5">
        <v>42841.995486111111</v>
      </c>
      <c r="T762" t="s">
        <v>317</v>
      </c>
      <c r="U762" t="s">
        <v>3971</v>
      </c>
      <c r="V762" s="3" t="s">
        <v>35</v>
      </c>
      <c r="W762" s="3" t="s">
        <v>133</v>
      </c>
      <c r="AM762" s="5"/>
      <c r="AN762" s="5"/>
      <c r="AQ762" s="6"/>
    </row>
    <row r="763" spans="2:43" x14ac:dyDescent="0.25">
      <c r="B763" t="s">
        <v>3344</v>
      </c>
      <c r="C763">
        <v>92816</v>
      </c>
      <c r="D763" t="s">
        <v>3345</v>
      </c>
      <c r="E763" t="s">
        <v>94</v>
      </c>
      <c r="F763" t="s">
        <v>305</v>
      </c>
      <c r="G763" t="s">
        <v>304</v>
      </c>
      <c r="H763" t="s">
        <v>30</v>
      </c>
      <c r="I763" t="s">
        <v>31</v>
      </c>
      <c r="J763" t="s">
        <v>43</v>
      </c>
      <c r="K763" t="s">
        <v>44</v>
      </c>
      <c r="L763" t="s">
        <v>73</v>
      </c>
      <c r="M763" t="s">
        <v>263</v>
      </c>
      <c r="N763" t="s">
        <v>60</v>
      </c>
      <c r="P763" t="s">
        <v>77</v>
      </c>
      <c r="Q763" t="s">
        <v>3346</v>
      </c>
      <c r="R763" s="5">
        <v>42697.898530092592</v>
      </c>
      <c r="S763" s="5">
        <v>42948.494826388887</v>
      </c>
      <c r="T763" t="s">
        <v>94</v>
      </c>
      <c r="U763" t="s">
        <v>3971</v>
      </c>
      <c r="V763" s="3" t="s">
        <v>35</v>
      </c>
      <c r="W763" s="3" t="s">
        <v>4098</v>
      </c>
      <c r="AM763" s="5"/>
      <c r="AN763" s="5"/>
      <c r="AQ763" s="6"/>
    </row>
    <row r="764" spans="2:43" x14ac:dyDescent="0.25">
      <c r="B764" t="s">
        <v>211</v>
      </c>
      <c r="C764">
        <v>92740</v>
      </c>
      <c r="D764" t="s">
        <v>3343</v>
      </c>
      <c r="E764" t="s">
        <v>105</v>
      </c>
      <c r="F764" t="s">
        <v>305</v>
      </c>
      <c r="G764" t="s">
        <v>304</v>
      </c>
      <c r="H764" t="s">
        <v>54</v>
      </c>
      <c r="I764" t="s">
        <v>31</v>
      </c>
      <c r="J764" t="s">
        <v>32</v>
      </c>
      <c r="K764" t="s">
        <v>33</v>
      </c>
      <c r="L764" t="s">
        <v>106</v>
      </c>
      <c r="M764" t="s">
        <v>270</v>
      </c>
      <c r="N764" t="s">
        <v>60</v>
      </c>
      <c r="P764" t="s">
        <v>77</v>
      </c>
      <c r="Q764" t="s">
        <v>3298</v>
      </c>
      <c r="R764" s="5">
        <v>42696.881203703706</v>
      </c>
      <c r="S764" s="5">
        <v>42866.401597222219</v>
      </c>
      <c r="T764" t="s">
        <v>1</v>
      </c>
      <c r="U764" t="s">
        <v>35</v>
      </c>
      <c r="V764" s="3" t="s">
        <v>35</v>
      </c>
      <c r="W764" s="3" t="s">
        <v>4098</v>
      </c>
      <c r="AM764" s="5"/>
      <c r="AN764" s="5"/>
      <c r="AQ764" s="6"/>
    </row>
    <row r="765" spans="2:43" x14ac:dyDescent="0.25">
      <c r="B765" t="s">
        <v>237</v>
      </c>
      <c r="C765">
        <v>92187</v>
      </c>
      <c r="D765" t="s">
        <v>3340</v>
      </c>
      <c r="E765" t="s">
        <v>80</v>
      </c>
      <c r="F765" t="s">
        <v>305</v>
      </c>
      <c r="G765" t="s">
        <v>304</v>
      </c>
      <c r="H765" t="s">
        <v>30</v>
      </c>
      <c r="I765" t="s">
        <v>31</v>
      </c>
      <c r="J765" t="s">
        <v>32</v>
      </c>
      <c r="K765" t="s">
        <v>33</v>
      </c>
      <c r="L765" t="s">
        <v>45</v>
      </c>
      <c r="M765" t="s">
        <v>106</v>
      </c>
      <c r="N765" t="s">
        <v>3341</v>
      </c>
      <c r="P765" t="s">
        <v>133</v>
      </c>
      <c r="Q765" t="s">
        <v>3342</v>
      </c>
      <c r="R765" s="5">
        <v>42685.520601851851</v>
      </c>
      <c r="S765" s="5">
        <v>42997.456041666665</v>
      </c>
      <c r="T765" t="s">
        <v>346</v>
      </c>
      <c r="U765" t="s">
        <v>3983</v>
      </c>
      <c r="V765" s="3" t="s">
        <v>321</v>
      </c>
      <c r="W765" s="3" t="s">
        <v>69</v>
      </c>
      <c r="AM765" s="5"/>
      <c r="AN765" s="5"/>
      <c r="AQ765" s="6"/>
    </row>
    <row r="766" spans="2:43" x14ac:dyDescent="0.25">
      <c r="B766" t="s">
        <v>3321</v>
      </c>
      <c r="C766">
        <v>92141</v>
      </c>
      <c r="D766" t="s">
        <v>3339</v>
      </c>
      <c r="E766" t="s">
        <v>72</v>
      </c>
      <c r="F766" t="s">
        <v>305</v>
      </c>
      <c r="G766" t="s">
        <v>328</v>
      </c>
      <c r="H766" t="s">
        <v>30</v>
      </c>
      <c r="I766" t="s">
        <v>31</v>
      </c>
      <c r="J766" t="s">
        <v>43</v>
      </c>
      <c r="K766" t="s">
        <v>44</v>
      </c>
      <c r="L766" t="s">
        <v>73</v>
      </c>
      <c r="M766" t="s">
        <v>263</v>
      </c>
      <c r="N766" t="s">
        <v>60</v>
      </c>
      <c r="P766" t="s">
        <v>75</v>
      </c>
      <c r="Q766" t="s">
        <v>2481</v>
      </c>
      <c r="R766" s="5">
        <v>42684.864537037036</v>
      </c>
      <c r="S766" s="5">
        <v>42745.156064814815</v>
      </c>
      <c r="T766" t="s">
        <v>3125</v>
      </c>
      <c r="U766" t="s">
        <v>35</v>
      </c>
      <c r="V766" s="3" t="s">
        <v>35</v>
      </c>
      <c r="W766" s="3" t="s">
        <v>4156</v>
      </c>
      <c r="AM766" s="5"/>
      <c r="AN766" s="5"/>
      <c r="AQ766" s="6"/>
    </row>
    <row r="767" spans="2:43" x14ac:dyDescent="0.25">
      <c r="B767" t="s">
        <v>3335</v>
      </c>
      <c r="C767">
        <v>92069</v>
      </c>
      <c r="D767" t="s">
        <v>3336</v>
      </c>
      <c r="E767" t="s">
        <v>3337</v>
      </c>
      <c r="F767" t="s">
        <v>305</v>
      </c>
      <c r="G767" t="s">
        <v>304</v>
      </c>
      <c r="H767" t="s">
        <v>30</v>
      </c>
      <c r="I767" t="s">
        <v>68</v>
      </c>
      <c r="J767" t="s">
        <v>43</v>
      </c>
      <c r="K767" t="s">
        <v>33</v>
      </c>
      <c r="L767" t="s">
        <v>34</v>
      </c>
      <c r="M767" t="s">
        <v>2888</v>
      </c>
      <c r="N767" t="s">
        <v>46</v>
      </c>
      <c r="O767" t="s">
        <v>3338</v>
      </c>
      <c r="P767" t="s">
        <v>75</v>
      </c>
      <c r="Q767" t="s">
        <v>2731</v>
      </c>
      <c r="R767" s="5">
        <v>42683.717141203706</v>
      </c>
      <c r="S767" s="5">
        <v>43187.160497685189</v>
      </c>
      <c r="T767" t="s">
        <v>2850</v>
      </c>
      <c r="U767" t="s">
        <v>35</v>
      </c>
      <c r="V767" s="3" t="s">
        <v>35</v>
      </c>
      <c r="W767" s="3" t="s">
        <v>4098</v>
      </c>
      <c r="AM767" s="5"/>
      <c r="AN767" s="5"/>
      <c r="AQ767" s="6"/>
    </row>
    <row r="768" spans="2:43" x14ac:dyDescent="0.25">
      <c r="B768" t="s">
        <v>207</v>
      </c>
      <c r="C768">
        <v>91630</v>
      </c>
      <c r="D768" t="s">
        <v>522</v>
      </c>
      <c r="E768" t="s">
        <v>94</v>
      </c>
      <c r="F768" t="s">
        <v>305</v>
      </c>
      <c r="G768" t="s">
        <v>337</v>
      </c>
      <c r="H768" t="s">
        <v>30</v>
      </c>
      <c r="I768" t="s">
        <v>31</v>
      </c>
      <c r="J768" t="s">
        <v>43</v>
      </c>
      <c r="K768" t="s">
        <v>44</v>
      </c>
      <c r="L768" t="s">
        <v>73</v>
      </c>
      <c r="M768" t="s">
        <v>273</v>
      </c>
      <c r="N768" t="s">
        <v>523</v>
      </c>
      <c r="P768" t="s">
        <v>77</v>
      </c>
      <c r="Q768" t="s">
        <v>3708</v>
      </c>
      <c r="R768" s="5">
        <v>42675.873831018522</v>
      </c>
      <c r="S768" s="5">
        <v>43423.863518518519</v>
      </c>
      <c r="T768" t="s">
        <v>317</v>
      </c>
      <c r="U768" t="s">
        <v>35</v>
      </c>
      <c r="V768" s="3" t="s">
        <v>35</v>
      </c>
      <c r="W768" s="3" t="s">
        <v>4156</v>
      </c>
      <c r="AM768" s="5"/>
      <c r="AN768" s="5"/>
      <c r="AQ768" s="6"/>
    </row>
    <row r="769" spans="2:43" x14ac:dyDescent="0.25">
      <c r="B769" t="s">
        <v>207</v>
      </c>
      <c r="C769">
        <v>91629</v>
      </c>
      <c r="D769" t="s">
        <v>3334</v>
      </c>
      <c r="E769" t="s">
        <v>94</v>
      </c>
      <c r="F769" t="s">
        <v>305</v>
      </c>
      <c r="G769" t="s">
        <v>304</v>
      </c>
      <c r="H769" t="s">
        <v>54</v>
      </c>
      <c r="I769" t="s">
        <v>31</v>
      </c>
      <c r="J769" t="s">
        <v>43</v>
      </c>
      <c r="K769" t="s">
        <v>44</v>
      </c>
      <c r="L769" t="s">
        <v>73</v>
      </c>
      <c r="M769" t="s">
        <v>273</v>
      </c>
      <c r="N769" t="s">
        <v>518</v>
      </c>
      <c r="P769" t="s">
        <v>77</v>
      </c>
      <c r="Q769" t="s">
        <v>562</v>
      </c>
      <c r="R769" s="5">
        <v>42675.873761574076</v>
      </c>
      <c r="S769" s="5">
        <v>42948.862604166665</v>
      </c>
      <c r="T769" t="s">
        <v>317</v>
      </c>
      <c r="U769" t="s">
        <v>3996</v>
      </c>
      <c r="V769" s="3" t="s">
        <v>35</v>
      </c>
      <c r="W769" s="3" t="s">
        <v>69</v>
      </c>
      <c r="AM769" s="5"/>
      <c r="AN769" s="5"/>
      <c r="AQ769" s="6"/>
    </row>
    <row r="770" spans="2:43" x14ac:dyDescent="0.25">
      <c r="B770" t="s">
        <v>207</v>
      </c>
      <c r="C770">
        <v>91628</v>
      </c>
      <c r="D770" t="s">
        <v>3332</v>
      </c>
      <c r="E770" t="s">
        <v>94</v>
      </c>
      <c r="F770" t="s">
        <v>305</v>
      </c>
      <c r="G770" t="s">
        <v>337</v>
      </c>
      <c r="H770" t="s">
        <v>54</v>
      </c>
      <c r="I770" t="s">
        <v>31</v>
      </c>
      <c r="J770" t="s">
        <v>43</v>
      </c>
      <c r="K770" t="s">
        <v>44</v>
      </c>
      <c r="L770" t="s">
        <v>73</v>
      </c>
      <c r="M770" t="s">
        <v>263</v>
      </c>
      <c r="N770" t="s">
        <v>60</v>
      </c>
      <c r="O770" t="s">
        <v>3333</v>
      </c>
      <c r="P770" t="s">
        <v>77</v>
      </c>
      <c r="Q770" t="s">
        <v>2481</v>
      </c>
      <c r="R770" s="5">
        <v>42675.873692129629</v>
      </c>
      <c r="S770" s="5">
        <v>42831.667395833334</v>
      </c>
      <c r="T770" t="s">
        <v>317</v>
      </c>
      <c r="U770" t="s">
        <v>35</v>
      </c>
      <c r="V770" s="3" t="s">
        <v>35</v>
      </c>
      <c r="W770" s="3" t="s">
        <v>133</v>
      </c>
      <c r="AM770" s="5"/>
      <c r="AN770" s="5"/>
      <c r="AQ770" s="6"/>
    </row>
    <row r="771" spans="2:43" x14ac:dyDescent="0.25">
      <c r="B771" t="s">
        <v>3324</v>
      </c>
      <c r="C771">
        <v>91627</v>
      </c>
      <c r="D771" t="s">
        <v>3331</v>
      </c>
      <c r="E771" t="s">
        <v>72</v>
      </c>
      <c r="F771" t="s">
        <v>305</v>
      </c>
      <c r="G771" t="s">
        <v>353</v>
      </c>
      <c r="H771" t="s">
        <v>30</v>
      </c>
      <c r="I771" t="s">
        <v>31</v>
      </c>
      <c r="J771" t="s">
        <v>43</v>
      </c>
      <c r="K771" t="s">
        <v>44</v>
      </c>
      <c r="L771" t="s">
        <v>73</v>
      </c>
      <c r="M771" t="s">
        <v>263</v>
      </c>
      <c r="N771" t="s">
        <v>46</v>
      </c>
      <c r="P771" t="s">
        <v>75</v>
      </c>
      <c r="Q771" t="s">
        <v>65</v>
      </c>
      <c r="R771" s="5">
        <v>42675.873414351852</v>
      </c>
      <c r="S771" s="5">
        <v>42684.865624999999</v>
      </c>
      <c r="T771" t="s">
        <v>317</v>
      </c>
      <c r="U771" t="s">
        <v>35</v>
      </c>
      <c r="V771" s="3" t="s">
        <v>35</v>
      </c>
      <c r="W771" s="3" t="s">
        <v>4156</v>
      </c>
      <c r="AM771" s="5"/>
      <c r="AN771" s="5"/>
      <c r="AQ771" s="6"/>
    </row>
    <row r="772" spans="2:43" x14ac:dyDescent="0.25">
      <c r="B772" t="s">
        <v>3324</v>
      </c>
      <c r="C772">
        <v>91626</v>
      </c>
      <c r="D772" t="s">
        <v>3330</v>
      </c>
      <c r="E772" t="s">
        <v>72</v>
      </c>
      <c r="F772" t="s">
        <v>305</v>
      </c>
      <c r="G772" t="s">
        <v>353</v>
      </c>
      <c r="H772" t="s">
        <v>30</v>
      </c>
      <c r="I772" t="s">
        <v>31</v>
      </c>
      <c r="J772" t="s">
        <v>43</v>
      </c>
      <c r="K772" t="s">
        <v>44</v>
      </c>
      <c r="L772" t="s">
        <v>73</v>
      </c>
      <c r="M772" t="s">
        <v>263</v>
      </c>
      <c r="N772" t="s">
        <v>46</v>
      </c>
      <c r="P772" t="s">
        <v>75</v>
      </c>
      <c r="Q772" t="s">
        <v>65</v>
      </c>
      <c r="R772" s="5">
        <v>42675.873310185183</v>
      </c>
      <c r="S772" s="5">
        <v>42684.863842592589</v>
      </c>
      <c r="T772" t="s">
        <v>317</v>
      </c>
      <c r="U772" t="s">
        <v>35</v>
      </c>
      <c r="V772" s="3" t="s">
        <v>35</v>
      </c>
      <c r="W772" s="3" t="s">
        <v>69</v>
      </c>
      <c r="AM772" s="5"/>
      <c r="AN772" s="5"/>
      <c r="AQ772" s="6"/>
    </row>
    <row r="773" spans="2:43" x14ac:dyDescent="0.25">
      <c r="B773" t="s">
        <v>3324</v>
      </c>
      <c r="C773">
        <v>91625</v>
      </c>
      <c r="D773" t="s">
        <v>3329</v>
      </c>
      <c r="E773" t="s">
        <v>72</v>
      </c>
      <c r="F773" t="s">
        <v>305</v>
      </c>
      <c r="G773" t="s">
        <v>353</v>
      </c>
      <c r="H773" t="s">
        <v>30</v>
      </c>
      <c r="I773" t="s">
        <v>31</v>
      </c>
      <c r="J773" t="s">
        <v>43</v>
      </c>
      <c r="K773" t="s">
        <v>44</v>
      </c>
      <c r="L773" t="s">
        <v>73</v>
      </c>
      <c r="M773" t="s">
        <v>263</v>
      </c>
      <c r="N773" t="s">
        <v>46</v>
      </c>
      <c r="P773" t="s">
        <v>75</v>
      </c>
      <c r="Q773" t="s">
        <v>65</v>
      </c>
      <c r="R773" s="5">
        <v>42675.873217592591</v>
      </c>
      <c r="S773" s="5">
        <v>42678.634652777779</v>
      </c>
      <c r="T773" t="s">
        <v>317</v>
      </c>
      <c r="U773" t="s">
        <v>35</v>
      </c>
      <c r="V773" s="3" t="s">
        <v>35</v>
      </c>
      <c r="W773" s="3" t="s">
        <v>133</v>
      </c>
      <c r="AM773" s="5"/>
      <c r="AN773" s="5"/>
      <c r="AQ773" s="6"/>
    </row>
    <row r="774" spans="2:43" x14ac:dyDescent="0.25">
      <c r="B774" t="s">
        <v>3321</v>
      </c>
      <c r="C774">
        <v>91603</v>
      </c>
      <c r="D774" t="s">
        <v>3328</v>
      </c>
      <c r="E774" t="s">
        <v>110</v>
      </c>
      <c r="F774" t="s">
        <v>305</v>
      </c>
      <c r="G774" t="s">
        <v>328</v>
      </c>
      <c r="H774" t="s">
        <v>30</v>
      </c>
      <c r="I774" t="s">
        <v>31</v>
      </c>
      <c r="J774" t="s">
        <v>43</v>
      </c>
      <c r="K774" t="s">
        <v>44</v>
      </c>
      <c r="L774" t="s">
        <v>73</v>
      </c>
      <c r="M774" t="s">
        <v>263</v>
      </c>
      <c r="N774" t="s">
        <v>582</v>
      </c>
      <c r="P774" t="s">
        <v>75</v>
      </c>
      <c r="Q774" t="s">
        <v>2481</v>
      </c>
      <c r="R774" s="5">
        <v>42675.467546296299</v>
      </c>
      <c r="S774" s="5">
        <v>42759.631469907406</v>
      </c>
      <c r="T774" t="s">
        <v>317</v>
      </c>
      <c r="U774" t="s">
        <v>35</v>
      </c>
      <c r="V774" s="3" t="s">
        <v>321</v>
      </c>
      <c r="W774" s="3" t="s">
        <v>69</v>
      </c>
      <c r="AM774" s="5"/>
      <c r="AN774" s="5"/>
      <c r="AQ774" s="6"/>
    </row>
    <row r="775" spans="2:43" x14ac:dyDescent="0.25">
      <c r="B775" t="s">
        <v>3321</v>
      </c>
      <c r="C775">
        <v>91602</v>
      </c>
      <c r="D775" t="s">
        <v>3326</v>
      </c>
      <c r="E775" t="s">
        <v>139</v>
      </c>
      <c r="F775" t="s">
        <v>305</v>
      </c>
      <c r="G775" t="s">
        <v>328</v>
      </c>
      <c r="H775" t="s">
        <v>54</v>
      </c>
      <c r="I775" t="s">
        <v>31</v>
      </c>
      <c r="J775" t="s">
        <v>43</v>
      </c>
      <c r="K775" t="s">
        <v>44</v>
      </c>
      <c r="L775" t="s">
        <v>73</v>
      </c>
      <c r="M775" t="s">
        <v>263</v>
      </c>
      <c r="N775" t="s">
        <v>60</v>
      </c>
      <c r="O775" t="s">
        <v>3327</v>
      </c>
      <c r="P775" t="s">
        <v>75</v>
      </c>
      <c r="Q775" t="s">
        <v>2481</v>
      </c>
      <c r="R775" s="5">
        <v>42675.467418981483</v>
      </c>
      <c r="S775" s="5">
        <v>42759.631053240744</v>
      </c>
      <c r="T775" t="s">
        <v>317</v>
      </c>
      <c r="U775" t="s">
        <v>35</v>
      </c>
      <c r="V775" s="3" t="s">
        <v>35</v>
      </c>
      <c r="W775" s="3" t="s">
        <v>133</v>
      </c>
      <c r="AM775" s="5"/>
      <c r="AN775" s="5"/>
      <c r="AQ775" s="6"/>
    </row>
    <row r="776" spans="2:43" x14ac:dyDescent="0.25">
      <c r="B776" t="s">
        <v>207</v>
      </c>
      <c r="C776">
        <v>91565</v>
      </c>
      <c r="D776" t="s">
        <v>93</v>
      </c>
      <c r="E776" t="s">
        <v>94</v>
      </c>
      <c r="F776" t="s">
        <v>319</v>
      </c>
      <c r="G776" t="s">
        <v>304</v>
      </c>
      <c r="H776" t="s">
        <v>30</v>
      </c>
      <c r="I776" t="s">
        <v>31</v>
      </c>
      <c r="J776" t="s">
        <v>43</v>
      </c>
      <c r="K776" t="s">
        <v>44</v>
      </c>
      <c r="L776" t="s">
        <v>73</v>
      </c>
      <c r="M776" t="s">
        <v>263</v>
      </c>
      <c r="N776" t="s">
        <v>46</v>
      </c>
      <c r="P776" t="s">
        <v>77</v>
      </c>
      <c r="Q776" t="s">
        <v>3708</v>
      </c>
      <c r="R776" s="5">
        <v>42674.344664351855</v>
      </c>
      <c r="S776" s="5">
        <v>43423.896238425928</v>
      </c>
      <c r="T776" t="s">
        <v>4</v>
      </c>
      <c r="U776" t="s">
        <v>35</v>
      </c>
      <c r="V776" s="3" t="s">
        <v>35</v>
      </c>
      <c r="W776" s="3" t="s">
        <v>4098</v>
      </c>
      <c r="AM776" s="5"/>
      <c r="AN776" s="5"/>
      <c r="AQ776" s="6"/>
    </row>
    <row r="777" spans="2:43" x14ac:dyDescent="0.25">
      <c r="B777" t="s">
        <v>3324</v>
      </c>
      <c r="C777">
        <v>91561</v>
      </c>
      <c r="D777" t="s">
        <v>3325</v>
      </c>
      <c r="E777" t="s">
        <v>72</v>
      </c>
      <c r="F777" t="s">
        <v>305</v>
      </c>
      <c r="G777" t="s">
        <v>353</v>
      </c>
      <c r="H777" t="s">
        <v>30</v>
      </c>
      <c r="I777" t="s">
        <v>31</v>
      </c>
      <c r="J777" t="s">
        <v>43</v>
      </c>
      <c r="K777" t="s">
        <v>44</v>
      </c>
      <c r="L777" t="s">
        <v>73</v>
      </c>
      <c r="M777" t="s">
        <v>263</v>
      </c>
      <c r="N777" t="s">
        <v>46</v>
      </c>
      <c r="P777" t="s">
        <v>75</v>
      </c>
      <c r="Q777" t="s">
        <v>65</v>
      </c>
      <c r="R777" s="5">
        <v>42674.181747685187</v>
      </c>
      <c r="S777" s="5">
        <v>42678.638333333336</v>
      </c>
      <c r="T777" t="s">
        <v>4</v>
      </c>
      <c r="U777" t="s">
        <v>35</v>
      </c>
      <c r="V777" s="3" t="s">
        <v>35</v>
      </c>
      <c r="W777" s="3" t="s">
        <v>4098</v>
      </c>
      <c r="AM777" s="5"/>
      <c r="AN777" s="5"/>
      <c r="AQ777" s="6"/>
    </row>
    <row r="778" spans="2:43" x14ac:dyDescent="0.25">
      <c r="B778" t="s">
        <v>3321</v>
      </c>
      <c r="C778">
        <v>91552</v>
      </c>
      <c r="D778" t="s">
        <v>3322</v>
      </c>
      <c r="E778" t="s">
        <v>139</v>
      </c>
      <c r="F778" t="s">
        <v>305</v>
      </c>
      <c r="G778" t="s">
        <v>328</v>
      </c>
      <c r="H778" t="s">
        <v>30</v>
      </c>
      <c r="I778" t="s">
        <v>31</v>
      </c>
      <c r="J778" t="s">
        <v>43</v>
      </c>
      <c r="K778" t="s">
        <v>44</v>
      </c>
      <c r="L778" t="s">
        <v>73</v>
      </c>
      <c r="M778" t="s">
        <v>263</v>
      </c>
      <c r="N778" t="s">
        <v>60</v>
      </c>
      <c r="O778" t="s">
        <v>3323</v>
      </c>
      <c r="P778" t="s">
        <v>75</v>
      </c>
      <c r="Q778" t="s">
        <v>2481</v>
      </c>
      <c r="R778" s="5">
        <v>42671.918217592596</v>
      </c>
      <c r="S778" s="5">
        <v>42759.63140046296</v>
      </c>
      <c r="T778" t="s">
        <v>2</v>
      </c>
      <c r="U778" t="s">
        <v>35</v>
      </c>
      <c r="V778" s="3" t="s">
        <v>35</v>
      </c>
      <c r="W778" s="3" t="s">
        <v>4098</v>
      </c>
      <c r="AM778" s="5"/>
      <c r="AN778" s="5"/>
      <c r="AQ778" s="6"/>
    </row>
    <row r="779" spans="2:43" x14ac:dyDescent="0.25">
      <c r="B779" t="s">
        <v>3237</v>
      </c>
      <c r="C779">
        <v>91546</v>
      </c>
      <c r="D779" t="s">
        <v>3320</v>
      </c>
      <c r="E779" t="s">
        <v>327</v>
      </c>
      <c r="F779" t="s">
        <v>305</v>
      </c>
      <c r="G779" t="s">
        <v>304</v>
      </c>
      <c r="H779" t="s">
        <v>30</v>
      </c>
      <c r="I779" t="s">
        <v>31</v>
      </c>
      <c r="J779" t="s">
        <v>32</v>
      </c>
      <c r="K779" t="s">
        <v>33</v>
      </c>
      <c r="L779" t="s">
        <v>195</v>
      </c>
      <c r="M779" t="s">
        <v>324</v>
      </c>
      <c r="N779" t="s">
        <v>46</v>
      </c>
      <c r="P779" t="s">
        <v>75</v>
      </c>
      <c r="Q779" t="s">
        <v>3260</v>
      </c>
      <c r="R779" s="5">
        <v>42671.816724537035</v>
      </c>
      <c r="S779" s="5">
        <v>42718.641041666669</v>
      </c>
      <c r="T779" t="s">
        <v>53</v>
      </c>
      <c r="U779" t="s">
        <v>316</v>
      </c>
      <c r="V779" s="3" t="s">
        <v>321</v>
      </c>
      <c r="W779" s="3" t="s">
        <v>107</v>
      </c>
      <c r="AM779" s="5"/>
      <c r="AN779" s="5"/>
      <c r="AQ779" s="6"/>
    </row>
    <row r="780" spans="2:43" x14ac:dyDescent="0.25">
      <c r="B780" t="s">
        <v>3311</v>
      </c>
      <c r="C780">
        <v>91470</v>
      </c>
      <c r="D780" t="s">
        <v>3318</v>
      </c>
      <c r="E780" t="s">
        <v>490</v>
      </c>
      <c r="F780" t="s">
        <v>305</v>
      </c>
      <c r="G780" t="s">
        <v>304</v>
      </c>
      <c r="H780" t="s">
        <v>54</v>
      </c>
      <c r="I780" t="s">
        <v>31</v>
      </c>
      <c r="J780" t="s">
        <v>32</v>
      </c>
      <c r="K780" t="s">
        <v>33</v>
      </c>
      <c r="L780" t="s">
        <v>73</v>
      </c>
      <c r="M780" t="s">
        <v>263</v>
      </c>
      <c r="N780" t="s">
        <v>3319</v>
      </c>
      <c r="P780" t="s">
        <v>3233</v>
      </c>
      <c r="Q780" t="s">
        <v>3041</v>
      </c>
      <c r="R780" s="5">
        <v>42670.679722222223</v>
      </c>
      <c r="S780" s="5">
        <v>43207.452245370368</v>
      </c>
      <c r="T780" t="s">
        <v>317</v>
      </c>
      <c r="U780" t="s">
        <v>35</v>
      </c>
      <c r="V780" s="3" t="s">
        <v>321</v>
      </c>
      <c r="W780" s="3" t="s">
        <v>3555</v>
      </c>
      <c r="AM780" s="5"/>
      <c r="AN780" s="5"/>
      <c r="AQ780" s="6"/>
    </row>
    <row r="781" spans="2:43" x14ac:dyDescent="0.25">
      <c r="B781" t="s">
        <v>3315</v>
      </c>
      <c r="C781">
        <v>91401</v>
      </c>
      <c r="D781" t="s">
        <v>3316</v>
      </c>
      <c r="E781" t="s">
        <v>84</v>
      </c>
      <c r="F781" t="s">
        <v>305</v>
      </c>
      <c r="G781" t="s">
        <v>304</v>
      </c>
      <c r="H781" t="s">
        <v>30</v>
      </c>
      <c r="I781" t="s">
        <v>31</v>
      </c>
      <c r="J781" t="s">
        <v>43</v>
      </c>
      <c r="K781" t="s">
        <v>51</v>
      </c>
      <c r="L781" t="s">
        <v>73</v>
      </c>
      <c r="M781" t="s">
        <v>263</v>
      </c>
      <c r="N781" t="s">
        <v>3317</v>
      </c>
      <c r="P781" t="s">
        <v>85</v>
      </c>
      <c r="Q781" t="s">
        <v>85</v>
      </c>
      <c r="R781" s="5">
        <v>42670.209930555553</v>
      </c>
      <c r="S781" s="5">
        <v>43207.451006944444</v>
      </c>
      <c r="T781" t="s">
        <v>72</v>
      </c>
      <c r="U781" t="s">
        <v>35</v>
      </c>
      <c r="V781" s="3" t="s">
        <v>35</v>
      </c>
      <c r="W781" s="3" t="s">
        <v>3555</v>
      </c>
      <c r="AM781" s="5"/>
      <c r="AN781" s="5"/>
      <c r="AQ781" s="6"/>
    </row>
    <row r="782" spans="2:43" x14ac:dyDescent="0.25">
      <c r="B782" t="s">
        <v>205</v>
      </c>
      <c r="C782">
        <v>91210</v>
      </c>
      <c r="D782" t="s">
        <v>3314</v>
      </c>
      <c r="E782" t="s">
        <v>88</v>
      </c>
      <c r="F782" t="s">
        <v>305</v>
      </c>
      <c r="G782" t="s">
        <v>353</v>
      </c>
      <c r="H782" t="s">
        <v>30</v>
      </c>
      <c r="I782" t="s">
        <v>31</v>
      </c>
      <c r="J782" t="s">
        <v>43</v>
      </c>
      <c r="K782" t="s">
        <v>44</v>
      </c>
      <c r="L782" t="s">
        <v>2529</v>
      </c>
      <c r="M782" t="s">
        <v>266</v>
      </c>
      <c r="N782" t="s">
        <v>60</v>
      </c>
      <c r="P782" t="s">
        <v>75</v>
      </c>
      <c r="R782" s="5">
        <v>42667.854502314818</v>
      </c>
      <c r="S782" s="5">
        <v>42800.71056712963</v>
      </c>
      <c r="T782" t="s">
        <v>288</v>
      </c>
      <c r="U782" t="s">
        <v>3995</v>
      </c>
      <c r="V782" s="3" t="s">
        <v>35</v>
      </c>
      <c r="W782" s="3" t="s">
        <v>133</v>
      </c>
      <c r="AM782" s="5"/>
      <c r="AN782" s="5"/>
      <c r="AQ782" s="6"/>
    </row>
    <row r="783" spans="2:43" x14ac:dyDescent="0.25">
      <c r="B783" t="s">
        <v>3311</v>
      </c>
      <c r="C783">
        <v>91086</v>
      </c>
      <c r="D783" t="s">
        <v>3312</v>
      </c>
      <c r="E783" t="s">
        <v>3313</v>
      </c>
      <c r="F783" t="s">
        <v>305</v>
      </c>
      <c r="G783" t="s">
        <v>304</v>
      </c>
      <c r="H783" t="s">
        <v>54</v>
      </c>
      <c r="I783" t="s">
        <v>31</v>
      </c>
      <c r="J783" t="s">
        <v>32</v>
      </c>
      <c r="K783" t="s">
        <v>33</v>
      </c>
      <c r="L783" t="s">
        <v>73</v>
      </c>
      <c r="M783" t="s">
        <v>263</v>
      </c>
      <c r="N783" t="s">
        <v>579</v>
      </c>
      <c r="O783" t="s">
        <v>1717</v>
      </c>
      <c r="P783" t="s">
        <v>3233</v>
      </c>
      <c r="Q783" t="s">
        <v>159</v>
      </c>
      <c r="R783" s="5">
        <v>42664.55978009259</v>
      </c>
      <c r="S783" s="5">
        <v>43215.976030092592</v>
      </c>
      <c r="T783" t="s">
        <v>86</v>
      </c>
      <c r="U783" t="s">
        <v>35</v>
      </c>
      <c r="V783" s="3" t="s">
        <v>321</v>
      </c>
      <c r="W783" s="3" t="s">
        <v>4098</v>
      </c>
      <c r="AM783" s="5"/>
      <c r="AN783" s="5"/>
      <c r="AQ783" s="6"/>
    </row>
    <row r="784" spans="2:43" x14ac:dyDescent="0.25">
      <c r="B784" t="s">
        <v>205</v>
      </c>
      <c r="C784">
        <v>90816</v>
      </c>
      <c r="D784" t="s">
        <v>3310</v>
      </c>
      <c r="E784" t="s">
        <v>88</v>
      </c>
      <c r="F784" t="s">
        <v>305</v>
      </c>
      <c r="G784" t="s">
        <v>304</v>
      </c>
      <c r="H784" t="s">
        <v>30</v>
      </c>
      <c r="I784" t="s">
        <v>31</v>
      </c>
      <c r="J784" t="s">
        <v>43</v>
      </c>
      <c r="K784" t="s">
        <v>44</v>
      </c>
      <c r="L784" t="s">
        <v>2529</v>
      </c>
      <c r="M784" t="s">
        <v>266</v>
      </c>
      <c r="N784" t="s">
        <v>46</v>
      </c>
      <c r="P784" t="s">
        <v>75</v>
      </c>
      <c r="Q784" t="s">
        <v>65</v>
      </c>
      <c r="R784" s="5">
        <v>42660.83421296296</v>
      </c>
      <c r="S784" s="5">
        <v>43242.153773148151</v>
      </c>
      <c r="T784" t="s">
        <v>1</v>
      </c>
      <c r="U784" t="s">
        <v>35</v>
      </c>
      <c r="V784" s="3" t="s">
        <v>35</v>
      </c>
      <c r="W784" s="3" t="s">
        <v>4098</v>
      </c>
      <c r="AM784" s="5"/>
      <c r="AN784" s="5"/>
      <c r="AQ784" s="6"/>
    </row>
    <row r="785" spans="2:43" x14ac:dyDescent="0.25">
      <c r="B785" t="s">
        <v>2413</v>
      </c>
      <c r="C785">
        <v>90486</v>
      </c>
      <c r="D785" t="s">
        <v>3309</v>
      </c>
      <c r="E785" t="s">
        <v>125</v>
      </c>
      <c r="F785" t="s">
        <v>305</v>
      </c>
      <c r="G785" t="s">
        <v>310</v>
      </c>
      <c r="H785" t="s">
        <v>30</v>
      </c>
      <c r="I785" t="s">
        <v>68</v>
      </c>
      <c r="J785" t="s">
        <v>43</v>
      </c>
      <c r="K785" t="s">
        <v>33</v>
      </c>
      <c r="L785" t="s">
        <v>34</v>
      </c>
      <c r="M785" t="s">
        <v>402</v>
      </c>
      <c r="N785" t="s">
        <v>46</v>
      </c>
      <c r="O785" t="s">
        <v>533</v>
      </c>
      <c r="P785" t="s">
        <v>369</v>
      </c>
      <c r="Q785" t="s">
        <v>2416</v>
      </c>
      <c r="R785" s="5">
        <v>42655.959988425922</v>
      </c>
      <c r="S785" s="5">
        <v>42689.770636574074</v>
      </c>
      <c r="T785" t="s">
        <v>53</v>
      </c>
      <c r="U785" t="s">
        <v>35</v>
      </c>
      <c r="V785" s="3" t="s">
        <v>35</v>
      </c>
      <c r="W785" s="3" t="s">
        <v>4164</v>
      </c>
      <c r="AM785" s="5"/>
      <c r="AN785" s="5"/>
      <c r="AQ785" s="6"/>
    </row>
    <row r="786" spans="2:43" x14ac:dyDescent="0.25">
      <c r="B786" t="s">
        <v>3305</v>
      </c>
      <c r="C786">
        <v>90132</v>
      </c>
      <c r="D786" t="s">
        <v>3306</v>
      </c>
      <c r="E786" t="s">
        <v>4</v>
      </c>
      <c r="F786" t="s">
        <v>305</v>
      </c>
      <c r="G786" t="s">
        <v>310</v>
      </c>
      <c r="H786" t="s">
        <v>30</v>
      </c>
      <c r="I786" t="s">
        <v>31</v>
      </c>
      <c r="J786" t="s">
        <v>43</v>
      </c>
      <c r="K786" t="s">
        <v>44</v>
      </c>
      <c r="L786" t="s">
        <v>2529</v>
      </c>
      <c r="M786" t="s">
        <v>3307</v>
      </c>
      <c r="N786" t="s">
        <v>60</v>
      </c>
      <c r="P786" t="s">
        <v>75</v>
      </c>
      <c r="Q786" t="s">
        <v>3308</v>
      </c>
      <c r="R786" s="5">
        <v>42648.399641203701</v>
      </c>
      <c r="S786" s="5">
        <v>42669.574062500003</v>
      </c>
      <c r="T786" t="s">
        <v>4</v>
      </c>
      <c r="U786" t="s">
        <v>35</v>
      </c>
      <c r="V786" s="3" t="s">
        <v>35</v>
      </c>
      <c r="W786" s="3" t="s">
        <v>4156</v>
      </c>
      <c r="AM786" s="5"/>
      <c r="AN786" s="5"/>
      <c r="AQ786" s="6"/>
    </row>
    <row r="787" spans="2:43" x14ac:dyDescent="0.25">
      <c r="B787" t="s">
        <v>3906</v>
      </c>
      <c r="C787">
        <v>89907</v>
      </c>
      <c r="D787" t="s">
        <v>3907</v>
      </c>
      <c r="E787" t="s">
        <v>3184</v>
      </c>
      <c r="F787" t="s">
        <v>305</v>
      </c>
      <c r="G787" t="s">
        <v>353</v>
      </c>
      <c r="H787" t="s">
        <v>30</v>
      </c>
      <c r="I787" t="s">
        <v>31</v>
      </c>
      <c r="J787" t="s">
        <v>32</v>
      </c>
      <c r="K787" t="s">
        <v>33</v>
      </c>
      <c r="L787" t="s">
        <v>34</v>
      </c>
      <c r="M787" t="s">
        <v>368</v>
      </c>
      <c r="N787" t="s">
        <v>46</v>
      </c>
      <c r="O787" t="s">
        <v>3908</v>
      </c>
      <c r="P787" t="s">
        <v>3187</v>
      </c>
      <c r="Q787" t="s">
        <v>3909</v>
      </c>
      <c r="R787" s="5">
        <v>42643.613668981481</v>
      </c>
      <c r="S787" s="5">
        <v>42698.646273148152</v>
      </c>
      <c r="T787" t="s">
        <v>171</v>
      </c>
      <c r="U787" t="s">
        <v>35</v>
      </c>
      <c r="V787" s="3" t="s">
        <v>35</v>
      </c>
      <c r="W787" s="3" t="s">
        <v>92</v>
      </c>
      <c r="AM787" s="5"/>
      <c r="AN787" s="5"/>
      <c r="AQ787" s="6"/>
    </row>
    <row r="788" spans="2:43" x14ac:dyDescent="0.25">
      <c r="B788" t="s">
        <v>2476</v>
      </c>
      <c r="C788">
        <v>89896</v>
      </c>
      <c r="D788" t="s">
        <v>3303</v>
      </c>
      <c r="E788" t="s">
        <v>134</v>
      </c>
      <c r="F788" t="s">
        <v>305</v>
      </c>
      <c r="G788" t="s">
        <v>304</v>
      </c>
      <c r="H788" t="s">
        <v>116</v>
      </c>
      <c r="I788" t="s">
        <v>31</v>
      </c>
      <c r="J788" t="s">
        <v>43</v>
      </c>
      <c r="K788" t="s">
        <v>44</v>
      </c>
      <c r="L788" t="s">
        <v>34</v>
      </c>
      <c r="M788" t="s">
        <v>3304</v>
      </c>
      <c r="N788" t="s">
        <v>510</v>
      </c>
      <c r="O788" t="s">
        <v>533</v>
      </c>
      <c r="P788" t="s">
        <v>369</v>
      </c>
      <c r="Q788" t="s">
        <v>61</v>
      </c>
      <c r="R788" s="5">
        <v>42643.523912037039</v>
      </c>
      <c r="S788" s="5">
        <v>42902.701273148145</v>
      </c>
      <c r="T788" t="s">
        <v>149</v>
      </c>
      <c r="U788" t="s">
        <v>3982</v>
      </c>
      <c r="V788" s="3" t="s">
        <v>35</v>
      </c>
      <c r="W788" s="3" t="s">
        <v>4143</v>
      </c>
      <c r="AM788" s="5"/>
      <c r="AN788" s="5"/>
      <c r="AQ788" s="6"/>
    </row>
    <row r="789" spans="2:43" x14ac:dyDescent="0.25">
      <c r="B789" t="s">
        <v>2476</v>
      </c>
      <c r="C789">
        <v>89895</v>
      </c>
      <c r="D789" t="s">
        <v>3302</v>
      </c>
      <c r="E789" t="s">
        <v>405</v>
      </c>
      <c r="F789" t="s">
        <v>305</v>
      </c>
      <c r="G789" t="s">
        <v>304</v>
      </c>
      <c r="H789" t="s">
        <v>30</v>
      </c>
      <c r="I789" t="s">
        <v>31</v>
      </c>
      <c r="J789" t="s">
        <v>43</v>
      </c>
      <c r="K789" t="s">
        <v>44</v>
      </c>
      <c r="L789" t="s">
        <v>34</v>
      </c>
      <c r="M789" t="s">
        <v>402</v>
      </c>
      <c r="N789" t="s">
        <v>46</v>
      </c>
      <c r="P789" t="s">
        <v>369</v>
      </c>
      <c r="Q789" t="s">
        <v>369</v>
      </c>
      <c r="R789" s="5">
        <v>42643.52380787037</v>
      </c>
      <c r="S789" s="5">
        <v>42695.671886574077</v>
      </c>
      <c r="T789" t="s">
        <v>149</v>
      </c>
      <c r="U789" t="s">
        <v>3977</v>
      </c>
      <c r="V789" s="3" t="s">
        <v>35</v>
      </c>
      <c r="W789" s="3" t="s">
        <v>107</v>
      </c>
      <c r="AM789" s="5"/>
      <c r="AN789" s="5"/>
      <c r="AQ789" s="6"/>
    </row>
    <row r="790" spans="2:43" x14ac:dyDescent="0.25">
      <c r="B790" t="s">
        <v>2476</v>
      </c>
      <c r="C790">
        <v>89894</v>
      </c>
      <c r="D790" t="s">
        <v>3301</v>
      </c>
      <c r="E790" t="s">
        <v>405</v>
      </c>
      <c r="F790" t="s">
        <v>305</v>
      </c>
      <c r="G790" t="s">
        <v>304</v>
      </c>
      <c r="H790" t="s">
        <v>30</v>
      </c>
      <c r="I790" t="s">
        <v>31</v>
      </c>
      <c r="J790" t="s">
        <v>43</v>
      </c>
      <c r="K790" t="s">
        <v>44</v>
      </c>
      <c r="L790" t="s">
        <v>34</v>
      </c>
      <c r="M790" t="s">
        <v>402</v>
      </c>
      <c r="N790" t="s">
        <v>582</v>
      </c>
      <c r="O790" t="s">
        <v>3300</v>
      </c>
      <c r="P790" t="s">
        <v>369</v>
      </c>
      <c r="Q790" t="s">
        <v>369</v>
      </c>
      <c r="R790" s="5">
        <v>42643.523692129631</v>
      </c>
      <c r="S790" s="5">
        <v>42933.845775462964</v>
      </c>
      <c r="T790" t="s">
        <v>149</v>
      </c>
      <c r="U790" t="s">
        <v>3988</v>
      </c>
      <c r="V790" s="3" t="s">
        <v>35</v>
      </c>
      <c r="W790" s="3" t="s">
        <v>69</v>
      </c>
      <c r="AM790" s="5"/>
      <c r="AN790" s="5"/>
      <c r="AQ790" s="6"/>
    </row>
    <row r="791" spans="2:43" x14ac:dyDescent="0.25">
      <c r="B791" t="s">
        <v>2476</v>
      </c>
      <c r="C791">
        <v>89893</v>
      </c>
      <c r="D791" t="s">
        <v>3299</v>
      </c>
      <c r="E791" t="s">
        <v>405</v>
      </c>
      <c r="F791" t="s">
        <v>305</v>
      </c>
      <c r="G791" t="s">
        <v>304</v>
      </c>
      <c r="H791" t="s">
        <v>30</v>
      </c>
      <c r="I791" t="s">
        <v>31</v>
      </c>
      <c r="J791" t="s">
        <v>43</v>
      </c>
      <c r="K791" t="s">
        <v>44</v>
      </c>
      <c r="L791" t="s">
        <v>34</v>
      </c>
      <c r="M791" t="s">
        <v>402</v>
      </c>
      <c r="N791" t="s">
        <v>60</v>
      </c>
      <c r="O791" t="s">
        <v>3300</v>
      </c>
      <c r="P791" t="s">
        <v>369</v>
      </c>
      <c r="Q791" t="s">
        <v>369</v>
      </c>
      <c r="R791" s="5">
        <v>42643.523576388892</v>
      </c>
      <c r="S791" s="5">
        <v>42794.873067129629</v>
      </c>
      <c r="T791" t="s">
        <v>149</v>
      </c>
      <c r="U791" t="s">
        <v>3994</v>
      </c>
      <c r="V791" s="3" t="s">
        <v>35</v>
      </c>
      <c r="W791" s="3" t="s">
        <v>133</v>
      </c>
      <c r="AM791" s="5"/>
      <c r="AN791" s="5"/>
      <c r="AQ791" s="6"/>
    </row>
    <row r="792" spans="2:43" x14ac:dyDescent="0.25">
      <c r="B792" t="s">
        <v>3277</v>
      </c>
      <c r="C792">
        <v>89797</v>
      </c>
      <c r="D792" t="s">
        <v>3297</v>
      </c>
      <c r="E792" t="s">
        <v>105</v>
      </c>
      <c r="F792" t="s">
        <v>305</v>
      </c>
      <c r="G792" t="s">
        <v>304</v>
      </c>
      <c r="H792" t="s">
        <v>30</v>
      </c>
      <c r="I792" t="s">
        <v>31</v>
      </c>
      <c r="J792" t="s">
        <v>43</v>
      </c>
      <c r="K792" t="s">
        <v>44</v>
      </c>
      <c r="L792" t="s">
        <v>106</v>
      </c>
      <c r="M792" t="s">
        <v>270</v>
      </c>
      <c r="N792" t="s">
        <v>60</v>
      </c>
      <c r="P792" t="s">
        <v>75</v>
      </c>
      <c r="Q792" t="s">
        <v>3298</v>
      </c>
      <c r="R792" s="5">
        <v>42641.758530092593</v>
      </c>
      <c r="S792" s="5">
        <v>42719.436122685183</v>
      </c>
      <c r="T792" t="s">
        <v>288</v>
      </c>
      <c r="U792" t="s">
        <v>316</v>
      </c>
      <c r="V792" s="3" t="s">
        <v>35</v>
      </c>
      <c r="W792" s="3" t="s">
        <v>107</v>
      </c>
      <c r="AM792" s="5"/>
      <c r="AN792" s="5"/>
      <c r="AQ792" s="6"/>
    </row>
    <row r="793" spans="2:43" x14ac:dyDescent="0.25">
      <c r="B793" t="s">
        <v>3277</v>
      </c>
      <c r="C793">
        <v>89796</v>
      </c>
      <c r="D793" t="s">
        <v>3296</v>
      </c>
      <c r="E793" t="s">
        <v>136</v>
      </c>
      <c r="F793" t="s">
        <v>305</v>
      </c>
      <c r="G793" t="s">
        <v>310</v>
      </c>
      <c r="H793" t="s">
        <v>30</v>
      </c>
      <c r="I793" t="s">
        <v>31</v>
      </c>
      <c r="J793" t="s">
        <v>43</v>
      </c>
      <c r="K793" t="s">
        <v>44</v>
      </c>
      <c r="L793" t="s">
        <v>106</v>
      </c>
      <c r="M793" t="s">
        <v>270</v>
      </c>
      <c r="N793" t="s">
        <v>60</v>
      </c>
      <c r="P793" t="s">
        <v>75</v>
      </c>
      <c r="Q793" t="s">
        <v>1503</v>
      </c>
      <c r="R793" s="5">
        <v>42641.758518518516</v>
      </c>
      <c r="S793" s="5">
        <v>42766.639502314814</v>
      </c>
      <c r="T793" t="s">
        <v>288</v>
      </c>
      <c r="U793" t="s">
        <v>35</v>
      </c>
      <c r="V793" s="3" t="s">
        <v>35</v>
      </c>
      <c r="W793" s="3" t="s">
        <v>133</v>
      </c>
      <c r="AM793" s="5"/>
      <c r="AN793" s="5"/>
      <c r="AQ793" s="6"/>
    </row>
    <row r="794" spans="2:43" x14ac:dyDescent="0.25">
      <c r="B794" t="s">
        <v>3281</v>
      </c>
      <c r="C794">
        <v>89790</v>
      </c>
      <c r="D794" t="s">
        <v>3294</v>
      </c>
      <c r="E794" t="s">
        <v>115</v>
      </c>
      <c r="F794" t="s">
        <v>305</v>
      </c>
      <c r="G794" t="s">
        <v>328</v>
      </c>
      <c r="H794" t="s">
        <v>30</v>
      </c>
      <c r="I794" t="s">
        <v>31</v>
      </c>
      <c r="J794" t="s">
        <v>32</v>
      </c>
      <c r="K794" t="s">
        <v>51</v>
      </c>
      <c r="L794" t="s">
        <v>195</v>
      </c>
      <c r="M794" t="s">
        <v>3293</v>
      </c>
      <c r="N794" t="s">
        <v>582</v>
      </c>
      <c r="O794" t="s">
        <v>3295</v>
      </c>
      <c r="P794" t="s">
        <v>77</v>
      </c>
      <c r="Q794" t="s">
        <v>2481</v>
      </c>
      <c r="R794" s="5">
        <v>42641.651979166665</v>
      </c>
      <c r="S794" s="5">
        <v>42929.387916666667</v>
      </c>
      <c r="T794" t="s">
        <v>149</v>
      </c>
      <c r="U794" t="s">
        <v>35</v>
      </c>
      <c r="V794" s="3" t="s">
        <v>321</v>
      </c>
      <c r="W794" s="3" t="s">
        <v>307</v>
      </c>
      <c r="AM794" s="5"/>
      <c r="AN794" s="5"/>
      <c r="AQ794" s="6"/>
    </row>
    <row r="795" spans="2:43" x14ac:dyDescent="0.25">
      <c r="B795" t="s">
        <v>3281</v>
      </c>
      <c r="C795">
        <v>89789</v>
      </c>
      <c r="D795" t="s">
        <v>3292</v>
      </c>
      <c r="E795" t="s">
        <v>2</v>
      </c>
      <c r="F795" t="s">
        <v>305</v>
      </c>
      <c r="G795" t="s">
        <v>328</v>
      </c>
      <c r="H795" t="s">
        <v>30</v>
      </c>
      <c r="I795" t="s">
        <v>31</v>
      </c>
      <c r="J795" t="s">
        <v>32</v>
      </c>
      <c r="K795" t="s">
        <v>51</v>
      </c>
      <c r="L795" t="s">
        <v>195</v>
      </c>
      <c r="M795" t="s">
        <v>3293</v>
      </c>
      <c r="N795" t="s">
        <v>46</v>
      </c>
      <c r="P795" t="s">
        <v>77</v>
      </c>
      <c r="Q795" t="s">
        <v>2481</v>
      </c>
      <c r="R795" s="5">
        <v>42641.651898148149</v>
      </c>
      <c r="S795" s="5">
        <v>42745.157060185185</v>
      </c>
      <c r="T795" t="s">
        <v>149</v>
      </c>
      <c r="U795" t="s">
        <v>35</v>
      </c>
      <c r="V795" s="3" t="s">
        <v>321</v>
      </c>
      <c r="W795" s="3" t="s">
        <v>4156</v>
      </c>
      <c r="AM795" s="5"/>
      <c r="AN795" s="5"/>
      <c r="AQ795" s="6"/>
    </row>
    <row r="796" spans="2:43" x14ac:dyDescent="0.25">
      <c r="B796" t="s">
        <v>3281</v>
      </c>
      <c r="C796">
        <v>89788</v>
      </c>
      <c r="D796" t="s">
        <v>3290</v>
      </c>
      <c r="E796" t="s">
        <v>3147</v>
      </c>
      <c r="F796" t="s">
        <v>305</v>
      </c>
      <c r="G796" t="s">
        <v>328</v>
      </c>
      <c r="H796" t="s">
        <v>30</v>
      </c>
      <c r="I796" t="s">
        <v>31</v>
      </c>
      <c r="J796" t="s">
        <v>32</v>
      </c>
      <c r="K796" t="s">
        <v>51</v>
      </c>
      <c r="L796" t="s">
        <v>45</v>
      </c>
      <c r="M796" t="s">
        <v>260</v>
      </c>
      <c r="N796" t="s">
        <v>582</v>
      </c>
      <c r="O796" t="s">
        <v>3291</v>
      </c>
      <c r="P796" t="s">
        <v>77</v>
      </c>
      <c r="Q796" t="s">
        <v>2481</v>
      </c>
      <c r="R796" s="5">
        <v>42641.651724537034</v>
      </c>
      <c r="S796" s="5">
        <v>42804.705694444441</v>
      </c>
      <c r="T796" t="s">
        <v>149</v>
      </c>
      <c r="U796" t="s">
        <v>35</v>
      </c>
      <c r="V796" s="3" t="s">
        <v>321</v>
      </c>
      <c r="W796" s="3" t="s">
        <v>69</v>
      </c>
      <c r="AM796" s="5"/>
      <c r="AN796" s="5"/>
      <c r="AQ796" s="6"/>
    </row>
    <row r="797" spans="2:43" x14ac:dyDescent="0.25">
      <c r="B797" t="s">
        <v>3281</v>
      </c>
      <c r="C797">
        <v>89787</v>
      </c>
      <c r="D797" t="s">
        <v>3289</v>
      </c>
      <c r="E797" t="s">
        <v>62</v>
      </c>
      <c r="F797" t="s">
        <v>305</v>
      </c>
      <c r="G797" t="s">
        <v>328</v>
      </c>
      <c r="H797" t="s">
        <v>30</v>
      </c>
      <c r="I797" t="s">
        <v>31</v>
      </c>
      <c r="J797" t="s">
        <v>32</v>
      </c>
      <c r="K797" t="s">
        <v>51</v>
      </c>
      <c r="L797" t="s">
        <v>45</v>
      </c>
      <c r="M797" t="s">
        <v>260</v>
      </c>
      <c r="N797" t="s">
        <v>60</v>
      </c>
      <c r="P797" t="s">
        <v>77</v>
      </c>
      <c r="Q797" t="s">
        <v>2481</v>
      </c>
      <c r="R797" s="5">
        <v>42641.651562500003</v>
      </c>
      <c r="S797" s="5">
        <v>42695.962789351855</v>
      </c>
      <c r="T797" t="s">
        <v>149</v>
      </c>
      <c r="U797" t="s">
        <v>35</v>
      </c>
      <c r="V797" s="3" t="s">
        <v>321</v>
      </c>
      <c r="W797" s="3" t="s">
        <v>133</v>
      </c>
      <c r="AM797" s="5"/>
      <c r="AN797" s="5"/>
      <c r="AQ797" s="6"/>
    </row>
    <row r="798" spans="2:43" x14ac:dyDescent="0.25">
      <c r="B798" t="s">
        <v>3237</v>
      </c>
      <c r="C798">
        <v>89753</v>
      </c>
      <c r="D798" t="s">
        <v>3288</v>
      </c>
      <c r="E798" t="s">
        <v>134</v>
      </c>
      <c r="F798" t="s">
        <v>305</v>
      </c>
      <c r="G798" t="s">
        <v>304</v>
      </c>
      <c r="H798" t="s">
        <v>116</v>
      </c>
      <c r="I798" t="s">
        <v>31</v>
      </c>
      <c r="J798" t="s">
        <v>32</v>
      </c>
      <c r="K798" t="s">
        <v>44</v>
      </c>
      <c r="L798" t="s">
        <v>195</v>
      </c>
      <c r="M798" t="s">
        <v>324</v>
      </c>
      <c r="N798" t="s">
        <v>510</v>
      </c>
      <c r="P798" t="s">
        <v>75</v>
      </c>
      <c r="Q798" t="s">
        <v>2305</v>
      </c>
      <c r="R798" s="5">
        <v>42641.483611111114</v>
      </c>
      <c r="S798" s="5">
        <v>43206.798831018517</v>
      </c>
      <c r="T798" t="s">
        <v>387</v>
      </c>
      <c r="U798" t="s">
        <v>3993</v>
      </c>
      <c r="V798" s="3" t="s">
        <v>35</v>
      </c>
      <c r="W798" s="3" t="s">
        <v>307</v>
      </c>
      <c r="AM798" s="5"/>
      <c r="AN798" s="5"/>
      <c r="AQ798" s="6"/>
    </row>
    <row r="799" spans="2:43" x14ac:dyDescent="0.25">
      <c r="B799" t="s">
        <v>3237</v>
      </c>
      <c r="C799">
        <v>89743</v>
      </c>
      <c r="D799" t="s">
        <v>3286</v>
      </c>
      <c r="E799" t="s">
        <v>327</v>
      </c>
      <c r="F799" t="s">
        <v>305</v>
      </c>
      <c r="G799" t="s">
        <v>304</v>
      </c>
      <c r="H799" t="s">
        <v>30</v>
      </c>
      <c r="I799" t="s">
        <v>31</v>
      </c>
      <c r="J799" t="s">
        <v>32</v>
      </c>
      <c r="K799" t="s">
        <v>33</v>
      </c>
      <c r="L799" t="s">
        <v>195</v>
      </c>
      <c r="M799" t="s">
        <v>324</v>
      </c>
      <c r="N799" t="s">
        <v>60</v>
      </c>
      <c r="P799" t="s">
        <v>75</v>
      </c>
      <c r="Q799" t="s">
        <v>3287</v>
      </c>
      <c r="R799" s="5">
        <v>42641.352476851855</v>
      </c>
      <c r="S799" s="5">
        <v>42941.844849537039</v>
      </c>
      <c r="T799" t="s">
        <v>387</v>
      </c>
      <c r="U799" t="s">
        <v>3991</v>
      </c>
      <c r="V799" s="3" t="s">
        <v>321</v>
      </c>
      <c r="W799" s="3" t="s">
        <v>133</v>
      </c>
      <c r="AM799" s="5"/>
      <c r="AN799" s="5"/>
      <c r="AQ799" s="6"/>
    </row>
    <row r="800" spans="2:43" x14ac:dyDescent="0.25">
      <c r="B800" t="s">
        <v>3264</v>
      </c>
      <c r="C800">
        <v>89568</v>
      </c>
      <c r="D800" t="s">
        <v>3285</v>
      </c>
      <c r="E800" t="s">
        <v>521</v>
      </c>
      <c r="F800" t="s">
        <v>305</v>
      </c>
      <c r="G800" t="s">
        <v>304</v>
      </c>
      <c r="H800" t="s">
        <v>30</v>
      </c>
      <c r="I800" t="s">
        <v>31</v>
      </c>
      <c r="J800" t="s">
        <v>43</v>
      </c>
      <c r="K800" t="s">
        <v>51</v>
      </c>
      <c r="L800" t="s">
        <v>96</v>
      </c>
      <c r="M800" t="s">
        <v>275</v>
      </c>
      <c r="N800" t="s">
        <v>60</v>
      </c>
      <c r="P800" t="s">
        <v>77</v>
      </c>
      <c r="Q800" t="s">
        <v>77</v>
      </c>
      <c r="R800" s="5">
        <v>42636.654687499999</v>
      </c>
      <c r="S800" s="5">
        <v>42719.617534722223</v>
      </c>
      <c r="T800" t="s">
        <v>3125</v>
      </c>
      <c r="U800" t="s">
        <v>316</v>
      </c>
      <c r="V800" s="3" t="s">
        <v>35</v>
      </c>
      <c r="W800" s="3" t="s">
        <v>107</v>
      </c>
      <c r="AM800" s="5"/>
      <c r="AN800" s="5"/>
      <c r="AQ800" s="6"/>
    </row>
    <row r="801" spans="2:43" x14ac:dyDescent="0.25">
      <c r="B801" t="s">
        <v>2727</v>
      </c>
      <c r="C801">
        <v>89508</v>
      </c>
      <c r="D801" t="s">
        <v>3283</v>
      </c>
      <c r="E801" t="s">
        <v>3284</v>
      </c>
      <c r="F801" t="s">
        <v>305</v>
      </c>
      <c r="G801" t="s">
        <v>353</v>
      </c>
      <c r="H801" t="s">
        <v>30</v>
      </c>
      <c r="I801" t="s">
        <v>2156</v>
      </c>
      <c r="J801" t="s">
        <v>43</v>
      </c>
      <c r="K801" t="s">
        <v>2156</v>
      </c>
      <c r="L801" t="s">
        <v>45</v>
      </c>
      <c r="M801" t="s">
        <v>265</v>
      </c>
      <c r="N801" t="s">
        <v>60</v>
      </c>
      <c r="O801" t="s">
        <v>325</v>
      </c>
      <c r="P801" t="s">
        <v>75</v>
      </c>
      <c r="Q801" t="s">
        <v>3139</v>
      </c>
      <c r="R801" s="5">
        <v>42636.282719907409</v>
      </c>
      <c r="S801" s="5">
        <v>42649.732928240737</v>
      </c>
      <c r="T801" t="s">
        <v>5</v>
      </c>
      <c r="U801" t="s">
        <v>35</v>
      </c>
      <c r="V801" s="3" t="s">
        <v>35</v>
      </c>
      <c r="W801" s="3" t="s">
        <v>4126</v>
      </c>
      <c r="AM801" s="5"/>
      <c r="AN801" s="5"/>
      <c r="AQ801" s="6"/>
    </row>
    <row r="802" spans="2:43" x14ac:dyDescent="0.25">
      <c r="B802" t="s">
        <v>3281</v>
      </c>
      <c r="C802">
        <v>89490</v>
      </c>
      <c r="D802" t="s">
        <v>3282</v>
      </c>
      <c r="E802" t="s">
        <v>2</v>
      </c>
      <c r="F802" t="s">
        <v>305</v>
      </c>
      <c r="G802" t="s">
        <v>328</v>
      </c>
      <c r="H802" t="s">
        <v>30</v>
      </c>
      <c r="I802" t="s">
        <v>31</v>
      </c>
      <c r="J802" t="s">
        <v>32</v>
      </c>
      <c r="K802" t="s">
        <v>51</v>
      </c>
      <c r="L802" t="s">
        <v>45</v>
      </c>
      <c r="M802" t="s">
        <v>260</v>
      </c>
      <c r="N802" t="s">
        <v>46</v>
      </c>
      <c r="P802" t="s">
        <v>77</v>
      </c>
      <c r="Q802" t="s">
        <v>2481</v>
      </c>
      <c r="R802" s="5">
        <v>42635.806967592594</v>
      </c>
      <c r="S802" s="5">
        <v>42929.388194444444</v>
      </c>
      <c r="T802" t="s">
        <v>2</v>
      </c>
      <c r="U802" t="s">
        <v>35</v>
      </c>
      <c r="V802" s="3" t="s">
        <v>321</v>
      </c>
      <c r="W802" s="3" t="s">
        <v>4098</v>
      </c>
      <c r="AM802" s="5"/>
      <c r="AN802" s="5"/>
      <c r="AQ802" s="6"/>
    </row>
    <row r="803" spans="2:43" x14ac:dyDescent="0.25">
      <c r="B803" t="s">
        <v>3275</v>
      </c>
      <c r="C803">
        <v>89455</v>
      </c>
      <c r="D803" t="s">
        <v>318</v>
      </c>
      <c r="E803" t="s">
        <v>78</v>
      </c>
      <c r="F803" t="s">
        <v>305</v>
      </c>
      <c r="G803" t="s">
        <v>304</v>
      </c>
      <c r="H803" t="s">
        <v>30</v>
      </c>
      <c r="I803" t="s">
        <v>31</v>
      </c>
      <c r="J803" t="s">
        <v>32</v>
      </c>
      <c r="K803" t="s">
        <v>33</v>
      </c>
      <c r="L803" t="s">
        <v>96</v>
      </c>
      <c r="M803" t="s">
        <v>269</v>
      </c>
      <c r="N803" t="s">
        <v>46</v>
      </c>
      <c r="P803" t="s">
        <v>77</v>
      </c>
      <c r="Q803" t="s">
        <v>65</v>
      </c>
      <c r="R803" s="5">
        <v>42635.552361111113</v>
      </c>
      <c r="S803" s="5">
        <v>42933.91479166667</v>
      </c>
      <c r="T803" t="s">
        <v>317</v>
      </c>
      <c r="U803" t="s">
        <v>316</v>
      </c>
      <c r="V803" s="3" t="s">
        <v>35</v>
      </c>
      <c r="W803" s="3" t="s">
        <v>107</v>
      </c>
      <c r="AM803" s="5"/>
      <c r="AN803" s="5"/>
      <c r="AQ803" s="6"/>
    </row>
    <row r="804" spans="2:43" x14ac:dyDescent="0.25">
      <c r="B804" t="s">
        <v>3275</v>
      </c>
      <c r="C804">
        <v>89454</v>
      </c>
      <c r="D804" t="s">
        <v>3280</v>
      </c>
      <c r="E804" t="s">
        <v>78</v>
      </c>
      <c r="F804" t="s">
        <v>305</v>
      </c>
      <c r="G804" t="s">
        <v>304</v>
      </c>
      <c r="H804" t="s">
        <v>30</v>
      </c>
      <c r="I804" t="s">
        <v>31</v>
      </c>
      <c r="J804" t="s">
        <v>32</v>
      </c>
      <c r="K804" t="s">
        <v>33</v>
      </c>
      <c r="L804" t="s">
        <v>96</v>
      </c>
      <c r="M804" t="s">
        <v>269</v>
      </c>
      <c r="N804" t="s">
        <v>582</v>
      </c>
      <c r="P804" t="s">
        <v>77</v>
      </c>
      <c r="Q804" t="s">
        <v>65</v>
      </c>
      <c r="R804" s="5">
        <v>42635.552245370367</v>
      </c>
      <c r="S804" s="5">
        <v>42947.882951388892</v>
      </c>
      <c r="T804" t="s">
        <v>317</v>
      </c>
      <c r="U804" t="s">
        <v>3992</v>
      </c>
      <c r="V804" s="3" t="s">
        <v>35</v>
      </c>
      <c r="W804" s="3" t="s">
        <v>69</v>
      </c>
      <c r="AM804" s="5"/>
      <c r="AN804" s="5"/>
      <c r="AQ804" s="6"/>
    </row>
    <row r="805" spans="2:43" x14ac:dyDescent="0.25">
      <c r="B805" t="s">
        <v>3275</v>
      </c>
      <c r="C805">
        <v>89453</v>
      </c>
      <c r="D805" t="s">
        <v>3278</v>
      </c>
      <c r="E805" t="s">
        <v>78</v>
      </c>
      <c r="F805" t="s">
        <v>305</v>
      </c>
      <c r="G805" t="s">
        <v>304</v>
      </c>
      <c r="H805" t="s">
        <v>30</v>
      </c>
      <c r="I805" t="s">
        <v>31</v>
      </c>
      <c r="J805" t="s">
        <v>32</v>
      </c>
      <c r="K805" t="s">
        <v>33</v>
      </c>
      <c r="L805" t="s">
        <v>96</v>
      </c>
      <c r="M805" t="s">
        <v>269</v>
      </c>
      <c r="N805" t="s">
        <v>60</v>
      </c>
      <c r="O805" t="s">
        <v>3279</v>
      </c>
      <c r="P805" t="s">
        <v>77</v>
      </c>
      <c r="Q805" t="s">
        <v>65</v>
      </c>
      <c r="R805" s="5">
        <v>42635.552118055559</v>
      </c>
      <c r="S805" s="5">
        <v>42933.915081018517</v>
      </c>
      <c r="T805" t="s">
        <v>317</v>
      </c>
      <c r="U805" t="s">
        <v>3991</v>
      </c>
      <c r="V805" s="3" t="s">
        <v>35</v>
      </c>
      <c r="W805" s="3" t="s">
        <v>4163</v>
      </c>
      <c r="AM805" s="5"/>
      <c r="AN805" s="5"/>
      <c r="AQ805" s="6"/>
    </row>
    <row r="806" spans="2:43" x14ac:dyDescent="0.25">
      <c r="B806" t="s">
        <v>3277</v>
      </c>
      <c r="C806">
        <v>89421</v>
      </c>
      <c r="D806" t="s">
        <v>320</v>
      </c>
      <c r="E806" t="s">
        <v>136</v>
      </c>
      <c r="F806" t="s">
        <v>305</v>
      </c>
      <c r="G806" t="s">
        <v>304</v>
      </c>
      <c r="H806" t="s">
        <v>30</v>
      </c>
      <c r="I806" t="s">
        <v>31</v>
      </c>
      <c r="J806" t="s">
        <v>43</v>
      </c>
      <c r="K806" t="s">
        <v>44</v>
      </c>
      <c r="L806" t="s">
        <v>106</v>
      </c>
      <c r="M806" t="s">
        <v>270</v>
      </c>
      <c r="N806" t="s">
        <v>60</v>
      </c>
      <c r="P806" t="s">
        <v>75</v>
      </c>
      <c r="Q806" t="s">
        <v>65</v>
      </c>
      <c r="R806" s="5">
        <v>42634.865752314814</v>
      </c>
      <c r="S806" s="5">
        <v>43307.158483796295</v>
      </c>
      <c r="T806" t="s">
        <v>2</v>
      </c>
      <c r="U806" t="s">
        <v>35</v>
      </c>
      <c r="V806" s="3" t="s">
        <v>35</v>
      </c>
      <c r="W806" s="3" t="s">
        <v>4098</v>
      </c>
      <c r="AM806" s="5"/>
      <c r="AN806" s="5"/>
      <c r="AQ806" s="6"/>
    </row>
    <row r="807" spans="2:43" x14ac:dyDescent="0.25">
      <c r="B807" t="s">
        <v>3275</v>
      </c>
      <c r="C807">
        <v>89408</v>
      </c>
      <c r="D807" t="s">
        <v>3276</v>
      </c>
      <c r="E807" t="s">
        <v>78</v>
      </c>
      <c r="F807" t="s">
        <v>305</v>
      </c>
      <c r="G807" t="s">
        <v>304</v>
      </c>
      <c r="H807" t="s">
        <v>30</v>
      </c>
      <c r="I807" t="s">
        <v>31</v>
      </c>
      <c r="J807" t="s">
        <v>32</v>
      </c>
      <c r="K807" t="s">
        <v>33</v>
      </c>
      <c r="L807" t="s">
        <v>96</v>
      </c>
      <c r="M807" t="s">
        <v>269</v>
      </c>
      <c r="N807" t="s">
        <v>331</v>
      </c>
      <c r="P807" t="s">
        <v>77</v>
      </c>
      <c r="Q807" t="s">
        <v>65</v>
      </c>
      <c r="R807" s="5">
        <v>42634.643182870372</v>
      </c>
      <c r="S807" s="5">
        <v>43479.146249999998</v>
      </c>
      <c r="T807" t="s">
        <v>3</v>
      </c>
      <c r="U807" t="s">
        <v>35</v>
      </c>
      <c r="V807" s="3" t="s">
        <v>35</v>
      </c>
      <c r="W807" s="3" t="s">
        <v>4098</v>
      </c>
      <c r="AM807" s="5"/>
      <c r="AN807" s="5"/>
      <c r="AQ807" s="6"/>
    </row>
    <row r="808" spans="2:43" x14ac:dyDescent="0.25">
      <c r="B808" t="s">
        <v>3271</v>
      </c>
      <c r="C808">
        <v>89393</v>
      </c>
      <c r="D808" t="s">
        <v>3274</v>
      </c>
      <c r="E808" t="s">
        <v>94</v>
      </c>
      <c r="F808" t="s">
        <v>305</v>
      </c>
      <c r="G808" t="s">
        <v>304</v>
      </c>
      <c r="H808" t="s">
        <v>30</v>
      </c>
      <c r="I808" t="s">
        <v>31</v>
      </c>
      <c r="J808" t="s">
        <v>32</v>
      </c>
      <c r="K808" t="s">
        <v>33</v>
      </c>
      <c r="L808" t="s">
        <v>73</v>
      </c>
      <c r="M808" t="s">
        <v>273</v>
      </c>
      <c r="N808" t="s">
        <v>46</v>
      </c>
      <c r="P808" t="s">
        <v>77</v>
      </c>
      <c r="Q808" t="s">
        <v>159</v>
      </c>
      <c r="R808" s="5">
        <v>42634.562152777777</v>
      </c>
      <c r="S808" s="5">
        <v>42718.678877314815</v>
      </c>
      <c r="T808" t="s">
        <v>317</v>
      </c>
      <c r="U808" t="s">
        <v>3977</v>
      </c>
      <c r="V808" s="3" t="s">
        <v>321</v>
      </c>
      <c r="W808" s="3" t="s">
        <v>107</v>
      </c>
      <c r="AM808" s="5"/>
      <c r="AN808" s="5"/>
      <c r="AQ808" s="6"/>
    </row>
    <row r="809" spans="2:43" x14ac:dyDescent="0.25">
      <c r="B809" t="s">
        <v>3271</v>
      </c>
      <c r="C809">
        <v>89392</v>
      </c>
      <c r="D809" t="s">
        <v>3273</v>
      </c>
      <c r="E809" t="s">
        <v>94</v>
      </c>
      <c r="F809" t="s">
        <v>305</v>
      </c>
      <c r="G809" t="s">
        <v>304</v>
      </c>
      <c r="H809" t="s">
        <v>30</v>
      </c>
      <c r="I809" t="s">
        <v>31</v>
      </c>
      <c r="J809" t="s">
        <v>32</v>
      </c>
      <c r="K809" t="s">
        <v>33</v>
      </c>
      <c r="L809" t="s">
        <v>73</v>
      </c>
      <c r="M809" t="s">
        <v>273</v>
      </c>
      <c r="N809" t="s">
        <v>60</v>
      </c>
      <c r="P809" t="s">
        <v>77</v>
      </c>
      <c r="Q809" t="s">
        <v>159</v>
      </c>
      <c r="R809" s="5">
        <v>42634.562048611115</v>
      </c>
      <c r="S809" s="5">
        <v>42948.870393518519</v>
      </c>
      <c r="T809" t="s">
        <v>317</v>
      </c>
      <c r="U809" t="s">
        <v>3990</v>
      </c>
      <c r="V809" s="3" t="s">
        <v>321</v>
      </c>
      <c r="W809" s="3" t="s">
        <v>69</v>
      </c>
      <c r="AM809" s="5"/>
      <c r="AN809" s="5"/>
      <c r="AQ809" s="6"/>
    </row>
    <row r="810" spans="2:43" x14ac:dyDescent="0.25">
      <c r="B810" t="s">
        <v>3271</v>
      </c>
      <c r="C810">
        <v>89391</v>
      </c>
      <c r="D810" t="s">
        <v>3272</v>
      </c>
      <c r="E810" t="s">
        <v>94</v>
      </c>
      <c r="F810" t="s">
        <v>305</v>
      </c>
      <c r="G810" t="s">
        <v>304</v>
      </c>
      <c r="H810" t="s">
        <v>30</v>
      </c>
      <c r="I810" t="s">
        <v>31</v>
      </c>
      <c r="J810" t="s">
        <v>32</v>
      </c>
      <c r="K810" t="s">
        <v>33</v>
      </c>
      <c r="L810" t="s">
        <v>73</v>
      </c>
      <c r="M810" t="s">
        <v>273</v>
      </c>
      <c r="N810" t="s">
        <v>60</v>
      </c>
      <c r="P810" t="s">
        <v>77</v>
      </c>
      <c r="Q810" t="s">
        <v>159</v>
      </c>
      <c r="R810" s="5">
        <v>42634.561956018515</v>
      </c>
      <c r="S810" s="5">
        <v>42794.877465277779</v>
      </c>
      <c r="T810" t="s">
        <v>317</v>
      </c>
      <c r="U810" t="s">
        <v>3989</v>
      </c>
      <c r="V810" s="3" t="s">
        <v>321</v>
      </c>
      <c r="W810" s="3" t="s">
        <v>133</v>
      </c>
      <c r="AM810" s="5"/>
      <c r="AN810" s="5"/>
      <c r="AQ810" s="6"/>
    </row>
    <row r="811" spans="2:43" x14ac:dyDescent="0.25">
      <c r="B811" t="s">
        <v>3271</v>
      </c>
      <c r="C811">
        <v>89343</v>
      </c>
      <c r="D811" t="s">
        <v>322</v>
      </c>
      <c r="E811" t="s">
        <v>94</v>
      </c>
      <c r="F811" t="s">
        <v>305</v>
      </c>
      <c r="G811" t="s">
        <v>304</v>
      </c>
      <c r="H811" t="s">
        <v>30</v>
      </c>
      <c r="I811" t="s">
        <v>31</v>
      </c>
      <c r="J811" t="s">
        <v>32</v>
      </c>
      <c r="K811" t="s">
        <v>33</v>
      </c>
      <c r="L811" t="s">
        <v>73</v>
      </c>
      <c r="M811" t="s">
        <v>263</v>
      </c>
      <c r="N811" t="s">
        <v>46</v>
      </c>
      <c r="P811" t="s">
        <v>77</v>
      </c>
      <c r="Q811" t="s">
        <v>159</v>
      </c>
      <c r="R811" s="5">
        <v>42633.804490740738</v>
      </c>
      <c r="S811" s="5">
        <v>42871.700277777774</v>
      </c>
      <c r="T811" t="s">
        <v>3</v>
      </c>
      <c r="U811" t="s">
        <v>35</v>
      </c>
      <c r="V811" s="3" t="s">
        <v>321</v>
      </c>
      <c r="W811" s="3" t="s">
        <v>4098</v>
      </c>
      <c r="AM811" s="5"/>
      <c r="AN811" s="5"/>
      <c r="AQ811" s="6"/>
    </row>
    <row r="812" spans="2:43" x14ac:dyDescent="0.25">
      <c r="B812" t="s">
        <v>2586</v>
      </c>
      <c r="C812">
        <v>89334</v>
      </c>
      <c r="D812" t="s">
        <v>3270</v>
      </c>
      <c r="E812" t="s">
        <v>2988</v>
      </c>
      <c r="F812" t="s">
        <v>305</v>
      </c>
      <c r="G812" t="s">
        <v>304</v>
      </c>
      <c r="H812" t="s">
        <v>30</v>
      </c>
      <c r="I812" t="s">
        <v>31</v>
      </c>
      <c r="J812" t="s">
        <v>43</v>
      </c>
      <c r="K812" t="s">
        <v>44</v>
      </c>
      <c r="L812" t="s">
        <v>380</v>
      </c>
      <c r="M812" t="s">
        <v>434</v>
      </c>
      <c r="N812" t="s">
        <v>46</v>
      </c>
      <c r="P812" t="s">
        <v>61</v>
      </c>
      <c r="Q812" t="s">
        <v>2481</v>
      </c>
      <c r="R812" s="5">
        <v>42633.60597222222</v>
      </c>
      <c r="S812" s="5">
        <v>42923.767453703702</v>
      </c>
      <c r="T812" t="s">
        <v>317</v>
      </c>
      <c r="U812" t="s">
        <v>35</v>
      </c>
      <c r="V812" s="3" t="s">
        <v>35</v>
      </c>
      <c r="W812" s="3" t="s">
        <v>190</v>
      </c>
      <c r="AM812" s="5"/>
      <c r="AN812" s="5"/>
      <c r="AQ812" s="6"/>
    </row>
    <row r="813" spans="2:43" x14ac:dyDescent="0.25">
      <c r="B813" t="s">
        <v>3264</v>
      </c>
      <c r="C813">
        <v>88901</v>
      </c>
      <c r="D813" t="s">
        <v>3269</v>
      </c>
      <c r="E813" t="s">
        <v>350</v>
      </c>
      <c r="F813" t="s">
        <v>305</v>
      </c>
      <c r="G813" t="s">
        <v>304</v>
      </c>
      <c r="H813" t="s">
        <v>30</v>
      </c>
      <c r="I813" t="s">
        <v>31</v>
      </c>
      <c r="J813" t="s">
        <v>43</v>
      </c>
      <c r="K813" t="s">
        <v>51</v>
      </c>
      <c r="L813" t="s">
        <v>73</v>
      </c>
      <c r="M813" t="s">
        <v>273</v>
      </c>
      <c r="N813" t="s">
        <v>582</v>
      </c>
      <c r="P813" t="s">
        <v>77</v>
      </c>
      <c r="Q813" t="s">
        <v>524</v>
      </c>
      <c r="R813" s="5">
        <v>42625.977488425924</v>
      </c>
      <c r="S813" s="5">
        <v>42948.881793981483</v>
      </c>
      <c r="T813" t="s">
        <v>317</v>
      </c>
      <c r="U813" t="s">
        <v>3988</v>
      </c>
      <c r="V813" s="3" t="s">
        <v>35</v>
      </c>
      <c r="W813" s="3" t="s">
        <v>69</v>
      </c>
      <c r="AM813" s="5"/>
      <c r="AN813" s="5"/>
      <c r="AQ813" s="6"/>
    </row>
    <row r="814" spans="2:43" x14ac:dyDescent="0.25">
      <c r="B814" t="s">
        <v>3264</v>
      </c>
      <c r="C814">
        <v>88900</v>
      </c>
      <c r="D814" t="s">
        <v>3268</v>
      </c>
      <c r="E814" t="s">
        <v>91</v>
      </c>
      <c r="F814" t="s">
        <v>305</v>
      </c>
      <c r="G814" t="s">
        <v>304</v>
      </c>
      <c r="H814" t="s">
        <v>30</v>
      </c>
      <c r="I814" t="s">
        <v>31</v>
      </c>
      <c r="J814" t="s">
        <v>43</v>
      </c>
      <c r="K814" t="s">
        <v>51</v>
      </c>
      <c r="L814" t="s">
        <v>96</v>
      </c>
      <c r="M814" t="s">
        <v>275</v>
      </c>
      <c r="N814" t="s">
        <v>60</v>
      </c>
      <c r="P814" t="s">
        <v>77</v>
      </c>
      <c r="Q814" t="s">
        <v>524</v>
      </c>
      <c r="R814" s="5">
        <v>42625.977384259262</v>
      </c>
      <c r="S814" s="5">
        <v>42794.87809027778</v>
      </c>
      <c r="T814" t="s">
        <v>317</v>
      </c>
      <c r="U814" t="s">
        <v>3987</v>
      </c>
      <c r="V814" s="3" t="s">
        <v>35</v>
      </c>
      <c r="W814" s="3" t="s">
        <v>133</v>
      </c>
      <c r="AM814" s="5"/>
      <c r="AN814" s="5"/>
      <c r="AQ814" s="6"/>
    </row>
    <row r="815" spans="2:43" x14ac:dyDescent="0.25">
      <c r="B815" t="s">
        <v>3213</v>
      </c>
      <c r="C815">
        <v>88810</v>
      </c>
      <c r="D815" t="s">
        <v>3267</v>
      </c>
      <c r="E815" t="s">
        <v>72</v>
      </c>
      <c r="F815" t="s">
        <v>305</v>
      </c>
      <c r="G815" t="s">
        <v>337</v>
      </c>
      <c r="H815" t="s">
        <v>30</v>
      </c>
      <c r="I815" t="s">
        <v>31</v>
      </c>
      <c r="J815" t="s">
        <v>32</v>
      </c>
      <c r="K815" t="s">
        <v>44</v>
      </c>
      <c r="L815" t="s">
        <v>73</v>
      </c>
      <c r="M815" t="s">
        <v>263</v>
      </c>
      <c r="N815" t="s">
        <v>60</v>
      </c>
      <c r="P815" t="s">
        <v>61</v>
      </c>
      <c r="Q815" t="s">
        <v>3210</v>
      </c>
      <c r="R815" s="5">
        <v>42622.665023148147</v>
      </c>
      <c r="S815" s="5">
        <v>42633.729155092595</v>
      </c>
      <c r="T815" t="s">
        <v>3125</v>
      </c>
      <c r="U815" t="s">
        <v>35</v>
      </c>
      <c r="V815" s="3" t="s">
        <v>321</v>
      </c>
      <c r="W815" s="3" t="s">
        <v>4156</v>
      </c>
      <c r="AM815" s="5"/>
      <c r="AN815" s="5"/>
      <c r="AQ815" s="6"/>
    </row>
    <row r="816" spans="2:43" x14ac:dyDescent="0.25">
      <c r="B816" t="s">
        <v>3235</v>
      </c>
      <c r="C816">
        <v>88797</v>
      </c>
      <c r="D816" t="s">
        <v>3266</v>
      </c>
      <c r="E816" t="s">
        <v>387</v>
      </c>
      <c r="F816" t="s">
        <v>305</v>
      </c>
      <c r="G816" t="s">
        <v>310</v>
      </c>
      <c r="H816" t="s">
        <v>30</v>
      </c>
      <c r="I816" t="s">
        <v>31</v>
      </c>
      <c r="J816" t="s">
        <v>43</v>
      </c>
      <c r="K816" t="s">
        <v>44</v>
      </c>
      <c r="L816" t="s">
        <v>45</v>
      </c>
      <c r="M816" t="s">
        <v>260</v>
      </c>
      <c r="N816" t="s">
        <v>60</v>
      </c>
      <c r="P816" t="s">
        <v>61</v>
      </c>
      <c r="Q816" t="s">
        <v>3229</v>
      </c>
      <c r="R816" s="5">
        <v>42622.441087962965</v>
      </c>
      <c r="S816" s="5">
        <v>42803.621990740743</v>
      </c>
      <c r="T816" t="s">
        <v>387</v>
      </c>
      <c r="U816" t="s">
        <v>35</v>
      </c>
      <c r="V816" s="3" t="s">
        <v>35</v>
      </c>
      <c r="W816" s="3" t="s">
        <v>69</v>
      </c>
      <c r="AM816" s="5"/>
      <c r="AN816" s="5"/>
      <c r="AQ816" s="6"/>
    </row>
    <row r="817" spans="2:43" x14ac:dyDescent="0.25">
      <c r="B817" t="s">
        <v>3235</v>
      </c>
      <c r="C817">
        <v>88796</v>
      </c>
      <c r="D817" t="s">
        <v>3265</v>
      </c>
      <c r="E817" t="s">
        <v>387</v>
      </c>
      <c r="F817" t="s">
        <v>305</v>
      </c>
      <c r="G817" t="s">
        <v>310</v>
      </c>
      <c r="H817" t="s">
        <v>30</v>
      </c>
      <c r="I817" t="s">
        <v>31</v>
      </c>
      <c r="J817" t="s">
        <v>43</v>
      </c>
      <c r="K817" t="s">
        <v>44</v>
      </c>
      <c r="L817" t="s">
        <v>45</v>
      </c>
      <c r="M817" t="s">
        <v>260</v>
      </c>
      <c r="N817" t="s">
        <v>60</v>
      </c>
      <c r="P817" t="s">
        <v>61</v>
      </c>
      <c r="Q817" t="s">
        <v>394</v>
      </c>
      <c r="R817" s="5">
        <v>42622.437488425923</v>
      </c>
      <c r="S817" s="5">
        <v>42765.30574074074</v>
      </c>
      <c r="T817" t="s">
        <v>387</v>
      </c>
      <c r="U817" t="s">
        <v>35</v>
      </c>
      <c r="V817" s="3" t="s">
        <v>35</v>
      </c>
      <c r="W817" s="3" t="s">
        <v>133</v>
      </c>
      <c r="AM817" s="5"/>
      <c r="AN817" s="5"/>
      <c r="AQ817" s="6"/>
    </row>
    <row r="818" spans="2:43" x14ac:dyDescent="0.25">
      <c r="B818" t="s">
        <v>3264</v>
      </c>
      <c r="C818">
        <v>88795</v>
      </c>
      <c r="D818" t="s">
        <v>323</v>
      </c>
      <c r="E818" t="s">
        <v>91</v>
      </c>
      <c r="F818" t="s">
        <v>305</v>
      </c>
      <c r="G818" t="s">
        <v>304</v>
      </c>
      <c r="H818" t="s">
        <v>30</v>
      </c>
      <c r="I818" t="s">
        <v>31</v>
      </c>
      <c r="J818" t="s">
        <v>43</v>
      </c>
      <c r="K818" t="s">
        <v>51</v>
      </c>
      <c r="L818" t="s">
        <v>96</v>
      </c>
      <c r="M818" t="s">
        <v>275</v>
      </c>
      <c r="N818" t="s">
        <v>60</v>
      </c>
      <c r="P818" t="s">
        <v>77</v>
      </c>
      <c r="Q818" t="s">
        <v>77</v>
      </c>
      <c r="R818" s="5">
        <v>42622.433495370373</v>
      </c>
      <c r="S818" s="5">
        <v>43244.160601851851</v>
      </c>
      <c r="T818" t="s">
        <v>4</v>
      </c>
      <c r="U818" t="s">
        <v>35</v>
      </c>
      <c r="V818" s="3" t="s">
        <v>35</v>
      </c>
      <c r="W818" s="3" t="s">
        <v>4098</v>
      </c>
      <c r="AM818" s="5"/>
      <c r="AN818" s="5"/>
      <c r="AQ818" s="6"/>
    </row>
    <row r="819" spans="2:43" x14ac:dyDescent="0.25">
      <c r="B819" t="s">
        <v>206</v>
      </c>
      <c r="C819">
        <v>88793</v>
      </c>
      <c r="D819" t="s">
        <v>520</v>
      </c>
      <c r="E819" t="s">
        <v>521</v>
      </c>
      <c r="F819" t="s">
        <v>305</v>
      </c>
      <c r="G819" t="s">
        <v>337</v>
      </c>
      <c r="H819" t="s">
        <v>30</v>
      </c>
      <c r="I819" t="s">
        <v>68</v>
      </c>
      <c r="J819" t="s">
        <v>43</v>
      </c>
      <c r="K819" t="s">
        <v>33</v>
      </c>
      <c r="L819" t="s">
        <v>73</v>
      </c>
      <c r="M819" t="s">
        <v>263</v>
      </c>
      <c r="N819" t="s">
        <v>46</v>
      </c>
      <c r="P819" t="s">
        <v>92</v>
      </c>
      <c r="Q819" t="s">
        <v>159</v>
      </c>
      <c r="R819" s="5">
        <v>42622.384212962963</v>
      </c>
      <c r="S819" s="5">
        <v>43207.43990740741</v>
      </c>
      <c r="T819" t="s">
        <v>72</v>
      </c>
      <c r="U819" t="s">
        <v>35</v>
      </c>
      <c r="V819" s="3" t="s">
        <v>35</v>
      </c>
      <c r="W819" s="3" t="s">
        <v>3555</v>
      </c>
      <c r="AM819" s="5"/>
      <c r="AN819" s="5"/>
      <c r="AQ819" s="6"/>
    </row>
    <row r="820" spans="2:43" x14ac:dyDescent="0.25">
      <c r="B820" t="s">
        <v>206</v>
      </c>
      <c r="C820">
        <v>88792</v>
      </c>
      <c r="D820" t="s">
        <v>3263</v>
      </c>
      <c r="E820" t="s">
        <v>84</v>
      </c>
      <c r="F820" t="s">
        <v>305</v>
      </c>
      <c r="G820" t="s">
        <v>328</v>
      </c>
      <c r="H820" t="s">
        <v>30</v>
      </c>
      <c r="I820" t="s">
        <v>68</v>
      </c>
      <c r="J820" t="s">
        <v>43</v>
      </c>
      <c r="K820" t="s">
        <v>33</v>
      </c>
      <c r="L820" t="s">
        <v>73</v>
      </c>
      <c r="M820" t="s">
        <v>263</v>
      </c>
      <c r="N820" t="s">
        <v>46</v>
      </c>
      <c r="P820" t="s">
        <v>92</v>
      </c>
      <c r="Q820" t="s">
        <v>92</v>
      </c>
      <c r="R820" s="5">
        <v>42622.383784722224</v>
      </c>
      <c r="S820" s="5">
        <v>42667.617696759262</v>
      </c>
      <c r="T820" t="s">
        <v>72</v>
      </c>
      <c r="U820" t="s">
        <v>35</v>
      </c>
      <c r="V820" s="3" t="s">
        <v>35</v>
      </c>
      <c r="W820" s="3" t="s">
        <v>3428</v>
      </c>
      <c r="AM820" s="5"/>
      <c r="AN820" s="5"/>
      <c r="AQ820" s="6"/>
    </row>
    <row r="821" spans="2:43" x14ac:dyDescent="0.25">
      <c r="B821" t="s">
        <v>206</v>
      </c>
      <c r="C821">
        <v>88791</v>
      </c>
      <c r="D821" t="s">
        <v>3262</v>
      </c>
      <c r="E821" t="s">
        <v>84</v>
      </c>
      <c r="F821" t="s">
        <v>305</v>
      </c>
      <c r="G821" t="s">
        <v>328</v>
      </c>
      <c r="H821" t="s">
        <v>30</v>
      </c>
      <c r="I821" t="s">
        <v>68</v>
      </c>
      <c r="J821" t="s">
        <v>43</v>
      </c>
      <c r="K821" t="s">
        <v>33</v>
      </c>
      <c r="L821" t="s">
        <v>73</v>
      </c>
      <c r="M821" t="s">
        <v>263</v>
      </c>
      <c r="N821" t="s">
        <v>46</v>
      </c>
      <c r="P821" t="s">
        <v>92</v>
      </c>
      <c r="Q821" t="s">
        <v>92</v>
      </c>
      <c r="R821" s="5">
        <v>42622.383449074077</v>
      </c>
      <c r="S821" s="5">
        <v>42859.374502314815</v>
      </c>
      <c r="T821" t="s">
        <v>72</v>
      </c>
      <c r="U821" t="s">
        <v>35</v>
      </c>
      <c r="V821" s="3" t="s">
        <v>35</v>
      </c>
      <c r="W821" s="3" t="s">
        <v>4162</v>
      </c>
      <c r="AM821" s="5"/>
      <c r="AN821" s="5"/>
      <c r="AQ821" s="6"/>
    </row>
    <row r="822" spans="2:43" x14ac:dyDescent="0.25">
      <c r="B822" t="s">
        <v>3221</v>
      </c>
      <c r="C822">
        <v>88785</v>
      </c>
      <c r="D822" t="s">
        <v>3261</v>
      </c>
      <c r="E822" t="s">
        <v>84</v>
      </c>
      <c r="F822" t="s">
        <v>305</v>
      </c>
      <c r="G822" t="s">
        <v>353</v>
      </c>
      <c r="H822" t="s">
        <v>30</v>
      </c>
      <c r="I822" t="s">
        <v>31</v>
      </c>
      <c r="J822" t="s">
        <v>43</v>
      </c>
      <c r="K822" t="s">
        <v>44</v>
      </c>
      <c r="L822" t="s">
        <v>73</v>
      </c>
      <c r="M822" t="s">
        <v>263</v>
      </c>
      <c r="N822" t="s">
        <v>46</v>
      </c>
      <c r="P822" t="s">
        <v>85</v>
      </c>
      <c r="Q822" t="s">
        <v>85</v>
      </c>
      <c r="R822" s="5">
        <v>42622.345902777779</v>
      </c>
      <c r="S822" s="5">
        <v>42634.40425925926</v>
      </c>
      <c r="T822" t="s">
        <v>171</v>
      </c>
      <c r="U822" t="s">
        <v>35</v>
      </c>
      <c r="V822" s="3" t="s">
        <v>35</v>
      </c>
      <c r="W822" s="3" t="s">
        <v>3428</v>
      </c>
      <c r="AM822" s="5"/>
      <c r="AN822" s="5"/>
      <c r="AQ822" s="6"/>
    </row>
    <row r="823" spans="2:43" x14ac:dyDescent="0.25">
      <c r="B823" t="s">
        <v>3237</v>
      </c>
      <c r="C823">
        <v>88689</v>
      </c>
      <c r="D823" t="s">
        <v>326</v>
      </c>
      <c r="E823" t="s">
        <v>327</v>
      </c>
      <c r="F823" t="s">
        <v>305</v>
      </c>
      <c r="G823" t="s">
        <v>304</v>
      </c>
      <c r="H823" t="s">
        <v>30</v>
      </c>
      <c r="I823" t="s">
        <v>31</v>
      </c>
      <c r="J823" t="s">
        <v>32</v>
      </c>
      <c r="K823" t="s">
        <v>33</v>
      </c>
      <c r="L823" t="s">
        <v>195</v>
      </c>
      <c r="M823" t="s">
        <v>324</v>
      </c>
      <c r="N823" t="s">
        <v>60</v>
      </c>
      <c r="O823" t="s">
        <v>325</v>
      </c>
      <c r="P823" t="s">
        <v>75</v>
      </c>
      <c r="Q823" t="s">
        <v>3260</v>
      </c>
      <c r="R823" s="5">
        <v>42620.60465277778</v>
      </c>
      <c r="S823" s="5">
        <v>43235.160775462966</v>
      </c>
      <c r="T823" t="s">
        <v>1</v>
      </c>
      <c r="U823" t="s">
        <v>35</v>
      </c>
      <c r="V823" s="3" t="s">
        <v>321</v>
      </c>
      <c r="W823" s="3" t="s">
        <v>4098</v>
      </c>
      <c r="AM823" s="5"/>
      <c r="AN823" s="5"/>
      <c r="AQ823" s="6"/>
    </row>
    <row r="824" spans="2:43" x14ac:dyDescent="0.25">
      <c r="B824" t="s">
        <v>205</v>
      </c>
      <c r="C824">
        <v>88622</v>
      </c>
      <c r="D824" t="s">
        <v>517</v>
      </c>
      <c r="E824" t="s">
        <v>3313</v>
      </c>
      <c r="F824" t="s">
        <v>29</v>
      </c>
      <c r="H824" t="s">
        <v>54</v>
      </c>
      <c r="I824" t="s">
        <v>31</v>
      </c>
      <c r="J824" t="s">
        <v>43</v>
      </c>
      <c r="K824" t="s">
        <v>44</v>
      </c>
      <c r="L824" t="s">
        <v>34</v>
      </c>
      <c r="M824" t="s">
        <v>266</v>
      </c>
      <c r="N824" t="s">
        <v>518</v>
      </c>
      <c r="O824" t="s">
        <v>533</v>
      </c>
      <c r="P824" t="s">
        <v>77</v>
      </c>
      <c r="Q824" t="s">
        <v>519</v>
      </c>
      <c r="R824" s="5">
        <v>42619.871724537035</v>
      </c>
      <c r="S824" s="5">
        <v>43307.703530092593</v>
      </c>
      <c r="T824" t="s">
        <v>53</v>
      </c>
      <c r="U824" t="s">
        <v>35</v>
      </c>
      <c r="V824" s="3" t="s">
        <v>35</v>
      </c>
      <c r="W824" s="3" t="s">
        <v>4143</v>
      </c>
      <c r="AM824" s="5"/>
      <c r="AN824" s="5"/>
      <c r="AQ824" s="6"/>
    </row>
    <row r="825" spans="2:43" x14ac:dyDescent="0.25">
      <c r="B825" t="s">
        <v>3254</v>
      </c>
      <c r="C825">
        <v>88610</v>
      </c>
      <c r="D825" t="s">
        <v>3259</v>
      </c>
      <c r="E825" t="s">
        <v>314</v>
      </c>
      <c r="F825" t="s">
        <v>305</v>
      </c>
      <c r="G825" t="s">
        <v>353</v>
      </c>
      <c r="H825" t="s">
        <v>30</v>
      </c>
      <c r="I825" t="s">
        <v>31</v>
      </c>
      <c r="J825" t="s">
        <v>32</v>
      </c>
      <c r="K825" t="s">
        <v>51</v>
      </c>
      <c r="L825" t="s">
        <v>73</v>
      </c>
      <c r="M825" t="s">
        <v>273</v>
      </c>
      <c r="N825" t="s">
        <v>46</v>
      </c>
      <c r="P825" t="s">
        <v>77</v>
      </c>
      <c r="Q825" t="s">
        <v>394</v>
      </c>
      <c r="R825" s="5">
        <v>42619.756701388891</v>
      </c>
      <c r="S825" s="5">
        <v>42759.63548611111</v>
      </c>
      <c r="T825" t="s">
        <v>317</v>
      </c>
      <c r="U825" t="s">
        <v>35</v>
      </c>
      <c r="V825" s="3" t="s">
        <v>35</v>
      </c>
      <c r="W825" s="3" t="s">
        <v>4156</v>
      </c>
      <c r="AM825" s="5"/>
      <c r="AN825" s="5"/>
      <c r="AQ825" s="6"/>
    </row>
    <row r="826" spans="2:43" x14ac:dyDescent="0.25">
      <c r="B826" t="s">
        <v>3254</v>
      </c>
      <c r="C826">
        <v>88609</v>
      </c>
      <c r="D826" t="s">
        <v>3258</v>
      </c>
      <c r="E826" t="s">
        <v>314</v>
      </c>
      <c r="F826" t="s">
        <v>305</v>
      </c>
      <c r="G826" t="s">
        <v>353</v>
      </c>
      <c r="H826" t="s">
        <v>30</v>
      </c>
      <c r="I826" t="s">
        <v>31</v>
      </c>
      <c r="J826" t="s">
        <v>32</v>
      </c>
      <c r="K826" t="s">
        <v>51</v>
      </c>
      <c r="L826" t="s">
        <v>73</v>
      </c>
      <c r="M826" t="s">
        <v>273</v>
      </c>
      <c r="N826" t="s">
        <v>582</v>
      </c>
      <c r="P826" t="s">
        <v>77</v>
      </c>
      <c r="Q826" t="s">
        <v>394</v>
      </c>
      <c r="R826" s="5">
        <v>42619.756643518522</v>
      </c>
      <c r="S826" s="5">
        <v>42759.635567129626</v>
      </c>
      <c r="T826" t="s">
        <v>317</v>
      </c>
      <c r="U826" t="s">
        <v>35</v>
      </c>
      <c r="V826" s="3" t="s">
        <v>35</v>
      </c>
      <c r="W826" s="3" t="s">
        <v>69</v>
      </c>
      <c r="AM826" s="5"/>
      <c r="AN826" s="5"/>
      <c r="AQ826" s="6"/>
    </row>
    <row r="827" spans="2:43" x14ac:dyDescent="0.25">
      <c r="B827" t="s">
        <v>3254</v>
      </c>
      <c r="C827">
        <v>88608</v>
      </c>
      <c r="D827" t="s">
        <v>3257</v>
      </c>
      <c r="E827" t="s">
        <v>314</v>
      </c>
      <c r="F827" t="s">
        <v>305</v>
      </c>
      <c r="G827" t="s">
        <v>353</v>
      </c>
      <c r="H827" t="s">
        <v>30</v>
      </c>
      <c r="I827" t="s">
        <v>31</v>
      </c>
      <c r="J827" t="s">
        <v>32</v>
      </c>
      <c r="K827" t="s">
        <v>51</v>
      </c>
      <c r="L827" t="s">
        <v>73</v>
      </c>
      <c r="M827" t="s">
        <v>273</v>
      </c>
      <c r="N827" t="s">
        <v>60</v>
      </c>
      <c r="P827" t="s">
        <v>77</v>
      </c>
      <c r="Q827" t="s">
        <v>394</v>
      </c>
      <c r="R827" s="5">
        <v>42619.756597222222</v>
      </c>
      <c r="S827" s="5">
        <v>42759.635509259257</v>
      </c>
      <c r="T827" t="s">
        <v>317</v>
      </c>
      <c r="U827" t="s">
        <v>35</v>
      </c>
      <c r="V827" s="3" t="s">
        <v>35</v>
      </c>
      <c r="W827" s="3" t="s">
        <v>133</v>
      </c>
      <c r="AM827" s="5"/>
      <c r="AN827" s="5"/>
      <c r="AQ827" s="6"/>
    </row>
    <row r="828" spans="2:43" x14ac:dyDescent="0.25">
      <c r="B828" t="s">
        <v>3221</v>
      </c>
      <c r="C828">
        <v>88599</v>
      </c>
      <c r="D828" t="s">
        <v>3256</v>
      </c>
      <c r="E828" t="s">
        <v>84</v>
      </c>
      <c r="F828" t="s">
        <v>305</v>
      </c>
      <c r="G828" t="s">
        <v>353</v>
      </c>
      <c r="H828" t="s">
        <v>30</v>
      </c>
      <c r="I828" t="s">
        <v>31</v>
      </c>
      <c r="J828" t="s">
        <v>43</v>
      </c>
      <c r="K828" t="s">
        <v>44</v>
      </c>
      <c r="L828" t="s">
        <v>73</v>
      </c>
      <c r="M828" t="s">
        <v>263</v>
      </c>
      <c r="N828" t="s">
        <v>46</v>
      </c>
      <c r="P828" t="s">
        <v>85</v>
      </c>
      <c r="Q828" t="s">
        <v>85</v>
      </c>
      <c r="R828" s="5">
        <v>42619.592314814814</v>
      </c>
      <c r="S828" s="5">
        <v>42759.635474537034</v>
      </c>
      <c r="T828" t="s">
        <v>86</v>
      </c>
      <c r="U828" t="s">
        <v>35</v>
      </c>
      <c r="V828" s="3" t="s">
        <v>35</v>
      </c>
      <c r="W828" s="3" t="s">
        <v>4098</v>
      </c>
      <c r="AM828" s="5"/>
      <c r="AN828" s="5"/>
      <c r="AQ828" s="6"/>
    </row>
    <row r="829" spans="2:43" x14ac:dyDescent="0.25">
      <c r="B829" t="s">
        <v>3254</v>
      </c>
      <c r="C829">
        <v>88552</v>
      </c>
      <c r="D829" t="s">
        <v>3255</v>
      </c>
      <c r="E829" t="s">
        <v>314</v>
      </c>
      <c r="F829" t="s">
        <v>305</v>
      </c>
      <c r="G829" t="s">
        <v>353</v>
      </c>
      <c r="H829" t="s">
        <v>30</v>
      </c>
      <c r="I829" t="s">
        <v>31</v>
      </c>
      <c r="J829" t="s">
        <v>32</v>
      </c>
      <c r="K829" t="s">
        <v>51</v>
      </c>
      <c r="L829" t="s">
        <v>73</v>
      </c>
      <c r="M829" t="s">
        <v>273</v>
      </c>
      <c r="N829" t="s">
        <v>46</v>
      </c>
      <c r="P829" t="s">
        <v>77</v>
      </c>
      <c r="Q829" t="s">
        <v>394</v>
      </c>
      <c r="R829" s="5">
        <v>42619.251840277779</v>
      </c>
      <c r="S829" s="5">
        <v>42759.635046296295</v>
      </c>
      <c r="T829" t="s">
        <v>4</v>
      </c>
      <c r="U829" t="s">
        <v>35</v>
      </c>
      <c r="V829" s="3" t="s">
        <v>35</v>
      </c>
      <c r="W829" s="3" t="s">
        <v>4098</v>
      </c>
      <c r="AM829" s="5"/>
      <c r="AN829" s="5"/>
      <c r="AQ829" s="6"/>
    </row>
    <row r="830" spans="2:43" x14ac:dyDescent="0.25">
      <c r="B830" t="s">
        <v>3046</v>
      </c>
      <c r="C830">
        <v>88532</v>
      </c>
      <c r="D830" t="s">
        <v>3253</v>
      </c>
      <c r="E830" t="s">
        <v>84</v>
      </c>
      <c r="F830" t="s">
        <v>305</v>
      </c>
      <c r="G830" t="s">
        <v>310</v>
      </c>
      <c r="H830" t="s">
        <v>30</v>
      </c>
      <c r="I830" t="s">
        <v>68</v>
      </c>
      <c r="J830" t="s">
        <v>58</v>
      </c>
      <c r="K830" t="s">
        <v>44</v>
      </c>
      <c r="L830" t="s">
        <v>73</v>
      </c>
      <c r="M830" t="s">
        <v>263</v>
      </c>
      <c r="N830" t="s">
        <v>46</v>
      </c>
      <c r="P830" t="s">
        <v>1634</v>
      </c>
      <c r="Q830" t="s">
        <v>1634</v>
      </c>
      <c r="R830" s="5">
        <v>42618.514398148145</v>
      </c>
      <c r="S830" s="5">
        <v>43010.125081018516</v>
      </c>
      <c r="T830" t="s">
        <v>84</v>
      </c>
      <c r="U830" t="s">
        <v>35</v>
      </c>
      <c r="V830" s="3" t="s">
        <v>35</v>
      </c>
      <c r="W830" s="3" t="s">
        <v>4161</v>
      </c>
      <c r="AM830" s="5"/>
      <c r="AN830" s="5"/>
      <c r="AQ830" s="6"/>
    </row>
    <row r="831" spans="2:43" x14ac:dyDescent="0.25">
      <c r="B831" t="s">
        <v>3046</v>
      </c>
      <c r="C831">
        <v>88531</v>
      </c>
      <c r="D831" t="s">
        <v>3251</v>
      </c>
      <c r="E831" t="s">
        <v>84</v>
      </c>
      <c r="F831" t="s">
        <v>305</v>
      </c>
      <c r="G831" t="s">
        <v>337</v>
      </c>
      <c r="H831" t="s">
        <v>30</v>
      </c>
      <c r="I831" t="s">
        <v>68</v>
      </c>
      <c r="J831" t="s">
        <v>58</v>
      </c>
      <c r="K831" t="s">
        <v>44</v>
      </c>
      <c r="L831" t="s">
        <v>73</v>
      </c>
      <c r="M831" t="s">
        <v>263</v>
      </c>
      <c r="N831" t="s">
        <v>46</v>
      </c>
      <c r="P831" t="s">
        <v>1634</v>
      </c>
      <c r="Q831" t="s">
        <v>3252</v>
      </c>
      <c r="R831" s="5">
        <v>42618.509745370371</v>
      </c>
      <c r="S831" s="5">
        <v>42683.650069444448</v>
      </c>
      <c r="T831" t="s">
        <v>84</v>
      </c>
      <c r="U831" t="s">
        <v>35</v>
      </c>
      <c r="V831" s="3" t="s">
        <v>35</v>
      </c>
      <c r="W831" s="3" t="s">
        <v>4160</v>
      </c>
      <c r="AM831" s="5"/>
      <c r="AN831" s="5"/>
      <c r="AQ831" s="6"/>
    </row>
    <row r="832" spans="2:43" x14ac:dyDescent="0.25">
      <c r="B832" t="s">
        <v>205</v>
      </c>
      <c r="C832">
        <v>88457</v>
      </c>
      <c r="D832" t="s">
        <v>3249</v>
      </c>
      <c r="E832" t="s">
        <v>88</v>
      </c>
      <c r="F832" t="s">
        <v>305</v>
      </c>
      <c r="G832" t="s">
        <v>337</v>
      </c>
      <c r="H832" t="s">
        <v>54</v>
      </c>
      <c r="I832" t="s">
        <v>31</v>
      </c>
      <c r="J832" t="s">
        <v>43</v>
      </c>
      <c r="K832" t="s">
        <v>44</v>
      </c>
      <c r="L832" t="s">
        <v>34</v>
      </c>
      <c r="M832" t="s">
        <v>266</v>
      </c>
      <c r="N832" t="s">
        <v>3250</v>
      </c>
      <c r="O832" t="s">
        <v>533</v>
      </c>
      <c r="P832" t="s">
        <v>77</v>
      </c>
      <c r="Q832" t="s">
        <v>519</v>
      </c>
      <c r="R832" s="5">
        <v>42614.564895833333</v>
      </c>
      <c r="S832" s="5">
        <v>42969.48096064815</v>
      </c>
      <c r="T832" t="s">
        <v>288</v>
      </c>
      <c r="U832" t="s">
        <v>35</v>
      </c>
      <c r="V832" s="3" t="s">
        <v>35</v>
      </c>
      <c r="W832" s="3" t="s">
        <v>69</v>
      </c>
      <c r="AM832" s="5"/>
      <c r="AN832" s="5"/>
      <c r="AQ832" s="6"/>
    </row>
    <row r="833" spans="2:43" x14ac:dyDescent="0.25">
      <c r="B833" t="s">
        <v>205</v>
      </c>
      <c r="C833">
        <v>88456</v>
      </c>
      <c r="D833" t="s">
        <v>3247</v>
      </c>
      <c r="E833" t="s">
        <v>88</v>
      </c>
      <c r="F833" t="s">
        <v>305</v>
      </c>
      <c r="G833" t="s">
        <v>337</v>
      </c>
      <c r="H833" t="s">
        <v>54</v>
      </c>
      <c r="I833" t="s">
        <v>31</v>
      </c>
      <c r="J833" t="s">
        <v>43</v>
      </c>
      <c r="K833" t="s">
        <v>44</v>
      </c>
      <c r="L833" t="s">
        <v>2529</v>
      </c>
      <c r="M833" t="s">
        <v>266</v>
      </c>
      <c r="N833" t="s">
        <v>60</v>
      </c>
      <c r="P833" t="s">
        <v>77</v>
      </c>
      <c r="Q833" t="s">
        <v>3248</v>
      </c>
      <c r="R833" s="5">
        <v>42614.562638888892</v>
      </c>
      <c r="S833" s="5">
        <v>42828.90084490741</v>
      </c>
      <c r="T833" t="s">
        <v>288</v>
      </c>
      <c r="U833" t="s">
        <v>35</v>
      </c>
      <c r="V833" s="3" t="s">
        <v>35</v>
      </c>
      <c r="W833" s="3" t="s">
        <v>133</v>
      </c>
      <c r="AM833" s="5"/>
      <c r="AN833" s="5"/>
      <c r="AQ833" s="6"/>
    </row>
    <row r="834" spans="2:43" x14ac:dyDescent="0.25">
      <c r="B834" t="s">
        <v>205</v>
      </c>
      <c r="C834">
        <v>88455</v>
      </c>
      <c r="D834" t="s">
        <v>516</v>
      </c>
      <c r="E834" t="s">
        <v>175</v>
      </c>
      <c r="F834" t="s">
        <v>305</v>
      </c>
      <c r="G834" t="s">
        <v>310</v>
      </c>
      <c r="H834" t="s">
        <v>30</v>
      </c>
      <c r="I834" t="s">
        <v>31</v>
      </c>
      <c r="J834" t="s">
        <v>43</v>
      </c>
      <c r="K834" t="s">
        <v>44</v>
      </c>
      <c r="L834" t="s">
        <v>34</v>
      </c>
      <c r="M834" t="s">
        <v>266</v>
      </c>
      <c r="N834" t="s">
        <v>60</v>
      </c>
      <c r="P834" t="s">
        <v>77</v>
      </c>
      <c r="Q834" t="s">
        <v>65</v>
      </c>
      <c r="R834" s="5">
        <v>42614.562615740739</v>
      </c>
      <c r="S834" s="5">
        <v>43192.157048611109</v>
      </c>
      <c r="T834" t="s">
        <v>288</v>
      </c>
      <c r="U834" t="s">
        <v>35</v>
      </c>
      <c r="V834" s="3" t="s">
        <v>35</v>
      </c>
      <c r="W834" s="3" t="s">
        <v>4156</v>
      </c>
      <c r="AM834" s="5"/>
      <c r="AN834" s="5"/>
      <c r="AQ834" s="6"/>
    </row>
    <row r="835" spans="2:43" x14ac:dyDescent="0.25">
      <c r="B835" t="s">
        <v>3237</v>
      </c>
      <c r="C835">
        <v>88402</v>
      </c>
      <c r="D835" t="s">
        <v>3246</v>
      </c>
      <c r="E835" t="s">
        <v>64</v>
      </c>
      <c r="F835" t="s">
        <v>305</v>
      </c>
      <c r="G835" t="s">
        <v>310</v>
      </c>
      <c r="H835" t="s">
        <v>30</v>
      </c>
      <c r="I835" t="s">
        <v>31</v>
      </c>
      <c r="J835" t="s">
        <v>32</v>
      </c>
      <c r="K835" t="s">
        <v>51</v>
      </c>
      <c r="L835" t="s">
        <v>380</v>
      </c>
      <c r="M835" t="s">
        <v>379</v>
      </c>
      <c r="N835" t="s">
        <v>60</v>
      </c>
      <c r="P835" t="s">
        <v>75</v>
      </c>
      <c r="Q835" t="s">
        <v>65</v>
      </c>
      <c r="R835" s="5">
        <v>42613.751296296294</v>
      </c>
      <c r="S835" s="5">
        <v>42647.856759259259</v>
      </c>
      <c r="T835" t="s">
        <v>317</v>
      </c>
      <c r="U835" t="s">
        <v>35</v>
      </c>
      <c r="V835" s="3" t="s">
        <v>35</v>
      </c>
      <c r="W835" s="3" t="s">
        <v>4156</v>
      </c>
      <c r="AM835" s="5"/>
      <c r="AN835" s="5"/>
      <c r="AQ835" s="6"/>
    </row>
    <row r="836" spans="2:43" x14ac:dyDescent="0.25">
      <c r="B836" t="s">
        <v>3237</v>
      </c>
      <c r="C836">
        <v>88401</v>
      </c>
      <c r="D836" t="s">
        <v>3245</v>
      </c>
      <c r="E836" t="s">
        <v>64</v>
      </c>
      <c r="F836" t="s">
        <v>305</v>
      </c>
      <c r="G836" t="s">
        <v>310</v>
      </c>
      <c r="H836" t="s">
        <v>30</v>
      </c>
      <c r="I836" t="s">
        <v>31</v>
      </c>
      <c r="J836" t="s">
        <v>32</v>
      </c>
      <c r="K836" t="s">
        <v>51</v>
      </c>
      <c r="L836" t="s">
        <v>380</v>
      </c>
      <c r="M836" t="s">
        <v>379</v>
      </c>
      <c r="N836" t="s">
        <v>582</v>
      </c>
      <c r="P836" t="s">
        <v>75</v>
      </c>
      <c r="Q836" t="s">
        <v>65</v>
      </c>
      <c r="R836" s="5">
        <v>42613.751203703701</v>
      </c>
      <c r="S836" s="5">
        <v>42647.860231481478</v>
      </c>
      <c r="T836" t="s">
        <v>317</v>
      </c>
      <c r="U836" t="s">
        <v>35</v>
      </c>
      <c r="V836" s="3" t="s">
        <v>35</v>
      </c>
      <c r="W836" s="3" t="s">
        <v>69</v>
      </c>
      <c r="AM836" s="5"/>
      <c r="AN836" s="5"/>
      <c r="AQ836" s="6"/>
    </row>
    <row r="837" spans="2:43" x14ac:dyDescent="0.25">
      <c r="B837" t="s">
        <v>3237</v>
      </c>
      <c r="C837">
        <v>88400</v>
      </c>
      <c r="D837" t="s">
        <v>3244</v>
      </c>
      <c r="E837" t="s">
        <v>64</v>
      </c>
      <c r="F837" t="s">
        <v>305</v>
      </c>
      <c r="G837" t="s">
        <v>310</v>
      </c>
      <c r="H837" t="s">
        <v>30</v>
      </c>
      <c r="I837" t="s">
        <v>31</v>
      </c>
      <c r="J837" t="s">
        <v>32</v>
      </c>
      <c r="K837" t="s">
        <v>51</v>
      </c>
      <c r="L837" t="s">
        <v>380</v>
      </c>
      <c r="M837" t="s">
        <v>379</v>
      </c>
      <c r="N837" t="s">
        <v>60</v>
      </c>
      <c r="P837" t="s">
        <v>75</v>
      </c>
      <c r="Q837" t="s">
        <v>65</v>
      </c>
      <c r="R837" s="5">
        <v>42613.751099537039</v>
      </c>
      <c r="S837" s="5">
        <v>42647.861550925925</v>
      </c>
      <c r="T837" t="s">
        <v>317</v>
      </c>
      <c r="U837" t="s">
        <v>35</v>
      </c>
      <c r="V837" s="3" t="s">
        <v>35</v>
      </c>
      <c r="W837" s="3" t="s">
        <v>133</v>
      </c>
      <c r="AM837" s="5"/>
      <c r="AN837" s="5"/>
      <c r="AQ837" s="6"/>
    </row>
    <row r="838" spans="2:43" x14ac:dyDescent="0.25">
      <c r="B838" t="s">
        <v>3234</v>
      </c>
      <c r="C838">
        <v>88397</v>
      </c>
      <c r="D838" t="s">
        <v>3243</v>
      </c>
      <c r="E838" t="s">
        <v>330</v>
      </c>
      <c r="F838" t="s">
        <v>305</v>
      </c>
      <c r="G838" t="s">
        <v>328</v>
      </c>
      <c r="H838" t="s">
        <v>30</v>
      </c>
      <c r="I838" t="s">
        <v>31</v>
      </c>
      <c r="J838" t="s">
        <v>32</v>
      </c>
      <c r="K838" t="s">
        <v>33</v>
      </c>
      <c r="L838" t="s">
        <v>96</v>
      </c>
      <c r="M838" t="s">
        <v>269</v>
      </c>
      <c r="N838" t="s">
        <v>60</v>
      </c>
      <c r="P838" t="s">
        <v>65</v>
      </c>
      <c r="Q838" t="s">
        <v>2481</v>
      </c>
      <c r="R838" s="5">
        <v>42613.747824074075</v>
      </c>
      <c r="S838" s="5">
        <v>42650.712650462963</v>
      </c>
      <c r="T838" t="s">
        <v>317</v>
      </c>
      <c r="U838" t="s">
        <v>35</v>
      </c>
      <c r="V838" s="3" t="s">
        <v>321</v>
      </c>
      <c r="W838" s="3" t="s">
        <v>4156</v>
      </c>
      <c r="AM838" s="5"/>
      <c r="AN838" s="5"/>
      <c r="AQ838" s="6"/>
    </row>
    <row r="839" spans="2:43" x14ac:dyDescent="0.25">
      <c r="B839" t="s">
        <v>3234</v>
      </c>
      <c r="C839">
        <v>88396</v>
      </c>
      <c r="D839" t="s">
        <v>3242</v>
      </c>
      <c r="E839" t="s">
        <v>330</v>
      </c>
      <c r="F839" t="s">
        <v>305</v>
      </c>
      <c r="G839" t="s">
        <v>328</v>
      </c>
      <c r="H839" t="s">
        <v>30</v>
      </c>
      <c r="I839" t="s">
        <v>31</v>
      </c>
      <c r="J839" t="s">
        <v>32</v>
      </c>
      <c r="K839" t="s">
        <v>33</v>
      </c>
      <c r="L839" t="s">
        <v>96</v>
      </c>
      <c r="M839" t="s">
        <v>269</v>
      </c>
      <c r="N839" t="s">
        <v>582</v>
      </c>
      <c r="P839" t="s">
        <v>65</v>
      </c>
      <c r="Q839" t="s">
        <v>2481</v>
      </c>
      <c r="R839" s="5">
        <v>42613.747731481482</v>
      </c>
      <c r="S839" s="5">
        <v>42650.717557870368</v>
      </c>
      <c r="T839" t="s">
        <v>317</v>
      </c>
      <c r="U839" t="s">
        <v>35</v>
      </c>
      <c r="V839" s="3" t="s">
        <v>321</v>
      </c>
      <c r="W839" s="3" t="s">
        <v>69</v>
      </c>
      <c r="AM839" s="5"/>
      <c r="AN839" s="5"/>
      <c r="AQ839" s="6"/>
    </row>
    <row r="840" spans="2:43" x14ac:dyDescent="0.25">
      <c r="B840" t="s">
        <v>3234</v>
      </c>
      <c r="C840">
        <v>88395</v>
      </c>
      <c r="D840" t="s">
        <v>3241</v>
      </c>
      <c r="E840" t="s">
        <v>330</v>
      </c>
      <c r="F840" t="s">
        <v>305</v>
      </c>
      <c r="G840" t="s">
        <v>328</v>
      </c>
      <c r="H840" t="s">
        <v>30</v>
      </c>
      <c r="I840" t="s">
        <v>31</v>
      </c>
      <c r="J840" t="s">
        <v>32</v>
      </c>
      <c r="K840" t="s">
        <v>33</v>
      </c>
      <c r="L840" t="s">
        <v>96</v>
      </c>
      <c r="M840" t="s">
        <v>269</v>
      </c>
      <c r="N840" t="s">
        <v>60</v>
      </c>
      <c r="P840" t="s">
        <v>65</v>
      </c>
      <c r="Q840" t="s">
        <v>2481</v>
      </c>
      <c r="R840" s="5">
        <v>42613.747650462959</v>
      </c>
      <c r="S840" s="5">
        <v>42650.718506944446</v>
      </c>
      <c r="T840" t="s">
        <v>317</v>
      </c>
      <c r="U840" t="s">
        <v>35</v>
      </c>
      <c r="V840" s="3" t="s">
        <v>321</v>
      </c>
      <c r="W840" s="3" t="s">
        <v>133</v>
      </c>
      <c r="AM840" s="5"/>
      <c r="AN840" s="5"/>
      <c r="AQ840" s="6"/>
    </row>
    <row r="841" spans="2:43" x14ac:dyDescent="0.25">
      <c r="B841" t="s">
        <v>3239</v>
      </c>
      <c r="C841">
        <v>88358</v>
      </c>
      <c r="D841" t="s">
        <v>3240</v>
      </c>
      <c r="E841" t="s">
        <v>139</v>
      </c>
      <c r="F841" t="s">
        <v>305</v>
      </c>
      <c r="G841" t="s">
        <v>304</v>
      </c>
      <c r="H841" t="s">
        <v>30</v>
      </c>
      <c r="I841" t="s">
        <v>68</v>
      </c>
      <c r="J841" t="s">
        <v>43</v>
      </c>
      <c r="K841" t="s">
        <v>33</v>
      </c>
      <c r="L841" t="s">
        <v>73</v>
      </c>
      <c r="M841" t="s">
        <v>263</v>
      </c>
      <c r="N841" t="s">
        <v>60</v>
      </c>
      <c r="P841" t="s">
        <v>3233</v>
      </c>
      <c r="R841" s="5">
        <v>42613.277870370373</v>
      </c>
      <c r="S841" s="5">
        <v>42789.895266203705</v>
      </c>
      <c r="T841" t="s">
        <v>53</v>
      </c>
      <c r="U841" t="s">
        <v>3986</v>
      </c>
      <c r="V841" s="3" t="s">
        <v>35</v>
      </c>
      <c r="W841" s="3" t="s">
        <v>133</v>
      </c>
      <c r="AM841" s="5"/>
      <c r="AN841" s="5"/>
      <c r="AQ841" s="6"/>
    </row>
    <row r="842" spans="2:43" x14ac:dyDescent="0.25">
      <c r="B842" t="s">
        <v>3237</v>
      </c>
      <c r="C842">
        <v>88284</v>
      </c>
      <c r="D842" t="s">
        <v>3238</v>
      </c>
      <c r="E842" t="s">
        <v>64</v>
      </c>
      <c r="F842" t="s">
        <v>305</v>
      </c>
      <c r="G842" t="s">
        <v>310</v>
      </c>
      <c r="H842" t="s">
        <v>30</v>
      </c>
      <c r="I842" t="s">
        <v>31</v>
      </c>
      <c r="J842" t="s">
        <v>32</v>
      </c>
      <c r="K842" t="s">
        <v>51</v>
      </c>
      <c r="L842" t="s">
        <v>380</v>
      </c>
      <c r="M842" t="s">
        <v>379</v>
      </c>
      <c r="N842" t="s">
        <v>60</v>
      </c>
      <c r="P842" t="s">
        <v>75</v>
      </c>
      <c r="Q842" t="s">
        <v>65</v>
      </c>
      <c r="R842" s="5">
        <v>42612.260578703703</v>
      </c>
      <c r="S842" s="5">
        <v>42647.863599537035</v>
      </c>
      <c r="T842" t="s">
        <v>2</v>
      </c>
      <c r="U842" t="s">
        <v>35</v>
      </c>
      <c r="V842" s="3" t="s">
        <v>35</v>
      </c>
      <c r="W842" s="3" t="s">
        <v>4098</v>
      </c>
      <c r="AM842" s="5"/>
      <c r="AN842" s="5"/>
      <c r="AQ842" s="6"/>
    </row>
    <row r="843" spans="2:43" x14ac:dyDescent="0.25">
      <c r="B843" t="s">
        <v>3235</v>
      </c>
      <c r="C843">
        <v>88277</v>
      </c>
      <c r="D843" t="s">
        <v>3236</v>
      </c>
      <c r="E843" t="s">
        <v>387</v>
      </c>
      <c r="F843" t="s">
        <v>305</v>
      </c>
      <c r="G843" t="s">
        <v>310</v>
      </c>
      <c r="H843" t="s">
        <v>30</v>
      </c>
      <c r="I843" t="s">
        <v>31</v>
      </c>
      <c r="J843" t="s">
        <v>43</v>
      </c>
      <c r="K843" t="s">
        <v>44</v>
      </c>
      <c r="L843" t="s">
        <v>45</v>
      </c>
      <c r="M843" t="s">
        <v>260</v>
      </c>
      <c r="N843" t="s">
        <v>60</v>
      </c>
      <c r="O843" t="s">
        <v>325</v>
      </c>
      <c r="P843" t="s">
        <v>61</v>
      </c>
      <c r="Q843" t="s">
        <v>3229</v>
      </c>
      <c r="R843" s="5">
        <v>42612.154409722221</v>
      </c>
      <c r="S843" s="5">
        <v>42928.594189814816</v>
      </c>
      <c r="T843" t="s">
        <v>2</v>
      </c>
      <c r="U843" t="s">
        <v>35</v>
      </c>
      <c r="V843" s="3" t="s">
        <v>35</v>
      </c>
      <c r="W843" s="3" t="s">
        <v>4098</v>
      </c>
      <c r="AM843" s="5"/>
      <c r="AN843" s="5"/>
      <c r="AQ843" s="6"/>
    </row>
    <row r="844" spans="2:43" x14ac:dyDescent="0.25">
      <c r="B844" t="s">
        <v>3234</v>
      </c>
      <c r="C844">
        <v>88200</v>
      </c>
      <c r="D844" t="s">
        <v>329</v>
      </c>
      <c r="E844" t="s">
        <v>330</v>
      </c>
      <c r="F844" t="s">
        <v>305</v>
      </c>
      <c r="G844" t="s">
        <v>328</v>
      </c>
      <c r="H844" t="s">
        <v>30</v>
      </c>
      <c r="I844" t="s">
        <v>31</v>
      </c>
      <c r="J844" t="s">
        <v>32</v>
      </c>
      <c r="K844" t="s">
        <v>33</v>
      </c>
      <c r="L844" t="s">
        <v>96</v>
      </c>
      <c r="M844" t="s">
        <v>269</v>
      </c>
      <c r="N844" t="s">
        <v>60</v>
      </c>
      <c r="P844" t="s">
        <v>65</v>
      </c>
      <c r="Q844" t="s">
        <v>2481</v>
      </c>
      <c r="R844" s="5">
        <v>42608.722951388889</v>
      </c>
      <c r="S844" s="5">
        <v>42650.719224537039</v>
      </c>
      <c r="T844" t="s">
        <v>1</v>
      </c>
      <c r="U844" t="s">
        <v>35</v>
      </c>
      <c r="V844" s="3" t="s">
        <v>321</v>
      </c>
      <c r="W844" s="3" t="s">
        <v>4098</v>
      </c>
      <c r="AM844" s="5"/>
      <c r="AN844" s="5"/>
      <c r="AQ844" s="6"/>
    </row>
    <row r="845" spans="2:43" x14ac:dyDescent="0.25">
      <c r="B845" t="s">
        <v>3231</v>
      </c>
      <c r="C845">
        <v>88000</v>
      </c>
      <c r="D845" t="s">
        <v>3232</v>
      </c>
      <c r="E845" t="s">
        <v>139</v>
      </c>
      <c r="F845" t="s">
        <v>305</v>
      </c>
      <c r="G845" t="s">
        <v>304</v>
      </c>
      <c r="H845" t="s">
        <v>30</v>
      </c>
      <c r="I845" t="s">
        <v>31</v>
      </c>
      <c r="J845" t="s">
        <v>43</v>
      </c>
      <c r="K845" t="s">
        <v>44</v>
      </c>
      <c r="L845" t="s">
        <v>73</v>
      </c>
      <c r="M845" t="s">
        <v>263</v>
      </c>
      <c r="N845" t="s">
        <v>46</v>
      </c>
      <c r="P845" t="s">
        <v>3233</v>
      </c>
      <c r="Q845" t="s">
        <v>3120</v>
      </c>
      <c r="R845" s="5">
        <v>42605.59946759259</v>
      </c>
      <c r="S845" s="5">
        <v>42871.700775462959</v>
      </c>
      <c r="T845" t="s">
        <v>86</v>
      </c>
      <c r="U845" t="s">
        <v>35</v>
      </c>
      <c r="V845" s="3" t="s">
        <v>35</v>
      </c>
      <c r="W845" s="3" t="s">
        <v>4098</v>
      </c>
      <c r="AM845" s="5"/>
      <c r="AN845" s="5"/>
      <c r="AQ845" s="6"/>
    </row>
    <row r="846" spans="2:43" x14ac:dyDescent="0.25">
      <c r="B846" t="s">
        <v>3904</v>
      </c>
      <c r="C846">
        <v>87987</v>
      </c>
      <c r="D846" t="s">
        <v>3905</v>
      </c>
      <c r="E846" t="s">
        <v>371</v>
      </c>
      <c r="F846" t="s">
        <v>305</v>
      </c>
      <c r="G846" t="s">
        <v>353</v>
      </c>
      <c r="H846" t="s">
        <v>30</v>
      </c>
      <c r="I846" t="s">
        <v>57</v>
      </c>
      <c r="J846" t="s">
        <v>58</v>
      </c>
      <c r="K846" t="s">
        <v>33</v>
      </c>
      <c r="L846" t="s">
        <v>34</v>
      </c>
      <c r="M846" t="s">
        <v>368</v>
      </c>
      <c r="N846" t="s">
        <v>46</v>
      </c>
      <c r="P846" t="s">
        <v>2216</v>
      </c>
      <c r="Q846" t="s">
        <v>3509</v>
      </c>
      <c r="R846" s="5">
        <v>42605.533310185187</v>
      </c>
      <c r="S846" s="5">
        <v>42916.290949074071</v>
      </c>
      <c r="T846" t="s">
        <v>2387</v>
      </c>
      <c r="U846" t="s">
        <v>35</v>
      </c>
      <c r="V846" s="3" t="s">
        <v>35</v>
      </c>
      <c r="W846" s="3" t="s">
        <v>4126</v>
      </c>
      <c r="AM846" s="5"/>
      <c r="AN846" s="5"/>
      <c r="AQ846" s="6"/>
    </row>
    <row r="847" spans="2:43" x14ac:dyDescent="0.25">
      <c r="B847" t="s">
        <v>243</v>
      </c>
      <c r="C847">
        <v>87918</v>
      </c>
      <c r="D847" t="s">
        <v>334</v>
      </c>
      <c r="E847" t="s">
        <v>335</v>
      </c>
      <c r="F847" t="s">
        <v>305</v>
      </c>
      <c r="G847" t="s">
        <v>304</v>
      </c>
      <c r="H847" t="s">
        <v>30</v>
      </c>
      <c r="I847" t="s">
        <v>31</v>
      </c>
      <c r="J847" t="s">
        <v>333</v>
      </c>
      <c r="K847" t="s">
        <v>44</v>
      </c>
      <c r="L847" t="s">
        <v>73</v>
      </c>
      <c r="M847" t="s">
        <v>263</v>
      </c>
      <c r="N847" t="s">
        <v>331</v>
      </c>
      <c r="P847" t="s">
        <v>133</v>
      </c>
      <c r="R847" s="5">
        <v>42604.765428240738</v>
      </c>
      <c r="S847" s="5">
        <v>43423.898495370369</v>
      </c>
      <c r="T847" t="s">
        <v>332</v>
      </c>
      <c r="U847" t="s">
        <v>35</v>
      </c>
      <c r="V847" s="3" t="s">
        <v>35</v>
      </c>
      <c r="W847" s="3" t="s">
        <v>4098</v>
      </c>
      <c r="AM847" s="5"/>
      <c r="AN847" s="5"/>
      <c r="AQ847" s="6"/>
    </row>
    <row r="848" spans="2:43" x14ac:dyDescent="0.25">
      <c r="B848" t="s">
        <v>3046</v>
      </c>
      <c r="C848">
        <v>87777</v>
      </c>
      <c r="D848" t="s">
        <v>3230</v>
      </c>
      <c r="E848" t="s">
        <v>84</v>
      </c>
      <c r="F848" t="s">
        <v>305</v>
      </c>
      <c r="G848" t="s">
        <v>304</v>
      </c>
      <c r="H848" t="s">
        <v>30</v>
      </c>
      <c r="I848" t="s">
        <v>68</v>
      </c>
      <c r="J848" t="s">
        <v>58</v>
      </c>
      <c r="K848" t="s">
        <v>44</v>
      </c>
      <c r="L848" t="s">
        <v>73</v>
      </c>
      <c r="M848" t="s">
        <v>263</v>
      </c>
      <c r="N848" t="s">
        <v>46</v>
      </c>
      <c r="P848" t="s">
        <v>1634</v>
      </c>
      <c r="Q848" t="s">
        <v>3039</v>
      </c>
      <c r="R848" s="5">
        <v>42599.951064814813</v>
      </c>
      <c r="S848" s="5">
        <v>42905.576122685183</v>
      </c>
      <c r="T848" t="s">
        <v>548</v>
      </c>
      <c r="U848" t="s">
        <v>35</v>
      </c>
      <c r="V848" s="3" t="s">
        <v>35</v>
      </c>
      <c r="W848" s="3" t="s">
        <v>3555</v>
      </c>
      <c r="AM848" s="5"/>
      <c r="AN848" s="5"/>
      <c r="AQ848" s="6"/>
    </row>
    <row r="849" spans="2:43" x14ac:dyDescent="0.25">
      <c r="B849" t="s">
        <v>206</v>
      </c>
      <c r="C849">
        <v>87735</v>
      </c>
      <c r="D849" t="s">
        <v>90</v>
      </c>
      <c r="E849" t="s">
        <v>91</v>
      </c>
      <c r="F849" t="s">
        <v>42</v>
      </c>
      <c r="H849" t="s">
        <v>30</v>
      </c>
      <c r="I849" t="s">
        <v>68</v>
      </c>
      <c r="J849" t="s">
        <v>43</v>
      </c>
      <c r="K849" t="s">
        <v>33</v>
      </c>
      <c r="L849" t="s">
        <v>73</v>
      </c>
      <c r="M849" t="s">
        <v>263</v>
      </c>
      <c r="N849" t="s">
        <v>46</v>
      </c>
      <c r="P849" t="s">
        <v>92</v>
      </c>
      <c r="R849" s="5">
        <v>42599.664907407408</v>
      </c>
      <c r="S849" s="5">
        <v>42873.546527777777</v>
      </c>
      <c r="T849" t="s">
        <v>86</v>
      </c>
      <c r="U849" t="s">
        <v>35</v>
      </c>
      <c r="V849" s="3" t="s">
        <v>35</v>
      </c>
      <c r="W849" s="3" t="s">
        <v>4098</v>
      </c>
      <c r="AM849" s="5"/>
      <c r="AN849" s="5"/>
      <c r="AQ849" s="6"/>
    </row>
    <row r="850" spans="2:43" x14ac:dyDescent="0.25">
      <c r="B850" t="s">
        <v>3227</v>
      </c>
      <c r="C850">
        <v>87684</v>
      </c>
      <c r="D850" t="s">
        <v>3228</v>
      </c>
      <c r="E850" t="s">
        <v>1</v>
      </c>
      <c r="F850" t="s">
        <v>305</v>
      </c>
      <c r="G850" t="s">
        <v>1621</v>
      </c>
      <c r="H850" t="s">
        <v>30</v>
      </c>
      <c r="I850" t="s">
        <v>31</v>
      </c>
      <c r="J850" t="s">
        <v>32</v>
      </c>
      <c r="K850" t="s">
        <v>33</v>
      </c>
      <c r="L850" t="s">
        <v>34</v>
      </c>
      <c r="M850" t="s">
        <v>2691</v>
      </c>
      <c r="N850" t="s">
        <v>60</v>
      </c>
      <c r="P850" t="s">
        <v>75</v>
      </c>
      <c r="Q850" t="s">
        <v>3229</v>
      </c>
      <c r="R850" s="5">
        <v>42599.025659722225</v>
      </c>
      <c r="S850" s="5">
        <v>43171.783726851849</v>
      </c>
      <c r="T850" t="s">
        <v>4</v>
      </c>
      <c r="U850" t="s">
        <v>35</v>
      </c>
      <c r="V850" s="3" t="s">
        <v>321</v>
      </c>
      <c r="W850" s="3" t="s">
        <v>4126</v>
      </c>
      <c r="AM850" s="5"/>
      <c r="AN850" s="5"/>
      <c r="AQ850" s="6"/>
    </row>
    <row r="851" spans="2:43" x14ac:dyDescent="0.25">
      <c r="B851" t="s">
        <v>3213</v>
      </c>
      <c r="C851">
        <v>87635</v>
      </c>
      <c r="D851" t="s">
        <v>3226</v>
      </c>
      <c r="E851" t="s">
        <v>3079</v>
      </c>
      <c r="F851" t="s">
        <v>305</v>
      </c>
      <c r="G851" t="s">
        <v>353</v>
      </c>
      <c r="H851" t="s">
        <v>54</v>
      </c>
      <c r="I851" t="s">
        <v>31</v>
      </c>
      <c r="J851" t="s">
        <v>32</v>
      </c>
      <c r="K851" t="s">
        <v>44</v>
      </c>
      <c r="L851" t="s">
        <v>73</v>
      </c>
      <c r="M851" t="s">
        <v>263</v>
      </c>
      <c r="N851" t="s">
        <v>518</v>
      </c>
      <c r="P851" t="s">
        <v>61</v>
      </c>
      <c r="Q851" t="s">
        <v>61</v>
      </c>
      <c r="R851" s="5">
        <v>42598.260752314818</v>
      </c>
      <c r="S851" s="5">
        <v>42923.438101851854</v>
      </c>
      <c r="T851" t="s">
        <v>53</v>
      </c>
      <c r="U851" t="s">
        <v>35</v>
      </c>
      <c r="V851" s="3" t="s">
        <v>321</v>
      </c>
      <c r="W851" s="3" t="s">
        <v>69</v>
      </c>
      <c r="AM851" s="5"/>
      <c r="AN851" s="5"/>
      <c r="AQ851" s="6"/>
    </row>
    <row r="852" spans="2:43" x14ac:dyDescent="0.25">
      <c r="B852" t="s">
        <v>2413</v>
      </c>
      <c r="C852">
        <v>87583</v>
      </c>
      <c r="D852" t="s">
        <v>3224</v>
      </c>
      <c r="E852" t="s">
        <v>1824</v>
      </c>
      <c r="F852" t="s">
        <v>305</v>
      </c>
      <c r="G852" t="s">
        <v>304</v>
      </c>
      <c r="H852" t="s">
        <v>30</v>
      </c>
      <c r="I852" t="s">
        <v>68</v>
      </c>
      <c r="J852" t="s">
        <v>43</v>
      </c>
      <c r="K852" t="s">
        <v>33</v>
      </c>
      <c r="L852" t="s">
        <v>34</v>
      </c>
      <c r="M852" t="s">
        <v>402</v>
      </c>
      <c r="N852" t="s">
        <v>46</v>
      </c>
      <c r="O852" t="s">
        <v>533</v>
      </c>
      <c r="P852" t="s">
        <v>369</v>
      </c>
      <c r="Q852" t="s">
        <v>3225</v>
      </c>
      <c r="R852" s="5">
        <v>42594.927581018521</v>
      </c>
      <c r="S852" s="5">
        <v>43256.130208333336</v>
      </c>
      <c r="T852" t="s">
        <v>53</v>
      </c>
      <c r="U852" t="s">
        <v>35</v>
      </c>
      <c r="V852" s="3" t="s">
        <v>35</v>
      </c>
      <c r="W852" s="3" t="s">
        <v>4159</v>
      </c>
      <c r="AM852" s="5"/>
      <c r="AN852" s="5"/>
      <c r="AQ852" s="6"/>
    </row>
    <row r="853" spans="2:43" x14ac:dyDescent="0.25">
      <c r="B853" t="s">
        <v>3221</v>
      </c>
      <c r="C853">
        <v>87437</v>
      </c>
      <c r="D853" t="s">
        <v>3222</v>
      </c>
      <c r="E853" t="s">
        <v>490</v>
      </c>
      <c r="F853" t="s">
        <v>305</v>
      </c>
      <c r="G853" t="s">
        <v>337</v>
      </c>
      <c r="H853" t="s">
        <v>30</v>
      </c>
      <c r="I853" t="s">
        <v>68</v>
      </c>
      <c r="J853" t="s">
        <v>43</v>
      </c>
      <c r="K853" t="s">
        <v>33</v>
      </c>
      <c r="L853" t="s">
        <v>73</v>
      </c>
      <c r="M853" t="s">
        <v>263</v>
      </c>
      <c r="N853" t="s">
        <v>46</v>
      </c>
      <c r="O853" t="s">
        <v>3223</v>
      </c>
      <c r="P853" t="s">
        <v>85</v>
      </c>
      <c r="Q853" t="s">
        <v>85</v>
      </c>
      <c r="R853" s="5">
        <v>42593.374791666669</v>
      </c>
      <c r="S853" s="5">
        <v>42678.357222222221</v>
      </c>
      <c r="T853" t="s">
        <v>171</v>
      </c>
      <c r="U853" t="s">
        <v>35</v>
      </c>
      <c r="V853" s="3" t="s">
        <v>35</v>
      </c>
      <c r="W853" s="3" t="s">
        <v>3428</v>
      </c>
      <c r="AM853" s="5"/>
      <c r="AN853" s="5"/>
      <c r="AQ853" s="6"/>
    </row>
    <row r="854" spans="2:43" x14ac:dyDescent="0.25">
      <c r="B854" t="s">
        <v>3197</v>
      </c>
      <c r="C854">
        <v>87381</v>
      </c>
      <c r="D854" t="s">
        <v>3220</v>
      </c>
      <c r="E854" t="s">
        <v>339</v>
      </c>
      <c r="F854" t="s">
        <v>305</v>
      </c>
      <c r="G854" t="s">
        <v>337</v>
      </c>
      <c r="H854" t="s">
        <v>30</v>
      </c>
      <c r="I854" t="s">
        <v>68</v>
      </c>
      <c r="J854" t="s">
        <v>43</v>
      </c>
      <c r="K854" t="s">
        <v>33</v>
      </c>
      <c r="L854" t="s">
        <v>45</v>
      </c>
      <c r="M854" t="s">
        <v>260</v>
      </c>
      <c r="N854" t="s">
        <v>60</v>
      </c>
      <c r="P854" t="s">
        <v>75</v>
      </c>
      <c r="Q854" t="s">
        <v>3067</v>
      </c>
      <c r="R854" s="5">
        <v>42592.523402777777</v>
      </c>
      <c r="S854" s="5">
        <v>42754.693136574075</v>
      </c>
      <c r="T854" t="s">
        <v>341</v>
      </c>
      <c r="U854" t="s">
        <v>35</v>
      </c>
      <c r="V854" s="3" t="s">
        <v>35</v>
      </c>
      <c r="W854" s="3" t="s">
        <v>428</v>
      </c>
      <c r="AM854" s="5"/>
      <c r="AN854" s="5"/>
      <c r="AQ854" s="6"/>
    </row>
    <row r="855" spans="2:43" x14ac:dyDescent="0.25">
      <c r="B855" t="s">
        <v>3197</v>
      </c>
      <c r="C855">
        <v>87380</v>
      </c>
      <c r="D855" t="s">
        <v>3219</v>
      </c>
      <c r="E855" t="s">
        <v>339</v>
      </c>
      <c r="F855" t="s">
        <v>305</v>
      </c>
      <c r="G855" t="s">
        <v>337</v>
      </c>
      <c r="H855" t="s">
        <v>30</v>
      </c>
      <c r="I855" t="s">
        <v>68</v>
      </c>
      <c r="J855" t="s">
        <v>43</v>
      </c>
      <c r="K855" t="s">
        <v>33</v>
      </c>
      <c r="L855" t="s">
        <v>45</v>
      </c>
      <c r="M855" t="s">
        <v>260</v>
      </c>
      <c r="N855" t="s">
        <v>582</v>
      </c>
      <c r="P855" t="s">
        <v>75</v>
      </c>
      <c r="Q855" t="s">
        <v>3067</v>
      </c>
      <c r="R855" s="5">
        <v>42592.522083333337</v>
      </c>
      <c r="S855" s="5">
        <v>42754.695069444446</v>
      </c>
      <c r="T855" t="s">
        <v>341</v>
      </c>
      <c r="U855" t="s">
        <v>35</v>
      </c>
      <c r="V855" s="3" t="s">
        <v>35</v>
      </c>
      <c r="W855" s="3" t="s">
        <v>69</v>
      </c>
      <c r="AM855" s="5"/>
      <c r="AN855" s="5"/>
      <c r="AQ855" s="6"/>
    </row>
    <row r="856" spans="2:43" x14ac:dyDescent="0.25">
      <c r="B856" t="s">
        <v>3197</v>
      </c>
      <c r="C856">
        <v>87379</v>
      </c>
      <c r="D856" t="s">
        <v>3218</v>
      </c>
      <c r="E856" t="s">
        <v>339</v>
      </c>
      <c r="F856" t="s">
        <v>305</v>
      </c>
      <c r="G856" t="s">
        <v>337</v>
      </c>
      <c r="H856" t="s">
        <v>30</v>
      </c>
      <c r="I856" t="s">
        <v>68</v>
      </c>
      <c r="J856" t="s">
        <v>43</v>
      </c>
      <c r="K856" t="s">
        <v>33</v>
      </c>
      <c r="L856" t="s">
        <v>45</v>
      </c>
      <c r="M856" t="s">
        <v>260</v>
      </c>
      <c r="N856" t="s">
        <v>60</v>
      </c>
      <c r="P856" t="s">
        <v>75</v>
      </c>
      <c r="Q856" t="s">
        <v>3198</v>
      </c>
      <c r="R856" s="5">
        <v>42592.520590277774</v>
      </c>
      <c r="S856" s="5">
        <v>42753.682743055557</v>
      </c>
      <c r="T856" t="s">
        <v>341</v>
      </c>
      <c r="U856" t="s">
        <v>35</v>
      </c>
      <c r="V856" s="3" t="s">
        <v>35</v>
      </c>
      <c r="W856" s="3" t="s">
        <v>133</v>
      </c>
      <c r="AM856" s="5"/>
      <c r="AN856" s="5"/>
      <c r="AQ856" s="6"/>
    </row>
    <row r="857" spans="2:43" x14ac:dyDescent="0.25">
      <c r="B857" t="s">
        <v>3197</v>
      </c>
      <c r="C857">
        <v>87378</v>
      </c>
      <c r="D857" t="s">
        <v>3217</v>
      </c>
      <c r="E857" t="s">
        <v>339</v>
      </c>
      <c r="F857" t="s">
        <v>305</v>
      </c>
      <c r="G857" t="s">
        <v>337</v>
      </c>
      <c r="H857" t="s">
        <v>30</v>
      </c>
      <c r="I857" t="s">
        <v>68</v>
      </c>
      <c r="J857" t="s">
        <v>43</v>
      </c>
      <c r="K857" t="s">
        <v>33</v>
      </c>
      <c r="L857" t="s">
        <v>45</v>
      </c>
      <c r="M857" t="s">
        <v>260</v>
      </c>
      <c r="N857" t="s">
        <v>60</v>
      </c>
      <c r="P857" t="s">
        <v>75</v>
      </c>
      <c r="Q857" t="s">
        <v>3067</v>
      </c>
      <c r="R857" s="5">
        <v>42592.514861111114</v>
      </c>
      <c r="S857" s="5">
        <v>42752.886655092596</v>
      </c>
      <c r="T857" t="s">
        <v>341</v>
      </c>
      <c r="U857" t="s">
        <v>35</v>
      </c>
      <c r="V857" s="3" t="s">
        <v>35</v>
      </c>
      <c r="W857" s="3" t="s">
        <v>4156</v>
      </c>
      <c r="AM857" s="5"/>
      <c r="AN857" s="5"/>
      <c r="AQ857" s="6"/>
    </row>
    <row r="858" spans="2:43" x14ac:dyDescent="0.25">
      <c r="B858" t="s">
        <v>3213</v>
      </c>
      <c r="C858">
        <v>87278</v>
      </c>
      <c r="D858" t="s">
        <v>3215</v>
      </c>
      <c r="E858" t="s">
        <v>94</v>
      </c>
      <c r="F858" t="s">
        <v>305</v>
      </c>
      <c r="G858" t="s">
        <v>337</v>
      </c>
      <c r="H858" t="s">
        <v>54</v>
      </c>
      <c r="I858" t="s">
        <v>31</v>
      </c>
      <c r="J858" t="s">
        <v>32</v>
      </c>
      <c r="K858" t="s">
        <v>44</v>
      </c>
      <c r="L858" t="s">
        <v>73</v>
      </c>
      <c r="M858" t="s">
        <v>263</v>
      </c>
      <c r="N858" t="s">
        <v>60</v>
      </c>
      <c r="O858" t="s">
        <v>3216</v>
      </c>
      <c r="P858" t="s">
        <v>61</v>
      </c>
      <c r="Q858" t="s">
        <v>2481</v>
      </c>
      <c r="R858" s="5">
        <v>42590.75571759259</v>
      </c>
      <c r="S858" s="5">
        <v>42831.73741898148</v>
      </c>
      <c r="T858" t="s">
        <v>317</v>
      </c>
      <c r="U858" t="s">
        <v>35</v>
      </c>
      <c r="V858" s="3" t="s">
        <v>321</v>
      </c>
      <c r="W858" s="3" t="s">
        <v>133</v>
      </c>
      <c r="AM858" s="5"/>
      <c r="AN858" s="5"/>
      <c r="AQ858" s="6"/>
    </row>
    <row r="859" spans="2:43" x14ac:dyDescent="0.25">
      <c r="B859" t="s">
        <v>3213</v>
      </c>
      <c r="C859">
        <v>87238</v>
      </c>
      <c r="D859" t="s">
        <v>3214</v>
      </c>
      <c r="E859" t="s">
        <v>3079</v>
      </c>
      <c r="F859" t="s">
        <v>305</v>
      </c>
      <c r="G859" t="s">
        <v>353</v>
      </c>
      <c r="H859" t="s">
        <v>30</v>
      </c>
      <c r="I859" t="s">
        <v>31</v>
      </c>
      <c r="J859" t="s">
        <v>32</v>
      </c>
      <c r="K859" t="s">
        <v>44</v>
      </c>
      <c r="L859" t="s">
        <v>73</v>
      </c>
      <c r="M859" t="s">
        <v>263</v>
      </c>
      <c r="N859" t="s">
        <v>60</v>
      </c>
      <c r="P859" t="s">
        <v>61</v>
      </c>
      <c r="Q859" t="s">
        <v>61</v>
      </c>
      <c r="R859" s="5">
        <v>42587.869537037041</v>
      </c>
      <c r="S859" s="5">
        <v>42871.700601851851</v>
      </c>
      <c r="T859" t="s">
        <v>1</v>
      </c>
      <c r="U859" t="s">
        <v>35</v>
      </c>
      <c r="V859" s="3" t="s">
        <v>321</v>
      </c>
      <c r="W859" s="3" t="s">
        <v>4098</v>
      </c>
      <c r="AM859" s="5"/>
      <c r="AN859" s="5"/>
      <c r="AQ859" s="6"/>
    </row>
    <row r="860" spans="2:43" x14ac:dyDescent="0.25">
      <c r="B860" t="s">
        <v>205</v>
      </c>
      <c r="C860">
        <v>87236</v>
      </c>
      <c r="D860" t="s">
        <v>87</v>
      </c>
      <c r="E860" t="s">
        <v>3313</v>
      </c>
      <c r="F860" t="s">
        <v>29</v>
      </c>
      <c r="H860" t="s">
        <v>30</v>
      </c>
      <c r="I860" t="s">
        <v>31</v>
      </c>
      <c r="J860" t="s">
        <v>43</v>
      </c>
      <c r="K860" t="s">
        <v>51</v>
      </c>
      <c r="L860" t="s">
        <v>34</v>
      </c>
      <c r="M860" t="s">
        <v>266</v>
      </c>
      <c r="N860" t="s">
        <v>60</v>
      </c>
      <c r="O860" t="s">
        <v>4917</v>
      </c>
      <c r="P860" t="s">
        <v>69</v>
      </c>
      <c r="Q860" t="s">
        <v>89</v>
      </c>
      <c r="R860" s="5">
        <v>42587.846736111111</v>
      </c>
      <c r="S860" s="5">
        <v>43395.73097222222</v>
      </c>
      <c r="T860" t="s">
        <v>3</v>
      </c>
      <c r="U860" t="s">
        <v>35</v>
      </c>
      <c r="V860" s="3" t="s">
        <v>35</v>
      </c>
      <c r="W860" s="3" t="s">
        <v>4098</v>
      </c>
      <c r="AM860" s="5"/>
      <c r="AN860" s="5"/>
      <c r="AQ860" s="6"/>
    </row>
    <row r="861" spans="2:43" x14ac:dyDescent="0.25">
      <c r="B861" t="s">
        <v>203</v>
      </c>
      <c r="C861">
        <v>87144</v>
      </c>
      <c r="D861" t="s">
        <v>3212</v>
      </c>
      <c r="E861" t="s">
        <v>72</v>
      </c>
      <c r="F861" t="s">
        <v>305</v>
      </c>
      <c r="G861" t="s">
        <v>337</v>
      </c>
      <c r="H861" t="s">
        <v>30</v>
      </c>
      <c r="I861" t="s">
        <v>68</v>
      </c>
      <c r="J861" t="s">
        <v>43</v>
      </c>
      <c r="K861" t="s">
        <v>33</v>
      </c>
      <c r="L861" t="s">
        <v>73</v>
      </c>
      <c r="M861" t="s">
        <v>263</v>
      </c>
      <c r="N861" t="s">
        <v>46</v>
      </c>
      <c r="P861" t="s">
        <v>61</v>
      </c>
      <c r="Q861" t="s">
        <v>3210</v>
      </c>
      <c r="R861" s="5">
        <v>42586.673159722224</v>
      </c>
      <c r="S861" s="5">
        <v>42599.767048611109</v>
      </c>
      <c r="T861" t="s">
        <v>317</v>
      </c>
      <c r="U861" t="s">
        <v>35</v>
      </c>
      <c r="V861" s="3" t="s">
        <v>35</v>
      </c>
      <c r="W861" s="3" t="s">
        <v>4156</v>
      </c>
      <c r="AM861" s="5"/>
      <c r="AN861" s="5"/>
      <c r="AQ861" s="6"/>
    </row>
    <row r="862" spans="2:43" x14ac:dyDescent="0.25">
      <c r="B862" t="s">
        <v>203</v>
      </c>
      <c r="C862">
        <v>87143</v>
      </c>
      <c r="D862" t="s">
        <v>3211</v>
      </c>
      <c r="E862" t="s">
        <v>72</v>
      </c>
      <c r="F862" t="s">
        <v>305</v>
      </c>
      <c r="G862" t="s">
        <v>337</v>
      </c>
      <c r="H862" t="s">
        <v>30</v>
      </c>
      <c r="I862" t="s">
        <v>68</v>
      </c>
      <c r="J862" t="s">
        <v>43</v>
      </c>
      <c r="K862" t="s">
        <v>33</v>
      </c>
      <c r="L862" t="s">
        <v>73</v>
      </c>
      <c r="M862" t="s">
        <v>263</v>
      </c>
      <c r="N862" t="s">
        <v>46</v>
      </c>
      <c r="P862" t="s">
        <v>61</v>
      </c>
      <c r="Q862" t="s">
        <v>65</v>
      </c>
      <c r="R862" s="5">
        <v>42586.673055555555</v>
      </c>
      <c r="S862" s="5">
        <v>42823.8278587963</v>
      </c>
      <c r="T862" t="s">
        <v>317</v>
      </c>
      <c r="U862" t="s">
        <v>35</v>
      </c>
      <c r="V862" s="3" t="s">
        <v>35</v>
      </c>
      <c r="W862" s="3" t="s">
        <v>69</v>
      </c>
      <c r="AM862" s="5"/>
      <c r="AN862" s="5"/>
      <c r="AQ862" s="6"/>
    </row>
    <row r="863" spans="2:43" x14ac:dyDescent="0.25">
      <c r="B863" t="s">
        <v>203</v>
      </c>
      <c r="C863">
        <v>87142</v>
      </c>
      <c r="D863" t="s">
        <v>3209</v>
      </c>
      <c r="E863" t="s">
        <v>72</v>
      </c>
      <c r="F863" t="s">
        <v>305</v>
      </c>
      <c r="G863" t="s">
        <v>337</v>
      </c>
      <c r="H863" t="s">
        <v>30</v>
      </c>
      <c r="I863" t="s">
        <v>68</v>
      </c>
      <c r="J863" t="s">
        <v>43</v>
      </c>
      <c r="K863" t="s">
        <v>33</v>
      </c>
      <c r="L863" t="s">
        <v>73</v>
      </c>
      <c r="M863" t="s">
        <v>263</v>
      </c>
      <c r="N863" t="s">
        <v>46</v>
      </c>
      <c r="P863" t="s">
        <v>61</v>
      </c>
      <c r="Q863" t="s">
        <v>3210</v>
      </c>
      <c r="R863" s="5">
        <v>42586.672962962963</v>
      </c>
      <c r="S863" s="5">
        <v>42599.834351851852</v>
      </c>
      <c r="T863" t="s">
        <v>317</v>
      </c>
      <c r="U863" t="s">
        <v>35</v>
      </c>
      <c r="V863" s="3" t="s">
        <v>35</v>
      </c>
      <c r="W863" s="3" t="s">
        <v>133</v>
      </c>
      <c r="AM863" s="5"/>
      <c r="AN863" s="5"/>
      <c r="AQ863" s="6"/>
    </row>
    <row r="864" spans="2:43" x14ac:dyDescent="0.25">
      <c r="B864" t="s">
        <v>204</v>
      </c>
      <c r="C864">
        <v>87140</v>
      </c>
      <c r="D864" t="s">
        <v>513</v>
      </c>
      <c r="E864" t="s">
        <v>514</v>
      </c>
      <c r="F864" t="s">
        <v>305</v>
      </c>
      <c r="G864" t="s">
        <v>337</v>
      </c>
      <c r="H864" t="s">
        <v>54</v>
      </c>
      <c r="I864" t="s">
        <v>68</v>
      </c>
      <c r="J864" t="s">
        <v>43</v>
      </c>
      <c r="K864" t="s">
        <v>33</v>
      </c>
      <c r="L864" t="s">
        <v>73</v>
      </c>
      <c r="M864" t="s">
        <v>263</v>
      </c>
      <c r="N864" t="s">
        <v>60</v>
      </c>
      <c r="O864" t="s">
        <v>515</v>
      </c>
      <c r="P864" t="s">
        <v>85</v>
      </c>
      <c r="Q864" t="s">
        <v>3708</v>
      </c>
      <c r="R864" s="5">
        <v>42586.671087962961</v>
      </c>
      <c r="S864" s="5">
        <v>43423.872465277775</v>
      </c>
      <c r="T864" t="s">
        <v>317</v>
      </c>
      <c r="U864" t="s">
        <v>35</v>
      </c>
      <c r="V864" s="3" t="s">
        <v>35</v>
      </c>
      <c r="W864" s="3" t="s">
        <v>4158</v>
      </c>
      <c r="AM864" s="5"/>
      <c r="AN864" s="5"/>
      <c r="AQ864" s="6"/>
    </row>
    <row r="865" spans="2:43" x14ac:dyDescent="0.25">
      <c r="B865" t="s">
        <v>3190</v>
      </c>
      <c r="C865">
        <v>87064</v>
      </c>
      <c r="D865" t="s">
        <v>3208</v>
      </c>
      <c r="E865" t="s">
        <v>139</v>
      </c>
      <c r="F865" t="s">
        <v>305</v>
      </c>
      <c r="G865" t="s">
        <v>310</v>
      </c>
      <c r="H865" t="s">
        <v>30</v>
      </c>
      <c r="I865" t="s">
        <v>31</v>
      </c>
      <c r="J865" t="s">
        <v>43</v>
      </c>
      <c r="K865" t="s">
        <v>51</v>
      </c>
      <c r="L865" t="s">
        <v>73</v>
      </c>
      <c r="M865" t="s">
        <v>263</v>
      </c>
      <c r="N865" t="s">
        <v>46</v>
      </c>
      <c r="P865" t="s">
        <v>85</v>
      </c>
      <c r="Q865" t="s">
        <v>2481</v>
      </c>
      <c r="R865" s="5">
        <v>42585.681458333333</v>
      </c>
      <c r="S865" s="5">
        <v>42759.622175925928</v>
      </c>
      <c r="T865" t="s">
        <v>317</v>
      </c>
      <c r="U865" t="s">
        <v>35</v>
      </c>
      <c r="V865" s="3" t="s">
        <v>35</v>
      </c>
      <c r="W865" s="3" t="s">
        <v>69</v>
      </c>
      <c r="AM865" s="5"/>
      <c r="AN865" s="5"/>
      <c r="AQ865" s="6"/>
    </row>
    <row r="866" spans="2:43" x14ac:dyDescent="0.25">
      <c r="B866" t="s">
        <v>3190</v>
      </c>
      <c r="C866">
        <v>87063</v>
      </c>
      <c r="D866" t="s">
        <v>3206</v>
      </c>
      <c r="E866" t="s">
        <v>139</v>
      </c>
      <c r="F866" t="s">
        <v>305</v>
      </c>
      <c r="G866" t="s">
        <v>310</v>
      </c>
      <c r="H866" t="s">
        <v>30</v>
      </c>
      <c r="I866" t="s">
        <v>31</v>
      </c>
      <c r="J866" t="s">
        <v>43</v>
      </c>
      <c r="K866" t="s">
        <v>51</v>
      </c>
      <c r="L866" t="s">
        <v>73</v>
      </c>
      <c r="M866" t="s">
        <v>263</v>
      </c>
      <c r="N866" t="s">
        <v>46</v>
      </c>
      <c r="O866" t="s">
        <v>3207</v>
      </c>
      <c r="P866" t="s">
        <v>85</v>
      </c>
      <c r="Q866" t="s">
        <v>159</v>
      </c>
      <c r="R866" s="5">
        <v>42585.68136574074</v>
      </c>
      <c r="S866" s="5">
        <v>42585.683530092596</v>
      </c>
      <c r="T866" t="s">
        <v>317</v>
      </c>
      <c r="U866" t="s">
        <v>35</v>
      </c>
      <c r="V866" s="3" t="s">
        <v>35</v>
      </c>
      <c r="W866" s="3" t="s">
        <v>133</v>
      </c>
      <c r="AM866" s="5"/>
      <c r="AN866" s="5"/>
      <c r="AQ866" s="6"/>
    </row>
    <row r="867" spans="2:43" x14ac:dyDescent="0.25">
      <c r="B867" t="s">
        <v>204</v>
      </c>
      <c r="C867">
        <v>87060</v>
      </c>
      <c r="D867" t="s">
        <v>83</v>
      </c>
      <c r="E867" t="s">
        <v>84</v>
      </c>
      <c r="F867" t="s">
        <v>319</v>
      </c>
      <c r="G867" t="s">
        <v>304</v>
      </c>
      <c r="H867" t="s">
        <v>30</v>
      </c>
      <c r="I867" t="s">
        <v>31</v>
      </c>
      <c r="J867" t="s">
        <v>43</v>
      </c>
      <c r="K867" t="s">
        <v>51</v>
      </c>
      <c r="L867" t="s">
        <v>73</v>
      </c>
      <c r="M867" t="s">
        <v>263</v>
      </c>
      <c r="N867" t="s">
        <v>46</v>
      </c>
      <c r="P867" t="s">
        <v>85</v>
      </c>
      <c r="Q867" t="s">
        <v>85</v>
      </c>
      <c r="R867" s="5">
        <v>42585.667581018519</v>
      </c>
      <c r="S867" s="5">
        <v>43423.928773148145</v>
      </c>
      <c r="T867" t="s">
        <v>86</v>
      </c>
      <c r="U867" t="s">
        <v>35</v>
      </c>
      <c r="V867" s="3" t="s">
        <v>35</v>
      </c>
      <c r="W867" s="3" t="s">
        <v>4098</v>
      </c>
      <c r="AM867" s="5"/>
      <c r="AN867" s="5"/>
      <c r="AQ867" s="6"/>
    </row>
    <row r="868" spans="2:43" x14ac:dyDescent="0.25">
      <c r="B868" t="s">
        <v>2413</v>
      </c>
      <c r="C868">
        <v>87051</v>
      </c>
      <c r="D868" t="s">
        <v>3205</v>
      </c>
      <c r="E868" t="s">
        <v>125</v>
      </c>
      <c r="F868" t="s">
        <v>305</v>
      </c>
      <c r="G868" t="s">
        <v>337</v>
      </c>
      <c r="H868" t="s">
        <v>30</v>
      </c>
      <c r="I868" t="s">
        <v>68</v>
      </c>
      <c r="J868" t="s">
        <v>43</v>
      </c>
      <c r="K868" t="s">
        <v>33</v>
      </c>
      <c r="L868" t="s">
        <v>34</v>
      </c>
      <c r="M868" t="s">
        <v>373</v>
      </c>
      <c r="N868" t="s">
        <v>46</v>
      </c>
      <c r="P868" t="s">
        <v>369</v>
      </c>
      <c r="Q868" t="s">
        <v>394</v>
      </c>
      <c r="R868" s="5">
        <v>42585.553796296299</v>
      </c>
      <c r="S868" s="5">
        <v>42641.69027777778</v>
      </c>
      <c r="T868" t="s">
        <v>53</v>
      </c>
      <c r="U868" t="s">
        <v>35</v>
      </c>
      <c r="V868" s="3" t="s">
        <v>35</v>
      </c>
      <c r="W868" s="3" t="s">
        <v>4156</v>
      </c>
      <c r="AM868" s="5"/>
      <c r="AN868" s="5"/>
      <c r="AQ868" s="6"/>
    </row>
    <row r="869" spans="2:43" x14ac:dyDescent="0.25">
      <c r="B869" t="s">
        <v>203</v>
      </c>
      <c r="C869">
        <v>87008</v>
      </c>
      <c r="D869" t="s">
        <v>81</v>
      </c>
      <c r="E869" t="s">
        <v>82</v>
      </c>
      <c r="F869" t="s">
        <v>42</v>
      </c>
      <c r="H869" t="s">
        <v>30</v>
      </c>
      <c r="I869" t="s">
        <v>68</v>
      </c>
      <c r="J869" t="s">
        <v>43</v>
      </c>
      <c r="K869" t="s">
        <v>33</v>
      </c>
      <c r="L869" t="s">
        <v>73</v>
      </c>
      <c r="M869" t="s">
        <v>263</v>
      </c>
      <c r="N869" t="s">
        <v>46</v>
      </c>
      <c r="P869" t="s">
        <v>61</v>
      </c>
      <c r="R869" s="5">
        <v>42584.912349537037</v>
      </c>
      <c r="S869" s="5">
        <v>42955.29451388889</v>
      </c>
      <c r="T869" t="s">
        <v>1</v>
      </c>
      <c r="U869" t="s">
        <v>35</v>
      </c>
      <c r="V869" s="3" t="s">
        <v>35</v>
      </c>
      <c r="W869" s="3" t="s">
        <v>4098</v>
      </c>
      <c r="AM869" s="5"/>
      <c r="AN869" s="5"/>
      <c r="AQ869" s="6"/>
    </row>
    <row r="870" spans="2:43" x14ac:dyDescent="0.25">
      <c r="B870" t="s">
        <v>3200</v>
      </c>
      <c r="C870">
        <v>86843</v>
      </c>
      <c r="D870" t="s">
        <v>3201</v>
      </c>
      <c r="E870" t="s">
        <v>3202</v>
      </c>
      <c r="F870" t="s">
        <v>305</v>
      </c>
      <c r="G870" t="s">
        <v>304</v>
      </c>
      <c r="H870" t="s">
        <v>30</v>
      </c>
      <c r="I870" t="s">
        <v>31</v>
      </c>
      <c r="J870" t="s">
        <v>32</v>
      </c>
      <c r="K870" t="s">
        <v>33</v>
      </c>
      <c r="L870" t="s">
        <v>34</v>
      </c>
      <c r="M870" t="s">
        <v>336</v>
      </c>
      <c r="N870" t="s">
        <v>46</v>
      </c>
      <c r="P870" t="s">
        <v>3203</v>
      </c>
      <c r="Q870" t="s">
        <v>3204</v>
      </c>
      <c r="R870" s="5">
        <v>42579.708784722221</v>
      </c>
      <c r="S870" s="5">
        <v>43056.669988425929</v>
      </c>
      <c r="T870" t="s">
        <v>39</v>
      </c>
      <c r="U870" t="s">
        <v>35</v>
      </c>
      <c r="V870" s="3" t="s">
        <v>321</v>
      </c>
      <c r="W870" s="3" t="s">
        <v>3911</v>
      </c>
      <c r="AM870" s="5"/>
      <c r="AN870" s="5"/>
      <c r="AQ870" s="6"/>
    </row>
    <row r="871" spans="2:43" x14ac:dyDescent="0.25">
      <c r="B871" t="s">
        <v>202</v>
      </c>
      <c r="C871">
        <v>86826</v>
      </c>
      <c r="D871" t="s">
        <v>511</v>
      </c>
      <c r="E871" t="s">
        <v>80</v>
      </c>
      <c r="F871" t="s">
        <v>42</v>
      </c>
      <c r="H871" t="s">
        <v>116</v>
      </c>
      <c r="I871" t="s">
        <v>31</v>
      </c>
      <c r="J871" t="s">
        <v>32</v>
      </c>
      <c r="K871" t="s">
        <v>33</v>
      </c>
      <c r="L871" t="s">
        <v>45</v>
      </c>
      <c r="M871" t="s">
        <v>106</v>
      </c>
      <c r="N871" t="s">
        <v>512</v>
      </c>
      <c r="O871" t="s">
        <v>487</v>
      </c>
      <c r="P871" t="s">
        <v>47</v>
      </c>
      <c r="R871" s="5">
        <v>42579.481678240743</v>
      </c>
      <c r="S871" s="5">
        <v>43059.373506944445</v>
      </c>
      <c r="T871" t="s">
        <v>341</v>
      </c>
      <c r="U871" t="s">
        <v>35</v>
      </c>
      <c r="V871" s="3" t="s">
        <v>321</v>
      </c>
      <c r="W871" s="3" t="s">
        <v>4143</v>
      </c>
      <c r="AM871" s="5"/>
      <c r="AN871" s="5"/>
      <c r="AQ871" s="6"/>
    </row>
    <row r="872" spans="2:43" x14ac:dyDescent="0.25">
      <c r="B872" t="s">
        <v>3190</v>
      </c>
      <c r="C872">
        <v>86421</v>
      </c>
      <c r="D872" t="s">
        <v>3199</v>
      </c>
      <c r="E872" t="s">
        <v>139</v>
      </c>
      <c r="F872" t="s">
        <v>305</v>
      </c>
      <c r="G872" t="s">
        <v>304</v>
      </c>
      <c r="H872" t="s">
        <v>30</v>
      </c>
      <c r="I872" t="s">
        <v>31</v>
      </c>
      <c r="J872" t="s">
        <v>43</v>
      </c>
      <c r="K872" t="s">
        <v>51</v>
      </c>
      <c r="L872" t="s">
        <v>73</v>
      </c>
      <c r="M872" t="s">
        <v>263</v>
      </c>
      <c r="N872" t="s">
        <v>46</v>
      </c>
      <c r="P872" t="s">
        <v>85</v>
      </c>
      <c r="Q872" t="s">
        <v>85</v>
      </c>
      <c r="R872" s="5">
        <v>42571.433946759258</v>
      </c>
      <c r="S872" s="5">
        <v>42634.393587962964</v>
      </c>
      <c r="T872" t="s">
        <v>139</v>
      </c>
      <c r="U872" t="s">
        <v>35</v>
      </c>
      <c r="V872" s="3" t="s">
        <v>35</v>
      </c>
      <c r="W872" s="3" t="s">
        <v>3428</v>
      </c>
      <c r="AM872" s="5"/>
      <c r="AN872" s="5"/>
      <c r="AQ872" s="6"/>
    </row>
    <row r="873" spans="2:43" x14ac:dyDescent="0.25">
      <c r="B873" t="s">
        <v>3197</v>
      </c>
      <c r="C873">
        <v>86304</v>
      </c>
      <c r="D873" t="s">
        <v>338</v>
      </c>
      <c r="E873" t="s">
        <v>339</v>
      </c>
      <c r="F873" t="s">
        <v>305</v>
      </c>
      <c r="G873" t="s">
        <v>337</v>
      </c>
      <c r="H873" t="s">
        <v>30</v>
      </c>
      <c r="I873" t="s">
        <v>68</v>
      </c>
      <c r="J873" t="s">
        <v>43</v>
      </c>
      <c r="K873" t="s">
        <v>33</v>
      </c>
      <c r="L873" t="s">
        <v>45</v>
      </c>
      <c r="M873" t="s">
        <v>260</v>
      </c>
      <c r="N873" t="s">
        <v>60</v>
      </c>
      <c r="P873" t="s">
        <v>75</v>
      </c>
      <c r="Q873" t="s">
        <v>3198</v>
      </c>
      <c r="R873" s="5">
        <v>42569.922164351854</v>
      </c>
      <c r="S873" s="5">
        <v>42754.691168981481</v>
      </c>
      <c r="T873" t="s">
        <v>162</v>
      </c>
      <c r="U873" t="s">
        <v>35</v>
      </c>
      <c r="V873" s="3" t="s">
        <v>35</v>
      </c>
      <c r="W873" s="3" t="s">
        <v>4098</v>
      </c>
      <c r="AM873" s="5"/>
      <c r="AN873" s="5"/>
      <c r="AQ873" s="6"/>
    </row>
    <row r="874" spans="2:43" x14ac:dyDescent="0.25">
      <c r="B874" t="s">
        <v>2586</v>
      </c>
      <c r="C874">
        <v>85636</v>
      </c>
      <c r="D874" t="s">
        <v>3196</v>
      </c>
      <c r="E874" t="s">
        <v>435</v>
      </c>
      <c r="F874" t="s">
        <v>305</v>
      </c>
      <c r="G874" t="s">
        <v>304</v>
      </c>
      <c r="H874" t="s">
        <v>30</v>
      </c>
      <c r="I874" t="s">
        <v>31</v>
      </c>
      <c r="J874" t="s">
        <v>43</v>
      </c>
      <c r="K874" t="s">
        <v>44</v>
      </c>
      <c r="L874" t="s">
        <v>380</v>
      </c>
      <c r="M874" t="s">
        <v>2588</v>
      </c>
      <c r="N874" t="s">
        <v>46</v>
      </c>
      <c r="P874" t="s">
        <v>61</v>
      </c>
      <c r="Q874" t="s">
        <v>2481</v>
      </c>
      <c r="R874" s="5">
        <v>42555.452673611115</v>
      </c>
      <c r="S874" s="5">
        <v>42935.405925925923</v>
      </c>
      <c r="T874" t="s">
        <v>490</v>
      </c>
      <c r="U874" t="s">
        <v>35</v>
      </c>
      <c r="V874" s="3" t="s">
        <v>35</v>
      </c>
      <c r="W874" s="3" t="s">
        <v>69</v>
      </c>
      <c r="AM874" s="5"/>
      <c r="AN874" s="5"/>
      <c r="AQ874" s="6"/>
    </row>
    <row r="875" spans="2:43" x14ac:dyDescent="0.25">
      <c r="B875" t="s">
        <v>202</v>
      </c>
      <c r="C875">
        <v>85498</v>
      </c>
      <c r="D875" t="s">
        <v>3195</v>
      </c>
      <c r="E875" t="s">
        <v>80</v>
      </c>
      <c r="F875" t="s">
        <v>305</v>
      </c>
      <c r="G875" t="s">
        <v>304</v>
      </c>
      <c r="H875" t="s">
        <v>30</v>
      </c>
      <c r="I875" t="s">
        <v>31</v>
      </c>
      <c r="J875" t="s">
        <v>32</v>
      </c>
      <c r="K875" t="s">
        <v>33</v>
      </c>
      <c r="L875" t="s">
        <v>45</v>
      </c>
      <c r="M875" t="s">
        <v>265</v>
      </c>
      <c r="N875" t="s">
        <v>582</v>
      </c>
      <c r="P875" t="s">
        <v>47</v>
      </c>
      <c r="Q875" t="s">
        <v>394</v>
      </c>
      <c r="R875" s="5">
        <v>42552.415208333332</v>
      </c>
      <c r="S875" s="5">
        <v>42930.191574074073</v>
      </c>
      <c r="T875" t="s">
        <v>346</v>
      </c>
      <c r="U875" t="s">
        <v>3984</v>
      </c>
      <c r="V875" s="3" t="s">
        <v>321</v>
      </c>
      <c r="W875" s="3" t="s">
        <v>69</v>
      </c>
      <c r="AM875" s="5"/>
      <c r="AN875" s="5"/>
      <c r="AQ875" s="6"/>
    </row>
    <row r="876" spans="2:43" x14ac:dyDescent="0.25">
      <c r="B876" t="s">
        <v>202</v>
      </c>
      <c r="C876">
        <v>85497</v>
      </c>
      <c r="D876" t="s">
        <v>3194</v>
      </c>
      <c r="E876" t="s">
        <v>80</v>
      </c>
      <c r="F876" t="s">
        <v>305</v>
      </c>
      <c r="G876" t="s">
        <v>304</v>
      </c>
      <c r="H876" t="s">
        <v>30</v>
      </c>
      <c r="I876" t="s">
        <v>31</v>
      </c>
      <c r="J876" t="s">
        <v>32</v>
      </c>
      <c r="K876" t="s">
        <v>33</v>
      </c>
      <c r="L876" t="s">
        <v>45</v>
      </c>
      <c r="M876" t="s">
        <v>265</v>
      </c>
      <c r="N876" t="s">
        <v>60</v>
      </c>
      <c r="P876" t="s">
        <v>47</v>
      </c>
      <c r="Q876" t="s">
        <v>394</v>
      </c>
      <c r="R876" s="5">
        <v>42552.412222222221</v>
      </c>
      <c r="S876" s="5">
        <v>42674.622407407405</v>
      </c>
      <c r="T876" t="s">
        <v>346</v>
      </c>
      <c r="U876" t="s">
        <v>3985</v>
      </c>
      <c r="V876" s="3" t="s">
        <v>321</v>
      </c>
      <c r="W876" s="3" t="s">
        <v>133</v>
      </c>
      <c r="AM876" s="5"/>
      <c r="AN876" s="5"/>
      <c r="AQ876" s="6"/>
    </row>
    <row r="877" spans="2:43" x14ac:dyDescent="0.25">
      <c r="B877" t="s">
        <v>202</v>
      </c>
      <c r="C877">
        <v>85496</v>
      </c>
      <c r="D877" t="s">
        <v>3193</v>
      </c>
      <c r="E877" t="s">
        <v>80</v>
      </c>
      <c r="F877" t="s">
        <v>305</v>
      </c>
      <c r="G877" t="s">
        <v>304</v>
      </c>
      <c r="H877" t="s">
        <v>30</v>
      </c>
      <c r="I877" t="s">
        <v>31</v>
      </c>
      <c r="J877" t="s">
        <v>32</v>
      </c>
      <c r="K877" t="s">
        <v>33</v>
      </c>
      <c r="L877" t="s">
        <v>45</v>
      </c>
      <c r="M877" t="s">
        <v>265</v>
      </c>
      <c r="N877" t="s">
        <v>60</v>
      </c>
      <c r="P877" t="s">
        <v>47</v>
      </c>
      <c r="Q877" t="s">
        <v>394</v>
      </c>
      <c r="R877" s="5">
        <v>42552.412210648145</v>
      </c>
      <c r="S877" s="5">
        <v>42718.677291666667</v>
      </c>
      <c r="T877" t="s">
        <v>346</v>
      </c>
      <c r="U877" t="s">
        <v>3977</v>
      </c>
      <c r="V877" s="3" t="s">
        <v>321</v>
      </c>
      <c r="W877" s="3" t="s">
        <v>107</v>
      </c>
      <c r="AM877" s="5"/>
      <c r="AN877" s="5"/>
      <c r="AQ877" s="6"/>
    </row>
    <row r="878" spans="2:43" x14ac:dyDescent="0.25">
      <c r="B878" t="s">
        <v>2586</v>
      </c>
      <c r="C878">
        <v>85458</v>
      </c>
      <c r="D878" t="s">
        <v>3192</v>
      </c>
      <c r="E878" t="s">
        <v>435</v>
      </c>
      <c r="F878" t="s">
        <v>305</v>
      </c>
      <c r="G878" t="s">
        <v>353</v>
      </c>
      <c r="H878" t="s">
        <v>30</v>
      </c>
      <c r="I878" t="s">
        <v>31</v>
      </c>
      <c r="J878" t="s">
        <v>43</v>
      </c>
      <c r="K878" t="s">
        <v>44</v>
      </c>
      <c r="L878" t="s">
        <v>380</v>
      </c>
      <c r="M878" t="s">
        <v>434</v>
      </c>
      <c r="N878" t="s">
        <v>60</v>
      </c>
      <c r="O878" t="s">
        <v>325</v>
      </c>
      <c r="P878" t="s">
        <v>75</v>
      </c>
      <c r="Q878" t="s">
        <v>2481</v>
      </c>
      <c r="R878" s="5">
        <v>42551.837048611109</v>
      </c>
      <c r="S878" s="5">
        <v>43007.390509259261</v>
      </c>
      <c r="T878" t="s">
        <v>317</v>
      </c>
      <c r="U878" t="s">
        <v>35</v>
      </c>
      <c r="V878" s="3" t="s">
        <v>35</v>
      </c>
      <c r="W878" s="3" t="s">
        <v>4156</v>
      </c>
      <c r="AM878" s="5"/>
      <c r="AN878" s="5"/>
      <c r="AQ878" s="6"/>
    </row>
    <row r="879" spans="2:43" x14ac:dyDescent="0.25">
      <c r="B879" t="s">
        <v>3190</v>
      </c>
      <c r="C879">
        <v>85449</v>
      </c>
      <c r="D879" t="s">
        <v>3191</v>
      </c>
      <c r="E879" t="s">
        <v>72</v>
      </c>
      <c r="F879" t="s">
        <v>305</v>
      </c>
      <c r="G879" t="s">
        <v>304</v>
      </c>
      <c r="H879" t="s">
        <v>30</v>
      </c>
      <c r="I879" t="s">
        <v>31</v>
      </c>
      <c r="J879" t="s">
        <v>43</v>
      </c>
      <c r="K879" t="s">
        <v>51</v>
      </c>
      <c r="L879" t="s">
        <v>73</v>
      </c>
      <c r="M879" t="s">
        <v>263</v>
      </c>
      <c r="N879" t="s">
        <v>46</v>
      </c>
      <c r="P879" t="s">
        <v>85</v>
      </c>
      <c r="Q879" t="s">
        <v>159</v>
      </c>
      <c r="R879" s="5">
        <v>42551.677800925929</v>
      </c>
      <c r="S879" s="5">
        <v>42871.70039351852</v>
      </c>
      <c r="T879" t="s">
        <v>86</v>
      </c>
      <c r="U879" t="s">
        <v>35</v>
      </c>
      <c r="V879" s="3" t="s">
        <v>35</v>
      </c>
      <c r="W879" s="3" t="s">
        <v>4098</v>
      </c>
      <c r="AM879" s="5"/>
      <c r="AN879" s="5"/>
      <c r="AQ879" s="6"/>
    </row>
    <row r="880" spans="2:43" x14ac:dyDescent="0.25">
      <c r="B880" t="s">
        <v>3182</v>
      </c>
      <c r="C880">
        <v>85431</v>
      </c>
      <c r="D880" t="s">
        <v>3183</v>
      </c>
      <c r="E880" t="s">
        <v>3184</v>
      </c>
      <c r="F880" t="s">
        <v>305</v>
      </c>
      <c r="G880" t="s">
        <v>337</v>
      </c>
      <c r="H880" t="s">
        <v>30</v>
      </c>
      <c r="I880" t="s">
        <v>31</v>
      </c>
      <c r="J880" t="s">
        <v>32</v>
      </c>
      <c r="K880" t="s">
        <v>33</v>
      </c>
      <c r="L880" t="s">
        <v>34</v>
      </c>
      <c r="M880" t="s">
        <v>3185</v>
      </c>
      <c r="N880" t="s">
        <v>46</v>
      </c>
      <c r="O880" t="s">
        <v>3186</v>
      </c>
      <c r="P880" t="s">
        <v>3187</v>
      </c>
      <c r="Q880" t="s">
        <v>3188</v>
      </c>
      <c r="R880" s="5">
        <v>42551.456724537034</v>
      </c>
      <c r="S880" s="5">
        <v>42816.252638888887</v>
      </c>
      <c r="T880" t="s">
        <v>3189</v>
      </c>
      <c r="U880" t="s">
        <v>35</v>
      </c>
      <c r="V880" s="3" t="s">
        <v>35</v>
      </c>
      <c r="W880" s="3" t="s">
        <v>3428</v>
      </c>
      <c r="AM880" s="5"/>
      <c r="AN880" s="5"/>
      <c r="AQ880" s="6"/>
    </row>
    <row r="881" spans="2:43" x14ac:dyDescent="0.25">
      <c r="B881" t="s">
        <v>3176</v>
      </c>
      <c r="C881">
        <v>85430</v>
      </c>
      <c r="D881" t="s">
        <v>3177</v>
      </c>
      <c r="E881" t="s">
        <v>3178</v>
      </c>
      <c r="F881" t="s">
        <v>305</v>
      </c>
      <c r="G881" t="s">
        <v>304</v>
      </c>
      <c r="H881" t="s">
        <v>30</v>
      </c>
      <c r="I881" t="s">
        <v>57</v>
      </c>
      <c r="J881" t="s">
        <v>2183</v>
      </c>
      <c r="K881" t="s">
        <v>51</v>
      </c>
      <c r="L881" t="s">
        <v>34</v>
      </c>
      <c r="M881" t="s">
        <v>1853</v>
      </c>
      <c r="N881" t="s">
        <v>46</v>
      </c>
      <c r="O881" t="s">
        <v>3179</v>
      </c>
      <c r="P881" t="s">
        <v>2708</v>
      </c>
      <c r="Q881" t="s">
        <v>3180</v>
      </c>
      <c r="R881" s="5">
        <v>42551.451423611114</v>
      </c>
      <c r="S881" s="5">
        <v>42878.515868055554</v>
      </c>
      <c r="T881" t="s">
        <v>3181</v>
      </c>
      <c r="U881" t="s">
        <v>35</v>
      </c>
      <c r="V881" s="3" t="s">
        <v>321</v>
      </c>
      <c r="W881" s="3" t="s">
        <v>3661</v>
      </c>
      <c r="AM881" s="5"/>
      <c r="AN881" s="5"/>
      <c r="AQ881" s="6"/>
    </row>
    <row r="882" spans="2:43" x14ac:dyDescent="0.25">
      <c r="B882" t="s">
        <v>2586</v>
      </c>
      <c r="C882">
        <v>85408</v>
      </c>
      <c r="D882" t="s">
        <v>3175</v>
      </c>
      <c r="E882" t="s">
        <v>435</v>
      </c>
      <c r="F882" t="s">
        <v>305</v>
      </c>
      <c r="G882" t="s">
        <v>353</v>
      </c>
      <c r="H882" t="s">
        <v>30</v>
      </c>
      <c r="I882" t="s">
        <v>31</v>
      </c>
      <c r="J882" t="s">
        <v>43</v>
      </c>
      <c r="K882" t="s">
        <v>44</v>
      </c>
      <c r="L882" t="s">
        <v>380</v>
      </c>
      <c r="M882" t="s">
        <v>434</v>
      </c>
      <c r="N882" t="s">
        <v>582</v>
      </c>
      <c r="P882" t="s">
        <v>75</v>
      </c>
      <c r="Q882" t="s">
        <v>2416</v>
      </c>
      <c r="R882" s="5">
        <v>42550.866122685184</v>
      </c>
      <c r="S882" s="5">
        <v>43007.390509259261</v>
      </c>
      <c r="T882" t="s">
        <v>317</v>
      </c>
      <c r="U882" t="s">
        <v>3984</v>
      </c>
      <c r="V882" s="3" t="s">
        <v>35</v>
      </c>
      <c r="W882" s="3" t="s">
        <v>69</v>
      </c>
      <c r="AM882" s="5"/>
      <c r="AN882" s="5"/>
      <c r="AQ882" s="6"/>
    </row>
    <row r="883" spans="2:43" x14ac:dyDescent="0.25">
      <c r="B883" t="s">
        <v>2586</v>
      </c>
      <c r="C883">
        <v>85407</v>
      </c>
      <c r="D883" t="s">
        <v>3174</v>
      </c>
      <c r="E883" t="s">
        <v>435</v>
      </c>
      <c r="F883" t="s">
        <v>305</v>
      </c>
      <c r="G883" t="s">
        <v>353</v>
      </c>
      <c r="H883" t="s">
        <v>30</v>
      </c>
      <c r="I883" t="s">
        <v>31</v>
      </c>
      <c r="J883" t="s">
        <v>43</v>
      </c>
      <c r="K883" t="s">
        <v>44</v>
      </c>
      <c r="L883" t="s">
        <v>380</v>
      </c>
      <c r="M883" t="s">
        <v>434</v>
      </c>
      <c r="N883" t="s">
        <v>60</v>
      </c>
      <c r="P883" t="s">
        <v>75</v>
      </c>
      <c r="Q883" t="s">
        <v>2416</v>
      </c>
      <c r="R883" s="5">
        <v>42550.865972222222</v>
      </c>
      <c r="S883" s="5">
        <v>43007.390509259261</v>
      </c>
      <c r="T883" t="s">
        <v>317</v>
      </c>
      <c r="U883" t="s">
        <v>3968</v>
      </c>
      <c r="V883" s="3" t="s">
        <v>35</v>
      </c>
      <c r="W883" s="3" t="s">
        <v>133</v>
      </c>
      <c r="AM883" s="5"/>
      <c r="AN883" s="5"/>
      <c r="AQ883" s="6"/>
    </row>
    <row r="884" spans="2:43" x14ac:dyDescent="0.25">
      <c r="B884" t="s">
        <v>364</v>
      </c>
      <c r="C884">
        <v>85377</v>
      </c>
      <c r="D884" t="s">
        <v>3173</v>
      </c>
      <c r="E884" t="s">
        <v>110</v>
      </c>
      <c r="F884" t="s">
        <v>305</v>
      </c>
      <c r="G884" t="s">
        <v>304</v>
      </c>
      <c r="H884" t="s">
        <v>30</v>
      </c>
      <c r="I884" t="s">
        <v>31</v>
      </c>
      <c r="J884" t="s">
        <v>43</v>
      </c>
      <c r="K884" t="s">
        <v>44</v>
      </c>
      <c r="L884" t="s">
        <v>73</v>
      </c>
      <c r="M884" t="s">
        <v>273</v>
      </c>
      <c r="N884" t="s">
        <v>582</v>
      </c>
      <c r="P884" t="s">
        <v>61</v>
      </c>
      <c r="Q884" t="s">
        <v>2944</v>
      </c>
      <c r="R884" s="5">
        <v>42550.501122685186</v>
      </c>
      <c r="S884" s="5">
        <v>42948.900300925925</v>
      </c>
      <c r="T884" t="s">
        <v>82</v>
      </c>
      <c r="U884" t="s">
        <v>3983</v>
      </c>
      <c r="V884" s="3" t="s">
        <v>321</v>
      </c>
      <c r="W884" s="3" t="s">
        <v>69</v>
      </c>
      <c r="AM884" s="5"/>
      <c r="AN884" s="5"/>
      <c r="AQ884" s="6"/>
    </row>
    <row r="885" spans="2:43" x14ac:dyDescent="0.25">
      <c r="B885" t="s">
        <v>3172</v>
      </c>
      <c r="C885">
        <v>85276</v>
      </c>
      <c r="D885" t="s">
        <v>342</v>
      </c>
      <c r="E885" t="s">
        <v>343</v>
      </c>
      <c r="F885" t="s">
        <v>305</v>
      </c>
      <c r="G885" t="s">
        <v>304</v>
      </c>
      <c r="H885" t="s">
        <v>30</v>
      </c>
      <c r="I885" t="s">
        <v>31</v>
      </c>
      <c r="J885" t="s">
        <v>32</v>
      </c>
      <c r="K885" t="s">
        <v>44</v>
      </c>
      <c r="L885" t="s">
        <v>45</v>
      </c>
      <c r="M885" t="s">
        <v>106</v>
      </c>
      <c r="N885" t="s">
        <v>331</v>
      </c>
      <c r="P885" t="s">
        <v>133</v>
      </c>
      <c r="R885" s="5">
        <v>42549.398229166669</v>
      </c>
      <c r="S885" s="5">
        <v>43039.390717592592</v>
      </c>
      <c r="T885" t="s">
        <v>341</v>
      </c>
      <c r="U885" t="s">
        <v>340</v>
      </c>
      <c r="V885" s="3" t="s">
        <v>35</v>
      </c>
      <c r="W885" s="3" t="s">
        <v>133</v>
      </c>
      <c r="AM885" s="5"/>
      <c r="AN885" s="5"/>
      <c r="AQ885" s="6"/>
    </row>
    <row r="886" spans="2:43" x14ac:dyDescent="0.25">
      <c r="B886" t="s">
        <v>3160</v>
      </c>
      <c r="C886">
        <v>85152</v>
      </c>
      <c r="D886" t="s">
        <v>3171</v>
      </c>
      <c r="E886" t="s">
        <v>82</v>
      </c>
      <c r="F886" t="s">
        <v>305</v>
      </c>
      <c r="G886" t="s">
        <v>353</v>
      </c>
      <c r="H886" t="s">
        <v>30</v>
      </c>
      <c r="I886" t="s">
        <v>68</v>
      </c>
      <c r="J886" t="s">
        <v>43</v>
      </c>
      <c r="K886" t="s">
        <v>33</v>
      </c>
      <c r="L886" t="s">
        <v>73</v>
      </c>
      <c r="M886" t="s">
        <v>263</v>
      </c>
      <c r="N886" t="s">
        <v>46</v>
      </c>
      <c r="P886" t="s">
        <v>75</v>
      </c>
      <c r="Q886" t="s">
        <v>75</v>
      </c>
      <c r="R886" s="5">
        <v>42545.743993055556</v>
      </c>
      <c r="S886" s="5">
        <v>42759.634826388887</v>
      </c>
      <c r="T886" t="s">
        <v>317</v>
      </c>
      <c r="U886" t="s">
        <v>35</v>
      </c>
      <c r="V886" s="3" t="s">
        <v>35</v>
      </c>
      <c r="W886" s="3" t="s">
        <v>4156</v>
      </c>
      <c r="AM886" s="5"/>
      <c r="AN886" s="5"/>
      <c r="AQ886" s="6"/>
    </row>
    <row r="887" spans="2:43" x14ac:dyDescent="0.25">
      <c r="B887" t="s">
        <v>3160</v>
      </c>
      <c r="C887">
        <v>85151</v>
      </c>
      <c r="D887" t="s">
        <v>3170</v>
      </c>
      <c r="E887" t="s">
        <v>82</v>
      </c>
      <c r="F887" t="s">
        <v>305</v>
      </c>
      <c r="G887" t="s">
        <v>353</v>
      </c>
      <c r="H887" t="s">
        <v>30</v>
      </c>
      <c r="I887" t="s">
        <v>68</v>
      </c>
      <c r="J887" t="s">
        <v>43</v>
      </c>
      <c r="K887" t="s">
        <v>33</v>
      </c>
      <c r="L887" t="s">
        <v>73</v>
      </c>
      <c r="M887" t="s">
        <v>263</v>
      </c>
      <c r="N887" t="s">
        <v>46</v>
      </c>
      <c r="P887" t="s">
        <v>75</v>
      </c>
      <c r="Q887" t="s">
        <v>75</v>
      </c>
      <c r="R887" s="5">
        <v>42545.743750000001</v>
      </c>
      <c r="S887" s="5">
        <v>42759.634733796294</v>
      </c>
      <c r="T887" t="s">
        <v>317</v>
      </c>
      <c r="U887" t="s">
        <v>35</v>
      </c>
      <c r="V887" s="3" t="s">
        <v>35</v>
      </c>
      <c r="W887" s="3" t="s">
        <v>69</v>
      </c>
      <c r="AM887" s="5"/>
      <c r="AN887" s="5"/>
      <c r="AQ887" s="6"/>
    </row>
    <row r="888" spans="2:43" x14ac:dyDescent="0.25">
      <c r="B888" t="s">
        <v>3160</v>
      </c>
      <c r="C888">
        <v>85150</v>
      </c>
      <c r="D888" t="s">
        <v>3169</v>
      </c>
      <c r="E888" t="s">
        <v>82</v>
      </c>
      <c r="F888" t="s">
        <v>305</v>
      </c>
      <c r="G888" t="s">
        <v>353</v>
      </c>
      <c r="H888" t="s">
        <v>30</v>
      </c>
      <c r="I888" t="s">
        <v>31</v>
      </c>
      <c r="J888" t="s">
        <v>43</v>
      </c>
      <c r="K888" t="s">
        <v>44</v>
      </c>
      <c r="L888" t="s">
        <v>73</v>
      </c>
      <c r="M888" t="s">
        <v>263</v>
      </c>
      <c r="N888" t="s">
        <v>46</v>
      </c>
      <c r="P888" t="s">
        <v>75</v>
      </c>
      <c r="Q888" t="s">
        <v>75</v>
      </c>
      <c r="R888" s="5">
        <v>42545.743668981479</v>
      </c>
      <c r="S888" s="5">
        <v>42759.63521990741</v>
      </c>
      <c r="T888" t="s">
        <v>317</v>
      </c>
      <c r="U888" t="s">
        <v>35</v>
      </c>
      <c r="V888" s="3" t="s">
        <v>35</v>
      </c>
      <c r="W888" s="3" t="s">
        <v>133</v>
      </c>
      <c r="AM888" s="5"/>
      <c r="AN888" s="5"/>
      <c r="AQ888" s="6"/>
    </row>
    <row r="889" spans="2:43" x14ac:dyDescent="0.25">
      <c r="B889" t="s">
        <v>2586</v>
      </c>
      <c r="C889">
        <v>85078</v>
      </c>
      <c r="D889" t="s">
        <v>3168</v>
      </c>
      <c r="E889" t="s">
        <v>383</v>
      </c>
      <c r="F889" t="s">
        <v>305</v>
      </c>
      <c r="G889" t="s">
        <v>353</v>
      </c>
      <c r="H889" t="s">
        <v>30</v>
      </c>
      <c r="I889" t="s">
        <v>31</v>
      </c>
      <c r="J889" t="s">
        <v>43</v>
      </c>
      <c r="K889" t="s">
        <v>44</v>
      </c>
      <c r="L889" t="s">
        <v>380</v>
      </c>
      <c r="M889" t="s">
        <v>2588</v>
      </c>
      <c r="N889" t="s">
        <v>60</v>
      </c>
      <c r="P889" t="s">
        <v>75</v>
      </c>
      <c r="Q889" t="s">
        <v>2481</v>
      </c>
      <c r="R889" s="5">
        <v>42544.562199074076</v>
      </c>
      <c r="S889" s="5">
        <v>42578.13521990741</v>
      </c>
      <c r="T889" t="s">
        <v>317</v>
      </c>
      <c r="U889" t="s">
        <v>35</v>
      </c>
      <c r="V889" s="3" t="s">
        <v>35</v>
      </c>
      <c r="W889" s="3" t="s">
        <v>4156</v>
      </c>
      <c r="AM889" s="5"/>
      <c r="AN889" s="5"/>
      <c r="AQ889" s="6"/>
    </row>
    <row r="890" spans="2:43" x14ac:dyDescent="0.25">
      <c r="B890" t="s">
        <v>2586</v>
      </c>
      <c r="C890">
        <v>85077</v>
      </c>
      <c r="D890" t="s">
        <v>3167</v>
      </c>
      <c r="E890" t="s">
        <v>301</v>
      </c>
      <c r="F890" t="s">
        <v>305</v>
      </c>
      <c r="G890" t="s">
        <v>353</v>
      </c>
      <c r="H890" t="s">
        <v>30</v>
      </c>
      <c r="I890" t="s">
        <v>31</v>
      </c>
      <c r="J890" t="s">
        <v>43</v>
      </c>
      <c r="K890" t="s">
        <v>44</v>
      </c>
      <c r="L890" t="s">
        <v>380</v>
      </c>
      <c r="M890" t="s">
        <v>2588</v>
      </c>
      <c r="N890" t="s">
        <v>60</v>
      </c>
      <c r="P890" t="s">
        <v>75</v>
      </c>
      <c r="Q890" t="s">
        <v>2481</v>
      </c>
      <c r="R890" s="5">
        <v>42544.562094907407</v>
      </c>
      <c r="S890" s="5">
        <v>42578.13517361111</v>
      </c>
      <c r="T890" t="s">
        <v>317</v>
      </c>
      <c r="U890" t="s">
        <v>35</v>
      </c>
      <c r="V890" s="3" t="s">
        <v>35</v>
      </c>
      <c r="W890" s="3" t="s">
        <v>69</v>
      </c>
      <c r="AM890" s="5"/>
      <c r="AN890" s="5"/>
      <c r="AQ890" s="6"/>
    </row>
    <row r="891" spans="2:43" x14ac:dyDescent="0.25">
      <c r="B891" t="s">
        <v>2586</v>
      </c>
      <c r="C891">
        <v>85076</v>
      </c>
      <c r="D891" t="s">
        <v>3166</v>
      </c>
      <c r="E891" t="s">
        <v>383</v>
      </c>
      <c r="F891" t="s">
        <v>305</v>
      </c>
      <c r="G891" t="s">
        <v>353</v>
      </c>
      <c r="H891" t="s">
        <v>30</v>
      </c>
      <c r="I891" t="s">
        <v>31</v>
      </c>
      <c r="J891" t="s">
        <v>43</v>
      </c>
      <c r="K891" t="s">
        <v>44</v>
      </c>
      <c r="L891" t="s">
        <v>380</v>
      </c>
      <c r="M891" t="s">
        <v>2588</v>
      </c>
      <c r="N891" t="s">
        <v>60</v>
      </c>
      <c r="P891" t="s">
        <v>75</v>
      </c>
      <c r="Q891" t="s">
        <v>2481</v>
      </c>
      <c r="R891" s="5">
        <v>42544.561886574076</v>
      </c>
      <c r="S891" s="5">
        <v>43007.390509259261</v>
      </c>
      <c r="T891" t="s">
        <v>317</v>
      </c>
      <c r="U891" t="s">
        <v>35</v>
      </c>
      <c r="V891" s="3" t="s">
        <v>35</v>
      </c>
      <c r="W891" s="3" t="s">
        <v>133</v>
      </c>
      <c r="AM891" s="5"/>
      <c r="AN891" s="5"/>
      <c r="AQ891" s="6"/>
    </row>
    <row r="892" spans="2:43" x14ac:dyDescent="0.25">
      <c r="B892" t="s">
        <v>2413</v>
      </c>
      <c r="C892">
        <v>84966</v>
      </c>
      <c r="D892" t="s">
        <v>3164</v>
      </c>
      <c r="E892" t="s">
        <v>2417</v>
      </c>
      <c r="F892" t="s">
        <v>305</v>
      </c>
      <c r="G892" t="s">
        <v>304</v>
      </c>
      <c r="H892" t="s">
        <v>30</v>
      </c>
      <c r="I892" t="s">
        <v>68</v>
      </c>
      <c r="J892" t="s">
        <v>43</v>
      </c>
      <c r="K892" t="s">
        <v>33</v>
      </c>
      <c r="L892" t="s">
        <v>34</v>
      </c>
      <c r="M892" t="s">
        <v>3165</v>
      </c>
      <c r="N892" t="s">
        <v>46</v>
      </c>
      <c r="O892" t="s">
        <v>533</v>
      </c>
      <c r="P892" t="s">
        <v>369</v>
      </c>
      <c r="Q892" t="s">
        <v>2416</v>
      </c>
      <c r="R892" s="5">
        <v>42542.685706018521</v>
      </c>
      <c r="S892" s="5">
        <v>42885.63108796296</v>
      </c>
      <c r="T892" t="s">
        <v>53</v>
      </c>
      <c r="U892" t="s">
        <v>3982</v>
      </c>
      <c r="V892" s="3" t="s">
        <v>35</v>
      </c>
      <c r="W892" s="3" t="s">
        <v>4143</v>
      </c>
      <c r="AM892" s="5"/>
      <c r="AN892" s="5"/>
      <c r="AQ892" s="6"/>
    </row>
    <row r="893" spans="2:43" x14ac:dyDescent="0.25">
      <c r="B893" t="s">
        <v>3058</v>
      </c>
      <c r="C893">
        <v>84952</v>
      </c>
      <c r="D893" t="s">
        <v>3162</v>
      </c>
      <c r="E893" t="s">
        <v>405</v>
      </c>
      <c r="F893" t="s">
        <v>305</v>
      </c>
      <c r="G893" t="s">
        <v>328</v>
      </c>
      <c r="H893" t="s">
        <v>30</v>
      </c>
      <c r="I893" t="s">
        <v>31</v>
      </c>
      <c r="J893" t="s">
        <v>32</v>
      </c>
      <c r="K893" t="s">
        <v>44</v>
      </c>
      <c r="L893" t="s">
        <v>34</v>
      </c>
      <c r="M893" t="s">
        <v>258</v>
      </c>
      <c r="N893" t="s">
        <v>46</v>
      </c>
      <c r="O893" t="s">
        <v>3163</v>
      </c>
      <c r="P893" t="s">
        <v>118</v>
      </c>
      <c r="Q893" t="s">
        <v>133</v>
      </c>
      <c r="R893" s="5">
        <v>42542.622754629629</v>
      </c>
      <c r="S893" s="5">
        <v>42859.916145833333</v>
      </c>
      <c r="T893" t="s">
        <v>53</v>
      </c>
      <c r="U893" t="s">
        <v>35</v>
      </c>
      <c r="V893" s="3" t="s">
        <v>321</v>
      </c>
      <c r="W893" s="3" t="s">
        <v>4143</v>
      </c>
      <c r="AM893" s="5"/>
      <c r="AN893" s="5"/>
      <c r="AQ893" s="6"/>
    </row>
    <row r="894" spans="2:43" x14ac:dyDescent="0.25">
      <c r="B894" t="s">
        <v>3160</v>
      </c>
      <c r="C894">
        <v>84814</v>
      </c>
      <c r="D894" t="s">
        <v>3161</v>
      </c>
      <c r="E894" t="s">
        <v>82</v>
      </c>
      <c r="F894" t="s">
        <v>305</v>
      </c>
      <c r="G894" t="s">
        <v>353</v>
      </c>
      <c r="H894" t="s">
        <v>30</v>
      </c>
      <c r="I894" t="s">
        <v>31</v>
      </c>
      <c r="J894" t="s">
        <v>43</v>
      </c>
      <c r="K894" t="s">
        <v>44</v>
      </c>
      <c r="L894" t="s">
        <v>73</v>
      </c>
      <c r="M894" t="s">
        <v>263</v>
      </c>
      <c r="N894" t="s">
        <v>46</v>
      </c>
      <c r="P894" t="s">
        <v>75</v>
      </c>
      <c r="Q894" t="s">
        <v>75</v>
      </c>
      <c r="R894" s="5">
        <v>42538.825497685182</v>
      </c>
      <c r="S894" s="5">
        <v>42759.635185185187</v>
      </c>
      <c r="T894" t="s">
        <v>1</v>
      </c>
      <c r="U894" t="s">
        <v>35</v>
      </c>
      <c r="V894" s="3" t="s">
        <v>35</v>
      </c>
      <c r="W894" s="3" t="s">
        <v>4098</v>
      </c>
      <c r="AM894" s="5"/>
      <c r="AN894" s="5"/>
      <c r="AQ894" s="6"/>
    </row>
    <row r="895" spans="2:43" x14ac:dyDescent="0.25">
      <c r="B895" t="s">
        <v>202</v>
      </c>
      <c r="C895">
        <v>84801</v>
      </c>
      <c r="D895" t="s">
        <v>79</v>
      </c>
      <c r="E895" t="s">
        <v>80</v>
      </c>
      <c r="F895" t="s">
        <v>42</v>
      </c>
      <c r="H895" t="s">
        <v>30</v>
      </c>
      <c r="I895" t="s">
        <v>31</v>
      </c>
      <c r="J895" t="s">
        <v>32</v>
      </c>
      <c r="K895" t="s">
        <v>33</v>
      </c>
      <c r="L895" t="s">
        <v>45</v>
      </c>
      <c r="M895" t="s">
        <v>265</v>
      </c>
      <c r="N895" t="s">
        <v>60</v>
      </c>
      <c r="O895" t="s">
        <v>487</v>
      </c>
      <c r="P895" t="s">
        <v>47</v>
      </c>
      <c r="R895" s="5">
        <v>42538.589201388888</v>
      </c>
      <c r="S895" s="5">
        <v>43059.369780092595</v>
      </c>
      <c r="T895" t="s">
        <v>5</v>
      </c>
      <c r="U895" t="s">
        <v>35</v>
      </c>
      <c r="V895" s="3" t="s">
        <v>321</v>
      </c>
      <c r="W895" s="3" t="s">
        <v>4098</v>
      </c>
      <c r="AM895" s="5"/>
      <c r="AN895" s="5"/>
      <c r="AQ895" s="6"/>
    </row>
    <row r="896" spans="2:43" x14ac:dyDescent="0.25">
      <c r="B896" t="s">
        <v>198</v>
      </c>
      <c r="C896">
        <v>84711</v>
      </c>
      <c r="D896" t="s">
        <v>508</v>
      </c>
      <c r="E896" t="s">
        <v>509</v>
      </c>
      <c r="F896" t="s">
        <v>42</v>
      </c>
      <c r="H896" t="s">
        <v>116</v>
      </c>
      <c r="I896" t="s">
        <v>31</v>
      </c>
      <c r="J896" t="s">
        <v>32</v>
      </c>
      <c r="K896" t="s">
        <v>44</v>
      </c>
      <c r="L896" t="s">
        <v>52</v>
      </c>
      <c r="M896" t="s">
        <v>259</v>
      </c>
      <c r="N896" t="s">
        <v>510</v>
      </c>
      <c r="P896" t="s">
        <v>65</v>
      </c>
      <c r="R896" s="5">
        <v>42537.492789351854</v>
      </c>
      <c r="S896" s="5">
        <v>42874.563402777778</v>
      </c>
      <c r="T896" t="s">
        <v>341</v>
      </c>
      <c r="U896" t="s">
        <v>35</v>
      </c>
      <c r="V896" s="3" t="s">
        <v>321</v>
      </c>
      <c r="W896" s="3" t="s">
        <v>4157</v>
      </c>
      <c r="AM896" s="5"/>
      <c r="AN896" s="5"/>
      <c r="AQ896" s="6"/>
    </row>
    <row r="897" spans="2:43" x14ac:dyDescent="0.25">
      <c r="B897" t="s">
        <v>198</v>
      </c>
      <c r="C897">
        <v>84709</v>
      </c>
      <c r="D897" t="s">
        <v>3158</v>
      </c>
      <c r="E897" t="s">
        <v>509</v>
      </c>
      <c r="F897" t="s">
        <v>305</v>
      </c>
      <c r="G897" t="s">
        <v>304</v>
      </c>
      <c r="H897" t="s">
        <v>116</v>
      </c>
      <c r="I897" t="s">
        <v>31</v>
      </c>
      <c r="J897" t="s">
        <v>32</v>
      </c>
      <c r="K897" t="s">
        <v>44</v>
      </c>
      <c r="L897" t="s">
        <v>52</v>
      </c>
      <c r="M897" t="s">
        <v>262</v>
      </c>
      <c r="N897" t="s">
        <v>510</v>
      </c>
      <c r="P897" t="s">
        <v>65</v>
      </c>
      <c r="Q897" t="s">
        <v>3159</v>
      </c>
      <c r="R897" s="5">
        <v>42537.489953703705</v>
      </c>
      <c r="S897" s="5">
        <v>42930.189502314817</v>
      </c>
      <c r="T897" t="s">
        <v>341</v>
      </c>
      <c r="U897" t="s">
        <v>35</v>
      </c>
      <c r="V897" s="3" t="s">
        <v>321</v>
      </c>
      <c r="W897" s="3" t="s">
        <v>69</v>
      </c>
      <c r="AM897" s="5"/>
      <c r="AN897" s="5"/>
      <c r="AQ897" s="6"/>
    </row>
    <row r="898" spans="2:43" x14ac:dyDescent="0.25">
      <c r="B898" t="s">
        <v>198</v>
      </c>
      <c r="C898">
        <v>84707</v>
      </c>
      <c r="D898" t="s">
        <v>3157</v>
      </c>
      <c r="E898" t="s">
        <v>509</v>
      </c>
      <c r="F898" t="s">
        <v>305</v>
      </c>
      <c r="G898" t="s">
        <v>304</v>
      </c>
      <c r="H898" t="s">
        <v>30</v>
      </c>
      <c r="I898" t="s">
        <v>31</v>
      </c>
      <c r="J898" t="s">
        <v>32</v>
      </c>
      <c r="K898" t="s">
        <v>44</v>
      </c>
      <c r="L898" t="s">
        <v>52</v>
      </c>
      <c r="M898" t="s">
        <v>262</v>
      </c>
      <c r="N898" t="s">
        <v>60</v>
      </c>
      <c r="P898" t="s">
        <v>65</v>
      </c>
      <c r="Q898" t="s">
        <v>2416</v>
      </c>
      <c r="R898" s="5">
        <v>42537.488888888889</v>
      </c>
      <c r="S898" s="5">
        <v>42790.866793981484</v>
      </c>
      <c r="T898" t="s">
        <v>341</v>
      </c>
      <c r="U898" t="s">
        <v>3971</v>
      </c>
      <c r="V898" s="3" t="s">
        <v>321</v>
      </c>
      <c r="W898" s="3" t="s">
        <v>133</v>
      </c>
      <c r="AM898" s="5"/>
      <c r="AN898" s="5"/>
      <c r="AQ898" s="6"/>
    </row>
    <row r="899" spans="2:43" x14ac:dyDescent="0.25">
      <c r="B899" t="s">
        <v>198</v>
      </c>
      <c r="C899">
        <v>84706</v>
      </c>
      <c r="D899" t="s">
        <v>3156</v>
      </c>
      <c r="E899" t="s">
        <v>64</v>
      </c>
      <c r="F899" t="s">
        <v>305</v>
      </c>
      <c r="G899" t="s">
        <v>337</v>
      </c>
      <c r="H899" t="s">
        <v>30</v>
      </c>
      <c r="I899" t="s">
        <v>31</v>
      </c>
      <c r="J899" t="s">
        <v>32</v>
      </c>
      <c r="K899" t="s">
        <v>44</v>
      </c>
      <c r="L899" t="s">
        <v>52</v>
      </c>
      <c r="M899" t="s">
        <v>259</v>
      </c>
      <c r="N899" t="s">
        <v>60</v>
      </c>
      <c r="P899" t="s">
        <v>65</v>
      </c>
      <c r="Q899" t="s">
        <v>65</v>
      </c>
      <c r="R899" s="5">
        <v>42537.487743055557</v>
      </c>
      <c r="S899" s="5">
        <v>42654.703888888886</v>
      </c>
      <c r="T899" t="s">
        <v>341</v>
      </c>
      <c r="U899" t="s">
        <v>35</v>
      </c>
      <c r="V899" s="3" t="s">
        <v>321</v>
      </c>
      <c r="W899" s="3" t="s">
        <v>4156</v>
      </c>
      <c r="AM899" s="5"/>
      <c r="AN899" s="5"/>
      <c r="AQ899" s="6"/>
    </row>
    <row r="900" spans="2:43" x14ac:dyDescent="0.25">
      <c r="B900" t="s">
        <v>2727</v>
      </c>
      <c r="C900">
        <v>84704</v>
      </c>
      <c r="D900" t="s">
        <v>3155</v>
      </c>
      <c r="E900" t="s">
        <v>2826</v>
      </c>
      <c r="F900" t="s">
        <v>305</v>
      </c>
      <c r="G900" t="s">
        <v>310</v>
      </c>
      <c r="H900" t="s">
        <v>54</v>
      </c>
      <c r="I900" t="s">
        <v>31</v>
      </c>
      <c r="J900" t="s">
        <v>32</v>
      </c>
      <c r="K900" t="s">
        <v>51</v>
      </c>
      <c r="L900" t="s">
        <v>45</v>
      </c>
      <c r="M900" t="s">
        <v>260</v>
      </c>
      <c r="N900" t="s">
        <v>55</v>
      </c>
      <c r="P900" t="s">
        <v>56</v>
      </c>
      <c r="R900" s="5">
        <v>42537.473032407404</v>
      </c>
      <c r="S900" s="5">
        <v>42621.739525462966</v>
      </c>
      <c r="T900" t="s">
        <v>341</v>
      </c>
      <c r="U900" t="s">
        <v>35</v>
      </c>
      <c r="V900" s="3" t="s">
        <v>35</v>
      </c>
      <c r="W900" s="3" t="s">
        <v>4156</v>
      </c>
      <c r="AM900" s="5"/>
      <c r="AN900" s="5"/>
      <c r="AQ900" s="6"/>
    </row>
    <row r="901" spans="2:43" x14ac:dyDescent="0.25">
      <c r="B901" t="s">
        <v>3118</v>
      </c>
      <c r="C901">
        <v>84487</v>
      </c>
      <c r="D901" t="s">
        <v>3154</v>
      </c>
      <c r="E901" t="s">
        <v>72</v>
      </c>
      <c r="F901" t="s">
        <v>305</v>
      </c>
      <c r="G901" t="s">
        <v>353</v>
      </c>
      <c r="H901" t="s">
        <v>30</v>
      </c>
      <c r="I901" t="s">
        <v>31</v>
      </c>
      <c r="J901" t="s">
        <v>32</v>
      </c>
      <c r="K901" t="s">
        <v>33</v>
      </c>
      <c r="L901" t="s">
        <v>73</v>
      </c>
      <c r="M901" t="s">
        <v>263</v>
      </c>
      <c r="N901" t="s">
        <v>46</v>
      </c>
      <c r="P901" t="s">
        <v>3120</v>
      </c>
      <c r="Q901" t="s">
        <v>3120</v>
      </c>
      <c r="R901" s="5">
        <v>42534.659375000003</v>
      </c>
      <c r="S901" s="5">
        <v>42759.635000000002</v>
      </c>
      <c r="T901" t="s">
        <v>171</v>
      </c>
      <c r="U901" t="s">
        <v>35</v>
      </c>
      <c r="V901" s="3" t="s">
        <v>35</v>
      </c>
      <c r="W901" s="3" t="s">
        <v>3661</v>
      </c>
      <c r="AM901" s="5"/>
      <c r="AN901" s="5"/>
      <c r="AQ901" s="6"/>
    </row>
    <row r="902" spans="2:43" x14ac:dyDescent="0.25">
      <c r="B902" t="s">
        <v>2586</v>
      </c>
      <c r="C902">
        <v>84465</v>
      </c>
      <c r="D902" t="s">
        <v>3153</v>
      </c>
      <c r="E902" t="s">
        <v>383</v>
      </c>
      <c r="F902" t="s">
        <v>305</v>
      </c>
      <c r="G902" t="s">
        <v>353</v>
      </c>
      <c r="H902" t="s">
        <v>30</v>
      </c>
      <c r="I902" t="s">
        <v>31</v>
      </c>
      <c r="J902" t="s">
        <v>43</v>
      </c>
      <c r="K902" t="s">
        <v>44</v>
      </c>
      <c r="L902" t="s">
        <v>380</v>
      </c>
      <c r="M902" t="s">
        <v>2588</v>
      </c>
      <c r="N902" t="s">
        <v>60</v>
      </c>
      <c r="P902" t="s">
        <v>75</v>
      </c>
      <c r="Q902" t="s">
        <v>2481</v>
      </c>
      <c r="R902" s="5">
        <v>42534.353819444441</v>
      </c>
      <c r="S902" s="5">
        <v>43007.390509259261</v>
      </c>
      <c r="T902" t="s">
        <v>4</v>
      </c>
      <c r="U902" t="s">
        <v>35</v>
      </c>
      <c r="V902" s="3" t="s">
        <v>35</v>
      </c>
      <c r="W902" s="3" t="s">
        <v>4098</v>
      </c>
      <c r="AM902" s="5"/>
      <c r="AN902" s="5"/>
      <c r="AQ902" s="6"/>
    </row>
    <row r="903" spans="2:43" x14ac:dyDescent="0.25">
      <c r="B903" t="s">
        <v>3092</v>
      </c>
      <c r="C903">
        <v>84463</v>
      </c>
      <c r="D903" t="s">
        <v>3152</v>
      </c>
      <c r="E903" t="s">
        <v>72</v>
      </c>
      <c r="F903" t="s">
        <v>305</v>
      </c>
      <c r="G903" t="s">
        <v>337</v>
      </c>
      <c r="H903" t="s">
        <v>30</v>
      </c>
      <c r="I903" t="s">
        <v>68</v>
      </c>
      <c r="J903" t="s">
        <v>43</v>
      </c>
      <c r="K903" t="s">
        <v>33</v>
      </c>
      <c r="L903" t="s">
        <v>73</v>
      </c>
      <c r="M903" t="s">
        <v>263</v>
      </c>
      <c r="N903" t="s">
        <v>46</v>
      </c>
      <c r="P903" t="s">
        <v>491</v>
      </c>
      <c r="Q903" t="s">
        <v>491</v>
      </c>
      <c r="R903" s="5">
        <v>42534.33971064815</v>
      </c>
      <c r="S903" s="5">
        <v>42759.723321759258</v>
      </c>
      <c r="T903" t="s">
        <v>72</v>
      </c>
      <c r="U903" t="s">
        <v>35</v>
      </c>
      <c r="V903" s="3" t="s">
        <v>35</v>
      </c>
      <c r="W903" s="3" t="s">
        <v>69</v>
      </c>
      <c r="AM903" s="5"/>
      <c r="AN903" s="5"/>
      <c r="AQ903" s="6"/>
    </row>
    <row r="904" spans="2:43" x14ac:dyDescent="0.25">
      <c r="B904" t="s">
        <v>2586</v>
      </c>
      <c r="C904">
        <v>84189</v>
      </c>
      <c r="D904" t="s">
        <v>3151</v>
      </c>
      <c r="E904" t="s">
        <v>435</v>
      </c>
      <c r="F904" t="s">
        <v>305</v>
      </c>
      <c r="G904" t="s">
        <v>353</v>
      </c>
      <c r="H904" t="s">
        <v>30</v>
      </c>
      <c r="I904" t="s">
        <v>31</v>
      </c>
      <c r="J904" t="s">
        <v>43</v>
      </c>
      <c r="K904" t="s">
        <v>44</v>
      </c>
      <c r="L904" t="s">
        <v>380</v>
      </c>
      <c r="M904" t="s">
        <v>434</v>
      </c>
      <c r="N904" t="s">
        <v>60</v>
      </c>
      <c r="P904" t="s">
        <v>133</v>
      </c>
      <c r="Q904" t="s">
        <v>394</v>
      </c>
      <c r="R904" s="5">
        <v>42528.807696759257</v>
      </c>
      <c r="S904" s="5">
        <v>43007.390509259261</v>
      </c>
      <c r="T904" t="s">
        <v>2486</v>
      </c>
      <c r="U904" t="s">
        <v>35</v>
      </c>
      <c r="V904" s="3" t="s">
        <v>35</v>
      </c>
      <c r="W904" s="3" t="s">
        <v>4098</v>
      </c>
      <c r="AM904" s="5"/>
      <c r="AN904" s="5"/>
      <c r="AQ904" s="6"/>
    </row>
    <row r="905" spans="2:43" x14ac:dyDescent="0.25">
      <c r="B905" t="s">
        <v>2727</v>
      </c>
      <c r="C905">
        <v>84036</v>
      </c>
      <c r="D905" t="s">
        <v>3150</v>
      </c>
      <c r="E905" t="s">
        <v>3147</v>
      </c>
      <c r="F905" t="s">
        <v>305</v>
      </c>
      <c r="G905" t="s">
        <v>304</v>
      </c>
      <c r="H905" t="s">
        <v>30</v>
      </c>
      <c r="I905" t="s">
        <v>31</v>
      </c>
      <c r="J905" t="s">
        <v>32</v>
      </c>
      <c r="K905" t="s">
        <v>51</v>
      </c>
      <c r="L905" t="s">
        <v>45</v>
      </c>
      <c r="M905" t="s">
        <v>265</v>
      </c>
      <c r="N905" t="s">
        <v>46</v>
      </c>
      <c r="P905" t="s">
        <v>75</v>
      </c>
      <c r="Q905" t="s">
        <v>3148</v>
      </c>
      <c r="R905" s="5">
        <v>42524.459791666668</v>
      </c>
      <c r="S905" s="5">
        <v>43177.17019675926</v>
      </c>
      <c r="T905" t="s">
        <v>3147</v>
      </c>
      <c r="U905" t="s">
        <v>35</v>
      </c>
      <c r="V905" s="3" t="s">
        <v>35</v>
      </c>
      <c r="W905" s="3" t="s">
        <v>428</v>
      </c>
      <c r="AM905" s="5"/>
      <c r="AN905" s="5"/>
      <c r="AQ905" s="6"/>
    </row>
    <row r="906" spans="2:43" x14ac:dyDescent="0.25">
      <c r="B906" t="s">
        <v>2727</v>
      </c>
      <c r="C906">
        <v>84035</v>
      </c>
      <c r="D906" t="s">
        <v>3149</v>
      </c>
      <c r="E906" t="s">
        <v>2826</v>
      </c>
      <c r="F906" t="s">
        <v>305</v>
      </c>
      <c r="G906" t="s">
        <v>304</v>
      </c>
      <c r="H906" t="s">
        <v>30</v>
      </c>
      <c r="I906" t="s">
        <v>31</v>
      </c>
      <c r="J906" t="s">
        <v>32</v>
      </c>
      <c r="K906" t="s">
        <v>51</v>
      </c>
      <c r="L906" t="s">
        <v>45</v>
      </c>
      <c r="M906" t="s">
        <v>265</v>
      </c>
      <c r="N906" t="s">
        <v>46</v>
      </c>
      <c r="P906" t="s">
        <v>75</v>
      </c>
      <c r="Q906" t="s">
        <v>75</v>
      </c>
      <c r="R906" s="5">
        <v>42524.459074074075</v>
      </c>
      <c r="S906" s="5">
        <v>42727.400694444441</v>
      </c>
      <c r="T906" t="s">
        <v>3147</v>
      </c>
      <c r="U906" t="s">
        <v>3977</v>
      </c>
      <c r="V906" s="3" t="s">
        <v>35</v>
      </c>
      <c r="W906" s="3" t="s">
        <v>107</v>
      </c>
      <c r="AM906" s="5"/>
      <c r="AN906" s="5"/>
      <c r="AQ906" s="6"/>
    </row>
    <row r="907" spans="2:43" x14ac:dyDescent="0.25">
      <c r="B907" t="s">
        <v>2727</v>
      </c>
      <c r="C907">
        <v>84034</v>
      </c>
      <c r="D907" t="s">
        <v>3146</v>
      </c>
      <c r="E907" t="s">
        <v>3147</v>
      </c>
      <c r="F907" t="s">
        <v>305</v>
      </c>
      <c r="G907" t="s">
        <v>304</v>
      </c>
      <c r="H907" t="s">
        <v>30</v>
      </c>
      <c r="I907" t="s">
        <v>31</v>
      </c>
      <c r="J907" t="s">
        <v>32</v>
      </c>
      <c r="K907" t="s">
        <v>51</v>
      </c>
      <c r="L907" t="s">
        <v>45</v>
      </c>
      <c r="M907" t="s">
        <v>265</v>
      </c>
      <c r="N907" t="s">
        <v>46</v>
      </c>
      <c r="P907" t="s">
        <v>75</v>
      </c>
      <c r="Q907" t="s">
        <v>3148</v>
      </c>
      <c r="R907" s="5">
        <v>42524.457766203705</v>
      </c>
      <c r="S907" s="5">
        <v>42648.941550925927</v>
      </c>
      <c r="T907" t="s">
        <v>3147</v>
      </c>
      <c r="U907" t="s">
        <v>35</v>
      </c>
      <c r="V907" s="3" t="s">
        <v>35</v>
      </c>
      <c r="W907" s="3" t="s">
        <v>133</v>
      </c>
      <c r="AM907" s="5"/>
      <c r="AN907" s="5"/>
      <c r="AQ907" s="6"/>
    </row>
    <row r="908" spans="2:43" x14ac:dyDescent="0.25">
      <c r="B908" t="s">
        <v>3141</v>
      </c>
      <c r="C908">
        <v>83978</v>
      </c>
      <c r="D908" t="s">
        <v>3145</v>
      </c>
      <c r="E908" t="s">
        <v>105</v>
      </c>
      <c r="F908" t="s">
        <v>305</v>
      </c>
      <c r="G908" t="s">
        <v>304</v>
      </c>
      <c r="H908" t="s">
        <v>30</v>
      </c>
      <c r="I908" t="s">
        <v>31</v>
      </c>
      <c r="J908" t="s">
        <v>43</v>
      </c>
      <c r="K908" t="s">
        <v>51</v>
      </c>
      <c r="L908" t="s">
        <v>106</v>
      </c>
      <c r="M908" t="s">
        <v>270</v>
      </c>
      <c r="N908" t="s">
        <v>46</v>
      </c>
      <c r="P908" t="s">
        <v>77</v>
      </c>
      <c r="Q908" t="s">
        <v>2769</v>
      </c>
      <c r="R908" s="5">
        <v>42523.813344907408</v>
      </c>
      <c r="S908" s="5">
        <v>42718.670416666668</v>
      </c>
      <c r="T908" t="s">
        <v>288</v>
      </c>
      <c r="U908" t="s">
        <v>3977</v>
      </c>
      <c r="V908" s="3" t="s">
        <v>35</v>
      </c>
      <c r="W908" s="3" t="s">
        <v>107</v>
      </c>
      <c r="AM908" s="5"/>
      <c r="AN908" s="5"/>
      <c r="AQ908" s="6"/>
    </row>
    <row r="909" spans="2:43" x14ac:dyDescent="0.25">
      <c r="B909" t="s">
        <v>3141</v>
      </c>
      <c r="C909">
        <v>83977</v>
      </c>
      <c r="D909" t="s">
        <v>3143</v>
      </c>
      <c r="E909" t="s">
        <v>3144</v>
      </c>
      <c r="F909" t="s">
        <v>305</v>
      </c>
      <c r="G909" t="s">
        <v>304</v>
      </c>
      <c r="H909" t="s">
        <v>30</v>
      </c>
      <c r="I909" t="s">
        <v>31</v>
      </c>
      <c r="J909" t="s">
        <v>43</v>
      </c>
      <c r="K909" t="s">
        <v>51</v>
      </c>
      <c r="L909" t="s">
        <v>106</v>
      </c>
      <c r="M909" t="s">
        <v>270</v>
      </c>
      <c r="N909" t="s">
        <v>46</v>
      </c>
      <c r="P909" t="s">
        <v>77</v>
      </c>
      <c r="Q909" t="s">
        <v>394</v>
      </c>
      <c r="R909" s="5">
        <v>42523.812245370369</v>
      </c>
      <c r="S909" s="5">
        <v>42648.941504629627</v>
      </c>
      <c r="T909" t="s">
        <v>288</v>
      </c>
      <c r="U909" t="s">
        <v>35</v>
      </c>
      <c r="V909" s="3" t="s">
        <v>35</v>
      </c>
      <c r="W909" s="3" t="s">
        <v>133</v>
      </c>
      <c r="AM909" s="5"/>
      <c r="AN909" s="5"/>
      <c r="AQ909" s="6"/>
    </row>
    <row r="910" spans="2:43" x14ac:dyDescent="0.25">
      <c r="B910" t="s">
        <v>3141</v>
      </c>
      <c r="C910">
        <v>83976</v>
      </c>
      <c r="D910" t="s">
        <v>3142</v>
      </c>
      <c r="E910" t="s">
        <v>136</v>
      </c>
      <c r="F910" t="s">
        <v>305</v>
      </c>
      <c r="G910" t="s">
        <v>304</v>
      </c>
      <c r="H910" t="s">
        <v>30</v>
      </c>
      <c r="I910" t="s">
        <v>31</v>
      </c>
      <c r="J910" t="s">
        <v>43</v>
      </c>
      <c r="K910" t="s">
        <v>51</v>
      </c>
      <c r="L910" t="s">
        <v>106</v>
      </c>
      <c r="M910" t="s">
        <v>270</v>
      </c>
      <c r="N910" t="s">
        <v>46</v>
      </c>
      <c r="P910" t="s">
        <v>133</v>
      </c>
      <c r="Q910" t="s">
        <v>2769</v>
      </c>
      <c r="R910" s="5">
        <v>42523.812222222223</v>
      </c>
      <c r="S910" s="5">
        <v>42929.526296296295</v>
      </c>
      <c r="T910" t="s">
        <v>288</v>
      </c>
      <c r="U910" t="s">
        <v>35</v>
      </c>
      <c r="V910" s="3" t="s">
        <v>35</v>
      </c>
      <c r="W910" s="3" t="s">
        <v>69</v>
      </c>
      <c r="AM910" s="5"/>
      <c r="AN910" s="5"/>
      <c r="AQ910" s="6"/>
    </row>
    <row r="911" spans="2:43" x14ac:dyDescent="0.25">
      <c r="B911" t="s">
        <v>3141</v>
      </c>
      <c r="C911">
        <v>83864</v>
      </c>
      <c r="D911" t="s">
        <v>344</v>
      </c>
      <c r="E911" t="s">
        <v>136</v>
      </c>
      <c r="F911" t="s">
        <v>305</v>
      </c>
      <c r="G911" t="s">
        <v>304</v>
      </c>
      <c r="H911" t="s">
        <v>30</v>
      </c>
      <c r="I911" t="s">
        <v>31</v>
      </c>
      <c r="J911" t="s">
        <v>43</v>
      </c>
      <c r="K911" t="s">
        <v>51</v>
      </c>
      <c r="L911" t="s">
        <v>106</v>
      </c>
      <c r="M911" t="s">
        <v>270</v>
      </c>
      <c r="N911" t="s">
        <v>46</v>
      </c>
      <c r="P911" t="s">
        <v>133</v>
      </c>
      <c r="Q911" t="s">
        <v>65</v>
      </c>
      <c r="R911" s="5">
        <v>42522.680694444447</v>
      </c>
      <c r="S911" s="5">
        <v>43224.15284722222</v>
      </c>
      <c r="T911" t="s">
        <v>288</v>
      </c>
      <c r="U911" t="s">
        <v>35</v>
      </c>
      <c r="V911" s="3" t="s">
        <v>35</v>
      </c>
      <c r="W911" s="3" t="s">
        <v>4098</v>
      </c>
      <c r="AM911" s="5"/>
      <c r="AN911" s="5"/>
      <c r="AQ911" s="6"/>
    </row>
    <row r="912" spans="2:43" x14ac:dyDescent="0.25">
      <c r="B912" t="s">
        <v>3118</v>
      </c>
      <c r="C912">
        <v>83853</v>
      </c>
      <c r="D912" t="s">
        <v>3140</v>
      </c>
      <c r="E912" t="s">
        <v>490</v>
      </c>
      <c r="F912" t="s">
        <v>305</v>
      </c>
      <c r="G912" t="s">
        <v>304</v>
      </c>
      <c r="H912" t="s">
        <v>30</v>
      </c>
      <c r="I912" t="s">
        <v>31</v>
      </c>
      <c r="J912" t="s">
        <v>32</v>
      </c>
      <c r="K912" t="s">
        <v>33</v>
      </c>
      <c r="L912" t="s">
        <v>73</v>
      </c>
      <c r="M912" t="s">
        <v>263</v>
      </c>
      <c r="N912" t="s">
        <v>46</v>
      </c>
      <c r="P912" t="s">
        <v>3120</v>
      </c>
      <c r="R912" s="5">
        <v>42522.590798611112</v>
      </c>
      <c r="S912" s="5">
        <v>42755.985173611109</v>
      </c>
      <c r="T912" t="s">
        <v>490</v>
      </c>
      <c r="U912" t="s">
        <v>35</v>
      </c>
      <c r="V912" s="3" t="s">
        <v>35</v>
      </c>
      <c r="W912" s="3" t="s">
        <v>4133</v>
      </c>
      <c r="AM912" s="5"/>
      <c r="AN912" s="5"/>
      <c r="AQ912" s="6"/>
    </row>
    <row r="913" spans="2:43" x14ac:dyDescent="0.25">
      <c r="B913" t="s">
        <v>2727</v>
      </c>
      <c r="C913">
        <v>83715</v>
      </c>
      <c r="D913" t="s">
        <v>345</v>
      </c>
      <c r="E913" t="s">
        <v>346</v>
      </c>
      <c r="F913" t="s">
        <v>305</v>
      </c>
      <c r="G913" t="s">
        <v>304</v>
      </c>
      <c r="H913" t="s">
        <v>30</v>
      </c>
      <c r="I913" t="s">
        <v>31</v>
      </c>
      <c r="J913" t="s">
        <v>32</v>
      </c>
      <c r="K913" t="s">
        <v>51</v>
      </c>
      <c r="L913" t="s">
        <v>45</v>
      </c>
      <c r="M913" t="s">
        <v>265</v>
      </c>
      <c r="N913" t="s">
        <v>46</v>
      </c>
      <c r="P913" t="s">
        <v>75</v>
      </c>
      <c r="Q913" t="s">
        <v>3139</v>
      </c>
      <c r="R913" s="5">
        <v>42519.572199074071</v>
      </c>
      <c r="S913" s="5">
        <v>43195.152592592596</v>
      </c>
      <c r="T913" t="s">
        <v>5</v>
      </c>
      <c r="U913" t="s">
        <v>35</v>
      </c>
      <c r="V913" s="3" t="s">
        <v>35</v>
      </c>
      <c r="W913" s="3" t="s">
        <v>4098</v>
      </c>
      <c r="AM913" s="5"/>
      <c r="AN913" s="5"/>
      <c r="AQ913" s="6"/>
    </row>
    <row r="914" spans="2:43" x14ac:dyDescent="0.25">
      <c r="B914" t="s">
        <v>3117</v>
      </c>
      <c r="C914">
        <v>83691</v>
      </c>
      <c r="D914" t="s">
        <v>3137</v>
      </c>
      <c r="E914" t="s">
        <v>291</v>
      </c>
      <c r="F914" t="s">
        <v>305</v>
      </c>
      <c r="G914" t="s">
        <v>353</v>
      </c>
      <c r="H914" t="s">
        <v>30</v>
      </c>
      <c r="I914" t="s">
        <v>31</v>
      </c>
      <c r="J914" t="s">
        <v>43</v>
      </c>
      <c r="K914" t="s">
        <v>44</v>
      </c>
      <c r="L914" t="s">
        <v>73</v>
      </c>
      <c r="M914" t="s">
        <v>263</v>
      </c>
      <c r="N914" t="s">
        <v>46</v>
      </c>
      <c r="P914" t="s">
        <v>75</v>
      </c>
      <c r="Q914" t="s">
        <v>3138</v>
      </c>
      <c r="R914" s="5">
        <v>42517.585393518515</v>
      </c>
      <c r="S914" s="5">
        <v>42759.635115740741</v>
      </c>
      <c r="T914" t="s">
        <v>3125</v>
      </c>
      <c r="U914" t="s">
        <v>35</v>
      </c>
      <c r="V914" s="3" t="s">
        <v>35</v>
      </c>
      <c r="W914" s="3" t="s">
        <v>4156</v>
      </c>
      <c r="AM914" s="5"/>
      <c r="AN914" s="5"/>
      <c r="AQ914" s="6"/>
    </row>
    <row r="915" spans="2:43" x14ac:dyDescent="0.25">
      <c r="B915" t="s">
        <v>3117</v>
      </c>
      <c r="C915">
        <v>83654</v>
      </c>
      <c r="D915" t="s">
        <v>3136</v>
      </c>
      <c r="E915" t="s">
        <v>291</v>
      </c>
      <c r="F915" t="s">
        <v>305</v>
      </c>
      <c r="G915" t="s">
        <v>353</v>
      </c>
      <c r="H915" t="s">
        <v>30</v>
      </c>
      <c r="I915" t="s">
        <v>31</v>
      </c>
      <c r="J915" t="s">
        <v>43</v>
      </c>
      <c r="K915" t="s">
        <v>44</v>
      </c>
      <c r="L915" t="s">
        <v>73</v>
      </c>
      <c r="M915" t="s">
        <v>263</v>
      </c>
      <c r="N915" t="s">
        <v>46</v>
      </c>
      <c r="P915" t="s">
        <v>75</v>
      </c>
      <c r="Q915" t="s">
        <v>75</v>
      </c>
      <c r="R915" s="5">
        <v>42517.276805555557</v>
      </c>
      <c r="S915" s="5">
        <v>42759.635474537034</v>
      </c>
      <c r="T915" t="s">
        <v>317</v>
      </c>
      <c r="U915" t="s">
        <v>35</v>
      </c>
      <c r="V915" s="3" t="s">
        <v>35</v>
      </c>
      <c r="W915" s="3" t="s">
        <v>69</v>
      </c>
      <c r="AM915" s="5"/>
      <c r="AN915" s="5"/>
      <c r="AQ915" s="6"/>
    </row>
    <row r="916" spans="2:43" x14ac:dyDescent="0.25">
      <c r="B916" t="s">
        <v>3117</v>
      </c>
      <c r="C916">
        <v>83653</v>
      </c>
      <c r="D916" t="s">
        <v>3135</v>
      </c>
      <c r="E916" t="s">
        <v>291</v>
      </c>
      <c r="F916" t="s">
        <v>305</v>
      </c>
      <c r="G916" t="s">
        <v>353</v>
      </c>
      <c r="H916" t="s">
        <v>30</v>
      </c>
      <c r="I916" t="s">
        <v>31</v>
      </c>
      <c r="J916" t="s">
        <v>43</v>
      </c>
      <c r="K916" t="s">
        <v>44</v>
      </c>
      <c r="L916" t="s">
        <v>73</v>
      </c>
      <c r="M916" t="s">
        <v>263</v>
      </c>
      <c r="N916" t="s">
        <v>60</v>
      </c>
      <c r="P916" t="s">
        <v>75</v>
      </c>
      <c r="Q916" t="s">
        <v>75</v>
      </c>
      <c r="R916" s="5">
        <v>42517.276747685188</v>
      </c>
      <c r="S916" s="5">
        <v>42759.635324074072</v>
      </c>
      <c r="T916" t="s">
        <v>317</v>
      </c>
      <c r="U916" t="s">
        <v>3979</v>
      </c>
      <c r="V916" s="3" t="s">
        <v>35</v>
      </c>
      <c r="W916" s="3" t="s">
        <v>133</v>
      </c>
      <c r="AM916" s="5"/>
      <c r="AN916" s="5"/>
      <c r="AQ916" s="6"/>
    </row>
    <row r="917" spans="2:43" x14ac:dyDescent="0.25">
      <c r="B917" t="s">
        <v>3117</v>
      </c>
      <c r="C917">
        <v>83643</v>
      </c>
      <c r="D917" t="s">
        <v>3134</v>
      </c>
      <c r="E917" t="s">
        <v>291</v>
      </c>
      <c r="F917" t="s">
        <v>305</v>
      </c>
      <c r="G917" t="s">
        <v>353</v>
      </c>
      <c r="H917" t="s">
        <v>30</v>
      </c>
      <c r="I917" t="s">
        <v>31</v>
      </c>
      <c r="J917" t="s">
        <v>43</v>
      </c>
      <c r="K917" t="s">
        <v>44</v>
      </c>
      <c r="L917" t="s">
        <v>73</v>
      </c>
      <c r="M917" t="s">
        <v>263</v>
      </c>
      <c r="N917" t="s">
        <v>46</v>
      </c>
      <c r="P917" t="s">
        <v>75</v>
      </c>
      <c r="Q917" t="s">
        <v>75</v>
      </c>
      <c r="R917" s="5">
        <v>42517.005902777775</v>
      </c>
      <c r="S917" s="5">
        <v>42759.635462962964</v>
      </c>
      <c r="T917" t="s">
        <v>162</v>
      </c>
      <c r="U917" t="s">
        <v>35</v>
      </c>
      <c r="V917" s="3" t="s">
        <v>35</v>
      </c>
      <c r="W917" s="3" t="s">
        <v>4098</v>
      </c>
      <c r="AM917" s="5"/>
      <c r="AN917" s="5"/>
      <c r="AQ917" s="6"/>
    </row>
    <row r="918" spans="2:43" x14ac:dyDescent="0.25">
      <c r="B918" t="s">
        <v>201</v>
      </c>
      <c r="C918">
        <v>83415</v>
      </c>
      <c r="D918" t="s">
        <v>3132</v>
      </c>
      <c r="E918" t="s">
        <v>4</v>
      </c>
      <c r="F918" t="s">
        <v>305</v>
      </c>
      <c r="G918" t="s">
        <v>328</v>
      </c>
      <c r="H918" t="s">
        <v>30</v>
      </c>
      <c r="I918" t="s">
        <v>31</v>
      </c>
      <c r="J918" t="s">
        <v>43</v>
      </c>
      <c r="K918" t="s">
        <v>44</v>
      </c>
      <c r="L918" t="s">
        <v>106</v>
      </c>
      <c r="M918" t="s">
        <v>3133</v>
      </c>
      <c r="N918" t="s">
        <v>46</v>
      </c>
      <c r="P918" t="s">
        <v>77</v>
      </c>
      <c r="Q918" t="s">
        <v>65</v>
      </c>
      <c r="R918" s="5">
        <v>42513.749097222222</v>
      </c>
      <c r="S918" s="5">
        <v>42695.907129629632</v>
      </c>
      <c r="T918" t="s">
        <v>3125</v>
      </c>
      <c r="U918" t="s">
        <v>35</v>
      </c>
      <c r="V918" s="3" t="s">
        <v>35</v>
      </c>
      <c r="W918" s="3" t="s">
        <v>4156</v>
      </c>
      <c r="AM918" s="5"/>
      <c r="AN918" s="5"/>
      <c r="AQ918" s="6"/>
    </row>
    <row r="919" spans="2:43" x14ac:dyDescent="0.25">
      <c r="B919" t="s">
        <v>201</v>
      </c>
      <c r="C919">
        <v>83337</v>
      </c>
      <c r="D919" t="s">
        <v>3131</v>
      </c>
      <c r="E919" t="s">
        <v>78</v>
      </c>
      <c r="F919" t="s">
        <v>305</v>
      </c>
      <c r="G919" t="s">
        <v>328</v>
      </c>
      <c r="H919" t="s">
        <v>30</v>
      </c>
      <c r="I919" t="s">
        <v>31</v>
      </c>
      <c r="J919" t="s">
        <v>43</v>
      </c>
      <c r="K919" t="s">
        <v>44</v>
      </c>
      <c r="L919" t="s">
        <v>106</v>
      </c>
      <c r="M919" t="s">
        <v>495</v>
      </c>
      <c r="N919" t="s">
        <v>60</v>
      </c>
      <c r="P919" t="s">
        <v>77</v>
      </c>
      <c r="Q919" t="s">
        <v>65</v>
      </c>
      <c r="R919" s="5">
        <v>42511.276979166665</v>
      </c>
      <c r="S919" s="5">
        <v>42695.964062500003</v>
      </c>
      <c r="T919" t="s">
        <v>317</v>
      </c>
      <c r="U919" t="s">
        <v>35</v>
      </c>
      <c r="V919" s="3" t="s">
        <v>35</v>
      </c>
      <c r="W919" s="3" t="s">
        <v>133</v>
      </c>
      <c r="AM919" s="5"/>
      <c r="AN919" s="5"/>
      <c r="AQ919" s="6"/>
    </row>
    <row r="920" spans="2:43" x14ac:dyDescent="0.25">
      <c r="B920" t="s">
        <v>201</v>
      </c>
      <c r="C920">
        <v>83333</v>
      </c>
      <c r="D920" t="s">
        <v>76</v>
      </c>
      <c r="E920" t="s">
        <v>64</v>
      </c>
      <c r="F920" t="s">
        <v>29</v>
      </c>
      <c r="H920" t="s">
        <v>30</v>
      </c>
      <c r="I920" t="s">
        <v>31</v>
      </c>
      <c r="J920" t="s">
        <v>43</v>
      </c>
      <c r="K920" t="s">
        <v>44</v>
      </c>
      <c r="L920" t="s">
        <v>45</v>
      </c>
      <c r="M920" t="s">
        <v>106</v>
      </c>
      <c r="N920" t="s">
        <v>46</v>
      </c>
      <c r="O920" t="s">
        <v>487</v>
      </c>
      <c r="P920" t="s">
        <v>77</v>
      </c>
      <c r="Q920" t="s">
        <v>65</v>
      </c>
      <c r="R920" s="5">
        <v>42510.946527777778</v>
      </c>
      <c r="S920" s="5">
        <v>43109.15587962963</v>
      </c>
      <c r="T920" t="s">
        <v>78</v>
      </c>
      <c r="U920" t="s">
        <v>35</v>
      </c>
      <c r="V920" s="3" t="s">
        <v>35</v>
      </c>
      <c r="W920" s="3" t="s">
        <v>4098</v>
      </c>
      <c r="AM920" s="5"/>
      <c r="AN920" s="5"/>
      <c r="AQ920" s="6"/>
    </row>
    <row r="921" spans="2:43" x14ac:dyDescent="0.25">
      <c r="B921" t="s">
        <v>2955</v>
      </c>
      <c r="C921">
        <v>83161</v>
      </c>
      <c r="D921" t="s">
        <v>3129</v>
      </c>
      <c r="E921" t="s">
        <v>53</v>
      </c>
      <c r="F921" t="s">
        <v>305</v>
      </c>
      <c r="G921" t="s">
        <v>304</v>
      </c>
      <c r="H921" t="s">
        <v>30</v>
      </c>
      <c r="I921" t="s">
        <v>31</v>
      </c>
      <c r="J921" t="s">
        <v>32</v>
      </c>
      <c r="K921" t="s">
        <v>44</v>
      </c>
      <c r="L921" t="s">
        <v>73</v>
      </c>
      <c r="M921" t="s">
        <v>264</v>
      </c>
      <c r="N921" t="s">
        <v>46</v>
      </c>
      <c r="O921" t="s">
        <v>358</v>
      </c>
      <c r="P921" t="s">
        <v>133</v>
      </c>
      <c r="Q921" t="s">
        <v>3130</v>
      </c>
      <c r="R921" s="5">
        <v>42508.699062500003</v>
      </c>
      <c r="S921" s="5">
        <v>42709.765914351854</v>
      </c>
      <c r="T921" t="s">
        <v>3125</v>
      </c>
      <c r="U921" t="s">
        <v>3981</v>
      </c>
      <c r="V921" s="3" t="s">
        <v>321</v>
      </c>
      <c r="W921" s="3" t="s">
        <v>77</v>
      </c>
      <c r="AM921" s="5"/>
      <c r="AN921" s="5"/>
      <c r="AQ921" s="6"/>
    </row>
    <row r="922" spans="2:43" x14ac:dyDescent="0.25">
      <c r="B922" t="s">
        <v>200</v>
      </c>
      <c r="C922">
        <v>83079</v>
      </c>
      <c r="D922" t="s">
        <v>3128</v>
      </c>
      <c r="E922" t="s">
        <v>72</v>
      </c>
      <c r="F922" t="s">
        <v>305</v>
      </c>
      <c r="G922" t="s">
        <v>337</v>
      </c>
      <c r="H922" t="s">
        <v>30</v>
      </c>
      <c r="I922" t="s">
        <v>68</v>
      </c>
      <c r="J922" t="s">
        <v>43</v>
      </c>
      <c r="K922" t="s">
        <v>33</v>
      </c>
      <c r="L922" t="s">
        <v>73</v>
      </c>
      <c r="M922" t="s">
        <v>264</v>
      </c>
      <c r="N922" t="s">
        <v>46</v>
      </c>
      <c r="P922" t="s">
        <v>75</v>
      </c>
      <c r="Q922" t="s">
        <v>2769</v>
      </c>
      <c r="R922" s="5">
        <v>42507.830578703702</v>
      </c>
      <c r="S922" s="5">
        <v>42535.66715277778</v>
      </c>
      <c r="T922" t="s">
        <v>3125</v>
      </c>
      <c r="U922" t="s">
        <v>35</v>
      </c>
      <c r="V922" s="3" t="s">
        <v>35</v>
      </c>
      <c r="W922" s="3" t="s">
        <v>4156</v>
      </c>
      <c r="AM922" s="5"/>
      <c r="AN922" s="5"/>
      <c r="AQ922" s="6"/>
    </row>
    <row r="923" spans="2:43" x14ac:dyDescent="0.25">
      <c r="B923" t="s">
        <v>2711</v>
      </c>
      <c r="C923">
        <v>83078</v>
      </c>
      <c r="D923" t="s">
        <v>3127</v>
      </c>
      <c r="E923" t="s">
        <v>335</v>
      </c>
      <c r="F923" t="s">
        <v>305</v>
      </c>
      <c r="G923" t="s">
        <v>337</v>
      </c>
      <c r="H923" t="s">
        <v>30</v>
      </c>
      <c r="I923" t="s">
        <v>68</v>
      </c>
      <c r="J923" t="s">
        <v>43</v>
      </c>
      <c r="K923" t="s">
        <v>33</v>
      </c>
      <c r="L923" t="s">
        <v>73</v>
      </c>
      <c r="M923" t="s">
        <v>277</v>
      </c>
      <c r="N923" t="s">
        <v>46</v>
      </c>
      <c r="P923" t="s">
        <v>65</v>
      </c>
      <c r="Q923" t="s">
        <v>2769</v>
      </c>
      <c r="R923" s="5">
        <v>42507.827604166669</v>
      </c>
      <c r="S923" s="5">
        <v>42536.673148148147</v>
      </c>
      <c r="T923" t="s">
        <v>3125</v>
      </c>
      <c r="U923" t="s">
        <v>35</v>
      </c>
      <c r="V923" s="3" t="s">
        <v>35</v>
      </c>
      <c r="W923" s="3" t="s">
        <v>4156</v>
      </c>
      <c r="AM923" s="5"/>
      <c r="AN923" s="5"/>
      <c r="AQ923" s="6"/>
    </row>
    <row r="924" spans="2:43" x14ac:dyDescent="0.25">
      <c r="B924" t="s">
        <v>3106</v>
      </c>
      <c r="C924">
        <v>83076</v>
      </c>
      <c r="D924" t="s">
        <v>3126</v>
      </c>
      <c r="E924" t="s">
        <v>72</v>
      </c>
      <c r="F924" t="s">
        <v>305</v>
      </c>
      <c r="G924" t="s">
        <v>337</v>
      </c>
      <c r="H924" t="s">
        <v>30</v>
      </c>
      <c r="I924" t="s">
        <v>31</v>
      </c>
      <c r="J924" t="s">
        <v>32</v>
      </c>
      <c r="K924" t="s">
        <v>44</v>
      </c>
      <c r="L924" t="s">
        <v>73</v>
      </c>
      <c r="M924" t="s">
        <v>263</v>
      </c>
      <c r="N924" t="s">
        <v>46</v>
      </c>
      <c r="P924" t="s">
        <v>75</v>
      </c>
      <c r="Q924" t="s">
        <v>2769</v>
      </c>
      <c r="R924" s="5">
        <v>42507.822858796295</v>
      </c>
      <c r="S924" s="5">
        <v>42535.663946759261</v>
      </c>
      <c r="T924" t="s">
        <v>3125</v>
      </c>
      <c r="U924" t="s">
        <v>35</v>
      </c>
      <c r="V924" s="3" t="s">
        <v>35</v>
      </c>
      <c r="W924" s="3" t="s">
        <v>4156</v>
      </c>
      <c r="AM924" s="5"/>
      <c r="AN924" s="5"/>
      <c r="AQ924" s="6"/>
    </row>
    <row r="925" spans="2:43" x14ac:dyDescent="0.25">
      <c r="B925" t="s">
        <v>3097</v>
      </c>
      <c r="C925">
        <v>83074</v>
      </c>
      <c r="D925" t="s">
        <v>3124</v>
      </c>
      <c r="E925" t="s">
        <v>72</v>
      </c>
      <c r="F925" t="s">
        <v>305</v>
      </c>
      <c r="G925" t="s">
        <v>337</v>
      </c>
      <c r="H925" t="s">
        <v>30</v>
      </c>
      <c r="I925" t="s">
        <v>31</v>
      </c>
      <c r="J925" t="s">
        <v>43</v>
      </c>
      <c r="K925" t="s">
        <v>44</v>
      </c>
      <c r="L925" t="s">
        <v>73</v>
      </c>
      <c r="M925" t="s">
        <v>263</v>
      </c>
      <c r="N925" t="s">
        <v>46</v>
      </c>
      <c r="P925" t="s">
        <v>75</v>
      </c>
      <c r="Q925" t="s">
        <v>2769</v>
      </c>
      <c r="R925" s="5">
        <v>42507.821701388886</v>
      </c>
      <c r="S925" s="5">
        <v>42536.608958333331</v>
      </c>
      <c r="T925" t="s">
        <v>3125</v>
      </c>
      <c r="U925" t="s">
        <v>35</v>
      </c>
      <c r="V925" s="3" t="s">
        <v>35</v>
      </c>
      <c r="W925" s="3" t="s">
        <v>4156</v>
      </c>
      <c r="AM925" s="5"/>
      <c r="AN925" s="5"/>
      <c r="AQ925" s="6"/>
    </row>
    <row r="926" spans="2:43" x14ac:dyDescent="0.25">
      <c r="B926" t="s">
        <v>3117</v>
      </c>
      <c r="C926">
        <v>82593</v>
      </c>
      <c r="D926" t="s">
        <v>3123</v>
      </c>
      <c r="E926" t="s">
        <v>139</v>
      </c>
      <c r="F926" t="s">
        <v>305</v>
      </c>
      <c r="G926" t="s">
        <v>304</v>
      </c>
      <c r="H926" t="s">
        <v>30</v>
      </c>
      <c r="I926" t="s">
        <v>31</v>
      </c>
      <c r="J926" t="s">
        <v>32</v>
      </c>
      <c r="K926" t="s">
        <v>44</v>
      </c>
      <c r="L926" t="s">
        <v>73</v>
      </c>
      <c r="M926" t="s">
        <v>263</v>
      </c>
      <c r="N926" t="s">
        <v>46</v>
      </c>
      <c r="P926" t="s">
        <v>77</v>
      </c>
      <c r="R926" s="5">
        <v>42500.589039351849</v>
      </c>
      <c r="S926" s="5">
        <v>42580.774375000001</v>
      </c>
      <c r="T926" t="s">
        <v>317</v>
      </c>
      <c r="U926" t="s">
        <v>3980</v>
      </c>
      <c r="V926" s="3" t="s">
        <v>35</v>
      </c>
      <c r="W926" s="3" t="s">
        <v>77</v>
      </c>
      <c r="AM926" s="5"/>
      <c r="AN926" s="5"/>
      <c r="AQ926" s="6"/>
    </row>
    <row r="927" spans="2:43" x14ac:dyDescent="0.25">
      <c r="B927" t="s">
        <v>3117</v>
      </c>
      <c r="C927">
        <v>82551</v>
      </c>
      <c r="D927" t="s">
        <v>3122</v>
      </c>
      <c r="E927" t="s">
        <v>139</v>
      </c>
      <c r="F927" t="s">
        <v>305</v>
      </c>
      <c r="G927" t="s">
        <v>304</v>
      </c>
      <c r="H927" t="s">
        <v>30</v>
      </c>
      <c r="I927" t="s">
        <v>31</v>
      </c>
      <c r="J927" t="s">
        <v>32</v>
      </c>
      <c r="K927" t="s">
        <v>44</v>
      </c>
      <c r="L927" t="s">
        <v>73</v>
      </c>
      <c r="M927" t="s">
        <v>263</v>
      </c>
      <c r="N927" t="s">
        <v>46</v>
      </c>
      <c r="P927" t="s">
        <v>77</v>
      </c>
      <c r="Q927" t="s">
        <v>2944</v>
      </c>
      <c r="R927" s="5">
        <v>42499.778321759259</v>
      </c>
      <c r="S927" s="5">
        <v>42948.909907407404</v>
      </c>
      <c r="T927" t="s">
        <v>317</v>
      </c>
      <c r="U927" t="s">
        <v>3974</v>
      </c>
      <c r="V927" s="3" t="s">
        <v>35</v>
      </c>
      <c r="W927" s="3" t="s">
        <v>69</v>
      </c>
      <c r="AM927" s="5"/>
      <c r="AN927" s="5"/>
      <c r="AQ927" s="6"/>
    </row>
    <row r="928" spans="2:43" x14ac:dyDescent="0.25">
      <c r="B928" t="s">
        <v>3117</v>
      </c>
      <c r="C928">
        <v>82550</v>
      </c>
      <c r="D928" t="s">
        <v>3121</v>
      </c>
      <c r="E928" t="s">
        <v>139</v>
      </c>
      <c r="F928" t="s">
        <v>305</v>
      </c>
      <c r="G928" t="s">
        <v>304</v>
      </c>
      <c r="H928" t="s">
        <v>30</v>
      </c>
      <c r="I928" t="s">
        <v>31</v>
      </c>
      <c r="J928" t="s">
        <v>32</v>
      </c>
      <c r="K928" t="s">
        <v>44</v>
      </c>
      <c r="L928" t="s">
        <v>73</v>
      </c>
      <c r="M928" t="s">
        <v>263</v>
      </c>
      <c r="N928" t="s">
        <v>331</v>
      </c>
      <c r="O928" t="s">
        <v>358</v>
      </c>
      <c r="P928" t="s">
        <v>77</v>
      </c>
      <c r="Q928" t="s">
        <v>2944</v>
      </c>
      <c r="R928" s="5">
        <v>42499.778240740743</v>
      </c>
      <c r="S928" s="5">
        <v>42648.765497685185</v>
      </c>
      <c r="T928" t="s">
        <v>317</v>
      </c>
      <c r="U928" t="s">
        <v>3979</v>
      </c>
      <c r="V928" s="3" t="s">
        <v>35</v>
      </c>
      <c r="W928" s="3" t="s">
        <v>133</v>
      </c>
      <c r="AM928" s="5"/>
      <c r="AN928" s="5"/>
      <c r="AQ928" s="6"/>
    </row>
    <row r="929" spans="2:43" x14ac:dyDescent="0.25">
      <c r="B929" t="s">
        <v>3118</v>
      </c>
      <c r="C929">
        <v>82531</v>
      </c>
      <c r="D929" t="s">
        <v>3119</v>
      </c>
      <c r="E929" t="s">
        <v>490</v>
      </c>
      <c r="F929" t="s">
        <v>305</v>
      </c>
      <c r="G929" t="s">
        <v>304</v>
      </c>
      <c r="H929" t="s">
        <v>30</v>
      </c>
      <c r="I929" t="s">
        <v>31</v>
      </c>
      <c r="J929" t="s">
        <v>32</v>
      </c>
      <c r="K929" t="s">
        <v>33</v>
      </c>
      <c r="L929" t="s">
        <v>73</v>
      </c>
      <c r="M929" t="s">
        <v>263</v>
      </c>
      <c r="N929" t="s">
        <v>46</v>
      </c>
      <c r="P929" t="s">
        <v>3120</v>
      </c>
      <c r="Q929" t="s">
        <v>3120</v>
      </c>
      <c r="R929" s="5">
        <v>42499.672210648147</v>
      </c>
      <c r="S929" s="5">
        <v>42871.700057870374</v>
      </c>
      <c r="T929" t="s">
        <v>86</v>
      </c>
      <c r="U929" t="s">
        <v>35</v>
      </c>
      <c r="V929" s="3" t="s">
        <v>35</v>
      </c>
      <c r="W929" s="3" t="s">
        <v>4098</v>
      </c>
      <c r="AM929" s="5"/>
      <c r="AN929" s="5"/>
      <c r="AQ929" s="6"/>
    </row>
    <row r="930" spans="2:43" x14ac:dyDescent="0.25">
      <c r="B930" t="s">
        <v>3117</v>
      </c>
      <c r="C930">
        <v>82495</v>
      </c>
      <c r="D930" t="s">
        <v>348</v>
      </c>
      <c r="E930" t="s">
        <v>139</v>
      </c>
      <c r="F930" t="s">
        <v>305</v>
      </c>
      <c r="G930" t="s">
        <v>304</v>
      </c>
      <c r="H930" t="s">
        <v>30</v>
      </c>
      <c r="I930" t="s">
        <v>31</v>
      </c>
      <c r="J930" t="s">
        <v>32</v>
      </c>
      <c r="K930" t="s">
        <v>44</v>
      </c>
      <c r="L930" t="s">
        <v>73</v>
      </c>
      <c r="M930" t="s">
        <v>263</v>
      </c>
      <c r="N930" t="s">
        <v>46</v>
      </c>
      <c r="P930" t="s">
        <v>77</v>
      </c>
      <c r="Q930" t="s">
        <v>2944</v>
      </c>
      <c r="R930" s="5">
        <v>42499.372337962966</v>
      </c>
      <c r="S930" s="5">
        <v>42871.700532407405</v>
      </c>
      <c r="T930" t="s">
        <v>347</v>
      </c>
      <c r="U930" t="s">
        <v>35</v>
      </c>
      <c r="V930" s="3" t="s">
        <v>35</v>
      </c>
      <c r="W930" s="3" t="s">
        <v>4098</v>
      </c>
      <c r="AM930" s="5"/>
      <c r="AN930" s="5"/>
      <c r="AQ930" s="6"/>
    </row>
    <row r="931" spans="2:43" x14ac:dyDescent="0.25">
      <c r="B931" t="s">
        <v>200</v>
      </c>
      <c r="C931">
        <v>82291</v>
      </c>
      <c r="D931" t="s">
        <v>3116</v>
      </c>
      <c r="E931" t="s">
        <v>72</v>
      </c>
      <c r="F931" t="s">
        <v>305</v>
      </c>
      <c r="G931" t="s">
        <v>337</v>
      </c>
      <c r="H931" t="s">
        <v>30</v>
      </c>
      <c r="I931" t="s">
        <v>68</v>
      </c>
      <c r="J931" t="s">
        <v>43</v>
      </c>
      <c r="K931" t="s">
        <v>33</v>
      </c>
      <c r="L931" t="s">
        <v>73</v>
      </c>
      <c r="M931" t="s">
        <v>264</v>
      </c>
      <c r="N931" t="s">
        <v>46</v>
      </c>
      <c r="P931" t="s">
        <v>75</v>
      </c>
      <c r="Q931" t="s">
        <v>65</v>
      </c>
      <c r="R931" s="5">
        <v>42494.776284722226</v>
      </c>
      <c r="S931" s="5">
        <v>42823.827847222223</v>
      </c>
      <c r="T931" t="s">
        <v>317</v>
      </c>
      <c r="U931" t="s">
        <v>35</v>
      </c>
      <c r="V931" s="3" t="s">
        <v>35</v>
      </c>
      <c r="W931" s="3" t="s">
        <v>69</v>
      </c>
      <c r="AM931" s="5"/>
      <c r="AN931" s="5"/>
      <c r="AQ931" s="6"/>
    </row>
    <row r="932" spans="2:43" x14ac:dyDescent="0.25">
      <c r="B932" t="s">
        <v>200</v>
      </c>
      <c r="C932">
        <v>82290</v>
      </c>
      <c r="D932" t="s">
        <v>3115</v>
      </c>
      <c r="E932" t="s">
        <v>72</v>
      </c>
      <c r="F932" t="s">
        <v>305</v>
      </c>
      <c r="G932" t="s">
        <v>337</v>
      </c>
      <c r="H932" t="s">
        <v>30</v>
      </c>
      <c r="I932" t="s">
        <v>68</v>
      </c>
      <c r="J932" t="s">
        <v>43</v>
      </c>
      <c r="K932" t="s">
        <v>33</v>
      </c>
      <c r="L932" t="s">
        <v>73</v>
      </c>
      <c r="M932" t="s">
        <v>264</v>
      </c>
      <c r="N932" t="s">
        <v>46</v>
      </c>
      <c r="P932" t="s">
        <v>75</v>
      </c>
      <c r="Q932" t="s">
        <v>3067</v>
      </c>
      <c r="R932" s="5">
        <v>42494.776180555556</v>
      </c>
      <c r="S932" s="5">
        <v>42521.813449074078</v>
      </c>
      <c r="T932" t="s">
        <v>317</v>
      </c>
      <c r="U932" t="s">
        <v>35</v>
      </c>
      <c r="V932" s="3" t="s">
        <v>35</v>
      </c>
      <c r="W932" s="3" t="s">
        <v>133</v>
      </c>
      <c r="AM932" s="5"/>
      <c r="AN932" s="5"/>
      <c r="AQ932" s="6"/>
    </row>
    <row r="933" spans="2:43" x14ac:dyDescent="0.25">
      <c r="B933" t="s">
        <v>200</v>
      </c>
      <c r="C933">
        <v>82252</v>
      </c>
      <c r="D933" t="s">
        <v>74</v>
      </c>
      <c r="E933" t="s">
        <v>387</v>
      </c>
      <c r="F933" t="s">
        <v>305</v>
      </c>
      <c r="G933" t="s">
        <v>353</v>
      </c>
      <c r="H933" t="s">
        <v>30</v>
      </c>
      <c r="I933" t="s">
        <v>68</v>
      </c>
      <c r="J933" t="s">
        <v>43</v>
      </c>
      <c r="K933" t="s">
        <v>33</v>
      </c>
      <c r="L933" t="s">
        <v>73</v>
      </c>
      <c r="M933" t="s">
        <v>264</v>
      </c>
      <c r="N933" t="s">
        <v>46</v>
      </c>
      <c r="P933" t="s">
        <v>75</v>
      </c>
      <c r="Q933" t="s">
        <v>3287</v>
      </c>
      <c r="R933" s="5">
        <v>42494.615949074076</v>
      </c>
      <c r="S933" s="5">
        <v>43359.139305555553</v>
      </c>
      <c r="T933" t="s">
        <v>1</v>
      </c>
      <c r="U933" t="s">
        <v>35</v>
      </c>
      <c r="V933" s="3" t="s">
        <v>35</v>
      </c>
      <c r="W933" s="3" t="s">
        <v>4098</v>
      </c>
      <c r="AM933" s="5"/>
      <c r="AN933" s="5"/>
      <c r="AQ933" s="6"/>
    </row>
    <row r="934" spans="2:43" x14ac:dyDescent="0.25">
      <c r="B934" t="s">
        <v>2788</v>
      </c>
      <c r="C934">
        <v>82246</v>
      </c>
      <c r="D934" t="s">
        <v>3114</v>
      </c>
      <c r="E934" t="s">
        <v>2790</v>
      </c>
      <c r="F934" t="s">
        <v>305</v>
      </c>
      <c r="G934" t="s">
        <v>353</v>
      </c>
      <c r="H934" t="s">
        <v>30</v>
      </c>
      <c r="I934" t="s">
        <v>31</v>
      </c>
      <c r="J934" t="s">
        <v>32</v>
      </c>
      <c r="K934" t="s">
        <v>51</v>
      </c>
      <c r="L934" t="s">
        <v>73</v>
      </c>
      <c r="M934" t="s">
        <v>263</v>
      </c>
      <c r="N934" t="s">
        <v>46</v>
      </c>
      <c r="P934" t="s">
        <v>61</v>
      </c>
      <c r="Q934" t="s">
        <v>61</v>
      </c>
      <c r="R934" s="5">
        <v>42494.547291666669</v>
      </c>
      <c r="S934" s="5">
        <v>42535.690729166665</v>
      </c>
      <c r="T934" t="s">
        <v>110</v>
      </c>
      <c r="U934" t="s">
        <v>35</v>
      </c>
      <c r="V934" s="3" t="s">
        <v>35</v>
      </c>
      <c r="W934" s="3" t="s">
        <v>4156</v>
      </c>
      <c r="AM934" s="5"/>
      <c r="AN934" s="5"/>
      <c r="AQ934" s="6"/>
    </row>
    <row r="935" spans="2:43" x14ac:dyDescent="0.25">
      <c r="B935" t="s">
        <v>2788</v>
      </c>
      <c r="C935">
        <v>82245</v>
      </c>
      <c r="D935" t="s">
        <v>3113</v>
      </c>
      <c r="E935" t="s">
        <v>2790</v>
      </c>
      <c r="F935" t="s">
        <v>305</v>
      </c>
      <c r="G935" t="s">
        <v>353</v>
      </c>
      <c r="H935" t="s">
        <v>30</v>
      </c>
      <c r="I935" t="s">
        <v>31</v>
      </c>
      <c r="J935" t="s">
        <v>32</v>
      </c>
      <c r="K935" t="s">
        <v>51</v>
      </c>
      <c r="L935" t="s">
        <v>73</v>
      </c>
      <c r="M935" t="s">
        <v>263</v>
      </c>
      <c r="N935" t="s">
        <v>46</v>
      </c>
      <c r="P935" t="s">
        <v>61</v>
      </c>
      <c r="Q935" t="s">
        <v>61</v>
      </c>
      <c r="R935" s="5">
        <v>42494.542488425926</v>
      </c>
      <c r="S935" s="5">
        <v>42759.635092592594</v>
      </c>
      <c r="T935" t="s">
        <v>110</v>
      </c>
      <c r="U935" t="s">
        <v>35</v>
      </c>
      <c r="V935" s="3" t="s">
        <v>35</v>
      </c>
      <c r="W935" s="3" t="s">
        <v>69</v>
      </c>
      <c r="AM935" s="5"/>
      <c r="AN935" s="5"/>
      <c r="AQ935" s="6"/>
    </row>
    <row r="936" spans="2:43" x14ac:dyDescent="0.25">
      <c r="B936" t="s">
        <v>3106</v>
      </c>
      <c r="C936">
        <v>82178</v>
      </c>
      <c r="D936" t="s">
        <v>3110</v>
      </c>
      <c r="E936" t="s">
        <v>94</v>
      </c>
      <c r="F936" t="s">
        <v>305</v>
      </c>
      <c r="G936" t="s">
        <v>304</v>
      </c>
      <c r="H936" t="s">
        <v>116</v>
      </c>
      <c r="I936" t="s">
        <v>31</v>
      </c>
      <c r="J936" t="s">
        <v>32</v>
      </c>
      <c r="K936" t="s">
        <v>44</v>
      </c>
      <c r="L936" t="s">
        <v>73</v>
      </c>
      <c r="M936" t="s">
        <v>263</v>
      </c>
      <c r="N936" t="s">
        <v>518</v>
      </c>
      <c r="O936" t="s">
        <v>3111</v>
      </c>
      <c r="P936" t="s">
        <v>75</v>
      </c>
      <c r="Q936" t="s">
        <v>3112</v>
      </c>
      <c r="R936" s="5">
        <v>42494.27715277778</v>
      </c>
      <c r="S936" s="5">
        <v>42948.91646990741</v>
      </c>
      <c r="T936" t="s">
        <v>317</v>
      </c>
      <c r="U936" t="s">
        <v>3978</v>
      </c>
      <c r="V936" s="3" t="s">
        <v>35</v>
      </c>
      <c r="W936" s="3" t="s">
        <v>69</v>
      </c>
      <c r="AM936" s="5"/>
      <c r="AN936" s="5"/>
      <c r="AQ936" s="6"/>
    </row>
    <row r="937" spans="2:43" x14ac:dyDescent="0.25">
      <c r="B937" t="s">
        <v>3106</v>
      </c>
      <c r="C937">
        <v>82177</v>
      </c>
      <c r="D937" t="s">
        <v>3109</v>
      </c>
      <c r="E937" t="s">
        <v>94</v>
      </c>
      <c r="F937" t="s">
        <v>305</v>
      </c>
      <c r="G937" t="s">
        <v>337</v>
      </c>
      <c r="H937" t="s">
        <v>54</v>
      </c>
      <c r="I937" t="s">
        <v>31</v>
      </c>
      <c r="J937" t="s">
        <v>32</v>
      </c>
      <c r="K937" t="s">
        <v>44</v>
      </c>
      <c r="L937" t="s">
        <v>73</v>
      </c>
      <c r="M937" t="s">
        <v>263</v>
      </c>
      <c r="N937" t="s">
        <v>60</v>
      </c>
      <c r="P937" t="s">
        <v>75</v>
      </c>
      <c r="Q937" t="s">
        <v>2481</v>
      </c>
      <c r="R937" s="5">
        <v>42494.276886574073</v>
      </c>
      <c r="S937" s="5">
        <v>42941.960150462961</v>
      </c>
      <c r="T937" t="s">
        <v>317</v>
      </c>
      <c r="U937" t="s">
        <v>35</v>
      </c>
      <c r="V937" s="3" t="s">
        <v>35</v>
      </c>
      <c r="W937" s="3" t="s">
        <v>133</v>
      </c>
      <c r="AM937" s="5"/>
      <c r="AN937" s="5"/>
      <c r="AQ937" s="6"/>
    </row>
    <row r="938" spans="2:43" x14ac:dyDescent="0.25">
      <c r="B938" t="s">
        <v>3106</v>
      </c>
      <c r="C938">
        <v>82156</v>
      </c>
      <c r="D938" t="s">
        <v>3107</v>
      </c>
      <c r="E938" t="s">
        <v>94</v>
      </c>
      <c r="F938" t="s">
        <v>305</v>
      </c>
      <c r="G938" t="s">
        <v>304</v>
      </c>
      <c r="H938" t="s">
        <v>30</v>
      </c>
      <c r="I938" t="s">
        <v>31</v>
      </c>
      <c r="J938" t="s">
        <v>32</v>
      </c>
      <c r="K938" t="s">
        <v>44</v>
      </c>
      <c r="L938" t="s">
        <v>73</v>
      </c>
      <c r="M938" t="s">
        <v>263</v>
      </c>
      <c r="N938" t="s">
        <v>46</v>
      </c>
      <c r="O938" t="s">
        <v>3108</v>
      </c>
      <c r="P938" t="s">
        <v>75</v>
      </c>
      <c r="Q938" t="s">
        <v>159</v>
      </c>
      <c r="R938" s="5">
        <v>42493.914664351854</v>
      </c>
      <c r="S938" s="5">
        <v>42871.700115740743</v>
      </c>
      <c r="T938" t="s">
        <v>1</v>
      </c>
      <c r="U938" t="s">
        <v>35</v>
      </c>
      <c r="V938" s="3" t="s">
        <v>35</v>
      </c>
      <c r="W938" s="3" t="s">
        <v>4098</v>
      </c>
      <c r="AM938" s="5"/>
      <c r="AN938" s="5"/>
      <c r="AQ938" s="6"/>
    </row>
    <row r="939" spans="2:43" x14ac:dyDescent="0.25">
      <c r="B939" t="s">
        <v>3097</v>
      </c>
      <c r="C939">
        <v>81963</v>
      </c>
      <c r="D939" t="s">
        <v>3105</v>
      </c>
      <c r="E939" t="s">
        <v>94</v>
      </c>
      <c r="F939" t="s">
        <v>305</v>
      </c>
      <c r="G939" t="s">
        <v>304</v>
      </c>
      <c r="H939" t="s">
        <v>54</v>
      </c>
      <c r="I939" t="s">
        <v>31</v>
      </c>
      <c r="J939" t="s">
        <v>43</v>
      </c>
      <c r="K939" t="s">
        <v>44</v>
      </c>
      <c r="L939" t="s">
        <v>73</v>
      </c>
      <c r="M939" t="s">
        <v>263</v>
      </c>
      <c r="N939" t="s">
        <v>518</v>
      </c>
      <c r="P939" t="s">
        <v>75</v>
      </c>
      <c r="Q939" t="s">
        <v>562</v>
      </c>
      <c r="R939" s="5">
        <v>42489.276759259257</v>
      </c>
      <c r="S939" s="5">
        <v>42958.490069444444</v>
      </c>
      <c r="T939" t="s">
        <v>317</v>
      </c>
      <c r="U939" t="s">
        <v>35</v>
      </c>
      <c r="V939" s="3" t="s">
        <v>35</v>
      </c>
      <c r="W939" s="3" t="s">
        <v>69</v>
      </c>
      <c r="AM939" s="5"/>
      <c r="AN939" s="5"/>
      <c r="AQ939" s="6"/>
    </row>
    <row r="940" spans="2:43" x14ac:dyDescent="0.25">
      <c r="B940" t="s">
        <v>3097</v>
      </c>
      <c r="C940">
        <v>81961</v>
      </c>
      <c r="D940" t="s">
        <v>3103</v>
      </c>
      <c r="E940" t="s">
        <v>94</v>
      </c>
      <c r="F940" t="s">
        <v>305</v>
      </c>
      <c r="G940" t="s">
        <v>337</v>
      </c>
      <c r="H940" t="s">
        <v>54</v>
      </c>
      <c r="I940" t="s">
        <v>31</v>
      </c>
      <c r="J940" t="s">
        <v>43</v>
      </c>
      <c r="K940" t="s">
        <v>44</v>
      </c>
      <c r="L940" t="s">
        <v>73</v>
      </c>
      <c r="M940" t="s">
        <v>263</v>
      </c>
      <c r="N940" t="s">
        <v>60</v>
      </c>
      <c r="O940" t="s">
        <v>3104</v>
      </c>
      <c r="P940" t="s">
        <v>75</v>
      </c>
      <c r="Q940" t="s">
        <v>2481</v>
      </c>
      <c r="R940" s="5">
        <v>42489.276493055557</v>
      </c>
      <c r="S940" s="5">
        <v>42831.732835648145</v>
      </c>
      <c r="T940" t="s">
        <v>317</v>
      </c>
      <c r="U940" t="s">
        <v>35</v>
      </c>
      <c r="V940" s="3" t="s">
        <v>35</v>
      </c>
      <c r="W940" s="3" t="s">
        <v>133</v>
      </c>
      <c r="AM940" s="5"/>
      <c r="AN940" s="5"/>
      <c r="AQ940" s="6"/>
    </row>
    <row r="941" spans="2:43" x14ac:dyDescent="0.25">
      <c r="B941" t="s">
        <v>2711</v>
      </c>
      <c r="C941">
        <v>81960</v>
      </c>
      <c r="D941" t="s">
        <v>3102</v>
      </c>
      <c r="E941" t="s">
        <v>335</v>
      </c>
      <c r="F941" t="s">
        <v>305</v>
      </c>
      <c r="G941" t="s">
        <v>353</v>
      </c>
      <c r="H941" t="s">
        <v>426</v>
      </c>
      <c r="I941" t="s">
        <v>31</v>
      </c>
      <c r="J941" t="s">
        <v>43</v>
      </c>
      <c r="K941" t="s">
        <v>44</v>
      </c>
      <c r="L941" t="s">
        <v>73</v>
      </c>
      <c r="M941" t="s">
        <v>277</v>
      </c>
      <c r="N941" t="s">
        <v>46</v>
      </c>
      <c r="P941" t="s">
        <v>75</v>
      </c>
      <c r="Q941" t="s">
        <v>2416</v>
      </c>
      <c r="R941" s="5">
        <v>42489.27615740741</v>
      </c>
      <c r="S941" s="5">
        <v>42759.634664351855</v>
      </c>
      <c r="T941" t="s">
        <v>317</v>
      </c>
      <c r="U941" t="s">
        <v>35</v>
      </c>
      <c r="V941" s="3" t="s">
        <v>35</v>
      </c>
      <c r="W941" s="3" t="s">
        <v>69</v>
      </c>
      <c r="AM941" s="5"/>
      <c r="AN941" s="5"/>
      <c r="AQ941" s="6"/>
    </row>
    <row r="942" spans="2:43" x14ac:dyDescent="0.25">
      <c r="B942" t="s">
        <v>2711</v>
      </c>
      <c r="C942">
        <v>81959</v>
      </c>
      <c r="D942" t="s">
        <v>3100</v>
      </c>
      <c r="E942" t="s">
        <v>72</v>
      </c>
      <c r="F942" t="s">
        <v>305</v>
      </c>
      <c r="G942" t="s">
        <v>353</v>
      </c>
      <c r="H942" t="s">
        <v>426</v>
      </c>
      <c r="I942" t="s">
        <v>31</v>
      </c>
      <c r="J942" t="s">
        <v>43</v>
      </c>
      <c r="K942" t="s">
        <v>44</v>
      </c>
      <c r="L942" t="s">
        <v>73</v>
      </c>
      <c r="M942" t="s">
        <v>277</v>
      </c>
      <c r="N942" t="s">
        <v>60</v>
      </c>
      <c r="P942" t="s">
        <v>75</v>
      </c>
      <c r="Q942" t="s">
        <v>3101</v>
      </c>
      <c r="R942" s="5">
        <v>42489.275983796295</v>
      </c>
      <c r="S942" s="5">
        <v>42675.805590277778</v>
      </c>
      <c r="T942" t="s">
        <v>317</v>
      </c>
      <c r="U942" t="s">
        <v>35</v>
      </c>
      <c r="V942" s="3" t="s">
        <v>35</v>
      </c>
      <c r="W942" s="3" t="s">
        <v>133</v>
      </c>
      <c r="AM942" s="5"/>
      <c r="AN942" s="5"/>
      <c r="AQ942" s="6"/>
    </row>
    <row r="943" spans="2:43" x14ac:dyDescent="0.25">
      <c r="B943" t="s">
        <v>2711</v>
      </c>
      <c r="C943">
        <v>81922</v>
      </c>
      <c r="D943" t="s">
        <v>3099</v>
      </c>
      <c r="E943" t="s">
        <v>335</v>
      </c>
      <c r="F943" t="s">
        <v>305</v>
      </c>
      <c r="G943" t="s">
        <v>353</v>
      </c>
      <c r="H943" t="s">
        <v>426</v>
      </c>
      <c r="I943" t="s">
        <v>31</v>
      </c>
      <c r="J943" t="s">
        <v>43</v>
      </c>
      <c r="K943" t="s">
        <v>44</v>
      </c>
      <c r="L943" t="s">
        <v>73</v>
      </c>
      <c r="M943" t="s">
        <v>277</v>
      </c>
      <c r="N943" t="s">
        <v>46</v>
      </c>
      <c r="P943" t="s">
        <v>75</v>
      </c>
      <c r="Q943" t="s">
        <v>2416</v>
      </c>
      <c r="R943" s="5">
        <v>42488.877465277779</v>
      </c>
      <c r="S943" s="5">
        <v>42759.634780092594</v>
      </c>
      <c r="T943" t="s">
        <v>1</v>
      </c>
      <c r="U943" t="s">
        <v>35</v>
      </c>
      <c r="V943" s="3" t="s">
        <v>35</v>
      </c>
      <c r="W943" s="3" t="s">
        <v>4098</v>
      </c>
      <c r="AM943" s="5"/>
      <c r="AN943" s="5"/>
      <c r="AQ943" s="6"/>
    </row>
    <row r="944" spans="2:43" x14ac:dyDescent="0.25">
      <c r="B944" t="s">
        <v>3097</v>
      </c>
      <c r="C944">
        <v>81920</v>
      </c>
      <c r="D944" t="s">
        <v>3098</v>
      </c>
      <c r="E944" t="s">
        <v>94</v>
      </c>
      <c r="F944" t="s">
        <v>305</v>
      </c>
      <c r="G944" t="s">
        <v>304</v>
      </c>
      <c r="H944" t="s">
        <v>30</v>
      </c>
      <c r="I944" t="s">
        <v>31</v>
      </c>
      <c r="J944" t="s">
        <v>43</v>
      </c>
      <c r="K944" t="s">
        <v>44</v>
      </c>
      <c r="L944" t="s">
        <v>73</v>
      </c>
      <c r="M944" t="s">
        <v>263</v>
      </c>
      <c r="N944" t="s">
        <v>46</v>
      </c>
      <c r="P944" t="s">
        <v>75</v>
      </c>
      <c r="Q944" t="s">
        <v>159</v>
      </c>
      <c r="R944" s="5">
        <v>42488.845879629633</v>
      </c>
      <c r="S944" s="5">
        <v>43187.158993055556</v>
      </c>
      <c r="T944" t="s">
        <v>1</v>
      </c>
      <c r="U944" t="s">
        <v>35</v>
      </c>
      <c r="V944" s="3" t="s">
        <v>35</v>
      </c>
      <c r="W944" s="3" t="s">
        <v>4098</v>
      </c>
      <c r="AM944" s="5"/>
      <c r="AN944" s="5"/>
      <c r="AQ944" s="6"/>
    </row>
    <row r="945" spans="2:43" x14ac:dyDescent="0.25">
      <c r="B945" t="s">
        <v>2993</v>
      </c>
      <c r="C945">
        <v>81916</v>
      </c>
      <c r="D945" t="s">
        <v>3095</v>
      </c>
      <c r="E945" t="s">
        <v>330</v>
      </c>
      <c r="F945" t="s">
        <v>305</v>
      </c>
      <c r="G945" t="s">
        <v>337</v>
      </c>
      <c r="H945" t="s">
        <v>30</v>
      </c>
      <c r="I945" t="s">
        <v>68</v>
      </c>
      <c r="J945" t="s">
        <v>43</v>
      </c>
      <c r="K945" t="s">
        <v>33</v>
      </c>
      <c r="L945" t="s">
        <v>96</v>
      </c>
      <c r="M945" t="s">
        <v>267</v>
      </c>
      <c r="N945" t="s">
        <v>46</v>
      </c>
      <c r="P945" t="s">
        <v>65</v>
      </c>
      <c r="Q945" t="s">
        <v>3096</v>
      </c>
      <c r="R945" s="5">
        <v>42488.804143518515</v>
      </c>
      <c r="S945" s="5">
        <v>42678.681898148148</v>
      </c>
      <c r="T945" t="s">
        <v>317</v>
      </c>
      <c r="U945" t="s">
        <v>35</v>
      </c>
      <c r="V945" s="3" t="s">
        <v>35</v>
      </c>
      <c r="W945" s="3" t="s">
        <v>4156</v>
      </c>
      <c r="AM945" s="5"/>
      <c r="AN945" s="5"/>
      <c r="AQ945" s="6"/>
    </row>
    <row r="946" spans="2:43" x14ac:dyDescent="0.25">
      <c r="B946" t="s">
        <v>2278</v>
      </c>
      <c r="C946">
        <v>81754</v>
      </c>
      <c r="D946" t="s">
        <v>3094</v>
      </c>
      <c r="E946" t="s">
        <v>84</v>
      </c>
      <c r="F946" t="s">
        <v>305</v>
      </c>
      <c r="G946" t="s">
        <v>304</v>
      </c>
      <c r="H946" t="s">
        <v>30</v>
      </c>
      <c r="I946" t="s">
        <v>31</v>
      </c>
      <c r="J946" t="s">
        <v>43</v>
      </c>
      <c r="K946" t="s">
        <v>44</v>
      </c>
      <c r="L946" t="s">
        <v>73</v>
      </c>
      <c r="M946" t="s">
        <v>263</v>
      </c>
      <c r="N946" t="s">
        <v>46</v>
      </c>
      <c r="P946" t="s">
        <v>2121</v>
      </c>
      <c r="Q946" t="s">
        <v>3037</v>
      </c>
      <c r="R946" s="5">
        <v>42487.550891203704</v>
      </c>
      <c r="S946" s="5">
        <v>42636.240115740744</v>
      </c>
      <c r="T946" t="s">
        <v>139</v>
      </c>
      <c r="U946" t="s">
        <v>35</v>
      </c>
      <c r="V946" s="3" t="s">
        <v>35</v>
      </c>
      <c r="W946" s="3" t="s">
        <v>3428</v>
      </c>
      <c r="AM946" s="5"/>
      <c r="AN946" s="5"/>
      <c r="AQ946" s="6"/>
    </row>
    <row r="947" spans="2:43" x14ac:dyDescent="0.25">
      <c r="B947" t="s">
        <v>3092</v>
      </c>
      <c r="C947">
        <v>81753</v>
      </c>
      <c r="D947" t="s">
        <v>3093</v>
      </c>
      <c r="E947" t="s">
        <v>139</v>
      </c>
      <c r="F947" t="s">
        <v>305</v>
      </c>
      <c r="G947" t="s">
        <v>304</v>
      </c>
      <c r="H947" t="s">
        <v>30</v>
      </c>
      <c r="I947" t="s">
        <v>31</v>
      </c>
      <c r="J947" t="s">
        <v>43</v>
      </c>
      <c r="K947" t="s">
        <v>44</v>
      </c>
      <c r="L947" t="s">
        <v>73</v>
      </c>
      <c r="M947" t="s">
        <v>263</v>
      </c>
      <c r="N947" t="s">
        <v>46</v>
      </c>
      <c r="P947" t="s">
        <v>491</v>
      </c>
      <c r="Q947" t="s">
        <v>491</v>
      </c>
      <c r="R947" s="5">
        <v>42487.548657407409</v>
      </c>
      <c r="S947" s="5">
        <v>42634.393391203703</v>
      </c>
      <c r="T947" t="s">
        <v>139</v>
      </c>
      <c r="U947" t="s">
        <v>35</v>
      </c>
      <c r="V947" s="3" t="s">
        <v>35</v>
      </c>
      <c r="W947" s="3" t="s">
        <v>3428</v>
      </c>
      <c r="AM947" s="5"/>
      <c r="AN947" s="5"/>
      <c r="AQ947" s="6"/>
    </row>
    <row r="948" spans="2:43" x14ac:dyDescent="0.25">
      <c r="B948" t="s">
        <v>2436</v>
      </c>
      <c r="C948">
        <v>81743</v>
      </c>
      <c r="D948" t="s">
        <v>3091</v>
      </c>
      <c r="E948" t="s">
        <v>72</v>
      </c>
      <c r="F948" t="s">
        <v>305</v>
      </c>
      <c r="G948" t="s">
        <v>304</v>
      </c>
      <c r="H948" t="s">
        <v>30</v>
      </c>
      <c r="I948" t="s">
        <v>68</v>
      </c>
      <c r="J948" t="s">
        <v>43</v>
      </c>
      <c r="K948" t="s">
        <v>33</v>
      </c>
      <c r="L948" t="s">
        <v>73</v>
      </c>
      <c r="M948" t="s">
        <v>263</v>
      </c>
      <c r="N948" t="s">
        <v>46</v>
      </c>
      <c r="P948" t="s">
        <v>491</v>
      </c>
      <c r="Q948" t="s">
        <v>491</v>
      </c>
      <c r="R948" s="5">
        <v>42487.51185185185</v>
      </c>
      <c r="S948" s="5">
        <v>42636.240023148152</v>
      </c>
      <c r="T948" t="s">
        <v>139</v>
      </c>
      <c r="U948" t="s">
        <v>35</v>
      </c>
      <c r="V948" s="3" t="s">
        <v>35</v>
      </c>
      <c r="W948" s="3" t="s">
        <v>3428</v>
      </c>
      <c r="AM948" s="5"/>
      <c r="AN948" s="5"/>
      <c r="AQ948" s="6"/>
    </row>
    <row r="949" spans="2:43" x14ac:dyDescent="0.25">
      <c r="B949" t="s">
        <v>3076</v>
      </c>
      <c r="C949">
        <v>81636</v>
      </c>
      <c r="D949" t="s">
        <v>3090</v>
      </c>
      <c r="E949" t="s">
        <v>350</v>
      </c>
      <c r="F949" t="s">
        <v>305</v>
      </c>
      <c r="G949" t="s">
        <v>304</v>
      </c>
      <c r="H949" t="s">
        <v>30</v>
      </c>
      <c r="I949" t="s">
        <v>31</v>
      </c>
      <c r="J949" t="s">
        <v>43</v>
      </c>
      <c r="K949" t="s">
        <v>44</v>
      </c>
      <c r="L949" t="s">
        <v>73</v>
      </c>
      <c r="M949" t="s">
        <v>263</v>
      </c>
      <c r="N949" t="s">
        <v>46</v>
      </c>
      <c r="P949" t="s">
        <v>47</v>
      </c>
      <c r="Q949" t="s">
        <v>47</v>
      </c>
      <c r="R949" s="5">
        <v>42486.624895833331</v>
      </c>
      <c r="S949" s="5">
        <v>42718.648090277777</v>
      </c>
      <c r="T949" t="s">
        <v>317</v>
      </c>
      <c r="U949" t="s">
        <v>3977</v>
      </c>
      <c r="V949" s="3" t="s">
        <v>35</v>
      </c>
      <c r="W949" s="3" t="s">
        <v>107</v>
      </c>
      <c r="AM949" s="5"/>
      <c r="AN949" s="5"/>
      <c r="AQ949" s="6"/>
    </row>
    <row r="950" spans="2:43" x14ac:dyDescent="0.25">
      <c r="B950" t="s">
        <v>3083</v>
      </c>
      <c r="C950">
        <v>81635</v>
      </c>
      <c r="D950" t="s">
        <v>3089</v>
      </c>
      <c r="E950" t="s">
        <v>110</v>
      </c>
      <c r="F950" t="s">
        <v>305</v>
      </c>
      <c r="G950" t="s">
        <v>353</v>
      </c>
      <c r="H950" t="s">
        <v>30</v>
      </c>
      <c r="I950" t="s">
        <v>31</v>
      </c>
      <c r="J950" t="s">
        <v>43</v>
      </c>
      <c r="K950" t="s">
        <v>44</v>
      </c>
      <c r="L950" t="s">
        <v>73</v>
      </c>
      <c r="M950" t="s">
        <v>263</v>
      </c>
      <c r="N950" t="s">
        <v>46</v>
      </c>
      <c r="P950" t="s">
        <v>75</v>
      </c>
      <c r="Q950" t="s">
        <v>75</v>
      </c>
      <c r="R950" s="5">
        <v>42486.624652777777</v>
      </c>
      <c r="S950" s="5">
        <v>42678.682199074072</v>
      </c>
      <c r="T950" t="s">
        <v>317</v>
      </c>
      <c r="U950" t="s">
        <v>35</v>
      </c>
      <c r="V950" s="3" t="s">
        <v>35</v>
      </c>
      <c r="W950" s="3" t="s">
        <v>4156</v>
      </c>
      <c r="AM950" s="5"/>
      <c r="AN950" s="5"/>
      <c r="AQ950" s="6"/>
    </row>
    <row r="951" spans="2:43" x14ac:dyDescent="0.25">
      <c r="B951" t="s">
        <v>3058</v>
      </c>
      <c r="C951">
        <v>81626</v>
      </c>
      <c r="D951" t="s">
        <v>3087</v>
      </c>
      <c r="E951" t="s">
        <v>405</v>
      </c>
      <c r="F951" t="s">
        <v>305</v>
      </c>
      <c r="G951" t="s">
        <v>328</v>
      </c>
      <c r="H951" t="s">
        <v>30</v>
      </c>
      <c r="I951" t="s">
        <v>31</v>
      </c>
      <c r="J951" t="s">
        <v>32</v>
      </c>
      <c r="K951" t="s">
        <v>44</v>
      </c>
      <c r="L951" t="s">
        <v>34</v>
      </c>
      <c r="M951" t="s">
        <v>258</v>
      </c>
      <c r="N951" t="s">
        <v>46</v>
      </c>
      <c r="O951" t="s">
        <v>3088</v>
      </c>
      <c r="P951" t="s">
        <v>118</v>
      </c>
      <c r="Q951" t="s">
        <v>65</v>
      </c>
      <c r="R951" s="5">
        <v>42486.585023148145</v>
      </c>
      <c r="S951" s="5">
        <v>42647.838275462964</v>
      </c>
      <c r="T951" t="s">
        <v>317</v>
      </c>
      <c r="U951" t="s">
        <v>35</v>
      </c>
      <c r="V951" s="3" t="s">
        <v>321</v>
      </c>
      <c r="W951" s="3" t="s">
        <v>4156</v>
      </c>
      <c r="AM951" s="5"/>
      <c r="AN951" s="5"/>
      <c r="AQ951" s="6"/>
    </row>
    <row r="952" spans="2:43" x14ac:dyDescent="0.25">
      <c r="B952" t="s">
        <v>3083</v>
      </c>
      <c r="C952">
        <v>81160</v>
      </c>
      <c r="D952" t="s">
        <v>3086</v>
      </c>
      <c r="E952" t="s">
        <v>110</v>
      </c>
      <c r="F952" t="s">
        <v>305</v>
      </c>
      <c r="G952" t="s">
        <v>353</v>
      </c>
      <c r="H952" t="s">
        <v>30</v>
      </c>
      <c r="I952" t="s">
        <v>31</v>
      </c>
      <c r="J952" t="s">
        <v>43</v>
      </c>
      <c r="K952" t="s">
        <v>44</v>
      </c>
      <c r="L952" t="s">
        <v>73</v>
      </c>
      <c r="M952" t="s">
        <v>263</v>
      </c>
      <c r="N952" t="s">
        <v>46</v>
      </c>
      <c r="P952" t="s">
        <v>75</v>
      </c>
      <c r="Q952" t="s">
        <v>75</v>
      </c>
      <c r="R952" s="5">
        <v>42479.775960648149</v>
      </c>
      <c r="S952" s="5">
        <v>42678.681956018518</v>
      </c>
      <c r="T952" t="s">
        <v>317</v>
      </c>
      <c r="U952" t="s">
        <v>35</v>
      </c>
      <c r="V952" s="3" t="s">
        <v>35</v>
      </c>
      <c r="W952" s="3" t="s">
        <v>69</v>
      </c>
      <c r="AM952" s="5"/>
      <c r="AN952" s="5"/>
      <c r="AQ952" s="6"/>
    </row>
    <row r="953" spans="2:43" x14ac:dyDescent="0.25">
      <c r="B953" t="s">
        <v>3083</v>
      </c>
      <c r="C953">
        <v>81159</v>
      </c>
      <c r="D953" t="s">
        <v>3085</v>
      </c>
      <c r="E953" t="s">
        <v>110</v>
      </c>
      <c r="F953" t="s">
        <v>305</v>
      </c>
      <c r="G953" t="s">
        <v>353</v>
      </c>
      <c r="H953" t="s">
        <v>30</v>
      </c>
      <c r="I953" t="s">
        <v>31</v>
      </c>
      <c r="J953" t="s">
        <v>43</v>
      </c>
      <c r="K953" t="s">
        <v>44</v>
      </c>
      <c r="L953" t="s">
        <v>73</v>
      </c>
      <c r="M953" t="s">
        <v>263</v>
      </c>
      <c r="N953" t="s">
        <v>60</v>
      </c>
      <c r="P953" t="s">
        <v>75</v>
      </c>
      <c r="Q953" t="s">
        <v>75</v>
      </c>
      <c r="R953" s="5">
        <v>42479.775833333333</v>
      </c>
      <c r="S953" s="5">
        <v>42678.682222222225</v>
      </c>
      <c r="T953" t="s">
        <v>317</v>
      </c>
      <c r="U953" t="s">
        <v>35</v>
      </c>
      <c r="V953" s="3" t="s">
        <v>35</v>
      </c>
      <c r="W953" s="3" t="s">
        <v>133</v>
      </c>
      <c r="AM953" s="5"/>
      <c r="AN953" s="5"/>
      <c r="AQ953" s="6"/>
    </row>
    <row r="954" spans="2:43" x14ac:dyDescent="0.25">
      <c r="B954" t="s">
        <v>3083</v>
      </c>
      <c r="C954">
        <v>81155</v>
      </c>
      <c r="D954" t="s">
        <v>3084</v>
      </c>
      <c r="E954" t="s">
        <v>291</v>
      </c>
      <c r="F954" t="s">
        <v>305</v>
      </c>
      <c r="G954" t="s">
        <v>353</v>
      </c>
      <c r="H954" t="s">
        <v>30</v>
      </c>
      <c r="I954" t="s">
        <v>31</v>
      </c>
      <c r="J954" t="s">
        <v>43</v>
      </c>
      <c r="K954" t="s">
        <v>44</v>
      </c>
      <c r="L954" t="s">
        <v>73</v>
      </c>
      <c r="M954" t="s">
        <v>263</v>
      </c>
      <c r="N954" t="s">
        <v>46</v>
      </c>
      <c r="O954" t="s">
        <v>358</v>
      </c>
      <c r="P954" t="s">
        <v>75</v>
      </c>
      <c r="Q954" t="s">
        <v>75</v>
      </c>
      <c r="R954" s="5">
        <v>42479.723854166667</v>
      </c>
      <c r="S954" s="5">
        <v>42678.682106481479</v>
      </c>
      <c r="T954" t="s">
        <v>1</v>
      </c>
      <c r="U954" t="s">
        <v>35</v>
      </c>
      <c r="V954" s="3" t="s">
        <v>35</v>
      </c>
      <c r="W954" s="3" t="s">
        <v>4098</v>
      </c>
      <c r="AM954" s="5"/>
      <c r="AN954" s="5"/>
      <c r="AQ954" s="6"/>
    </row>
    <row r="955" spans="2:43" x14ac:dyDescent="0.25">
      <c r="B955" t="s">
        <v>227</v>
      </c>
      <c r="C955">
        <v>80590</v>
      </c>
      <c r="D955" t="s">
        <v>3082</v>
      </c>
      <c r="E955" t="s">
        <v>136</v>
      </c>
      <c r="F955" t="s">
        <v>305</v>
      </c>
      <c r="G955" t="s">
        <v>304</v>
      </c>
      <c r="H955" t="s">
        <v>30</v>
      </c>
      <c r="I955" t="s">
        <v>31</v>
      </c>
      <c r="J955" t="s">
        <v>43</v>
      </c>
      <c r="K955" t="s">
        <v>44</v>
      </c>
      <c r="L955" t="s">
        <v>195</v>
      </c>
      <c r="M955" t="s">
        <v>2976</v>
      </c>
      <c r="N955" t="s">
        <v>46</v>
      </c>
      <c r="P955" t="s">
        <v>61</v>
      </c>
      <c r="Q955" t="s">
        <v>1503</v>
      </c>
      <c r="R955" s="5">
        <v>42471.666597222225</v>
      </c>
      <c r="S955" s="5">
        <v>42709.766030092593</v>
      </c>
      <c r="T955" t="s">
        <v>288</v>
      </c>
      <c r="U955" t="s">
        <v>3965</v>
      </c>
      <c r="V955" s="3" t="s">
        <v>35</v>
      </c>
      <c r="W955" s="3" t="s">
        <v>77</v>
      </c>
      <c r="AM955" s="5"/>
      <c r="AN955" s="5"/>
      <c r="AQ955" s="6"/>
    </row>
    <row r="956" spans="2:43" x14ac:dyDescent="0.25">
      <c r="B956" t="s">
        <v>2956</v>
      </c>
      <c r="C956">
        <v>80589</v>
      </c>
      <c r="D956" t="s">
        <v>2964</v>
      </c>
      <c r="E956" t="s">
        <v>136</v>
      </c>
      <c r="F956" t="s">
        <v>305</v>
      </c>
      <c r="G956" t="s">
        <v>353</v>
      </c>
      <c r="H956" t="s">
        <v>30</v>
      </c>
      <c r="I956" t="s">
        <v>31</v>
      </c>
      <c r="J956" t="s">
        <v>32</v>
      </c>
      <c r="K956" t="s">
        <v>44</v>
      </c>
      <c r="L956" t="s">
        <v>106</v>
      </c>
      <c r="M956" t="s">
        <v>270</v>
      </c>
      <c r="N956" t="s">
        <v>46</v>
      </c>
      <c r="P956" t="s">
        <v>65</v>
      </c>
      <c r="Q956" t="s">
        <v>394</v>
      </c>
      <c r="R956" s="5">
        <v>42471.664340277777</v>
      </c>
      <c r="S956" s="5">
        <v>42678.648564814815</v>
      </c>
      <c r="T956" t="s">
        <v>288</v>
      </c>
      <c r="U956" t="s">
        <v>35</v>
      </c>
      <c r="V956" s="3" t="s">
        <v>35</v>
      </c>
      <c r="W956" s="3" t="s">
        <v>4156</v>
      </c>
      <c r="AM956" s="5"/>
      <c r="AN956" s="5"/>
      <c r="AQ956" s="6"/>
    </row>
    <row r="957" spans="2:43" x14ac:dyDescent="0.25">
      <c r="B957" t="s">
        <v>3080</v>
      </c>
      <c r="C957">
        <v>80479</v>
      </c>
      <c r="D957" t="s">
        <v>3081</v>
      </c>
      <c r="E957" t="s">
        <v>139</v>
      </c>
      <c r="F957" t="s">
        <v>305</v>
      </c>
      <c r="G957" t="s">
        <v>353</v>
      </c>
      <c r="H957" t="s">
        <v>30</v>
      </c>
      <c r="I957" t="s">
        <v>31</v>
      </c>
      <c r="J957" t="s">
        <v>43</v>
      </c>
      <c r="K957" t="s">
        <v>44</v>
      </c>
      <c r="L957" t="s">
        <v>73</v>
      </c>
      <c r="M957" t="s">
        <v>263</v>
      </c>
      <c r="N957" t="s">
        <v>46</v>
      </c>
      <c r="P957" t="s">
        <v>2121</v>
      </c>
      <c r="Q957" t="s">
        <v>3037</v>
      </c>
      <c r="R957" s="5">
        <v>42468.513738425929</v>
      </c>
      <c r="S957" s="5">
        <v>42759.634942129633</v>
      </c>
      <c r="T957" t="s">
        <v>86</v>
      </c>
      <c r="U957" t="s">
        <v>35</v>
      </c>
      <c r="V957" s="3" t="s">
        <v>35</v>
      </c>
      <c r="W957" s="3" t="s">
        <v>4098</v>
      </c>
      <c r="AM957" s="5"/>
      <c r="AN957" s="5"/>
      <c r="AQ957" s="6"/>
    </row>
    <row r="958" spans="2:43" x14ac:dyDescent="0.25">
      <c r="B958" t="s">
        <v>3076</v>
      </c>
      <c r="C958">
        <v>80288</v>
      </c>
      <c r="D958" t="s">
        <v>3078</v>
      </c>
      <c r="E958" t="s">
        <v>3079</v>
      </c>
      <c r="F958" t="s">
        <v>305</v>
      </c>
      <c r="G958" t="s">
        <v>304</v>
      </c>
      <c r="H958" t="s">
        <v>30</v>
      </c>
      <c r="I958" t="s">
        <v>31</v>
      </c>
      <c r="J958" t="s">
        <v>43</v>
      </c>
      <c r="K958" t="s">
        <v>44</v>
      </c>
      <c r="L958" t="s">
        <v>73</v>
      </c>
      <c r="M958" t="s">
        <v>263</v>
      </c>
      <c r="N958" t="s">
        <v>46</v>
      </c>
      <c r="P958" t="s">
        <v>47</v>
      </c>
      <c r="Q958" t="s">
        <v>47</v>
      </c>
      <c r="R958" s="5">
        <v>42466.275520833333</v>
      </c>
      <c r="S958" s="5">
        <v>42948.933935185189</v>
      </c>
      <c r="T958" t="s">
        <v>317</v>
      </c>
      <c r="U958" t="s">
        <v>3974</v>
      </c>
      <c r="V958" s="3" t="s">
        <v>35</v>
      </c>
      <c r="W958" s="3" t="s">
        <v>69</v>
      </c>
      <c r="AM958" s="5"/>
      <c r="AN958" s="5"/>
      <c r="AQ958" s="6"/>
    </row>
    <row r="959" spans="2:43" x14ac:dyDescent="0.25">
      <c r="B959" t="s">
        <v>3076</v>
      </c>
      <c r="C959">
        <v>80287</v>
      </c>
      <c r="D959" t="s">
        <v>3077</v>
      </c>
      <c r="E959" t="s">
        <v>350</v>
      </c>
      <c r="F959" t="s">
        <v>305</v>
      </c>
      <c r="G959" t="s">
        <v>304</v>
      </c>
      <c r="H959" t="s">
        <v>30</v>
      </c>
      <c r="I959" t="s">
        <v>31</v>
      </c>
      <c r="J959" t="s">
        <v>43</v>
      </c>
      <c r="K959" t="s">
        <v>44</v>
      </c>
      <c r="L959" t="s">
        <v>73</v>
      </c>
      <c r="M959" t="s">
        <v>263</v>
      </c>
      <c r="N959" t="s">
        <v>60</v>
      </c>
      <c r="P959" t="s">
        <v>47</v>
      </c>
      <c r="Q959" t="s">
        <v>47</v>
      </c>
      <c r="R959" s="5">
        <v>42466.27542824074</v>
      </c>
      <c r="S959" s="5">
        <v>42648.772314814814</v>
      </c>
      <c r="T959" t="s">
        <v>317</v>
      </c>
      <c r="U959" t="s">
        <v>35</v>
      </c>
      <c r="V959" s="3" t="s">
        <v>35</v>
      </c>
      <c r="W959" s="3" t="s">
        <v>133</v>
      </c>
      <c r="AM959" s="5"/>
      <c r="AN959" s="5"/>
      <c r="AQ959" s="6"/>
    </row>
    <row r="960" spans="2:43" x14ac:dyDescent="0.25">
      <c r="B960" t="s">
        <v>3076</v>
      </c>
      <c r="C960">
        <v>80257</v>
      </c>
      <c r="D960" t="s">
        <v>349</v>
      </c>
      <c r="E960" t="s">
        <v>350</v>
      </c>
      <c r="F960" t="s">
        <v>305</v>
      </c>
      <c r="G960" t="s">
        <v>304</v>
      </c>
      <c r="H960" t="s">
        <v>30</v>
      </c>
      <c r="I960" t="s">
        <v>31</v>
      </c>
      <c r="J960" t="s">
        <v>43</v>
      </c>
      <c r="K960" t="s">
        <v>44</v>
      </c>
      <c r="L960" t="s">
        <v>73</v>
      </c>
      <c r="M960" t="s">
        <v>263</v>
      </c>
      <c r="N960" t="s">
        <v>46</v>
      </c>
      <c r="P960" t="s">
        <v>47</v>
      </c>
      <c r="Q960" t="s">
        <v>47</v>
      </c>
      <c r="R960" s="5">
        <v>42465.853298611109</v>
      </c>
      <c r="S960" s="5">
        <v>42871.699826388889</v>
      </c>
      <c r="T960" t="s">
        <v>1</v>
      </c>
      <c r="U960" t="s">
        <v>35</v>
      </c>
      <c r="V960" s="3" t="s">
        <v>35</v>
      </c>
      <c r="W960" s="3" t="s">
        <v>4098</v>
      </c>
      <c r="AM960" s="5"/>
      <c r="AN960" s="5"/>
      <c r="AQ960" s="6"/>
    </row>
    <row r="961" spans="2:43" x14ac:dyDescent="0.25">
      <c r="B961" t="s">
        <v>3063</v>
      </c>
      <c r="C961">
        <v>80076</v>
      </c>
      <c r="D961" t="s">
        <v>3075</v>
      </c>
      <c r="E961" t="s">
        <v>136</v>
      </c>
      <c r="F961" t="s">
        <v>305</v>
      </c>
      <c r="G961" t="s">
        <v>337</v>
      </c>
      <c r="H961" t="s">
        <v>30</v>
      </c>
      <c r="I961" t="s">
        <v>31</v>
      </c>
      <c r="J961" t="s">
        <v>43</v>
      </c>
      <c r="K961" t="s">
        <v>44</v>
      </c>
      <c r="L961" t="s">
        <v>106</v>
      </c>
      <c r="M961" t="s">
        <v>270</v>
      </c>
      <c r="N961" t="s">
        <v>46</v>
      </c>
      <c r="P961" t="s">
        <v>61</v>
      </c>
      <c r="Q961" t="s">
        <v>2769</v>
      </c>
      <c r="R961" s="5">
        <v>42461.84752314815</v>
      </c>
      <c r="S961" s="5">
        <v>42709.761828703704</v>
      </c>
      <c r="T961" t="s">
        <v>288</v>
      </c>
      <c r="U961" t="s">
        <v>35</v>
      </c>
      <c r="V961" s="3" t="s">
        <v>35</v>
      </c>
      <c r="W961" s="3" t="s">
        <v>4156</v>
      </c>
      <c r="AM961" s="5"/>
      <c r="AN961" s="5"/>
      <c r="AQ961" s="6"/>
    </row>
    <row r="962" spans="2:43" x14ac:dyDescent="0.25">
      <c r="B962" t="s">
        <v>3063</v>
      </c>
      <c r="C962">
        <v>80075</v>
      </c>
      <c r="D962" t="s">
        <v>3074</v>
      </c>
      <c r="E962" t="s">
        <v>136</v>
      </c>
      <c r="F962" t="s">
        <v>305</v>
      </c>
      <c r="G962" t="s">
        <v>304</v>
      </c>
      <c r="H962" t="s">
        <v>30</v>
      </c>
      <c r="I962" t="s">
        <v>31</v>
      </c>
      <c r="J962" t="s">
        <v>43</v>
      </c>
      <c r="K962" t="s">
        <v>44</v>
      </c>
      <c r="L962" t="s">
        <v>106</v>
      </c>
      <c r="M962" t="s">
        <v>270</v>
      </c>
      <c r="N962" t="s">
        <v>60</v>
      </c>
      <c r="P962" t="s">
        <v>61</v>
      </c>
      <c r="Q962" t="s">
        <v>2769</v>
      </c>
      <c r="R962" s="5">
        <v>42461.846493055556</v>
      </c>
      <c r="S962" s="5">
        <v>42941.842962962961</v>
      </c>
      <c r="T962" t="s">
        <v>288</v>
      </c>
      <c r="U962" t="s">
        <v>3963</v>
      </c>
      <c r="V962" s="3" t="s">
        <v>35</v>
      </c>
      <c r="W962" s="3" t="s">
        <v>133</v>
      </c>
      <c r="AM962" s="5"/>
      <c r="AN962" s="5"/>
      <c r="AQ962" s="6"/>
    </row>
    <row r="963" spans="2:43" x14ac:dyDescent="0.25">
      <c r="B963" t="s">
        <v>3063</v>
      </c>
      <c r="C963">
        <v>80074</v>
      </c>
      <c r="D963" t="s">
        <v>3073</v>
      </c>
      <c r="E963" t="s">
        <v>136</v>
      </c>
      <c r="F963" t="s">
        <v>305</v>
      </c>
      <c r="G963" t="s">
        <v>304</v>
      </c>
      <c r="H963" t="s">
        <v>30</v>
      </c>
      <c r="I963" t="s">
        <v>31</v>
      </c>
      <c r="J963" t="s">
        <v>43</v>
      </c>
      <c r="K963" t="s">
        <v>44</v>
      </c>
      <c r="L963" t="s">
        <v>106</v>
      </c>
      <c r="M963" t="s">
        <v>270</v>
      </c>
      <c r="N963" t="s">
        <v>46</v>
      </c>
      <c r="P963" t="s">
        <v>61</v>
      </c>
      <c r="Q963" t="s">
        <v>1503</v>
      </c>
      <c r="R963" s="5">
        <v>42461.84646990741</v>
      </c>
      <c r="S963" s="5">
        <v>42929.523240740738</v>
      </c>
      <c r="T963" t="s">
        <v>288</v>
      </c>
      <c r="U963" t="s">
        <v>35</v>
      </c>
      <c r="V963" s="3" t="s">
        <v>35</v>
      </c>
      <c r="W963" s="3" t="s">
        <v>69</v>
      </c>
      <c r="AM963" s="5"/>
      <c r="AN963" s="5"/>
      <c r="AQ963" s="6"/>
    </row>
    <row r="964" spans="2:43" x14ac:dyDescent="0.25">
      <c r="B964" t="s">
        <v>3065</v>
      </c>
      <c r="C964">
        <v>79846</v>
      </c>
      <c r="D964" t="s">
        <v>3072</v>
      </c>
      <c r="E964" t="s">
        <v>387</v>
      </c>
      <c r="F964" t="s">
        <v>305</v>
      </c>
      <c r="G964" t="s">
        <v>1621</v>
      </c>
      <c r="H964" t="s">
        <v>30</v>
      </c>
      <c r="I964" t="s">
        <v>68</v>
      </c>
      <c r="J964" t="s">
        <v>43</v>
      </c>
      <c r="K964" t="s">
        <v>33</v>
      </c>
      <c r="L964" t="s">
        <v>73</v>
      </c>
      <c r="M964" t="s">
        <v>263</v>
      </c>
      <c r="N964" t="s">
        <v>46</v>
      </c>
      <c r="P964" t="s">
        <v>75</v>
      </c>
      <c r="Q964" t="s">
        <v>3067</v>
      </c>
      <c r="R964" s="5">
        <v>42459.77616898148</v>
      </c>
      <c r="S964" s="5">
        <v>42759.638148148151</v>
      </c>
      <c r="T964" t="s">
        <v>317</v>
      </c>
      <c r="U964" t="s">
        <v>35</v>
      </c>
      <c r="V964" s="3" t="s">
        <v>35</v>
      </c>
      <c r="W964" s="3" t="s">
        <v>69</v>
      </c>
      <c r="AM964" s="5"/>
      <c r="AN964" s="5"/>
      <c r="AQ964" s="6"/>
    </row>
    <row r="965" spans="2:43" x14ac:dyDescent="0.25">
      <c r="B965" t="s">
        <v>3065</v>
      </c>
      <c r="C965">
        <v>79845</v>
      </c>
      <c r="D965" t="s">
        <v>3071</v>
      </c>
      <c r="E965" t="s">
        <v>1</v>
      </c>
      <c r="F965" t="s">
        <v>305</v>
      </c>
      <c r="G965" t="s">
        <v>1621</v>
      </c>
      <c r="H965" t="s">
        <v>30</v>
      </c>
      <c r="I965" t="s">
        <v>31</v>
      </c>
      <c r="J965" t="s">
        <v>32</v>
      </c>
      <c r="K965" t="s">
        <v>33</v>
      </c>
      <c r="L965" t="s">
        <v>73</v>
      </c>
      <c r="M965" t="s">
        <v>263</v>
      </c>
      <c r="N965" t="s">
        <v>60</v>
      </c>
      <c r="P965" t="s">
        <v>75</v>
      </c>
      <c r="Q965" t="s">
        <v>3067</v>
      </c>
      <c r="R965" s="5">
        <v>42459.775925925926</v>
      </c>
      <c r="S965" s="5">
        <v>42675.805625000001</v>
      </c>
      <c r="T965" t="s">
        <v>317</v>
      </c>
      <c r="U965" t="s">
        <v>35</v>
      </c>
      <c r="V965" s="3" t="s">
        <v>35</v>
      </c>
      <c r="W965" s="3" t="s">
        <v>133</v>
      </c>
      <c r="AM965" s="5"/>
      <c r="AN965" s="5"/>
      <c r="AQ965" s="6"/>
    </row>
    <row r="966" spans="2:43" x14ac:dyDescent="0.25">
      <c r="B966" t="s">
        <v>3058</v>
      </c>
      <c r="C966">
        <v>79844</v>
      </c>
      <c r="D966" t="s">
        <v>3070</v>
      </c>
      <c r="E966" t="s">
        <v>72</v>
      </c>
      <c r="F966" t="s">
        <v>305</v>
      </c>
      <c r="G966" t="s">
        <v>395</v>
      </c>
      <c r="H966" t="s">
        <v>30</v>
      </c>
      <c r="I966" t="s">
        <v>31</v>
      </c>
      <c r="J966" t="s">
        <v>32</v>
      </c>
      <c r="K966" t="s">
        <v>33</v>
      </c>
      <c r="L966" t="s">
        <v>73</v>
      </c>
      <c r="M966" t="s">
        <v>264</v>
      </c>
      <c r="N966" t="s">
        <v>46</v>
      </c>
      <c r="P966" t="s">
        <v>75</v>
      </c>
      <c r="Q966" t="s">
        <v>75</v>
      </c>
      <c r="R966" s="5">
        <v>42459.775254629632</v>
      </c>
      <c r="S966" s="5">
        <v>42759.637858796297</v>
      </c>
      <c r="T966" t="s">
        <v>317</v>
      </c>
      <c r="U966" t="s">
        <v>35</v>
      </c>
      <c r="V966" s="3" t="s">
        <v>321</v>
      </c>
      <c r="W966" s="3" t="s">
        <v>69</v>
      </c>
      <c r="AM966" s="5"/>
      <c r="AN966" s="5"/>
      <c r="AQ966" s="6"/>
    </row>
    <row r="967" spans="2:43" x14ac:dyDescent="0.25">
      <c r="B967" t="s">
        <v>3058</v>
      </c>
      <c r="C967">
        <v>79843</v>
      </c>
      <c r="D967" t="s">
        <v>3069</v>
      </c>
      <c r="E967" t="s">
        <v>72</v>
      </c>
      <c r="F967" t="s">
        <v>305</v>
      </c>
      <c r="G967" t="s">
        <v>395</v>
      </c>
      <c r="H967" t="s">
        <v>30</v>
      </c>
      <c r="I967" t="s">
        <v>31</v>
      </c>
      <c r="J967" t="s">
        <v>32</v>
      </c>
      <c r="K967" t="s">
        <v>33</v>
      </c>
      <c r="L967" t="s">
        <v>73</v>
      </c>
      <c r="M967" t="s">
        <v>264</v>
      </c>
      <c r="N967" t="s">
        <v>60</v>
      </c>
      <c r="P967" t="s">
        <v>75</v>
      </c>
      <c r="Q967" t="s">
        <v>75</v>
      </c>
      <c r="R967" s="5">
        <v>42459.77516203704</v>
      </c>
      <c r="S967" s="5">
        <v>42759.637916666667</v>
      </c>
      <c r="T967" t="s">
        <v>317</v>
      </c>
      <c r="U967" t="s">
        <v>35</v>
      </c>
      <c r="V967" s="3" t="s">
        <v>321</v>
      </c>
      <c r="W967" s="3" t="s">
        <v>133</v>
      </c>
      <c r="AM967" s="5"/>
      <c r="AN967" s="5"/>
      <c r="AQ967" s="6"/>
    </row>
    <row r="968" spans="2:43" x14ac:dyDescent="0.25">
      <c r="B968" t="s">
        <v>3058</v>
      </c>
      <c r="C968">
        <v>79838</v>
      </c>
      <c r="D968" t="s">
        <v>3068</v>
      </c>
      <c r="E968" t="s">
        <v>72</v>
      </c>
      <c r="F968" t="s">
        <v>305</v>
      </c>
      <c r="G968" t="s">
        <v>395</v>
      </c>
      <c r="H968" t="s">
        <v>30</v>
      </c>
      <c r="I968" t="s">
        <v>31</v>
      </c>
      <c r="J968" t="s">
        <v>32</v>
      </c>
      <c r="K968" t="s">
        <v>33</v>
      </c>
      <c r="L968" t="s">
        <v>73</v>
      </c>
      <c r="M968" t="s">
        <v>264</v>
      </c>
      <c r="N968" t="s">
        <v>46</v>
      </c>
      <c r="P968" t="s">
        <v>75</v>
      </c>
      <c r="Q968" t="s">
        <v>75</v>
      </c>
      <c r="R968" s="5">
        <v>42459.650983796295</v>
      </c>
      <c r="S968" s="5">
        <v>42759.638194444444</v>
      </c>
      <c r="T968" t="s">
        <v>1</v>
      </c>
      <c r="U968" t="s">
        <v>35</v>
      </c>
      <c r="V968" s="3" t="s">
        <v>321</v>
      </c>
      <c r="W968" s="3" t="s">
        <v>4098</v>
      </c>
      <c r="AM968" s="5"/>
      <c r="AN968" s="5"/>
      <c r="AQ968" s="6"/>
    </row>
    <row r="969" spans="2:43" x14ac:dyDescent="0.25">
      <c r="B969" t="s">
        <v>3065</v>
      </c>
      <c r="C969">
        <v>79837</v>
      </c>
      <c r="D969" t="s">
        <v>3066</v>
      </c>
      <c r="E969" t="s">
        <v>301</v>
      </c>
      <c r="F969" t="s">
        <v>305</v>
      </c>
      <c r="G969" t="s">
        <v>1621</v>
      </c>
      <c r="H969" t="s">
        <v>30</v>
      </c>
      <c r="I969" t="s">
        <v>68</v>
      </c>
      <c r="J969" t="s">
        <v>43</v>
      </c>
      <c r="K969" t="s">
        <v>33</v>
      </c>
      <c r="L969" t="s">
        <v>73</v>
      </c>
      <c r="M969" t="s">
        <v>412</v>
      </c>
      <c r="N969" t="s">
        <v>46</v>
      </c>
      <c r="P969" t="s">
        <v>75</v>
      </c>
      <c r="Q969" t="s">
        <v>3067</v>
      </c>
      <c r="R969" s="5">
        <v>42459.636863425927</v>
      </c>
      <c r="S969" s="5">
        <v>42759.637870370374</v>
      </c>
      <c r="T969" t="s">
        <v>1</v>
      </c>
      <c r="U969" t="s">
        <v>35</v>
      </c>
      <c r="V969" s="3" t="s">
        <v>35</v>
      </c>
      <c r="W969" s="3" t="s">
        <v>4098</v>
      </c>
      <c r="AM969" s="5"/>
      <c r="AN969" s="5"/>
      <c r="AQ969" s="6"/>
    </row>
    <row r="970" spans="2:43" x14ac:dyDescent="0.25">
      <c r="B970" t="s">
        <v>506</v>
      </c>
      <c r="C970">
        <v>79784</v>
      </c>
      <c r="D970" t="s">
        <v>3064</v>
      </c>
      <c r="E970" t="s">
        <v>91</v>
      </c>
      <c r="F970" t="s">
        <v>305</v>
      </c>
      <c r="G970" t="s">
        <v>304</v>
      </c>
      <c r="H970" t="s">
        <v>54</v>
      </c>
      <c r="I970" t="s">
        <v>31</v>
      </c>
      <c r="J970" t="s">
        <v>32</v>
      </c>
      <c r="K970" t="s">
        <v>51</v>
      </c>
      <c r="L970" t="s">
        <v>73</v>
      </c>
      <c r="M970" t="s">
        <v>263</v>
      </c>
      <c r="N970" t="s">
        <v>518</v>
      </c>
      <c r="P970" t="s">
        <v>47</v>
      </c>
      <c r="Q970" t="s">
        <v>159</v>
      </c>
      <c r="R970" s="5">
        <v>42459.281458333331</v>
      </c>
      <c r="S970" s="5">
        <v>42948.938587962963</v>
      </c>
      <c r="T970" t="s">
        <v>361</v>
      </c>
      <c r="U970" t="s">
        <v>35</v>
      </c>
      <c r="V970" s="3" t="s">
        <v>321</v>
      </c>
      <c r="W970" s="3" t="s">
        <v>69</v>
      </c>
      <c r="AM970" s="5"/>
      <c r="AN970" s="5"/>
      <c r="AQ970" s="6"/>
    </row>
    <row r="971" spans="2:43" x14ac:dyDescent="0.25">
      <c r="B971" t="s">
        <v>3063</v>
      </c>
      <c r="C971">
        <v>79760</v>
      </c>
      <c r="D971" t="s">
        <v>351</v>
      </c>
      <c r="E971" t="s">
        <v>136</v>
      </c>
      <c r="F971" t="s">
        <v>305</v>
      </c>
      <c r="G971" t="s">
        <v>304</v>
      </c>
      <c r="H971" t="s">
        <v>30</v>
      </c>
      <c r="I971" t="s">
        <v>31</v>
      </c>
      <c r="J971" t="s">
        <v>43</v>
      </c>
      <c r="K971" t="s">
        <v>44</v>
      </c>
      <c r="L971" t="s">
        <v>106</v>
      </c>
      <c r="M971" t="s">
        <v>270</v>
      </c>
      <c r="N971" t="s">
        <v>46</v>
      </c>
      <c r="P971" t="s">
        <v>61</v>
      </c>
      <c r="Q971" t="s">
        <v>1503</v>
      </c>
      <c r="R971" s="5">
        <v>42458.928020833337</v>
      </c>
      <c r="S971" s="5">
        <v>43187.158761574072</v>
      </c>
      <c r="T971" t="s">
        <v>162</v>
      </c>
      <c r="U971" t="s">
        <v>35</v>
      </c>
      <c r="V971" s="3" t="s">
        <v>35</v>
      </c>
      <c r="W971" s="3" t="s">
        <v>4098</v>
      </c>
      <c r="AM971" s="5"/>
      <c r="AN971" s="5"/>
      <c r="AQ971" s="6"/>
    </row>
    <row r="972" spans="2:43" x14ac:dyDescent="0.25">
      <c r="B972" t="s">
        <v>3058</v>
      </c>
      <c r="C972">
        <v>79549</v>
      </c>
      <c r="D972" t="s">
        <v>3062</v>
      </c>
      <c r="E972" t="s">
        <v>405</v>
      </c>
      <c r="F972" t="s">
        <v>305</v>
      </c>
      <c r="G972" t="s">
        <v>328</v>
      </c>
      <c r="H972" t="s">
        <v>30</v>
      </c>
      <c r="I972" t="s">
        <v>31</v>
      </c>
      <c r="J972" t="s">
        <v>32</v>
      </c>
      <c r="K972" t="s">
        <v>44</v>
      </c>
      <c r="L972" t="s">
        <v>34</v>
      </c>
      <c r="M972" t="s">
        <v>258</v>
      </c>
      <c r="N972" t="s">
        <v>46</v>
      </c>
      <c r="P972" t="s">
        <v>118</v>
      </c>
      <c r="Q972" t="s">
        <v>133</v>
      </c>
      <c r="R972" s="5">
        <v>42455.275358796294</v>
      </c>
      <c r="S972" s="5">
        <v>42647.847592592596</v>
      </c>
      <c r="T972" t="s">
        <v>317</v>
      </c>
      <c r="U972" t="s">
        <v>35</v>
      </c>
      <c r="V972" s="3" t="s">
        <v>321</v>
      </c>
      <c r="W972" s="3" t="s">
        <v>69</v>
      </c>
      <c r="AM972" s="5"/>
      <c r="AN972" s="5"/>
      <c r="AQ972" s="6"/>
    </row>
    <row r="973" spans="2:43" x14ac:dyDescent="0.25">
      <c r="B973" t="s">
        <v>3058</v>
      </c>
      <c r="C973">
        <v>79548</v>
      </c>
      <c r="D973" t="s">
        <v>3061</v>
      </c>
      <c r="E973" t="s">
        <v>405</v>
      </c>
      <c r="F973" t="s">
        <v>305</v>
      </c>
      <c r="G973" t="s">
        <v>328</v>
      </c>
      <c r="H973" t="s">
        <v>30</v>
      </c>
      <c r="I973" t="s">
        <v>31</v>
      </c>
      <c r="J973" t="s">
        <v>32</v>
      </c>
      <c r="K973" t="s">
        <v>44</v>
      </c>
      <c r="L973" t="s">
        <v>34</v>
      </c>
      <c r="M973" t="s">
        <v>258</v>
      </c>
      <c r="N973" t="s">
        <v>60</v>
      </c>
      <c r="P973" t="s">
        <v>118</v>
      </c>
      <c r="Q973" t="s">
        <v>133</v>
      </c>
      <c r="R973" s="5">
        <v>42455.275046296294</v>
      </c>
      <c r="S973" s="5">
        <v>42647.849016203705</v>
      </c>
      <c r="T973" t="s">
        <v>317</v>
      </c>
      <c r="U973" t="s">
        <v>35</v>
      </c>
      <c r="V973" s="3" t="s">
        <v>321</v>
      </c>
      <c r="W973" s="3" t="s">
        <v>133</v>
      </c>
      <c r="AM973" s="5"/>
      <c r="AN973" s="5"/>
      <c r="AQ973" s="6"/>
    </row>
    <row r="974" spans="2:43" x14ac:dyDescent="0.25">
      <c r="B974" t="s">
        <v>3058</v>
      </c>
      <c r="C974">
        <v>79538</v>
      </c>
      <c r="D974" t="s">
        <v>3059</v>
      </c>
      <c r="E974" t="s">
        <v>405</v>
      </c>
      <c r="F974" t="s">
        <v>305</v>
      </c>
      <c r="G974" t="s">
        <v>328</v>
      </c>
      <c r="H974" t="s">
        <v>30</v>
      </c>
      <c r="I974" t="s">
        <v>31</v>
      </c>
      <c r="J974" t="s">
        <v>32</v>
      </c>
      <c r="K974" t="s">
        <v>44</v>
      </c>
      <c r="L974" t="s">
        <v>34</v>
      </c>
      <c r="M974" t="s">
        <v>258</v>
      </c>
      <c r="N974" t="s">
        <v>46</v>
      </c>
      <c r="O974" t="s">
        <v>3060</v>
      </c>
      <c r="P974" t="s">
        <v>118</v>
      </c>
      <c r="Q974" t="s">
        <v>65</v>
      </c>
      <c r="R974" s="5">
        <v>42454.891331018516</v>
      </c>
      <c r="S974" s="5">
        <v>42647.850983796299</v>
      </c>
      <c r="T974" t="s">
        <v>1</v>
      </c>
      <c r="U974" t="s">
        <v>35</v>
      </c>
      <c r="V974" s="3" t="s">
        <v>321</v>
      </c>
      <c r="W974" s="3" t="s">
        <v>4098</v>
      </c>
      <c r="AM974" s="5"/>
      <c r="AN974" s="5"/>
      <c r="AQ974" s="6"/>
    </row>
    <row r="975" spans="2:43" x14ac:dyDescent="0.25">
      <c r="B975" t="s">
        <v>199</v>
      </c>
      <c r="C975">
        <v>79287</v>
      </c>
      <c r="D975" t="s">
        <v>3057</v>
      </c>
      <c r="E975" t="s">
        <v>387</v>
      </c>
      <c r="F975" t="s">
        <v>305</v>
      </c>
      <c r="G975" t="s">
        <v>337</v>
      </c>
      <c r="H975" t="s">
        <v>30</v>
      </c>
      <c r="I975" t="s">
        <v>68</v>
      </c>
      <c r="J975" t="s">
        <v>43</v>
      </c>
      <c r="K975" t="s">
        <v>33</v>
      </c>
      <c r="L975" t="s">
        <v>73</v>
      </c>
      <c r="M975" t="s">
        <v>263</v>
      </c>
      <c r="N975" t="s">
        <v>46</v>
      </c>
      <c r="P975" t="s">
        <v>61</v>
      </c>
      <c r="Q975" t="s">
        <v>528</v>
      </c>
      <c r="R975" s="5">
        <v>42451.691041666665</v>
      </c>
      <c r="S975" s="5">
        <v>42564.818425925929</v>
      </c>
      <c r="T975" t="s">
        <v>317</v>
      </c>
      <c r="U975" t="s">
        <v>35</v>
      </c>
      <c r="V975" s="3" t="s">
        <v>35</v>
      </c>
      <c r="W975" s="3" t="s">
        <v>4156</v>
      </c>
      <c r="AM975" s="5"/>
      <c r="AN975" s="5"/>
      <c r="AQ975" s="6"/>
    </row>
    <row r="976" spans="2:43" x14ac:dyDescent="0.25">
      <c r="B976" t="s">
        <v>3031</v>
      </c>
      <c r="C976">
        <v>79286</v>
      </c>
      <c r="D976" t="s">
        <v>3056</v>
      </c>
      <c r="E976" t="s">
        <v>2972</v>
      </c>
      <c r="F976" t="s">
        <v>305</v>
      </c>
      <c r="G976" t="s">
        <v>328</v>
      </c>
      <c r="H976" t="s">
        <v>30</v>
      </c>
      <c r="I976" t="s">
        <v>31</v>
      </c>
      <c r="J976" t="s">
        <v>32</v>
      </c>
      <c r="K976" t="s">
        <v>51</v>
      </c>
      <c r="L976" t="s">
        <v>73</v>
      </c>
      <c r="M976" t="s">
        <v>277</v>
      </c>
      <c r="N976" t="s">
        <v>46</v>
      </c>
      <c r="P976" t="s">
        <v>65</v>
      </c>
      <c r="Q976" t="s">
        <v>3034</v>
      </c>
      <c r="R976" s="5">
        <v>42451.690844907411</v>
      </c>
      <c r="S976" s="5">
        <v>42528.689016203702</v>
      </c>
      <c r="T976" t="s">
        <v>317</v>
      </c>
      <c r="U976" t="s">
        <v>35</v>
      </c>
      <c r="V976" s="3" t="s">
        <v>35</v>
      </c>
      <c r="W976" s="3" t="s">
        <v>4156</v>
      </c>
      <c r="AM976" s="5"/>
      <c r="AN976" s="5"/>
      <c r="AQ976" s="6"/>
    </row>
    <row r="977" spans="2:43" x14ac:dyDescent="0.25">
      <c r="B977" t="s">
        <v>224</v>
      </c>
      <c r="C977">
        <v>79213</v>
      </c>
      <c r="D977" t="s">
        <v>3055</v>
      </c>
      <c r="E977" t="s">
        <v>288</v>
      </c>
      <c r="F977" t="s">
        <v>305</v>
      </c>
      <c r="G977" t="s">
        <v>337</v>
      </c>
      <c r="H977" t="s">
        <v>30</v>
      </c>
      <c r="I977" t="s">
        <v>68</v>
      </c>
      <c r="J977" t="s">
        <v>43</v>
      </c>
      <c r="K977" t="s">
        <v>33</v>
      </c>
      <c r="L977" t="s">
        <v>2529</v>
      </c>
      <c r="M977" t="s">
        <v>266</v>
      </c>
      <c r="N977" t="s">
        <v>46</v>
      </c>
      <c r="P977" t="s">
        <v>65</v>
      </c>
      <c r="Q977" t="s">
        <v>2769</v>
      </c>
      <c r="R977" s="5">
        <v>42450.926168981481</v>
      </c>
      <c r="S977" s="5">
        <v>42746.909895833334</v>
      </c>
      <c r="T977" t="s">
        <v>288</v>
      </c>
      <c r="U977" t="s">
        <v>35</v>
      </c>
      <c r="V977" s="3" t="s">
        <v>35</v>
      </c>
      <c r="W977" s="3" t="s">
        <v>4156</v>
      </c>
      <c r="AM977" s="5"/>
      <c r="AN977" s="5"/>
      <c r="AQ977" s="6"/>
    </row>
    <row r="978" spans="2:43" x14ac:dyDescent="0.25">
      <c r="B978" t="s">
        <v>224</v>
      </c>
      <c r="C978">
        <v>79212</v>
      </c>
      <c r="D978" t="s">
        <v>3053</v>
      </c>
      <c r="E978" t="s">
        <v>175</v>
      </c>
      <c r="F978" t="s">
        <v>305</v>
      </c>
      <c r="G978" t="s">
        <v>337</v>
      </c>
      <c r="H978" t="s">
        <v>54</v>
      </c>
      <c r="I978" t="s">
        <v>68</v>
      </c>
      <c r="J978" t="s">
        <v>43</v>
      </c>
      <c r="K978" t="s">
        <v>33</v>
      </c>
      <c r="L978" t="s">
        <v>2529</v>
      </c>
      <c r="M978" t="s">
        <v>266</v>
      </c>
      <c r="N978" t="s">
        <v>60</v>
      </c>
      <c r="O978" t="s">
        <v>3054</v>
      </c>
      <c r="P978" t="s">
        <v>65</v>
      </c>
      <c r="Q978" t="s">
        <v>65</v>
      </c>
      <c r="R978" s="5">
        <v>42450.923252314817</v>
      </c>
      <c r="S978" s="5">
        <v>42941.957314814812</v>
      </c>
      <c r="T978" t="s">
        <v>288</v>
      </c>
      <c r="U978" t="s">
        <v>35</v>
      </c>
      <c r="V978" s="3" t="s">
        <v>35</v>
      </c>
      <c r="W978" s="3" t="s">
        <v>133</v>
      </c>
      <c r="AM978" s="5"/>
      <c r="AN978" s="5"/>
      <c r="AQ978" s="6"/>
    </row>
    <row r="979" spans="2:43" x14ac:dyDescent="0.25">
      <c r="B979" t="s">
        <v>224</v>
      </c>
      <c r="C979">
        <v>79210</v>
      </c>
      <c r="D979" t="s">
        <v>3052</v>
      </c>
      <c r="E979" t="s">
        <v>433</v>
      </c>
      <c r="F979" t="s">
        <v>305</v>
      </c>
      <c r="G979" t="s">
        <v>337</v>
      </c>
      <c r="H979" t="s">
        <v>30</v>
      </c>
      <c r="I979" t="s">
        <v>68</v>
      </c>
      <c r="J979" t="s">
        <v>43</v>
      </c>
      <c r="K979" t="s">
        <v>33</v>
      </c>
      <c r="L979" t="s">
        <v>2529</v>
      </c>
      <c r="M979" t="s">
        <v>266</v>
      </c>
      <c r="N979" t="s">
        <v>46</v>
      </c>
      <c r="P979" t="s">
        <v>65</v>
      </c>
      <c r="Q979" t="s">
        <v>65</v>
      </c>
      <c r="R979" s="5">
        <v>42450.923229166663</v>
      </c>
      <c r="S979" s="5">
        <v>42929.391863425924</v>
      </c>
      <c r="T979" t="s">
        <v>288</v>
      </c>
      <c r="U979" t="s">
        <v>35</v>
      </c>
      <c r="V979" s="3" t="s">
        <v>35</v>
      </c>
      <c r="W979" s="3" t="s">
        <v>4155</v>
      </c>
      <c r="AM979" s="5"/>
      <c r="AN979" s="5"/>
      <c r="AQ979" s="6"/>
    </row>
    <row r="980" spans="2:43" x14ac:dyDescent="0.25">
      <c r="B980" t="s">
        <v>3046</v>
      </c>
      <c r="C980">
        <v>79050</v>
      </c>
      <c r="D980" t="s">
        <v>3051</v>
      </c>
      <c r="E980" t="s">
        <v>84</v>
      </c>
      <c r="F980" t="s">
        <v>305</v>
      </c>
      <c r="G980" t="s">
        <v>304</v>
      </c>
      <c r="H980" t="s">
        <v>30</v>
      </c>
      <c r="I980" t="s">
        <v>68</v>
      </c>
      <c r="J980" t="s">
        <v>58</v>
      </c>
      <c r="K980" t="s">
        <v>44</v>
      </c>
      <c r="L980" t="s">
        <v>73</v>
      </c>
      <c r="M980" t="s">
        <v>263</v>
      </c>
      <c r="N980" t="s">
        <v>46</v>
      </c>
      <c r="P980" t="s">
        <v>1634</v>
      </c>
      <c r="R980" s="5">
        <v>42447.244895833333</v>
      </c>
      <c r="S980" s="5">
        <v>42702.601909722223</v>
      </c>
      <c r="T980" t="s">
        <v>72</v>
      </c>
      <c r="U980" t="s">
        <v>35</v>
      </c>
      <c r="V980" s="3" t="s">
        <v>35</v>
      </c>
      <c r="W980" s="3" t="s">
        <v>3428</v>
      </c>
      <c r="AM980" s="5"/>
      <c r="AN980" s="5"/>
      <c r="AQ980" s="6"/>
    </row>
    <row r="981" spans="2:43" x14ac:dyDescent="0.25">
      <c r="B981" t="s">
        <v>199</v>
      </c>
      <c r="C981">
        <v>79035</v>
      </c>
      <c r="D981" t="s">
        <v>3050</v>
      </c>
      <c r="E981" t="s">
        <v>72</v>
      </c>
      <c r="F981" t="s">
        <v>305</v>
      </c>
      <c r="G981" t="s">
        <v>337</v>
      </c>
      <c r="H981" t="s">
        <v>30</v>
      </c>
      <c r="I981" t="s">
        <v>68</v>
      </c>
      <c r="J981" t="s">
        <v>43</v>
      </c>
      <c r="K981" t="s">
        <v>33</v>
      </c>
      <c r="L981" t="s">
        <v>73</v>
      </c>
      <c r="M981" t="s">
        <v>263</v>
      </c>
      <c r="N981" t="s">
        <v>46</v>
      </c>
      <c r="P981" t="s">
        <v>61</v>
      </c>
      <c r="Q981" t="s">
        <v>65</v>
      </c>
      <c r="R981" s="5">
        <v>42446.774872685186</v>
      </c>
      <c r="S981" s="5">
        <v>42823.8278587963</v>
      </c>
      <c r="T981" t="s">
        <v>317</v>
      </c>
      <c r="U981" t="s">
        <v>35</v>
      </c>
      <c r="V981" s="3" t="s">
        <v>35</v>
      </c>
      <c r="W981" s="3" t="s">
        <v>69</v>
      </c>
      <c r="AM981" s="5"/>
      <c r="AN981" s="5"/>
      <c r="AQ981" s="6"/>
    </row>
    <row r="982" spans="2:43" x14ac:dyDescent="0.25">
      <c r="B982" t="s">
        <v>199</v>
      </c>
      <c r="C982">
        <v>79034</v>
      </c>
      <c r="D982" t="s">
        <v>3049</v>
      </c>
      <c r="E982" t="s">
        <v>387</v>
      </c>
      <c r="F982" t="s">
        <v>305</v>
      </c>
      <c r="G982" t="s">
        <v>337</v>
      </c>
      <c r="H982" t="s">
        <v>30</v>
      </c>
      <c r="I982" t="s">
        <v>68</v>
      </c>
      <c r="J982" t="s">
        <v>43</v>
      </c>
      <c r="K982" t="s">
        <v>33</v>
      </c>
      <c r="L982" t="s">
        <v>73</v>
      </c>
      <c r="M982" t="s">
        <v>263</v>
      </c>
      <c r="N982" t="s">
        <v>46</v>
      </c>
      <c r="P982" t="s">
        <v>61</v>
      </c>
      <c r="Q982" t="s">
        <v>2481</v>
      </c>
      <c r="R982" s="5">
        <v>42446.774780092594</v>
      </c>
      <c r="S982" s="5">
        <v>42842.681863425925</v>
      </c>
      <c r="T982" t="s">
        <v>317</v>
      </c>
      <c r="U982" t="s">
        <v>35</v>
      </c>
      <c r="V982" s="3" t="s">
        <v>35</v>
      </c>
      <c r="W982" s="3" t="s">
        <v>133</v>
      </c>
      <c r="AM982" s="5"/>
      <c r="AN982" s="5"/>
      <c r="AQ982" s="6"/>
    </row>
    <row r="983" spans="2:43" x14ac:dyDescent="0.25">
      <c r="B983" t="s">
        <v>199</v>
      </c>
      <c r="C983">
        <v>79031</v>
      </c>
      <c r="D983" t="s">
        <v>71</v>
      </c>
      <c r="E983" t="s">
        <v>435</v>
      </c>
      <c r="F983" t="s">
        <v>42</v>
      </c>
      <c r="H983" t="s">
        <v>30</v>
      </c>
      <c r="I983" t="s">
        <v>68</v>
      </c>
      <c r="J983" t="s">
        <v>43</v>
      </c>
      <c r="K983" t="s">
        <v>33</v>
      </c>
      <c r="L983" t="s">
        <v>73</v>
      </c>
      <c r="M983" t="s">
        <v>263</v>
      </c>
      <c r="N983" t="s">
        <v>46</v>
      </c>
      <c r="P983" t="s">
        <v>61</v>
      </c>
      <c r="R983" s="5">
        <v>42446.756539351853</v>
      </c>
      <c r="S983" s="5">
        <v>43050.276770833334</v>
      </c>
      <c r="T983" t="s">
        <v>1</v>
      </c>
      <c r="U983" t="s">
        <v>35</v>
      </c>
      <c r="V983" s="3" t="s">
        <v>35</v>
      </c>
      <c r="W983" s="3" t="s">
        <v>4098</v>
      </c>
      <c r="AM983" s="5"/>
      <c r="AN983" s="5"/>
      <c r="AQ983" s="6"/>
    </row>
    <row r="984" spans="2:43" x14ac:dyDescent="0.25">
      <c r="B984" t="s">
        <v>3046</v>
      </c>
      <c r="C984">
        <v>79021</v>
      </c>
      <c r="D984" t="s">
        <v>3047</v>
      </c>
      <c r="E984" t="s">
        <v>84</v>
      </c>
      <c r="F984" t="s">
        <v>305</v>
      </c>
      <c r="G984" t="s">
        <v>304</v>
      </c>
      <c r="H984" t="s">
        <v>30</v>
      </c>
      <c r="I984" t="s">
        <v>68</v>
      </c>
      <c r="J984" t="s">
        <v>58</v>
      </c>
      <c r="K984" t="s">
        <v>44</v>
      </c>
      <c r="L984" t="s">
        <v>73</v>
      </c>
      <c r="M984" t="s">
        <v>263</v>
      </c>
      <c r="N984" t="s">
        <v>46</v>
      </c>
      <c r="O984" t="s">
        <v>3048</v>
      </c>
      <c r="P984" t="s">
        <v>1634</v>
      </c>
      <c r="Q984" t="s">
        <v>159</v>
      </c>
      <c r="R984" s="5">
        <v>42446.655069444445</v>
      </c>
      <c r="S984" s="5">
        <v>42909.681863425925</v>
      </c>
      <c r="T984" t="s">
        <v>86</v>
      </c>
      <c r="U984" t="s">
        <v>35</v>
      </c>
      <c r="V984" s="3" t="s">
        <v>35</v>
      </c>
      <c r="W984" s="3" t="s">
        <v>4098</v>
      </c>
      <c r="AM984" s="5"/>
      <c r="AN984" s="5"/>
      <c r="AQ984" s="6"/>
    </row>
    <row r="985" spans="2:43" x14ac:dyDescent="0.25">
      <c r="B985" t="s">
        <v>2993</v>
      </c>
      <c r="C985">
        <v>78958</v>
      </c>
      <c r="D985" t="s">
        <v>3045</v>
      </c>
      <c r="E985" t="s">
        <v>2988</v>
      </c>
      <c r="F985" t="s">
        <v>305</v>
      </c>
      <c r="G985" t="s">
        <v>304</v>
      </c>
      <c r="H985" t="s">
        <v>30</v>
      </c>
      <c r="I985" t="s">
        <v>68</v>
      </c>
      <c r="J985" t="s">
        <v>43</v>
      </c>
      <c r="K985" t="s">
        <v>33</v>
      </c>
      <c r="L985" t="s">
        <v>96</v>
      </c>
      <c r="M985" t="s">
        <v>267</v>
      </c>
      <c r="N985" t="s">
        <v>46</v>
      </c>
      <c r="P985" t="s">
        <v>65</v>
      </c>
      <c r="Q985" t="s">
        <v>65</v>
      </c>
      <c r="R985" s="5">
        <v>42445.774756944447</v>
      </c>
      <c r="S985" s="5">
        <v>42927.737210648149</v>
      </c>
      <c r="T985" t="s">
        <v>317</v>
      </c>
      <c r="U985" t="s">
        <v>3976</v>
      </c>
      <c r="V985" s="3" t="s">
        <v>35</v>
      </c>
      <c r="W985" s="3" t="s">
        <v>69</v>
      </c>
      <c r="AM985" s="5"/>
      <c r="AN985" s="5"/>
      <c r="AQ985" s="6"/>
    </row>
    <row r="986" spans="2:43" x14ac:dyDescent="0.25">
      <c r="B986" t="s">
        <v>2993</v>
      </c>
      <c r="C986">
        <v>78957</v>
      </c>
      <c r="D986" t="s">
        <v>3044</v>
      </c>
      <c r="E986" t="s">
        <v>2988</v>
      </c>
      <c r="F986" t="s">
        <v>305</v>
      </c>
      <c r="G986" t="s">
        <v>337</v>
      </c>
      <c r="H986" t="s">
        <v>30</v>
      </c>
      <c r="I986" t="s">
        <v>68</v>
      </c>
      <c r="J986" t="s">
        <v>43</v>
      </c>
      <c r="K986" t="s">
        <v>33</v>
      </c>
      <c r="L986" t="s">
        <v>96</v>
      </c>
      <c r="M986" t="s">
        <v>267</v>
      </c>
      <c r="N986" t="s">
        <v>46</v>
      </c>
      <c r="P986" t="s">
        <v>65</v>
      </c>
      <c r="Q986" t="s">
        <v>65</v>
      </c>
      <c r="R986" s="5">
        <v>42445.774699074071</v>
      </c>
      <c r="S986" s="5">
        <v>42772.974363425928</v>
      </c>
      <c r="T986" t="s">
        <v>317</v>
      </c>
      <c r="U986" t="s">
        <v>35</v>
      </c>
      <c r="V986" s="3" t="s">
        <v>35</v>
      </c>
      <c r="W986" s="3" t="s">
        <v>133</v>
      </c>
      <c r="AM986" s="5"/>
      <c r="AN986" s="5"/>
      <c r="AQ986" s="6"/>
    </row>
    <row r="987" spans="2:43" x14ac:dyDescent="0.25">
      <c r="B987" t="s">
        <v>3031</v>
      </c>
      <c r="C987">
        <v>78886</v>
      </c>
      <c r="D987" t="s">
        <v>3043</v>
      </c>
      <c r="E987" t="s">
        <v>3033</v>
      </c>
      <c r="F987" t="s">
        <v>305</v>
      </c>
      <c r="G987" t="s">
        <v>328</v>
      </c>
      <c r="H987" t="s">
        <v>30</v>
      </c>
      <c r="I987" t="s">
        <v>31</v>
      </c>
      <c r="J987" t="s">
        <v>32</v>
      </c>
      <c r="K987" t="s">
        <v>51</v>
      </c>
      <c r="L987" t="s">
        <v>73</v>
      </c>
      <c r="M987" t="s">
        <v>264</v>
      </c>
      <c r="N987" t="s">
        <v>46</v>
      </c>
      <c r="P987" t="s">
        <v>65</v>
      </c>
      <c r="Q987" t="s">
        <v>3034</v>
      </c>
      <c r="R987" s="5">
        <v>42445.274872685186</v>
      </c>
      <c r="S987" s="5">
        <v>42759.630844907406</v>
      </c>
      <c r="T987" t="s">
        <v>317</v>
      </c>
      <c r="U987" t="s">
        <v>35</v>
      </c>
      <c r="V987" s="3" t="s">
        <v>35</v>
      </c>
      <c r="W987" s="3" t="s">
        <v>69</v>
      </c>
      <c r="AM987" s="5"/>
      <c r="AN987" s="5"/>
      <c r="AQ987" s="6"/>
    </row>
    <row r="988" spans="2:43" x14ac:dyDescent="0.25">
      <c r="B988" t="s">
        <v>3031</v>
      </c>
      <c r="C988">
        <v>78885</v>
      </c>
      <c r="D988" t="s">
        <v>3042</v>
      </c>
      <c r="E988" t="s">
        <v>3033</v>
      </c>
      <c r="F988" t="s">
        <v>305</v>
      </c>
      <c r="G988" t="s">
        <v>328</v>
      </c>
      <c r="H988" t="s">
        <v>30</v>
      </c>
      <c r="I988" t="s">
        <v>31</v>
      </c>
      <c r="J988" t="s">
        <v>32</v>
      </c>
      <c r="K988" t="s">
        <v>51</v>
      </c>
      <c r="L988" t="s">
        <v>73</v>
      </c>
      <c r="M988" t="s">
        <v>264</v>
      </c>
      <c r="N988" t="s">
        <v>60</v>
      </c>
      <c r="P988" t="s">
        <v>65</v>
      </c>
      <c r="Q988" t="s">
        <v>3034</v>
      </c>
      <c r="R988" s="5">
        <v>42445.274756944447</v>
      </c>
      <c r="S988" s="5">
        <v>42759.631180555552</v>
      </c>
      <c r="T988" t="s">
        <v>317</v>
      </c>
      <c r="U988" t="s">
        <v>35</v>
      </c>
      <c r="V988" s="3" t="s">
        <v>35</v>
      </c>
      <c r="W988" s="3" t="s">
        <v>133</v>
      </c>
      <c r="AM988" s="5"/>
      <c r="AN988" s="5"/>
      <c r="AQ988" s="6"/>
    </row>
    <row r="989" spans="2:43" x14ac:dyDescent="0.25">
      <c r="B989" t="s">
        <v>2278</v>
      </c>
      <c r="C989">
        <v>78884</v>
      </c>
      <c r="D989" t="s">
        <v>3040</v>
      </c>
      <c r="E989" t="s">
        <v>84</v>
      </c>
      <c r="F989" t="s">
        <v>305</v>
      </c>
      <c r="G989" t="s">
        <v>304</v>
      </c>
      <c r="H989" t="s">
        <v>30</v>
      </c>
      <c r="I989" t="s">
        <v>31</v>
      </c>
      <c r="J989" t="s">
        <v>43</v>
      </c>
      <c r="K989" t="s">
        <v>44</v>
      </c>
      <c r="L989" t="s">
        <v>73</v>
      </c>
      <c r="M989" t="s">
        <v>263</v>
      </c>
      <c r="N989" t="s">
        <v>46</v>
      </c>
      <c r="P989" t="s">
        <v>2121</v>
      </c>
      <c r="Q989" t="s">
        <v>3041</v>
      </c>
      <c r="R989" s="5">
        <v>42445.265613425923</v>
      </c>
      <c r="S989" s="5">
        <v>42907.351701388892</v>
      </c>
      <c r="T989" t="s">
        <v>72</v>
      </c>
      <c r="U989" t="s">
        <v>35</v>
      </c>
      <c r="V989" s="3" t="s">
        <v>35</v>
      </c>
      <c r="W989" s="3" t="s">
        <v>3661</v>
      </c>
      <c r="AM989" s="5"/>
      <c r="AN989" s="5"/>
      <c r="AQ989" s="6"/>
    </row>
    <row r="990" spans="2:43" x14ac:dyDescent="0.25">
      <c r="B990" t="s">
        <v>2278</v>
      </c>
      <c r="C990">
        <v>78883</v>
      </c>
      <c r="D990" t="s">
        <v>3038</v>
      </c>
      <c r="E990" t="s">
        <v>84</v>
      </c>
      <c r="F990" t="s">
        <v>305</v>
      </c>
      <c r="G990" t="s">
        <v>304</v>
      </c>
      <c r="H990" t="s">
        <v>30</v>
      </c>
      <c r="I990" t="s">
        <v>31</v>
      </c>
      <c r="J990" t="s">
        <v>43</v>
      </c>
      <c r="K990" t="s">
        <v>44</v>
      </c>
      <c r="L990" t="s">
        <v>73</v>
      </c>
      <c r="M990" t="s">
        <v>263</v>
      </c>
      <c r="N990" t="s">
        <v>46</v>
      </c>
      <c r="P990" t="s">
        <v>2121</v>
      </c>
      <c r="Q990" t="s">
        <v>3039</v>
      </c>
      <c r="R990" s="5">
        <v>42445.253611111111</v>
      </c>
      <c r="S990" s="5">
        <v>42648.772199074076</v>
      </c>
      <c r="T990" t="s">
        <v>72</v>
      </c>
      <c r="U990" t="s">
        <v>35</v>
      </c>
      <c r="V990" s="3" t="s">
        <v>35</v>
      </c>
      <c r="W990" s="3" t="s">
        <v>3233</v>
      </c>
      <c r="AM990" s="5"/>
      <c r="AN990" s="5"/>
      <c r="AQ990" s="6"/>
    </row>
    <row r="991" spans="2:43" x14ac:dyDescent="0.25">
      <c r="B991" t="s">
        <v>2278</v>
      </c>
      <c r="C991">
        <v>78882</v>
      </c>
      <c r="D991" t="s">
        <v>3036</v>
      </c>
      <c r="E991" t="s">
        <v>84</v>
      </c>
      <c r="F991" t="s">
        <v>305</v>
      </c>
      <c r="G991" t="s">
        <v>310</v>
      </c>
      <c r="H991" t="s">
        <v>30</v>
      </c>
      <c r="I991" t="s">
        <v>31</v>
      </c>
      <c r="J991" t="s">
        <v>43</v>
      </c>
      <c r="K991" t="s">
        <v>44</v>
      </c>
      <c r="L991" t="s">
        <v>73</v>
      </c>
      <c r="M991" t="s">
        <v>263</v>
      </c>
      <c r="N991" t="s">
        <v>46</v>
      </c>
      <c r="P991" t="s">
        <v>2121</v>
      </c>
      <c r="Q991" t="s">
        <v>3037</v>
      </c>
      <c r="R991" s="5">
        <v>42445.252638888887</v>
      </c>
      <c r="S991" s="5">
        <v>42678.651516203703</v>
      </c>
      <c r="T991" t="s">
        <v>72</v>
      </c>
      <c r="U991" t="s">
        <v>35</v>
      </c>
      <c r="V991" s="3" t="s">
        <v>35</v>
      </c>
      <c r="W991" s="3" t="s">
        <v>3039</v>
      </c>
      <c r="AM991" s="5"/>
      <c r="AN991" s="5"/>
      <c r="AQ991" s="6"/>
    </row>
    <row r="992" spans="2:43" x14ac:dyDescent="0.25">
      <c r="B992" t="s">
        <v>2278</v>
      </c>
      <c r="C992">
        <v>78881</v>
      </c>
      <c r="D992" t="s">
        <v>3035</v>
      </c>
      <c r="E992" t="s">
        <v>361</v>
      </c>
      <c r="F992" t="s">
        <v>305</v>
      </c>
      <c r="G992" t="s">
        <v>337</v>
      </c>
      <c r="H992" t="s">
        <v>30</v>
      </c>
      <c r="I992" t="s">
        <v>31</v>
      </c>
      <c r="J992" t="s">
        <v>43</v>
      </c>
      <c r="K992" t="s">
        <v>44</v>
      </c>
      <c r="L992" t="s">
        <v>73</v>
      </c>
      <c r="M992" t="s">
        <v>263</v>
      </c>
      <c r="N992" t="s">
        <v>46</v>
      </c>
      <c r="P992" t="s">
        <v>2121</v>
      </c>
      <c r="Q992" t="s">
        <v>3028</v>
      </c>
      <c r="R992" s="5">
        <v>42445.251585648148</v>
      </c>
      <c r="S992" s="5">
        <v>42993.469537037039</v>
      </c>
      <c r="T992" t="s">
        <v>72</v>
      </c>
      <c r="U992" t="s">
        <v>35</v>
      </c>
      <c r="V992" s="3" t="s">
        <v>35</v>
      </c>
      <c r="W992" s="3" t="s">
        <v>3028</v>
      </c>
      <c r="AM992" s="5"/>
      <c r="AN992" s="5"/>
      <c r="AQ992" s="6"/>
    </row>
    <row r="993" spans="2:43" x14ac:dyDescent="0.25">
      <c r="B993" t="s">
        <v>3031</v>
      </c>
      <c r="C993">
        <v>78873</v>
      </c>
      <c r="D993" t="s">
        <v>3032</v>
      </c>
      <c r="E993" t="s">
        <v>3033</v>
      </c>
      <c r="F993" t="s">
        <v>305</v>
      </c>
      <c r="G993" t="s">
        <v>328</v>
      </c>
      <c r="H993" t="s">
        <v>30</v>
      </c>
      <c r="I993" t="s">
        <v>31</v>
      </c>
      <c r="J993" t="s">
        <v>32</v>
      </c>
      <c r="K993" t="s">
        <v>44</v>
      </c>
      <c r="L993" t="s">
        <v>73</v>
      </c>
      <c r="M993" t="s">
        <v>277</v>
      </c>
      <c r="N993" t="s">
        <v>46</v>
      </c>
      <c r="P993" t="s">
        <v>65</v>
      </c>
      <c r="Q993" t="s">
        <v>3034</v>
      </c>
      <c r="R993" s="5">
        <v>42444.895289351851</v>
      </c>
      <c r="S993" s="5">
        <v>42759.631319444445</v>
      </c>
      <c r="T993" t="s">
        <v>1</v>
      </c>
      <c r="U993" t="s">
        <v>35</v>
      </c>
      <c r="V993" s="3" t="s">
        <v>35</v>
      </c>
      <c r="W993" s="3" t="s">
        <v>4098</v>
      </c>
      <c r="AM993" s="5"/>
      <c r="AN993" s="5"/>
      <c r="AQ993" s="6"/>
    </row>
    <row r="994" spans="2:43" x14ac:dyDescent="0.25">
      <c r="B994" t="s">
        <v>2278</v>
      </c>
      <c r="C994">
        <v>78860</v>
      </c>
      <c r="D994" t="s">
        <v>3030</v>
      </c>
      <c r="E994" t="s">
        <v>84</v>
      </c>
      <c r="F994" t="s">
        <v>305</v>
      </c>
      <c r="G994" t="s">
        <v>310</v>
      </c>
      <c r="H994" t="s">
        <v>30</v>
      </c>
      <c r="I994" t="s">
        <v>31</v>
      </c>
      <c r="J994" t="s">
        <v>43</v>
      </c>
      <c r="K994" t="s">
        <v>44</v>
      </c>
      <c r="L994" t="s">
        <v>73</v>
      </c>
      <c r="M994" t="s">
        <v>273</v>
      </c>
      <c r="N994" t="s">
        <v>46</v>
      </c>
      <c r="P994" t="s">
        <v>2121</v>
      </c>
      <c r="Q994" t="s">
        <v>2121</v>
      </c>
      <c r="R994" s="5">
        <v>42444.774791666663</v>
      </c>
      <c r="S994" s="5">
        <v>42678.670428240737</v>
      </c>
      <c r="T994" t="s">
        <v>317</v>
      </c>
      <c r="U994" t="s">
        <v>35</v>
      </c>
      <c r="V994" s="3" t="s">
        <v>35</v>
      </c>
      <c r="W994" s="3" t="s">
        <v>69</v>
      </c>
      <c r="AM994" s="5"/>
      <c r="AN994" s="5"/>
      <c r="AQ994" s="6"/>
    </row>
    <row r="995" spans="2:43" x14ac:dyDescent="0.25">
      <c r="B995" t="s">
        <v>2278</v>
      </c>
      <c r="C995">
        <v>78859</v>
      </c>
      <c r="D995" t="s">
        <v>3029</v>
      </c>
      <c r="E995" t="s">
        <v>84</v>
      </c>
      <c r="F995" t="s">
        <v>305</v>
      </c>
      <c r="G995" t="s">
        <v>310</v>
      </c>
      <c r="H995" t="s">
        <v>30</v>
      </c>
      <c r="I995" t="s">
        <v>31</v>
      </c>
      <c r="J995" t="s">
        <v>43</v>
      </c>
      <c r="K995" t="s">
        <v>44</v>
      </c>
      <c r="L995" t="s">
        <v>73</v>
      </c>
      <c r="M995" t="s">
        <v>273</v>
      </c>
      <c r="N995" t="s">
        <v>46</v>
      </c>
      <c r="P995" t="s">
        <v>2121</v>
      </c>
      <c r="Q995" t="s">
        <v>2121</v>
      </c>
      <c r="R995" s="5">
        <v>42444.774710648147</v>
      </c>
      <c r="S995" s="5">
        <v>42563.851840277777</v>
      </c>
      <c r="T995" t="s">
        <v>317</v>
      </c>
      <c r="U995" t="s">
        <v>3972</v>
      </c>
      <c r="V995" s="3" t="s">
        <v>35</v>
      </c>
      <c r="W995" s="3" t="s">
        <v>133</v>
      </c>
      <c r="AM995" s="5"/>
      <c r="AN995" s="5"/>
      <c r="AQ995" s="6"/>
    </row>
    <row r="996" spans="2:43" x14ac:dyDescent="0.25">
      <c r="B996" t="s">
        <v>2278</v>
      </c>
      <c r="C996">
        <v>78858</v>
      </c>
      <c r="D996" t="s">
        <v>3027</v>
      </c>
      <c r="E996" t="s">
        <v>84</v>
      </c>
      <c r="F996" t="s">
        <v>305</v>
      </c>
      <c r="G996" t="s">
        <v>304</v>
      </c>
      <c r="H996" t="s">
        <v>30</v>
      </c>
      <c r="I996" t="s">
        <v>31</v>
      </c>
      <c r="J996" t="s">
        <v>43</v>
      </c>
      <c r="K996" t="s">
        <v>44</v>
      </c>
      <c r="L996" t="s">
        <v>73</v>
      </c>
      <c r="M996" t="s">
        <v>263</v>
      </c>
      <c r="N996" t="s">
        <v>46</v>
      </c>
      <c r="P996" t="s">
        <v>2121</v>
      </c>
      <c r="Q996" t="s">
        <v>3028</v>
      </c>
      <c r="R996" s="5">
        <v>42444.733148148145</v>
      </c>
      <c r="S996" s="5">
        <v>42993.472743055558</v>
      </c>
      <c r="T996" t="s">
        <v>3</v>
      </c>
      <c r="U996" t="s">
        <v>35</v>
      </c>
      <c r="V996" s="3" t="s">
        <v>35</v>
      </c>
      <c r="W996" s="3" t="s">
        <v>4098</v>
      </c>
      <c r="AM996" s="5"/>
      <c r="AN996" s="5"/>
      <c r="AQ996" s="6"/>
    </row>
    <row r="997" spans="2:43" x14ac:dyDescent="0.25">
      <c r="B997" t="s">
        <v>2986</v>
      </c>
      <c r="C997">
        <v>78782</v>
      </c>
      <c r="D997" t="s">
        <v>3025</v>
      </c>
      <c r="E997" t="s">
        <v>330</v>
      </c>
      <c r="F997" t="s">
        <v>305</v>
      </c>
      <c r="G997" t="s">
        <v>337</v>
      </c>
      <c r="H997" t="s">
        <v>30</v>
      </c>
      <c r="I997" t="s">
        <v>68</v>
      </c>
      <c r="J997" t="s">
        <v>43</v>
      </c>
      <c r="K997" t="s">
        <v>33</v>
      </c>
      <c r="L997" t="s">
        <v>73</v>
      </c>
      <c r="M997" t="s">
        <v>263</v>
      </c>
      <c r="N997" t="s">
        <v>46</v>
      </c>
      <c r="P997" t="s">
        <v>65</v>
      </c>
      <c r="Q997" t="s">
        <v>3026</v>
      </c>
      <c r="R997" s="5">
        <v>42444.226539351854</v>
      </c>
      <c r="S997" s="5">
        <v>42678.682013888887</v>
      </c>
      <c r="T997" t="s">
        <v>317</v>
      </c>
      <c r="U997" t="s">
        <v>35</v>
      </c>
      <c r="V997" s="3" t="s">
        <v>35</v>
      </c>
      <c r="W997" s="3" t="s">
        <v>4156</v>
      </c>
      <c r="AM997" s="5"/>
      <c r="AN997" s="5"/>
      <c r="AQ997" s="6"/>
    </row>
    <row r="998" spans="2:43" x14ac:dyDescent="0.25">
      <c r="B998" t="s">
        <v>2958</v>
      </c>
      <c r="C998">
        <v>78779</v>
      </c>
      <c r="D998" t="s">
        <v>3024</v>
      </c>
      <c r="E998" t="s">
        <v>2960</v>
      </c>
      <c r="F998" t="s">
        <v>305</v>
      </c>
      <c r="G998" t="s">
        <v>337</v>
      </c>
      <c r="H998" t="s">
        <v>30</v>
      </c>
      <c r="I998" t="s">
        <v>31</v>
      </c>
      <c r="J998" t="s">
        <v>32</v>
      </c>
      <c r="K998" t="s">
        <v>33</v>
      </c>
      <c r="L998" t="s">
        <v>73</v>
      </c>
      <c r="M998" t="s">
        <v>273</v>
      </c>
      <c r="N998" t="s">
        <v>46</v>
      </c>
      <c r="P998" t="s">
        <v>61</v>
      </c>
      <c r="Q998" t="s">
        <v>61</v>
      </c>
      <c r="R998" s="5">
        <v>42444.201226851852</v>
      </c>
      <c r="S998" s="5">
        <v>42709.761886574073</v>
      </c>
      <c r="T998" t="s">
        <v>317</v>
      </c>
      <c r="U998" t="s">
        <v>35</v>
      </c>
      <c r="V998" s="3" t="s">
        <v>321</v>
      </c>
      <c r="W998" s="3" t="s">
        <v>4156</v>
      </c>
      <c r="AM998" s="5"/>
      <c r="AN998" s="5"/>
      <c r="AQ998" s="6"/>
    </row>
    <row r="999" spans="2:43" x14ac:dyDescent="0.25">
      <c r="B999" t="s">
        <v>2436</v>
      </c>
      <c r="C999">
        <v>78778</v>
      </c>
      <c r="D999" t="s">
        <v>3022</v>
      </c>
      <c r="E999" t="s">
        <v>139</v>
      </c>
      <c r="F999" t="s">
        <v>305</v>
      </c>
      <c r="G999" t="s">
        <v>337</v>
      </c>
      <c r="H999" t="s">
        <v>30</v>
      </c>
      <c r="I999" t="s">
        <v>68</v>
      </c>
      <c r="J999" t="s">
        <v>43</v>
      </c>
      <c r="K999" t="s">
        <v>33</v>
      </c>
      <c r="L999" t="s">
        <v>73</v>
      </c>
      <c r="M999" t="s">
        <v>263</v>
      </c>
      <c r="N999" t="s">
        <v>46</v>
      </c>
      <c r="O999" t="s">
        <v>2111</v>
      </c>
      <c r="P999" t="s">
        <v>491</v>
      </c>
      <c r="Q999" t="s">
        <v>3023</v>
      </c>
      <c r="R999" s="5">
        <v>42444.200543981482</v>
      </c>
      <c r="S999" s="5">
        <v>42678.648055555554</v>
      </c>
      <c r="T999" t="s">
        <v>317</v>
      </c>
      <c r="U999" t="s">
        <v>35</v>
      </c>
      <c r="V999" s="3" t="s">
        <v>35</v>
      </c>
      <c r="W999" s="3" t="s">
        <v>4156</v>
      </c>
      <c r="AM999" s="5"/>
      <c r="AN999" s="5"/>
      <c r="AQ999" s="6"/>
    </row>
    <row r="1000" spans="2:43" x14ac:dyDescent="0.25">
      <c r="B1000" t="s">
        <v>2998</v>
      </c>
      <c r="C1000">
        <v>78775</v>
      </c>
      <c r="D1000" t="s">
        <v>3021</v>
      </c>
      <c r="E1000" t="s">
        <v>82</v>
      </c>
      <c r="F1000" t="s">
        <v>305</v>
      </c>
      <c r="G1000" t="s">
        <v>337</v>
      </c>
      <c r="H1000" t="s">
        <v>30</v>
      </c>
      <c r="I1000" t="s">
        <v>68</v>
      </c>
      <c r="J1000" t="s">
        <v>43</v>
      </c>
      <c r="K1000" t="s">
        <v>33</v>
      </c>
      <c r="L1000" t="s">
        <v>73</v>
      </c>
      <c r="M1000" t="s">
        <v>264</v>
      </c>
      <c r="N1000" t="s">
        <v>46</v>
      </c>
      <c r="P1000" t="s">
        <v>3000</v>
      </c>
      <c r="Q1000" t="s">
        <v>3000</v>
      </c>
      <c r="R1000" s="5">
        <v>42444.179270833331</v>
      </c>
      <c r="S1000" s="5">
        <v>42678.647997685184</v>
      </c>
      <c r="T1000" t="s">
        <v>317</v>
      </c>
      <c r="U1000" t="s">
        <v>35</v>
      </c>
      <c r="V1000" s="3" t="s">
        <v>35</v>
      </c>
      <c r="W1000" s="3" t="s">
        <v>4156</v>
      </c>
      <c r="AM1000" s="5"/>
      <c r="AN1000" s="5"/>
      <c r="AQ1000" s="6"/>
    </row>
    <row r="1001" spans="2:43" x14ac:dyDescent="0.25">
      <c r="B1001" t="s">
        <v>2866</v>
      </c>
      <c r="C1001">
        <v>78774</v>
      </c>
      <c r="D1001" t="s">
        <v>3020</v>
      </c>
      <c r="E1001" t="s">
        <v>291</v>
      </c>
      <c r="F1001" t="s">
        <v>305</v>
      </c>
      <c r="G1001" t="s">
        <v>353</v>
      </c>
      <c r="H1001" t="s">
        <v>116</v>
      </c>
      <c r="I1001" t="s">
        <v>31</v>
      </c>
      <c r="J1001" t="s">
        <v>43</v>
      </c>
      <c r="K1001" t="s">
        <v>51</v>
      </c>
      <c r="L1001" t="s">
        <v>73</v>
      </c>
      <c r="M1001" t="s">
        <v>263</v>
      </c>
      <c r="N1001" t="s">
        <v>46</v>
      </c>
      <c r="P1001" t="s">
        <v>65</v>
      </c>
      <c r="Q1001" t="s">
        <v>65</v>
      </c>
      <c r="R1001" s="5">
        <v>42444.17895833333</v>
      </c>
      <c r="S1001" s="5">
        <v>42678.651631944442</v>
      </c>
      <c r="T1001" t="s">
        <v>317</v>
      </c>
      <c r="U1001" t="s">
        <v>35</v>
      </c>
      <c r="V1001" s="3" t="s">
        <v>35</v>
      </c>
      <c r="W1001" s="3" t="s">
        <v>4156</v>
      </c>
      <c r="AM1001" s="5"/>
      <c r="AN1001" s="5"/>
      <c r="AQ1001" s="6"/>
    </row>
    <row r="1002" spans="2:43" x14ac:dyDescent="0.25">
      <c r="B1002" t="s">
        <v>2968</v>
      </c>
      <c r="C1002">
        <v>78773</v>
      </c>
      <c r="D1002" t="s">
        <v>3019</v>
      </c>
      <c r="E1002" t="s">
        <v>2972</v>
      </c>
      <c r="F1002" t="s">
        <v>305</v>
      </c>
      <c r="G1002" t="s">
        <v>337</v>
      </c>
      <c r="H1002" t="s">
        <v>54</v>
      </c>
      <c r="I1002" t="s">
        <v>31</v>
      </c>
      <c r="J1002" t="s">
        <v>32</v>
      </c>
      <c r="K1002" t="s">
        <v>44</v>
      </c>
      <c r="L1002" t="s">
        <v>73</v>
      </c>
      <c r="M1002" t="s">
        <v>273</v>
      </c>
      <c r="N1002" t="s">
        <v>60</v>
      </c>
      <c r="P1002" t="s">
        <v>65</v>
      </c>
      <c r="Q1002" t="s">
        <v>65</v>
      </c>
      <c r="R1002" s="5">
        <v>42444.178761574076</v>
      </c>
      <c r="S1002" s="5">
        <v>42612.789212962962</v>
      </c>
      <c r="T1002" t="s">
        <v>317</v>
      </c>
      <c r="U1002" t="s">
        <v>35</v>
      </c>
      <c r="V1002" s="3" t="s">
        <v>35</v>
      </c>
      <c r="W1002" s="3" t="s">
        <v>4156</v>
      </c>
      <c r="AM1002" s="5"/>
      <c r="AN1002" s="5"/>
      <c r="AQ1002" s="6"/>
    </row>
    <row r="1003" spans="2:43" x14ac:dyDescent="0.25">
      <c r="B1003" t="s">
        <v>2994</v>
      </c>
      <c r="C1003">
        <v>78772</v>
      </c>
      <c r="D1003" t="s">
        <v>3018</v>
      </c>
      <c r="E1003" t="s">
        <v>330</v>
      </c>
      <c r="F1003" t="s">
        <v>305</v>
      </c>
      <c r="G1003" t="s">
        <v>337</v>
      </c>
      <c r="H1003" t="s">
        <v>426</v>
      </c>
      <c r="I1003" t="s">
        <v>68</v>
      </c>
      <c r="J1003" t="s">
        <v>43</v>
      </c>
      <c r="K1003" t="s">
        <v>33</v>
      </c>
      <c r="L1003" t="s">
        <v>96</v>
      </c>
      <c r="M1003" t="s">
        <v>275</v>
      </c>
      <c r="N1003" t="s">
        <v>60</v>
      </c>
      <c r="P1003" t="s">
        <v>65</v>
      </c>
      <c r="Q1003" t="s">
        <v>2997</v>
      </c>
      <c r="R1003" s="5">
        <v>42444.17732638889</v>
      </c>
      <c r="S1003" s="5">
        <v>42572.692673611113</v>
      </c>
      <c r="T1003" t="s">
        <v>317</v>
      </c>
      <c r="U1003" t="s">
        <v>35</v>
      </c>
      <c r="V1003" s="3" t="s">
        <v>35</v>
      </c>
      <c r="W1003" s="3" t="s">
        <v>4156</v>
      </c>
      <c r="AM1003" s="5"/>
      <c r="AN1003" s="5"/>
      <c r="AQ1003" s="6"/>
    </row>
    <row r="1004" spans="2:43" x14ac:dyDescent="0.25">
      <c r="B1004" t="s">
        <v>2994</v>
      </c>
      <c r="C1004">
        <v>78771</v>
      </c>
      <c r="D1004" t="s">
        <v>3016</v>
      </c>
      <c r="E1004" t="s">
        <v>1</v>
      </c>
      <c r="F1004" t="s">
        <v>305</v>
      </c>
      <c r="G1004" t="s">
        <v>337</v>
      </c>
      <c r="H1004" t="s">
        <v>426</v>
      </c>
      <c r="I1004" t="s">
        <v>68</v>
      </c>
      <c r="J1004" t="s">
        <v>43</v>
      </c>
      <c r="K1004" t="s">
        <v>33</v>
      </c>
      <c r="L1004" t="s">
        <v>96</v>
      </c>
      <c r="M1004" t="s">
        <v>275</v>
      </c>
      <c r="N1004" t="s">
        <v>60</v>
      </c>
      <c r="O1004" t="s">
        <v>3017</v>
      </c>
      <c r="P1004" t="s">
        <v>65</v>
      </c>
      <c r="Q1004" t="s">
        <v>65</v>
      </c>
      <c r="R1004" s="5">
        <v>42444.176805555559</v>
      </c>
      <c r="S1004" s="5">
        <v>42979.766817129632</v>
      </c>
      <c r="T1004" t="s">
        <v>317</v>
      </c>
      <c r="U1004" t="s">
        <v>35</v>
      </c>
      <c r="V1004" s="3" t="s">
        <v>35</v>
      </c>
      <c r="W1004" s="3" t="s">
        <v>69</v>
      </c>
      <c r="AM1004" s="5"/>
      <c r="AN1004" s="5"/>
      <c r="AQ1004" s="6"/>
    </row>
    <row r="1005" spans="2:43" x14ac:dyDescent="0.25">
      <c r="B1005" t="s">
        <v>2994</v>
      </c>
      <c r="C1005">
        <v>78770</v>
      </c>
      <c r="D1005" t="s">
        <v>3015</v>
      </c>
      <c r="E1005" t="s">
        <v>330</v>
      </c>
      <c r="F1005" t="s">
        <v>305</v>
      </c>
      <c r="G1005" t="s">
        <v>337</v>
      </c>
      <c r="H1005" t="s">
        <v>426</v>
      </c>
      <c r="I1005" t="s">
        <v>68</v>
      </c>
      <c r="J1005" t="s">
        <v>43</v>
      </c>
      <c r="K1005" t="s">
        <v>33</v>
      </c>
      <c r="L1005" t="s">
        <v>96</v>
      </c>
      <c r="M1005" t="s">
        <v>275</v>
      </c>
      <c r="N1005" t="s">
        <v>60</v>
      </c>
      <c r="P1005" t="s">
        <v>65</v>
      </c>
      <c r="Q1005" t="s">
        <v>2997</v>
      </c>
      <c r="R1005" s="5">
        <v>42444.176701388889</v>
      </c>
      <c r="S1005" s="5">
        <v>42572.693877314814</v>
      </c>
      <c r="T1005" t="s">
        <v>317</v>
      </c>
      <c r="U1005" t="s">
        <v>35</v>
      </c>
      <c r="V1005" s="3" t="s">
        <v>35</v>
      </c>
      <c r="W1005" s="3" t="s">
        <v>133</v>
      </c>
      <c r="AM1005" s="5"/>
      <c r="AN1005" s="5"/>
      <c r="AQ1005" s="6"/>
    </row>
    <row r="1006" spans="2:43" x14ac:dyDescent="0.25">
      <c r="B1006" t="s">
        <v>3011</v>
      </c>
      <c r="C1006">
        <v>78745</v>
      </c>
      <c r="D1006" t="s">
        <v>3012</v>
      </c>
      <c r="E1006" t="s">
        <v>2603</v>
      </c>
      <c r="F1006" t="s">
        <v>305</v>
      </c>
      <c r="G1006" t="s">
        <v>304</v>
      </c>
      <c r="H1006" t="s">
        <v>30</v>
      </c>
      <c r="I1006" t="s">
        <v>68</v>
      </c>
      <c r="J1006" t="s">
        <v>43</v>
      </c>
      <c r="K1006" t="s">
        <v>33</v>
      </c>
      <c r="L1006" t="s">
        <v>45</v>
      </c>
      <c r="M1006" t="s">
        <v>3013</v>
      </c>
      <c r="N1006" t="s">
        <v>46</v>
      </c>
      <c r="P1006" t="s">
        <v>428</v>
      </c>
      <c r="Q1006" t="s">
        <v>3014</v>
      </c>
      <c r="R1006" s="5">
        <v>42443.710462962961</v>
      </c>
      <c r="S1006" s="5">
        <v>43177.168136574073</v>
      </c>
      <c r="T1006" t="s">
        <v>2603</v>
      </c>
      <c r="U1006" t="s">
        <v>35</v>
      </c>
      <c r="V1006" s="3" t="s">
        <v>35</v>
      </c>
      <c r="W1006" s="3" t="s">
        <v>428</v>
      </c>
      <c r="AM1006" s="5"/>
      <c r="AN1006" s="5"/>
      <c r="AQ1006" s="6"/>
    </row>
    <row r="1007" spans="2:43" x14ac:dyDescent="0.25">
      <c r="B1007" t="s">
        <v>224</v>
      </c>
      <c r="C1007">
        <v>78742</v>
      </c>
      <c r="D1007" t="s">
        <v>3009</v>
      </c>
      <c r="E1007" t="s">
        <v>53</v>
      </c>
      <c r="F1007" t="s">
        <v>305</v>
      </c>
      <c r="G1007" t="s">
        <v>353</v>
      </c>
      <c r="H1007" t="s">
        <v>30</v>
      </c>
      <c r="I1007" t="s">
        <v>68</v>
      </c>
      <c r="J1007" t="s">
        <v>43</v>
      </c>
      <c r="K1007" t="s">
        <v>33</v>
      </c>
      <c r="L1007" t="s">
        <v>34</v>
      </c>
      <c r="M1007" t="s">
        <v>266</v>
      </c>
      <c r="N1007" t="s">
        <v>46</v>
      </c>
      <c r="O1007" t="s">
        <v>3010</v>
      </c>
      <c r="P1007" t="s">
        <v>75</v>
      </c>
      <c r="Q1007" t="s">
        <v>65</v>
      </c>
      <c r="R1007" s="5">
        <v>42443.64775462963</v>
      </c>
      <c r="S1007" s="5">
        <v>43009.125081018516</v>
      </c>
      <c r="T1007" t="s">
        <v>1</v>
      </c>
      <c r="U1007" t="s">
        <v>35</v>
      </c>
      <c r="V1007" s="3" t="s">
        <v>35</v>
      </c>
      <c r="W1007" s="3" t="s">
        <v>4098</v>
      </c>
      <c r="AM1007" s="5"/>
      <c r="AN1007" s="5"/>
      <c r="AQ1007" s="6"/>
    </row>
    <row r="1008" spans="2:43" x14ac:dyDescent="0.25">
      <c r="B1008" t="s">
        <v>2993</v>
      </c>
      <c r="C1008">
        <v>78730</v>
      </c>
      <c r="D1008" t="s">
        <v>3008</v>
      </c>
      <c r="E1008" t="s">
        <v>2988</v>
      </c>
      <c r="F1008" t="s">
        <v>305</v>
      </c>
      <c r="G1008" t="s">
        <v>304</v>
      </c>
      <c r="H1008" t="s">
        <v>30</v>
      </c>
      <c r="I1008" t="s">
        <v>68</v>
      </c>
      <c r="J1008" t="s">
        <v>43</v>
      </c>
      <c r="K1008" t="s">
        <v>33</v>
      </c>
      <c r="L1008" t="s">
        <v>96</v>
      </c>
      <c r="M1008" t="s">
        <v>267</v>
      </c>
      <c r="N1008" t="s">
        <v>46</v>
      </c>
      <c r="P1008" t="s">
        <v>65</v>
      </c>
      <c r="Q1008" t="s">
        <v>528</v>
      </c>
      <c r="R1008" s="5">
        <v>42443.564375000002</v>
      </c>
      <c r="S1008" s="5">
        <v>43187.158599537041</v>
      </c>
      <c r="T1008" t="s">
        <v>288</v>
      </c>
      <c r="U1008" t="s">
        <v>35</v>
      </c>
      <c r="V1008" s="3" t="s">
        <v>35</v>
      </c>
      <c r="W1008" s="3" t="s">
        <v>4098</v>
      </c>
      <c r="AM1008" s="5"/>
      <c r="AN1008" s="5"/>
      <c r="AQ1008" s="6"/>
    </row>
    <row r="1009" spans="2:43" x14ac:dyDescent="0.25">
      <c r="B1009" t="s">
        <v>2993</v>
      </c>
      <c r="C1009">
        <v>78728</v>
      </c>
      <c r="D1009" t="s">
        <v>3007</v>
      </c>
      <c r="E1009" t="s">
        <v>136</v>
      </c>
      <c r="F1009" t="s">
        <v>305</v>
      </c>
      <c r="G1009" t="s">
        <v>304</v>
      </c>
      <c r="H1009" t="s">
        <v>30</v>
      </c>
      <c r="I1009" t="s">
        <v>68</v>
      </c>
      <c r="J1009" t="s">
        <v>43</v>
      </c>
      <c r="K1009" t="s">
        <v>33</v>
      </c>
      <c r="L1009" t="s">
        <v>106</v>
      </c>
      <c r="M1009" t="s">
        <v>270</v>
      </c>
      <c r="N1009" t="s">
        <v>46</v>
      </c>
      <c r="P1009" t="s">
        <v>65</v>
      </c>
      <c r="Q1009" t="s">
        <v>528</v>
      </c>
      <c r="R1009" s="5">
        <v>42443.560254629629</v>
      </c>
      <c r="S1009" s="5">
        <v>42580.780335648145</v>
      </c>
      <c r="T1009" t="s">
        <v>288</v>
      </c>
      <c r="U1009" t="s">
        <v>3965</v>
      </c>
      <c r="V1009" s="3" t="s">
        <v>35</v>
      </c>
      <c r="W1009" s="3" t="s">
        <v>77</v>
      </c>
      <c r="AM1009" s="5"/>
      <c r="AN1009" s="5"/>
      <c r="AQ1009" s="6"/>
    </row>
    <row r="1010" spans="2:43" x14ac:dyDescent="0.25">
      <c r="B1010" t="s">
        <v>2993</v>
      </c>
      <c r="C1010">
        <v>78727</v>
      </c>
      <c r="D1010" t="s">
        <v>3006</v>
      </c>
      <c r="E1010" t="s">
        <v>301</v>
      </c>
      <c r="F1010" t="s">
        <v>305</v>
      </c>
      <c r="G1010" t="s">
        <v>337</v>
      </c>
      <c r="H1010" t="s">
        <v>30</v>
      </c>
      <c r="I1010" t="s">
        <v>68</v>
      </c>
      <c r="J1010" t="s">
        <v>43</v>
      </c>
      <c r="K1010" t="s">
        <v>33</v>
      </c>
      <c r="L1010" t="s">
        <v>96</v>
      </c>
      <c r="M1010" t="s">
        <v>269</v>
      </c>
      <c r="N1010" t="s">
        <v>46</v>
      </c>
      <c r="P1010" t="s">
        <v>65</v>
      </c>
      <c r="Q1010" t="s">
        <v>65</v>
      </c>
      <c r="R1010" s="5">
        <v>42443.557164351849</v>
      </c>
      <c r="S1010" s="5">
        <v>42789.919768518521</v>
      </c>
      <c r="T1010" t="s">
        <v>288</v>
      </c>
      <c r="U1010" t="s">
        <v>35</v>
      </c>
      <c r="V1010" s="3" t="s">
        <v>35</v>
      </c>
      <c r="W1010" s="3" t="s">
        <v>133</v>
      </c>
      <c r="AM1010" s="5"/>
      <c r="AN1010" s="5"/>
      <c r="AQ1010" s="6"/>
    </row>
    <row r="1011" spans="2:43" x14ac:dyDescent="0.25">
      <c r="B1011" t="s">
        <v>2993</v>
      </c>
      <c r="C1011">
        <v>78726</v>
      </c>
      <c r="D1011" t="s">
        <v>3005</v>
      </c>
      <c r="E1011" t="s">
        <v>134</v>
      </c>
      <c r="F1011" t="s">
        <v>305</v>
      </c>
      <c r="G1011" t="s">
        <v>304</v>
      </c>
      <c r="H1011" t="s">
        <v>30</v>
      </c>
      <c r="I1011" t="s">
        <v>68</v>
      </c>
      <c r="J1011" t="s">
        <v>43</v>
      </c>
      <c r="K1011" t="s">
        <v>33</v>
      </c>
      <c r="L1011" t="s">
        <v>106</v>
      </c>
      <c r="M1011" t="s">
        <v>270</v>
      </c>
      <c r="N1011" t="s">
        <v>46</v>
      </c>
      <c r="P1011" t="s">
        <v>65</v>
      </c>
      <c r="Q1011" t="s">
        <v>1503</v>
      </c>
      <c r="R1011" s="5">
        <v>42443.557141203702</v>
      </c>
      <c r="S1011" s="5">
        <v>42929.517812500002</v>
      </c>
      <c r="T1011" t="s">
        <v>288</v>
      </c>
      <c r="U1011" t="s">
        <v>35</v>
      </c>
      <c r="V1011" s="3" t="s">
        <v>35</v>
      </c>
      <c r="W1011" s="3" t="s">
        <v>69</v>
      </c>
      <c r="AM1011" s="5"/>
      <c r="AN1011" s="5"/>
      <c r="AQ1011" s="6"/>
    </row>
    <row r="1012" spans="2:43" x14ac:dyDescent="0.25">
      <c r="B1012" t="s">
        <v>2998</v>
      </c>
      <c r="C1012">
        <v>78556</v>
      </c>
      <c r="D1012" t="s">
        <v>3004</v>
      </c>
      <c r="E1012" t="s">
        <v>82</v>
      </c>
      <c r="F1012" t="s">
        <v>305</v>
      </c>
      <c r="G1012" t="s">
        <v>310</v>
      </c>
      <c r="H1012" t="s">
        <v>30</v>
      </c>
      <c r="I1012" t="s">
        <v>68</v>
      </c>
      <c r="J1012" t="s">
        <v>43</v>
      </c>
      <c r="K1012" t="s">
        <v>33</v>
      </c>
      <c r="L1012" t="s">
        <v>73</v>
      </c>
      <c r="M1012" t="s">
        <v>264</v>
      </c>
      <c r="N1012" t="s">
        <v>46</v>
      </c>
      <c r="P1012" t="s">
        <v>3000</v>
      </c>
      <c r="Q1012" t="s">
        <v>3000</v>
      </c>
      <c r="R1012" s="5">
        <v>42439.418020833335</v>
      </c>
      <c r="S1012" s="5">
        <v>42753.389374999999</v>
      </c>
      <c r="T1012" t="s">
        <v>72</v>
      </c>
      <c r="U1012" t="s">
        <v>35</v>
      </c>
      <c r="V1012" s="3" t="s">
        <v>35</v>
      </c>
      <c r="W1012" s="3" t="s">
        <v>3039</v>
      </c>
      <c r="AM1012" s="5"/>
      <c r="AN1012" s="5"/>
      <c r="AQ1012" s="6"/>
    </row>
    <row r="1013" spans="2:43" x14ac:dyDescent="0.25">
      <c r="B1013" t="s">
        <v>2998</v>
      </c>
      <c r="C1013">
        <v>78555</v>
      </c>
      <c r="D1013" t="s">
        <v>3003</v>
      </c>
      <c r="E1013" t="s">
        <v>82</v>
      </c>
      <c r="F1013" t="s">
        <v>305</v>
      </c>
      <c r="G1013" t="s">
        <v>310</v>
      </c>
      <c r="H1013" t="s">
        <v>30</v>
      </c>
      <c r="I1013" t="s">
        <v>68</v>
      </c>
      <c r="J1013" t="s">
        <v>43</v>
      </c>
      <c r="K1013" t="s">
        <v>33</v>
      </c>
      <c r="L1013" t="s">
        <v>73</v>
      </c>
      <c r="M1013" t="s">
        <v>264</v>
      </c>
      <c r="N1013" t="s">
        <v>46</v>
      </c>
      <c r="P1013" t="s">
        <v>3000</v>
      </c>
      <c r="Q1013" t="s">
        <v>3000</v>
      </c>
      <c r="R1013" s="5">
        <v>42439.417754629627</v>
      </c>
      <c r="S1013" s="5">
        <v>42759.621944444443</v>
      </c>
      <c r="T1013" t="s">
        <v>72</v>
      </c>
      <c r="U1013" t="s">
        <v>35</v>
      </c>
      <c r="V1013" s="3" t="s">
        <v>35</v>
      </c>
      <c r="W1013" s="3" t="s">
        <v>3028</v>
      </c>
      <c r="AM1013" s="5"/>
      <c r="AN1013" s="5"/>
      <c r="AQ1013" s="6"/>
    </row>
    <row r="1014" spans="2:43" x14ac:dyDescent="0.25">
      <c r="B1014" t="s">
        <v>2998</v>
      </c>
      <c r="C1014">
        <v>78536</v>
      </c>
      <c r="D1014" t="s">
        <v>3002</v>
      </c>
      <c r="E1014" t="s">
        <v>82</v>
      </c>
      <c r="F1014" t="s">
        <v>305</v>
      </c>
      <c r="G1014" t="s">
        <v>337</v>
      </c>
      <c r="H1014" t="s">
        <v>30</v>
      </c>
      <c r="I1014" t="s">
        <v>68</v>
      </c>
      <c r="J1014" t="s">
        <v>43</v>
      </c>
      <c r="K1014" t="s">
        <v>33</v>
      </c>
      <c r="L1014" t="s">
        <v>73</v>
      </c>
      <c r="M1014" t="s">
        <v>264</v>
      </c>
      <c r="N1014" t="s">
        <v>46</v>
      </c>
      <c r="P1014" t="s">
        <v>3000</v>
      </c>
      <c r="Q1014" t="s">
        <v>3000</v>
      </c>
      <c r="R1014" s="5">
        <v>42439.316423611112</v>
      </c>
      <c r="S1014" s="5">
        <v>42759.72315972222</v>
      </c>
      <c r="T1014" t="s">
        <v>317</v>
      </c>
      <c r="U1014" t="s">
        <v>35</v>
      </c>
      <c r="V1014" s="3" t="s">
        <v>35</v>
      </c>
      <c r="W1014" s="3" t="s">
        <v>69</v>
      </c>
      <c r="AM1014" s="5"/>
      <c r="AN1014" s="5"/>
      <c r="AQ1014" s="6"/>
    </row>
    <row r="1015" spans="2:43" x14ac:dyDescent="0.25">
      <c r="B1015" t="s">
        <v>2998</v>
      </c>
      <c r="C1015">
        <v>78535</v>
      </c>
      <c r="D1015" t="s">
        <v>3001</v>
      </c>
      <c r="E1015" t="s">
        <v>82</v>
      </c>
      <c r="F1015" t="s">
        <v>305</v>
      </c>
      <c r="G1015" t="s">
        <v>310</v>
      </c>
      <c r="H1015" t="s">
        <v>30</v>
      </c>
      <c r="I1015" t="s">
        <v>68</v>
      </c>
      <c r="J1015" t="s">
        <v>43</v>
      </c>
      <c r="K1015" t="s">
        <v>33</v>
      </c>
      <c r="L1015" t="s">
        <v>73</v>
      </c>
      <c r="M1015" t="s">
        <v>264</v>
      </c>
      <c r="N1015" t="s">
        <v>46</v>
      </c>
      <c r="P1015" t="s">
        <v>3000</v>
      </c>
      <c r="Q1015" t="s">
        <v>159</v>
      </c>
      <c r="R1015" s="5">
        <v>42439.316331018519</v>
      </c>
      <c r="S1015" s="5">
        <v>42563.8518287037</v>
      </c>
      <c r="T1015" t="s">
        <v>317</v>
      </c>
      <c r="U1015" t="s">
        <v>35</v>
      </c>
      <c r="V1015" s="3" t="s">
        <v>35</v>
      </c>
      <c r="W1015" s="3" t="s">
        <v>133</v>
      </c>
      <c r="AM1015" s="5"/>
      <c r="AN1015" s="5"/>
      <c r="AQ1015" s="6"/>
    </row>
    <row r="1016" spans="2:43" x14ac:dyDescent="0.25">
      <c r="B1016" t="s">
        <v>2998</v>
      </c>
      <c r="C1016">
        <v>78519</v>
      </c>
      <c r="D1016" t="s">
        <v>2999</v>
      </c>
      <c r="E1016" t="s">
        <v>82</v>
      </c>
      <c r="F1016" t="s">
        <v>305</v>
      </c>
      <c r="G1016" t="s">
        <v>310</v>
      </c>
      <c r="H1016" t="s">
        <v>30</v>
      </c>
      <c r="I1016" t="s">
        <v>68</v>
      </c>
      <c r="J1016" t="s">
        <v>43</v>
      </c>
      <c r="K1016" t="s">
        <v>33</v>
      </c>
      <c r="L1016" t="s">
        <v>73</v>
      </c>
      <c r="M1016" t="s">
        <v>264</v>
      </c>
      <c r="N1016" t="s">
        <v>46</v>
      </c>
      <c r="P1016" t="s">
        <v>3000</v>
      </c>
      <c r="Q1016" t="s">
        <v>3000</v>
      </c>
      <c r="R1016" s="5">
        <v>42438.956122685187</v>
      </c>
      <c r="S1016" s="5">
        <v>42759.621793981481</v>
      </c>
      <c r="T1016" t="s">
        <v>2</v>
      </c>
      <c r="U1016" t="s">
        <v>35</v>
      </c>
      <c r="V1016" s="3" t="s">
        <v>35</v>
      </c>
      <c r="W1016" s="3" t="s">
        <v>4098</v>
      </c>
      <c r="AM1016" s="5"/>
      <c r="AN1016" s="5"/>
      <c r="AQ1016" s="6"/>
    </row>
    <row r="1017" spans="2:43" x14ac:dyDescent="0.25">
      <c r="B1017" t="s">
        <v>2994</v>
      </c>
      <c r="C1017">
        <v>78517</v>
      </c>
      <c r="D1017" t="s">
        <v>2995</v>
      </c>
      <c r="E1017" t="s">
        <v>2996</v>
      </c>
      <c r="F1017" t="s">
        <v>305</v>
      </c>
      <c r="G1017" t="s">
        <v>304</v>
      </c>
      <c r="H1017" t="s">
        <v>30</v>
      </c>
      <c r="I1017" t="s">
        <v>68</v>
      </c>
      <c r="J1017" t="s">
        <v>43</v>
      </c>
      <c r="K1017" t="s">
        <v>33</v>
      </c>
      <c r="L1017" t="s">
        <v>96</v>
      </c>
      <c r="M1017" t="s">
        <v>275</v>
      </c>
      <c r="N1017" t="s">
        <v>60</v>
      </c>
      <c r="P1017" t="s">
        <v>65</v>
      </c>
      <c r="Q1017" t="s">
        <v>2997</v>
      </c>
      <c r="R1017" s="5">
        <v>42438.940416666665</v>
      </c>
      <c r="S1017" s="5">
        <v>43187.158518518518</v>
      </c>
      <c r="T1017" t="s">
        <v>1</v>
      </c>
      <c r="U1017" t="s">
        <v>35</v>
      </c>
      <c r="V1017" s="3" t="s">
        <v>35</v>
      </c>
      <c r="W1017" s="3" t="s">
        <v>4098</v>
      </c>
      <c r="AM1017" s="5"/>
      <c r="AN1017" s="5"/>
      <c r="AQ1017" s="6"/>
    </row>
    <row r="1018" spans="2:43" x14ac:dyDescent="0.25">
      <c r="B1018" t="s">
        <v>2993</v>
      </c>
      <c r="C1018">
        <v>78515</v>
      </c>
      <c r="D1018" t="s">
        <v>352</v>
      </c>
      <c r="E1018" t="s">
        <v>301</v>
      </c>
      <c r="F1018" t="s">
        <v>305</v>
      </c>
      <c r="G1018" t="s">
        <v>304</v>
      </c>
      <c r="H1018" t="s">
        <v>30</v>
      </c>
      <c r="I1018" t="s">
        <v>68</v>
      </c>
      <c r="J1018" t="s">
        <v>43</v>
      </c>
      <c r="K1018" t="s">
        <v>33</v>
      </c>
      <c r="L1018" t="s">
        <v>96</v>
      </c>
      <c r="M1018" t="s">
        <v>269</v>
      </c>
      <c r="N1018" t="s">
        <v>46</v>
      </c>
      <c r="P1018" t="s">
        <v>65</v>
      </c>
      <c r="Q1018" t="s">
        <v>1503</v>
      </c>
      <c r="R1018" s="5">
        <v>42438.921122685184</v>
      </c>
      <c r="S1018" s="5">
        <v>42962.626527777778</v>
      </c>
      <c r="T1018" t="s">
        <v>1</v>
      </c>
      <c r="U1018" t="s">
        <v>35</v>
      </c>
      <c r="V1018" s="3" t="s">
        <v>35</v>
      </c>
      <c r="W1018" s="3" t="s">
        <v>4098</v>
      </c>
      <c r="AM1018" s="5"/>
      <c r="AN1018" s="5"/>
      <c r="AQ1018" s="6"/>
    </row>
    <row r="1019" spans="2:43" x14ac:dyDescent="0.25">
      <c r="B1019" t="s">
        <v>2986</v>
      </c>
      <c r="C1019">
        <v>78512</v>
      </c>
      <c r="D1019" t="s">
        <v>2992</v>
      </c>
      <c r="E1019" t="s">
        <v>2988</v>
      </c>
      <c r="F1019" t="s">
        <v>305</v>
      </c>
      <c r="G1019" t="s">
        <v>304</v>
      </c>
      <c r="H1019" t="s">
        <v>30</v>
      </c>
      <c r="I1019" t="s">
        <v>68</v>
      </c>
      <c r="J1019" t="s">
        <v>43</v>
      </c>
      <c r="K1019" t="s">
        <v>33</v>
      </c>
      <c r="L1019" t="s">
        <v>96</v>
      </c>
      <c r="M1019" t="s">
        <v>267</v>
      </c>
      <c r="N1019" t="s">
        <v>46</v>
      </c>
      <c r="P1019" t="s">
        <v>65</v>
      </c>
      <c r="Q1019" t="s">
        <v>65</v>
      </c>
      <c r="R1019" s="5">
        <v>42438.816284722219</v>
      </c>
      <c r="S1019" s="5">
        <v>42927.736400462964</v>
      </c>
      <c r="T1019" t="s">
        <v>317</v>
      </c>
      <c r="U1019" t="s">
        <v>35</v>
      </c>
      <c r="V1019" s="3" t="s">
        <v>35</v>
      </c>
      <c r="W1019" s="3" t="s">
        <v>69</v>
      </c>
      <c r="AM1019" s="5"/>
      <c r="AN1019" s="5"/>
      <c r="AQ1019" s="6"/>
    </row>
    <row r="1020" spans="2:43" x14ac:dyDescent="0.25">
      <c r="B1020" t="s">
        <v>2986</v>
      </c>
      <c r="C1020">
        <v>78511</v>
      </c>
      <c r="D1020" t="s">
        <v>2991</v>
      </c>
      <c r="E1020" t="s">
        <v>2988</v>
      </c>
      <c r="F1020" t="s">
        <v>305</v>
      </c>
      <c r="G1020" t="s">
        <v>304</v>
      </c>
      <c r="H1020" t="s">
        <v>30</v>
      </c>
      <c r="I1020" t="s">
        <v>68</v>
      </c>
      <c r="J1020" t="s">
        <v>43</v>
      </c>
      <c r="K1020" t="s">
        <v>33</v>
      </c>
      <c r="L1020" t="s">
        <v>73</v>
      </c>
      <c r="M1020" t="s">
        <v>263</v>
      </c>
      <c r="N1020" t="s">
        <v>60</v>
      </c>
      <c r="P1020" t="s">
        <v>65</v>
      </c>
      <c r="Q1020" t="s">
        <v>65</v>
      </c>
      <c r="R1020" s="5">
        <v>42438.816203703704</v>
      </c>
      <c r="S1020" s="5">
        <v>42774.79755787037</v>
      </c>
      <c r="T1020" t="s">
        <v>317</v>
      </c>
      <c r="U1020" t="s">
        <v>35</v>
      </c>
      <c r="V1020" s="3" t="s">
        <v>35</v>
      </c>
      <c r="W1020" s="3" t="s">
        <v>133</v>
      </c>
      <c r="AM1020" s="5"/>
      <c r="AN1020" s="5"/>
      <c r="AQ1020" s="6"/>
    </row>
    <row r="1021" spans="2:43" x14ac:dyDescent="0.25">
      <c r="B1021" t="s">
        <v>2989</v>
      </c>
      <c r="C1021">
        <v>78509</v>
      </c>
      <c r="D1021" t="s">
        <v>2990</v>
      </c>
      <c r="E1021" t="s">
        <v>53</v>
      </c>
      <c r="F1021" t="s">
        <v>305</v>
      </c>
      <c r="G1021" t="s">
        <v>1621</v>
      </c>
      <c r="H1021" t="s">
        <v>30</v>
      </c>
      <c r="I1021" t="s">
        <v>31</v>
      </c>
      <c r="J1021" t="s">
        <v>43</v>
      </c>
      <c r="K1021" t="s">
        <v>44</v>
      </c>
      <c r="L1021" t="s">
        <v>2529</v>
      </c>
      <c r="M1021" t="s">
        <v>266</v>
      </c>
      <c r="N1021" t="s">
        <v>60</v>
      </c>
      <c r="P1021" t="s">
        <v>65</v>
      </c>
      <c r="Q1021" t="s">
        <v>159</v>
      </c>
      <c r="R1021" s="5">
        <v>42438.797789351855</v>
      </c>
      <c r="S1021" s="5">
        <v>42642.542268518519</v>
      </c>
      <c r="T1021" t="s">
        <v>1</v>
      </c>
      <c r="U1021" t="s">
        <v>35</v>
      </c>
      <c r="V1021" s="3" t="s">
        <v>35</v>
      </c>
      <c r="W1021" s="3" t="s">
        <v>4126</v>
      </c>
      <c r="AM1021" s="5"/>
      <c r="AN1021" s="5"/>
      <c r="AQ1021" s="6"/>
    </row>
    <row r="1022" spans="2:43" x14ac:dyDescent="0.25">
      <c r="B1022" t="s">
        <v>2986</v>
      </c>
      <c r="C1022">
        <v>78501</v>
      </c>
      <c r="D1022" t="s">
        <v>2987</v>
      </c>
      <c r="E1022" t="s">
        <v>2988</v>
      </c>
      <c r="F1022" t="s">
        <v>305</v>
      </c>
      <c r="G1022" t="s">
        <v>304</v>
      </c>
      <c r="H1022" t="s">
        <v>30</v>
      </c>
      <c r="I1022" t="s">
        <v>68</v>
      </c>
      <c r="J1022" t="s">
        <v>43</v>
      </c>
      <c r="K1022" t="s">
        <v>33</v>
      </c>
      <c r="L1022" t="s">
        <v>96</v>
      </c>
      <c r="M1022" t="s">
        <v>267</v>
      </c>
      <c r="N1022" t="s">
        <v>46</v>
      </c>
      <c r="P1022" t="s">
        <v>65</v>
      </c>
      <c r="Q1022" t="s">
        <v>65</v>
      </c>
      <c r="R1022" s="5">
        <v>42438.734282407408</v>
      </c>
      <c r="S1022" s="5">
        <v>42774.806145833332</v>
      </c>
      <c r="T1022" t="s">
        <v>1</v>
      </c>
      <c r="U1022" t="s">
        <v>35</v>
      </c>
      <c r="V1022" s="3" t="s">
        <v>35</v>
      </c>
      <c r="W1022" s="3" t="s">
        <v>4098</v>
      </c>
      <c r="AM1022" s="5"/>
      <c r="AN1022" s="5"/>
      <c r="AQ1022" s="6"/>
    </row>
    <row r="1023" spans="2:43" x14ac:dyDescent="0.25">
      <c r="B1023" t="s">
        <v>2866</v>
      </c>
      <c r="C1023">
        <v>78438</v>
      </c>
      <c r="D1023" t="s">
        <v>2985</v>
      </c>
      <c r="E1023" t="s">
        <v>291</v>
      </c>
      <c r="F1023" t="s">
        <v>305</v>
      </c>
      <c r="G1023" t="s">
        <v>353</v>
      </c>
      <c r="H1023" t="s">
        <v>30</v>
      </c>
      <c r="I1023" t="s">
        <v>31</v>
      </c>
      <c r="J1023" t="s">
        <v>43</v>
      </c>
      <c r="K1023" t="s">
        <v>51</v>
      </c>
      <c r="L1023" t="s">
        <v>73</v>
      </c>
      <c r="M1023" t="s">
        <v>263</v>
      </c>
      <c r="N1023" t="s">
        <v>46</v>
      </c>
      <c r="P1023" t="s">
        <v>65</v>
      </c>
      <c r="Q1023" t="s">
        <v>159</v>
      </c>
      <c r="R1023" s="5">
        <v>42438.316377314812</v>
      </c>
      <c r="S1023" s="5">
        <v>42678.651539351849</v>
      </c>
      <c r="T1023" t="s">
        <v>317</v>
      </c>
      <c r="U1023" t="s">
        <v>35</v>
      </c>
      <c r="V1023" s="3" t="s">
        <v>35</v>
      </c>
      <c r="W1023" s="3" t="s">
        <v>69</v>
      </c>
      <c r="AM1023" s="5"/>
      <c r="AN1023" s="5"/>
      <c r="AQ1023" s="6"/>
    </row>
    <row r="1024" spans="2:43" x14ac:dyDescent="0.25">
      <c r="B1024" t="s">
        <v>2866</v>
      </c>
      <c r="C1024">
        <v>78437</v>
      </c>
      <c r="D1024" t="s">
        <v>2984</v>
      </c>
      <c r="E1024" t="s">
        <v>291</v>
      </c>
      <c r="F1024" t="s">
        <v>305</v>
      </c>
      <c r="G1024" t="s">
        <v>353</v>
      </c>
      <c r="H1024" t="s">
        <v>116</v>
      </c>
      <c r="I1024" t="s">
        <v>31</v>
      </c>
      <c r="J1024" t="s">
        <v>43</v>
      </c>
      <c r="K1024" t="s">
        <v>51</v>
      </c>
      <c r="L1024" t="s">
        <v>73</v>
      </c>
      <c r="M1024" t="s">
        <v>263</v>
      </c>
      <c r="N1024" t="s">
        <v>60</v>
      </c>
      <c r="P1024" t="s">
        <v>65</v>
      </c>
      <c r="Q1024" t="s">
        <v>159</v>
      </c>
      <c r="R1024" s="5">
        <v>42438.316284722219</v>
      </c>
      <c r="S1024" s="5">
        <v>42678.651678240742</v>
      </c>
      <c r="T1024" t="s">
        <v>317</v>
      </c>
      <c r="U1024" t="s">
        <v>35</v>
      </c>
      <c r="V1024" s="3" t="s">
        <v>35</v>
      </c>
      <c r="W1024" s="3" t="s">
        <v>133</v>
      </c>
      <c r="AM1024" s="5"/>
      <c r="AN1024" s="5"/>
      <c r="AQ1024" s="6"/>
    </row>
    <row r="1025" spans="2:43" x14ac:dyDescent="0.25">
      <c r="B1025" t="s">
        <v>2866</v>
      </c>
      <c r="C1025">
        <v>78423</v>
      </c>
      <c r="D1025" t="s">
        <v>354</v>
      </c>
      <c r="E1025" t="s">
        <v>291</v>
      </c>
      <c r="F1025" t="s">
        <v>305</v>
      </c>
      <c r="G1025" t="s">
        <v>353</v>
      </c>
      <c r="H1025" t="s">
        <v>30</v>
      </c>
      <c r="I1025" t="s">
        <v>31</v>
      </c>
      <c r="J1025" t="s">
        <v>43</v>
      </c>
      <c r="K1025" t="s">
        <v>51</v>
      </c>
      <c r="L1025" t="s">
        <v>73</v>
      </c>
      <c r="M1025" t="s">
        <v>263</v>
      </c>
      <c r="N1025" t="s">
        <v>46</v>
      </c>
      <c r="P1025" t="s">
        <v>65</v>
      </c>
      <c r="Q1025" t="s">
        <v>159</v>
      </c>
      <c r="R1025" s="5">
        <v>42437.936307870368</v>
      </c>
      <c r="S1025" s="5">
        <v>42678.651724537034</v>
      </c>
      <c r="T1025" t="s">
        <v>1</v>
      </c>
      <c r="U1025" t="s">
        <v>35</v>
      </c>
      <c r="V1025" s="3" t="s">
        <v>35</v>
      </c>
      <c r="W1025" s="3" t="s">
        <v>4098</v>
      </c>
      <c r="AM1025" s="5"/>
      <c r="AN1025" s="5"/>
      <c r="AQ1025" s="6"/>
    </row>
    <row r="1026" spans="2:43" x14ac:dyDescent="0.25">
      <c r="B1026" t="s">
        <v>3891</v>
      </c>
      <c r="C1026">
        <v>78345</v>
      </c>
      <c r="D1026" t="s">
        <v>3902</v>
      </c>
      <c r="E1026" t="s">
        <v>3872</v>
      </c>
      <c r="F1026" t="s">
        <v>305</v>
      </c>
      <c r="G1026" t="s">
        <v>304</v>
      </c>
      <c r="H1026" t="s">
        <v>30</v>
      </c>
      <c r="I1026" t="s">
        <v>31</v>
      </c>
      <c r="J1026" t="s">
        <v>43</v>
      </c>
      <c r="K1026" t="s">
        <v>51</v>
      </c>
      <c r="L1026" t="s">
        <v>34</v>
      </c>
      <c r="M1026" t="s">
        <v>368</v>
      </c>
      <c r="N1026" t="s">
        <v>60</v>
      </c>
      <c r="O1026" t="s">
        <v>3903</v>
      </c>
      <c r="P1026" t="s">
        <v>369</v>
      </c>
      <c r="Q1026" t="s">
        <v>133</v>
      </c>
      <c r="R1026" s="5">
        <v>42436.9141087963</v>
      </c>
      <c r="S1026" s="5">
        <v>42479.159062500003</v>
      </c>
      <c r="T1026" t="s">
        <v>53</v>
      </c>
      <c r="U1026" t="s">
        <v>35</v>
      </c>
      <c r="V1026" s="3" t="s">
        <v>35</v>
      </c>
      <c r="W1026" s="3" t="s">
        <v>4152</v>
      </c>
      <c r="AM1026" s="5"/>
      <c r="AN1026" s="5"/>
      <c r="AQ1026" s="6"/>
    </row>
    <row r="1027" spans="2:43" x14ac:dyDescent="0.25">
      <c r="B1027" t="s">
        <v>3891</v>
      </c>
      <c r="C1027">
        <v>78344</v>
      </c>
      <c r="D1027" t="s">
        <v>3900</v>
      </c>
      <c r="E1027" t="s">
        <v>3872</v>
      </c>
      <c r="F1027" t="s">
        <v>305</v>
      </c>
      <c r="G1027" t="s">
        <v>304</v>
      </c>
      <c r="H1027" t="s">
        <v>30</v>
      </c>
      <c r="I1027" t="s">
        <v>68</v>
      </c>
      <c r="J1027" t="s">
        <v>43</v>
      </c>
      <c r="K1027" t="s">
        <v>33</v>
      </c>
      <c r="L1027" t="s">
        <v>34</v>
      </c>
      <c r="M1027" t="s">
        <v>368</v>
      </c>
      <c r="N1027" t="s">
        <v>60</v>
      </c>
      <c r="O1027" t="s">
        <v>3901</v>
      </c>
      <c r="P1027" t="s">
        <v>369</v>
      </c>
      <c r="Q1027" t="s">
        <v>133</v>
      </c>
      <c r="R1027" s="5">
        <v>42436.914039351854</v>
      </c>
      <c r="S1027" s="5">
        <v>42480.59615740741</v>
      </c>
      <c r="T1027" t="s">
        <v>53</v>
      </c>
      <c r="U1027" t="s">
        <v>35</v>
      </c>
      <c r="V1027" s="3" t="s">
        <v>35</v>
      </c>
      <c r="W1027" s="3" t="s">
        <v>3233</v>
      </c>
      <c r="AM1027" s="5"/>
      <c r="AN1027" s="5"/>
      <c r="AQ1027" s="6"/>
    </row>
    <row r="1028" spans="2:43" x14ac:dyDescent="0.25">
      <c r="B1028" t="s">
        <v>227</v>
      </c>
      <c r="C1028">
        <v>78333</v>
      </c>
      <c r="D1028" t="s">
        <v>2983</v>
      </c>
      <c r="E1028" t="s">
        <v>136</v>
      </c>
      <c r="F1028" t="s">
        <v>305</v>
      </c>
      <c r="G1028" t="s">
        <v>304</v>
      </c>
      <c r="H1028" t="s">
        <v>30</v>
      </c>
      <c r="I1028" t="s">
        <v>31</v>
      </c>
      <c r="J1028" t="s">
        <v>43</v>
      </c>
      <c r="K1028" t="s">
        <v>44</v>
      </c>
      <c r="L1028" t="s">
        <v>195</v>
      </c>
      <c r="M1028" t="s">
        <v>2976</v>
      </c>
      <c r="N1028" t="s">
        <v>46</v>
      </c>
      <c r="P1028" t="s">
        <v>61</v>
      </c>
      <c r="Q1028" t="s">
        <v>528</v>
      </c>
      <c r="R1028" s="5">
        <v>42436.816331018519</v>
      </c>
      <c r="S1028" s="5">
        <v>42937.639085648145</v>
      </c>
      <c r="T1028" t="s">
        <v>317</v>
      </c>
      <c r="U1028" t="s">
        <v>35</v>
      </c>
      <c r="V1028" s="3" t="s">
        <v>35</v>
      </c>
      <c r="W1028" s="3" t="s">
        <v>69</v>
      </c>
      <c r="AM1028" s="5"/>
      <c r="AN1028" s="5"/>
      <c r="AQ1028" s="6"/>
    </row>
    <row r="1029" spans="2:43" x14ac:dyDescent="0.25">
      <c r="B1029" t="s">
        <v>227</v>
      </c>
      <c r="C1029">
        <v>78332</v>
      </c>
      <c r="D1029" t="s">
        <v>2982</v>
      </c>
      <c r="E1029" t="s">
        <v>136</v>
      </c>
      <c r="F1029" t="s">
        <v>305</v>
      </c>
      <c r="G1029" t="s">
        <v>304</v>
      </c>
      <c r="H1029" t="s">
        <v>30</v>
      </c>
      <c r="I1029" t="s">
        <v>31</v>
      </c>
      <c r="J1029" t="s">
        <v>43</v>
      </c>
      <c r="K1029" t="s">
        <v>44</v>
      </c>
      <c r="L1029" t="s">
        <v>195</v>
      </c>
      <c r="M1029" t="s">
        <v>2976</v>
      </c>
      <c r="N1029" t="s">
        <v>60</v>
      </c>
      <c r="P1029" t="s">
        <v>61</v>
      </c>
      <c r="Q1029" t="s">
        <v>2769</v>
      </c>
      <c r="R1029" s="5">
        <v>42436.816192129627</v>
      </c>
      <c r="S1029" s="5">
        <v>42648.940995370373</v>
      </c>
      <c r="T1029" t="s">
        <v>317</v>
      </c>
      <c r="U1029" t="s">
        <v>3970</v>
      </c>
      <c r="V1029" s="3" t="s">
        <v>35</v>
      </c>
      <c r="W1029" s="3" t="s">
        <v>133</v>
      </c>
      <c r="AM1029" s="5"/>
      <c r="AN1029" s="5"/>
      <c r="AQ1029" s="6"/>
    </row>
    <row r="1030" spans="2:43" x14ac:dyDescent="0.25">
      <c r="B1030" t="s">
        <v>2969</v>
      </c>
      <c r="C1030">
        <v>78320</v>
      </c>
      <c r="D1030" t="s">
        <v>2980</v>
      </c>
      <c r="E1030" t="s">
        <v>1</v>
      </c>
      <c r="F1030" t="s">
        <v>305</v>
      </c>
      <c r="G1030" t="s">
        <v>328</v>
      </c>
      <c r="H1030" t="s">
        <v>30</v>
      </c>
      <c r="I1030" t="s">
        <v>31</v>
      </c>
      <c r="J1030" t="s">
        <v>32</v>
      </c>
      <c r="K1030" t="s">
        <v>33</v>
      </c>
      <c r="L1030" t="s">
        <v>73</v>
      </c>
      <c r="M1030" t="s">
        <v>263</v>
      </c>
      <c r="N1030" t="s">
        <v>60</v>
      </c>
      <c r="O1030" t="s">
        <v>2981</v>
      </c>
      <c r="P1030" t="s">
        <v>65</v>
      </c>
      <c r="Q1030" t="s">
        <v>65</v>
      </c>
      <c r="R1030" s="5">
        <v>42436.653553240743</v>
      </c>
      <c r="S1030" s="5">
        <v>42759.631076388891</v>
      </c>
      <c r="T1030" t="s">
        <v>53</v>
      </c>
      <c r="U1030" t="s">
        <v>35</v>
      </c>
      <c r="V1030" s="3" t="s">
        <v>35</v>
      </c>
      <c r="W1030" s="3" t="s">
        <v>69</v>
      </c>
      <c r="AM1030" s="5"/>
      <c r="AN1030" s="5"/>
      <c r="AQ1030" s="6"/>
    </row>
    <row r="1031" spans="2:43" x14ac:dyDescent="0.25">
      <c r="B1031" t="s">
        <v>2969</v>
      </c>
      <c r="C1031">
        <v>78319</v>
      </c>
      <c r="D1031" t="s">
        <v>2979</v>
      </c>
      <c r="E1031" t="s">
        <v>1</v>
      </c>
      <c r="F1031" t="s">
        <v>305</v>
      </c>
      <c r="G1031" t="s">
        <v>328</v>
      </c>
      <c r="H1031" t="s">
        <v>30</v>
      </c>
      <c r="I1031" t="s">
        <v>31</v>
      </c>
      <c r="J1031" t="s">
        <v>32</v>
      </c>
      <c r="K1031" t="s">
        <v>33</v>
      </c>
      <c r="L1031" t="s">
        <v>73</v>
      </c>
      <c r="M1031" t="s">
        <v>263</v>
      </c>
      <c r="N1031" t="s">
        <v>60</v>
      </c>
      <c r="P1031" t="s">
        <v>65</v>
      </c>
      <c r="Q1031" t="s">
        <v>65</v>
      </c>
      <c r="R1031" s="5">
        <v>42436.653483796297</v>
      </c>
      <c r="S1031" s="5">
        <v>42759.631342592591</v>
      </c>
      <c r="T1031" t="s">
        <v>53</v>
      </c>
      <c r="U1031" t="s">
        <v>35</v>
      </c>
      <c r="V1031" s="3" t="s">
        <v>35</v>
      </c>
      <c r="W1031" s="3" t="s">
        <v>133</v>
      </c>
      <c r="AM1031" s="5"/>
      <c r="AN1031" s="5"/>
      <c r="AQ1031" s="6"/>
    </row>
    <row r="1032" spans="2:43" x14ac:dyDescent="0.25">
      <c r="B1032" t="s">
        <v>2969</v>
      </c>
      <c r="C1032">
        <v>78318</v>
      </c>
      <c r="D1032" t="s">
        <v>2978</v>
      </c>
      <c r="E1032" t="s">
        <v>1</v>
      </c>
      <c r="F1032" t="s">
        <v>305</v>
      </c>
      <c r="G1032" t="s">
        <v>328</v>
      </c>
      <c r="H1032" t="s">
        <v>54</v>
      </c>
      <c r="I1032" t="s">
        <v>31</v>
      </c>
      <c r="J1032" t="s">
        <v>32</v>
      </c>
      <c r="K1032" t="s">
        <v>33</v>
      </c>
      <c r="L1032" t="s">
        <v>73</v>
      </c>
      <c r="M1032" t="s">
        <v>263</v>
      </c>
      <c r="N1032" t="s">
        <v>60</v>
      </c>
      <c r="P1032" t="s">
        <v>65</v>
      </c>
      <c r="Q1032" t="s">
        <v>65</v>
      </c>
      <c r="R1032" s="5">
        <v>42436.653414351851</v>
      </c>
      <c r="S1032" s="5">
        <v>42535.676655092589</v>
      </c>
      <c r="T1032" t="s">
        <v>53</v>
      </c>
      <c r="U1032" t="s">
        <v>35</v>
      </c>
      <c r="V1032" s="3" t="s">
        <v>35</v>
      </c>
      <c r="W1032" s="3" t="s">
        <v>4156</v>
      </c>
      <c r="AM1032" s="5"/>
      <c r="AN1032" s="5"/>
      <c r="AQ1032" s="6"/>
    </row>
    <row r="1033" spans="2:43" x14ac:dyDescent="0.25">
      <c r="B1033" t="s">
        <v>2562</v>
      </c>
      <c r="C1033">
        <v>78236</v>
      </c>
      <c r="D1033" t="s">
        <v>2977</v>
      </c>
      <c r="E1033" t="s">
        <v>387</v>
      </c>
      <c r="F1033" t="s">
        <v>305</v>
      </c>
      <c r="G1033" t="s">
        <v>395</v>
      </c>
      <c r="H1033" t="s">
        <v>30</v>
      </c>
      <c r="I1033" t="s">
        <v>31</v>
      </c>
      <c r="J1033" t="s">
        <v>32</v>
      </c>
      <c r="K1033" t="s">
        <v>33</v>
      </c>
      <c r="L1033" t="s">
        <v>73</v>
      </c>
      <c r="M1033" t="s">
        <v>263</v>
      </c>
      <c r="N1033" t="s">
        <v>46</v>
      </c>
      <c r="P1033" t="s">
        <v>394</v>
      </c>
      <c r="Q1033" t="s">
        <v>159</v>
      </c>
      <c r="R1033" s="5">
        <v>42433.617002314815</v>
      </c>
      <c r="S1033" s="5">
        <v>42759.638009259259</v>
      </c>
      <c r="T1033" t="s">
        <v>317</v>
      </c>
      <c r="U1033" t="s">
        <v>35</v>
      </c>
      <c r="V1033" s="3" t="s">
        <v>321</v>
      </c>
      <c r="W1033" s="3" t="s">
        <v>69</v>
      </c>
      <c r="AM1033" s="5"/>
      <c r="AN1033" s="5"/>
      <c r="AQ1033" s="6"/>
    </row>
    <row r="1034" spans="2:43" x14ac:dyDescent="0.25">
      <c r="B1034" t="s">
        <v>227</v>
      </c>
      <c r="C1034">
        <v>78193</v>
      </c>
      <c r="D1034" t="s">
        <v>2975</v>
      </c>
      <c r="E1034" t="s">
        <v>288</v>
      </c>
      <c r="F1034" t="s">
        <v>305</v>
      </c>
      <c r="G1034" t="s">
        <v>304</v>
      </c>
      <c r="H1034" t="s">
        <v>30</v>
      </c>
      <c r="I1034" t="s">
        <v>31</v>
      </c>
      <c r="J1034" t="s">
        <v>43</v>
      </c>
      <c r="K1034" t="s">
        <v>44</v>
      </c>
      <c r="L1034" t="s">
        <v>195</v>
      </c>
      <c r="M1034" t="s">
        <v>2976</v>
      </c>
      <c r="N1034" t="s">
        <v>46</v>
      </c>
      <c r="P1034" t="s">
        <v>61</v>
      </c>
      <c r="Q1034" t="s">
        <v>1503</v>
      </c>
      <c r="R1034" s="5">
        <v>42433.287974537037</v>
      </c>
      <c r="S1034" s="5">
        <v>43059.859780092593</v>
      </c>
      <c r="T1034" t="s">
        <v>418</v>
      </c>
      <c r="U1034" t="s">
        <v>35</v>
      </c>
      <c r="V1034" s="3" t="s">
        <v>35</v>
      </c>
      <c r="W1034" s="3" t="s">
        <v>4098</v>
      </c>
      <c r="AM1034" s="5"/>
      <c r="AN1034" s="5"/>
      <c r="AQ1034" s="6"/>
    </row>
    <row r="1035" spans="2:43" x14ac:dyDescent="0.25">
      <c r="B1035" t="s">
        <v>2968</v>
      </c>
      <c r="C1035">
        <v>78079</v>
      </c>
      <c r="D1035" t="s">
        <v>2974</v>
      </c>
      <c r="E1035" t="s">
        <v>2972</v>
      </c>
      <c r="F1035" t="s">
        <v>305</v>
      </c>
      <c r="G1035" t="s">
        <v>304</v>
      </c>
      <c r="H1035" t="s">
        <v>30</v>
      </c>
      <c r="I1035" t="s">
        <v>31</v>
      </c>
      <c r="J1035" t="s">
        <v>32</v>
      </c>
      <c r="K1035" t="s">
        <v>44</v>
      </c>
      <c r="L1035" t="s">
        <v>73</v>
      </c>
      <c r="M1035" t="s">
        <v>273</v>
      </c>
      <c r="N1035" t="s">
        <v>60</v>
      </c>
      <c r="P1035" t="s">
        <v>65</v>
      </c>
      <c r="Q1035" t="s">
        <v>1503</v>
      </c>
      <c r="R1035" s="5">
        <v>42431.816828703704</v>
      </c>
      <c r="S1035" s="5">
        <v>42949.019814814812</v>
      </c>
      <c r="T1035" t="s">
        <v>317</v>
      </c>
      <c r="U1035" t="s">
        <v>35</v>
      </c>
      <c r="V1035" s="3" t="s">
        <v>35</v>
      </c>
      <c r="W1035" s="3" t="s">
        <v>69</v>
      </c>
      <c r="AM1035" s="5"/>
      <c r="AN1035" s="5"/>
      <c r="AQ1035" s="6"/>
    </row>
    <row r="1036" spans="2:43" x14ac:dyDescent="0.25">
      <c r="B1036" t="s">
        <v>2968</v>
      </c>
      <c r="C1036">
        <v>78078</v>
      </c>
      <c r="D1036" t="s">
        <v>2971</v>
      </c>
      <c r="E1036" t="s">
        <v>2972</v>
      </c>
      <c r="F1036" t="s">
        <v>305</v>
      </c>
      <c r="G1036" t="s">
        <v>304</v>
      </c>
      <c r="H1036" t="s">
        <v>30</v>
      </c>
      <c r="I1036" t="s">
        <v>31</v>
      </c>
      <c r="J1036" t="s">
        <v>32</v>
      </c>
      <c r="K1036" t="s">
        <v>44</v>
      </c>
      <c r="L1036" t="s">
        <v>73</v>
      </c>
      <c r="M1036" t="s">
        <v>273</v>
      </c>
      <c r="N1036" t="s">
        <v>60</v>
      </c>
      <c r="P1036" t="s">
        <v>65</v>
      </c>
      <c r="Q1036" t="s">
        <v>2973</v>
      </c>
      <c r="R1036" s="5">
        <v>42431.816712962966</v>
      </c>
      <c r="S1036" s="5">
        <v>42839.940381944441</v>
      </c>
      <c r="T1036" t="s">
        <v>317</v>
      </c>
      <c r="U1036" t="s">
        <v>3975</v>
      </c>
      <c r="V1036" s="3" t="s">
        <v>35</v>
      </c>
      <c r="W1036" s="3" t="s">
        <v>133</v>
      </c>
      <c r="AM1036" s="5"/>
      <c r="AN1036" s="5"/>
      <c r="AQ1036" s="6"/>
    </row>
    <row r="1037" spans="2:43" x14ac:dyDescent="0.25">
      <c r="B1037" t="s">
        <v>3897</v>
      </c>
      <c r="C1037">
        <v>78022</v>
      </c>
      <c r="D1037" t="s">
        <v>3898</v>
      </c>
      <c r="E1037" t="s">
        <v>3899</v>
      </c>
      <c r="F1037" t="s">
        <v>305</v>
      </c>
      <c r="G1037" t="s">
        <v>310</v>
      </c>
      <c r="H1037" t="s">
        <v>30</v>
      </c>
      <c r="I1037" t="s">
        <v>57</v>
      </c>
      <c r="J1037" t="s">
        <v>58</v>
      </c>
      <c r="K1037" t="s">
        <v>33</v>
      </c>
      <c r="L1037" t="s">
        <v>34</v>
      </c>
      <c r="M1037" t="s">
        <v>3780</v>
      </c>
      <c r="N1037" t="s">
        <v>46</v>
      </c>
      <c r="P1037" t="s">
        <v>3000</v>
      </c>
      <c r="Q1037" t="s">
        <v>3000</v>
      </c>
      <c r="R1037" s="5">
        <v>42431.203576388885</v>
      </c>
      <c r="S1037" s="5">
        <v>42678.651597222219</v>
      </c>
      <c r="T1037" t="s">
        <v>4</v>
      </c>
      <c r="U1037" t="s">
        <v>35</v>
      </c>
      <c r="V1037" s="3" t="s">
        <v>35</v>
      </c>
      <c r="W1037" s="3" t="s">
        <v>3028</v>
      </c>
      <c r="AM1037" s="5"/>
      <c r="AN1037" s="5"/>
      <c r="AQ1037" s="6"/>
    </row>
    <row r="1038" spans="2:43" x14ac:dyDescent="0.25">
      <c r="B1038" t="s">
        <v>2969</v>
      </c>
      <c r="C1038">
        <v>78012</v>
      </c>
      <c r="D1038" t="s">
        <v>2970</v>
      </c>
      <c r="E1038" t="s">
        <v>1</v>
      </c>
      <c r="F1038" t="s">
        <v>305</v>
      </c>
      <c r="G1038" t="s">
        <v>328</v>
      </c>
      <c r="H1038" t="s">
        <v>30</v>
      </c>
      <c r="I1038" t="s">
        <v>31</v>
      </c>
      <c r="J1038" t="s">
        <v>32</v>
      </c>
      <c r="K1038" t="s">
        <v>33</v>
      </c>
      <c r="L1038" t="s">
        <v>73</v>
      </c>
      <c r="M1038" t="s">
        <v>263</v>
      </c>
      <c r="N1038" t="s">
        <v>60</v>
      </c>
      <c r="P1038" t="s">
        <v>65</v>
      </c>
      <c r="Q1038" t="s">
        <v>65</v>
      </c>
      <c r="R1038" s="5">
        <v>42430.8362037037</v>
      </c>
      <c r="S1038" s="5">
        <v>42759.630960648145</v>
      </c>
      <c r="T1038" t="s">
        <v>1</v>
      </c>
      <c r="U1038" t="s">
        <v>35</v>
      </c>
      <c r="V1038" s="3" t="s">
        <v>35</v>
      </c>
      <c r="W1038" s="3" t="s">
        <v>4098</v>
      </c>
      <c r="AM1038" s="5"/>
      <c r="AN1038" s="5"/>
      <c r="AQ1038" s="6"/>
    </row>
    <row r="1039" spans="2:43" x14ac:dyDescent="0.25">
      <c r="B1039" t="s">
        <v>2968</v>
      </c>
      <c r="C1039">
        <v>77990</v>
      </c>
      <c r="D1039" t="s">
        <v>356</v>
      </c>
      <c r="E1039" t="s">
        <v>330</v>
      </c>
      <c r="F1039" t="s">
        <v>305</v>
      </c>
      <c r="G1039" t="s">
        <v>304</v>
      </c>
      <c r="H1039" t="s">
        <v>30</v>
      </c>
      <c r="I1039" t="s">
        <v>31</v>
      </c>
      <c r="J1039" t="s">
        <v>32</v>
      </c>
      <c r="K1039" t="s">
        <v>44</v>
      </c>
      <c r="L1039" t="s">
        <v>73</v>
      </c>
      <c r="M1039" t="s">
        <v>273</v>
      </c>
      <c r="N1039" t="s">
        <v>60</v>
      </c>
      <c r="O1039" t="s">
        <v>355</v>
      </c>
      <c r="P1039" t="s">
        <v>65</v>
      </c>
      <c r="Q1039" t="s">
        <v>2481</v>
      </c>
      <c r="R1039" s="5">
        <v>42430.725231481483</v>
      </c>
      <c r="S1039" s="5">
        <v>42871.700069444443</v>
      </c>
      <c r="T1039" t="s">
        <v>1</v>
      </c>
      <c r="U1039" t="s">
        <v>35</v>
      </c>
      <c r="V1039" s="3" t="s">
        <v>35</v>
      </c>
      <c r="W1039" s="3" t="s">
        <v>4098</v>
      </c>
      <c r="AM1039" s="5"/>
      <c r="AN1039" s="5"/>
      <c r="AQ1039" s="6"/>
    </row>
    <row r="1040" spans="2:43" x14ac:dyDescent="0.25">
      <c r="B1040" t="s">
        <v>2743</v>
      </c>
      <c r="C1040">
        <v>77906</v>
      </c>
      <c r="D1040" t="s">
        <v>2967</v>
      </c>
      <c r="E1040" t="s">
        <v>94</v>
      </c>
      <c r="F1040" t="s">
        <v>305</v>
      </c>
      <c r="G1040" t="s">
        <v>304</v>
      </c>
      <c r="H1040" t="s">
        <v>30</v>
      </c>
      <c r="I1040" t="s">
        <v>31</v>
      </c>
      <c r="J1040" t="s">
        <v>32</v>
      </c>
      <c r="K1040" t="s">
        <v>51</v>
      </c>
      <c r="L1040" t="s">
        <v>73</v>
      </c>
      <c r="M1040" t="s">
        <v>273</v>
      </c>
      <c r="N1040" t="s">
        <v>46</v>
      </c>
      <c r="P1040" t="s">
        <v>47</v>
      </c>
      <c r="Q1040" t="s">
        <v>65</v>
      </c>
      <c r="R1040" s="5">
        <v>42429.951249999998</v>
      </c>
      <c r="S1040" s="5">
        <v>42949.037245370368</v>
      </c>
      <c r="T1040" t="s">
        <v>317</v>
      </c>
      <c r="U1040" t="s">
        <v>35</v>
      </c>
      <c r="V1040" s="3" t="s">
        <v>321</v>
      </c>
      <c r="W1040" s="3" t="s">
        <v>69</v>
      </c>
      <c r="AM1040" s="5"/>
      <c r="AN1040" s="5"/>
      <c r="AQ1040" s="6"/>
    </row>
    <row r="1041" spans="2:43" x14ac:dyDescent="0.25">
      <c r="B1041" t="s">
        <v>2955</v>
      </c>
      <c r="C1041">
        <v>77892</v>
      </c>
      <c r="D1041" t="s">
        <v>2966</v>
      </c>
      <c r="E1041" t="s">
        <v>131</v>
      </c>
      <c r="F1041" t="s">
        <v>305</v>
      </c>
      <c r="G1041" t="s">
        <v>304</v>
      </c>
      <c r="H1041" t="s">
        <v>30</v>
      </c>
      <c r="I1041" t="s">
        <v>31</v>
      </c>
      <c r="J1041" t="s">
        <v>32</v>
      </c>
      <c r="K1041" t="s">
        <v>44</v>
      </c>
      <c r="L1041" t="s">
        <v>73</v>
      </c>
      <c r="M1041" t="s">
        <v>264</v>
      </c>
      <c r="N1041" t="s">
        <v>46</v>
      </c>
      <c r="P1041" t="s">
        <v>133</v>
      </c>
      <c r="Q1041" t="s">
        <v>2944</v>
      </c>
      <c r="R1041" s="5">
        <v>42429.816203703704</v>
      </c>
      <c r="S1041" s="5">
        <v>42949.04383101852</v>
      </c>
      <c r="T1041" t="s">
        <v>317</v>
      </c>
      <c r="U1041" t="s">
        <v>3974</v>
      </c>
      <c r="V1041" s="3" t="s">
        <v>321</v>
      </c>
      <c r="W1041" s="3" t="s">
        <v>69</v>
      </c>
      <c r="AM1041" s="5"/>
      <c r="AN1041" s="5"/>
      <c r="AQ1041" s="6"/>
    </row>
    <row r="1042" spans="2:43" x14ac:dyDescent="0.25">
      <c r="B1042" t="s">
        <v>2955</v>
      </c>
      <c r="C1042">
        <v>77891</v>
      </c>
      <c r="D1042" t="s">
        <v>2965</v>
      </c>
      <c r="E1042" t="s">
        <v>361</v>
      </c>
      <c r="F1042" t="s">
        <v>305</v>
      </c>
      <c r="G1042" t="s">
        <v>304</v>
      </c>
      <c r="H1042" t="s">
        <v>30</v>
      </c>
      <c r="I1042" t="s">
        <v>31</v>
      </c>
      <c r="J1042" t="s">
        <v>32</v>
      </c>
      <c r="K1042" t="s">
        <v>44</v>
      </c>
      <c r="L1042" t="s">
        <v>73</v>
      </c>
      <c r="M1042" t="s">
        <v>264</v>
      </c>
      <c r="N1042" t="s">
        <v>331</v>
      </c>
      <c r="O1042" t="s">
        <v>358</v>
      </c>
      <c r="P1042" t="s">
        <v>133</v>
      </c>
      <c r="R1042" s="5">
        <v>42429.816134259258</v>
      </c>
      <c r="S1042" s="5">
        <v>42529.300428240742</v>
      </c>
      <c r="T1042" t="s">
        <v>317</v>
      </c>
      <c r="U1042" t="s">
        <v>3973</v>
      </c>
      <c r="V1042" s="3" t="s">
        <v>321</v>
      </c>
      <c r="W1042" s="3" t="s">
        <v>133</v>
      </c>
      <c r="AM1042" s="5"/>
      <c r="AN1042" s="5"/>
      <c r="AQ1042" s="6"/>
    </row>
    <row r="1043" spans="2:43" x14ac:dyDescent="0.25">
      <c r="B1043" t="s">
        <v>2956</v>
      </c>
      <c r="C1043">
        <v>77807</v>
      </c>
      <c r="D1043" t="s">
        <v>2964</v>
      </c>
      <c r="E1043" t="s">
        <v>136</v>
      </c>
      <c r="F1043" t="s">
        <v>305</v>
      </c>
      <c r="G1043" t="s">
        <v>304</v>
      </c>
      <c r="H1043" t="s">
        <v>30</v>
      </c>
      <c r="I1043" t="s">
        <v>31</v>
      </c>
      <c r="J1043" t="s">
        <v>32</v>
      </c>
      <c r="K1043" t="s">
        <v>44</v>
      </c>
      <c r="L1043" t="s">
        <v>106</v>
      </c>
      <c r="M1043" t="s">
        <v>270</v>
      </c>
      <c r="N1043" t="s">
        <v>46</v>
      </c>
      <c r="P1043" t="s">
        <v>65</v>
      </c>
      <c r="Q1043" t="s">
        <v>1503</v>
      </c>
      <c r="R1043" s="5">
        <v>42426.65587962963</v>
      </c>
      <c r="S1043" s="5">
        <v>42580.782453703701</v>
      </c>
      <c r="T1043" t="s">
        <v>288</v>
      </c>
      <c r="U1043" t="s">
        <v>3965</v>
      </c>
      <c r="V1043" s="3" t="s">
        <v>35</v>
      </c>
      <c r="W1043" s="3" t="s">
        <v>77</v>
      </c>
      <c r="AM1043" s="5"/>
      <c r="AN1043" s="5"/>
      <c r="AQ1043" s="6"/>
    </row>
    <row r="1044" spans="2:43" x14ac:dyDescent="0.25">
      <c r="B1044" t="s">
        <v>2962</v>
      </c>
      <c r="C1044">
        <v>77806</v>
      </c>
      <c r="D1044" t="s">
        <v>2963</v>
      </c>
      <c r="E1044" t="s">
        <v>136</v>
      </c>
      <c r="F1044" t="s">
        <v>305</v>
      </c>
      <c r="G1044" t="s">
        <v>304</v>
      </c>
      <c r="H1044" t="s">
        <v>30</v>
      </c>
      <c r="I1044" t="s">
        <v>31</v>
      </c>
      <c r="J1044" t="s">
        <v>32</v>
      </c>
      <c r="K1044" t="s">
        <v>44</v>
      </c>
      <c r="L1044" t="s">
        <v>106</v>
      </c>
      <c r="M1044" t="s">
        <v>270</v>
      </c>
      <c r="N1044" t="s">
        <v>60</v>
      </c>
      <c r="P1044" t="s">
        <v>65</v>
      </c>
      <c r="Q1044" t="s">
        <v>1503</v>
      </c>
      <c r="R1044" s="5">
        <v>42426.655868055554</v>
      </c>
      <c r="S1044" s="5">
        <v>42674.761203703703</v>
      </c>
      <c r="T1044" t="s">
        <v>288</v>
      </c>
      <c r="U1044" t="s">
        <v>3969</v>
      </c>
      <c r="V1044" s="3" t="s">
        <v>35</v>
      </c>
      <c r="W1044" s="3" t="s">
        <v>133</v>
      </c>
      <c r="AM1044" s="5"/>
      <c r="AN1044" s="5"/>
      <c r="AQ1044" s="6"/>
    </row>
    <row r="1045" spans="2:43" x14ac:dyDescent="0.25">
      <c r="B1045" t="s">
        <v>2958</v>
      </c>
      <c r="C1045">
        <v>77773</v>
      </c>
      <c r="D1045" t="s">
        <v>2959</v>
      </c>
      <c r="E1045" t="s">
        <v>2960</v>
      </c>
      <c r="F1045" t="s">
        <v>305</v>
      </c>
      <c r="G1045" t="s">
        <v>337</v>
      </c>
      <c r="H1045" t="s">
        <v>54</v>
      </c>
      <c r="I1045" t="s">
        <v>31</v>
      </c>
      <c r="J1045" t="s">
        <v>32</v>
      </c>
      <c r="K1045" t="s">
        <v>33</v>
      </c>
      <c r="L1045" t="s">
        <v>73</v>
      </c>
      <c r="M1045" t="s">
        <v>263</v>
      </c>
      <c r="N1045" t="s">
        <v>60</v>
      </c>
      <c r="O1045" t="s">
        <v>2961</v>
      </c>
      <c r="P1045" t="s">
        <v>61</v>
      </c>
      <c r="Q1045" t="s">
        <v>2481</v>
      </c>
      <c r="R1045" s="5">
        <v>42426.315775462965</v>
      </c>
      <c r="S1045" s="5">
        <v>42941.867928240739</v>
      </c>
      <c r="T1045" t="s">
        <v>317</v>
      </c>
      <c r="U1045" t="s">
        <v>35</v>
      </c>
      <c r="V1045" s="3" t="s">
        <v>321</v>
      </c>
      <c r="W1045" s="3" t="s">
        <v>133</v>
      </c>
      <c r="AM1045" s="5"/>
      <c r="AN1045" s="5"/>
      <c r="AQ1045" s="6"/>
    </row>
    <row r="1046" spans="2:43" x14ac:dyDescent="0.25">
      <c r="B1046" t="s">
        <v>2848</v>
      </c>
      <c r="C1046">
        <v>77767</v>
      </c>
      <c r="D1046" t="s">
        <v>2957</v>
      </c>
      <c r="E1046" t="s">
        <v>82</v>
      </c>
      <c r="F1046" t="s">
        <v>305</v>
      </c>
      <c r="G1046" t="s">
        <v>304</v>
      </c>
      <c r="H1046" t="s">
        <v>54</v>
      </c>
      <c r="I1046" t="s">
        <v>31</v>
      </c>
      <c r="J1046" t="s">
        <v>43</v>
      </c>
      <c r="K1046" t="s">
        <v>44</v>
      </c>
      <c r="L1046" t="s">
        <v>73</v>
      </c>
      <c r="M1046" t="s">
        <v>263</v>
      </c>
      <c r="N1046" t="s">
        <v>46</v>
      </c>
      <c r="P1046" t="s">
        <v>2552</v>
      </c>
      <c r="Q1046" t="s">
        <v>2552</v>
      </c>
      <c r="R1046" s="5">
        <v>42426.28496527778</v>
      </c>
      <c r="S1046" s="5">
        <v>42949.049351851849</v>
      </c>
      <c r="T1046" t="s">
        <v>82</v>
      </c>
      <c r="U1046" t="s">
        <v>35</v>
      </c>
      <c r="V1046" s="3" t="s">
        <v>35</v>
      </c>
      <c r="W1046" s="3" t="s">
        <v>69</v>
      </c>
      <c r="AM1046" s="5"/>
      <c r="AN1046" s="5"/>
      <c r="AQ1046" s="6"/>
    </row>
    <row r="1047" spans="2:43" x14ac:dyDescent="0.25">
      <c r="B1047" t="s">
        <v>2956</v>
      </c>
      <c r="C1047">
        <v>77745</v>
      </c>
      <c r="D1047" t="s">
        <v>357</v>
      </c>
      <c r="E1047" t="s">
        <v>136</v>
      </c>
      <c r="F1047" t="s">
        <v>305</v>
      </c>
      <c r="G1047" t="s">
        <v>304</v>
      </c>
      <c r="H1047" t="s">
        <v>30</v>
      </c>
      <c r="I1047" t="s">
        <v>31</v>
      </c>
      <c r="J1047" t="s">
        <v>32</v>
      </c>
      <c r="K1047" t="s">
        <v>44</v>
      </c>
      <c r="L1047" t="s">
        <v>106</v>
      </c>
      <c r="M1047" t="s">
        <v>270</v>
      </c>
      <c r="N1047" t="s">
        <v>46</v>
      </c>
      <c r="P1047" t="s">
        <v>65</v>
      </c>
      <c r="Q1047" t="s">
        <v>65</v>
      </c>
      <c r="R1047" s="5">
        <v>42425.69736111111</v>
      </c>
      <c r="S1047" s="5">
        <v>43187.158414351848</v>
      </c>
      <c r="T1047" t="s">
        <v>1</v>
      </c>
      <c r="U1047" t="s">
        <v>35</v>
      </c>
      <c r="V1047" s="3" t="s">
        <v>35</v>
      </c>
      <c r="W1047" s="3" t="s">
        <v>4098</v>
      </c>
      <c r="AM1047" s="5"/>
      <c r="AN1047" s="5"/>
      <c r="AQ1047" s="6"/>
    </row>
    <row r="1048" spans="2:43" x14ac:dyDescent="0.25">
      <c r="B1048" t="s">
        <v>2955</v>
      </c>
      <c r="C1048">
        <v>77493</v>
      </c>
      <c r="D1048" t="s">
        <v>360</v>
      </c>
      <c r="E1048" t="s">
        <v>361</v>
      </c>
      <c r="F1048" t="s">
        <v>305</v>
      </c>
      <c r="G1048" t="s">
        <v>304</v>
      </c>
      <c r="H1048" t="s">
        <v>30</v>
      </c>
      <c r="I1048" t="s">
        <v>31</v>
      </c>
      <c r="J1048" t="s">
        <v>32</v>
      </c>
      <c r="K1048" t="s">
        <v>44</v>
      </c>
      <c r="L1048" t="s">
        <v>73</v>
      </c>
      <c r="M1048" t="s">
        <v>264</v>
      </c>
      <c r="N1048" t="s">
        <v>46</v>
      </c>
      <c r="O1048" t="s">
        <v>358</v>
      </c>
      <c r="P1048" t="s">
        <v>133</v>
      </c>
      <c r="Q1048" t="s">
        <v>2944</v>
      </c>
      <c r="R1048" s="5">
        <v>42423.280347222222</v>
      </c>
      <c r="S1048" s="5">
        <v>42583.514097222222</v>
      </c>
      <c r="T1048" t="s">
        <v>359</v>
      </c>
      <c r="U1048" t="s">
        <v>35</v>
      </c>
      <c r="V1048" s="3" t="s">
        <v>321</v>
      </c>
      <c r="W1048" s="3" t="s">
        <v>4098</v>
      </c>
      <c r="AM1048" s="5"/>
      <c r="AN1048" s="5"/>
      <c r="AQ1048" s="6"/>
    </row>
    <row r="1049" spans="2:43" x14ac:dyDescent="0.25">
      <c r="B1049" t="s">
        <v>198</v>
      </c>
      <c r="C1049">
        <v>77469</v>
      </c>
      <c r="D1049" t="s">
        <v>63</v>
      </c>
      <c r="E1049" t="s">
        <v>64</v>
      </c>
      <c r="F1049" t="s">
        <v>42</v>
      </c>
      <c r="H1049" t="s">
        <v>30</v>
      </c>
      <c r="I1049" t="s">
        <v>31</v>
      </c>
      <c r="J1049" t="s">
        <v>32</v>
      </c>
      <c r="K1049" t="s">
        <v>44</v>
      </c>
      <c r="L1049" t="s">
        <v>52</v>
      </c>
      <c r="M1049" t="s">
        <v>262</v>
      </c>
      <c r="N1049" t="s">
        <v>60</v>
      </c>
      <c r="P1049" t="s">
        <v>65</v>
      </c>
      <c r="R1049" s="5">
        <v>42422.733182870368</v>
      </c>
      <c r="S1049" s="5">
        <v>42657.702928240738</v>
      </c>
      <c r="T1049" t="s">
        <v>66</v>
      </c>
      <c r="U1049" t="s">
        <v>35</v>
      </c>
      <c r="V1049" s="3" t="s">
        <v>321</v>
      </c>
      <c r="W1049" s="3" t="s">
        <v>4098</v>
      </c>
      <c r="AM1049" s="5"/>
      <c r="AN1049" s="5"/>
      <c r="AQ1049" s="6"/>
    </row>
    <row r="1050" spans="2:43" x14ac:dyDescent="0.25">
      <c r="B1050" t="s">
        <v>2671</v>
      </c>
      <c r="C1050">
        <v>77425</v>
      </c>
      <c r="D1050" t="s">
        <v>2954</v>
      </c>
      <c r="E1050" t="s">
        <v>335</v>
      </c>
      <c r="F1050" t="s">
        <v>305</v>
      </c>
      <c r="G1050" t="s">
        <v>304</v>
      </c>
      <c r="H1050" t="s">
        <v>30</v>
      </c>
      <c r="I1050" t="s">
        <v>31</v>
      </c>
      <c r="J1050" t="s">
        <v>32</v>
      </c>
      <c r="K1050" t="s">
        <v>33</v>
      </c>
      <c r="L1050" t="s">
        <v>195</v>
      </c>
      <c r="M1050" t="s">
        <v>362</v>
      </c>
      <c r="N1050" t="s">
        <v>46</v>
      </c>
      <c r="P1050" t="s">
        <v>61</v>
      </c>
      <c r="Q1050" t="s">
        <v>394</v>
      </c>
      <c r="R1050" s="5">
        <v>42422.300694444442</v>
      </c>
      <c r="S1050" s="5">
        <v>42941.659131944441</v>
      </c>
      <c r="T1050" t="s">
        <v>53</v>
      </c>
      <c r="U1050" t="s">
        <v>35</v>
      </c>
      <c r="V1050" s="3" t="s">
        <v>321</v>
      </c>
      <c r="W1050" s="3" t="s">
        <v>69</v>
      </c>
      <c r="AM1050" s="5"/>
      <c r="AN1050" s="5"/>
      <c r="AQ1050" s="6"/>
    </row>
    <row r="1051" spans="2:43" x14ac:dyDescent="0.25">
      <c r="B1051" t="s">
        <v>2671</v>
      </c>
      <c r="C1051">
        <v>77424</v>
      </c>
      <c r="D1051" t="s">
        <v>2953</v>
      </c>
      <c r="E1051" t="s">
        <v>335</v>
      </c>
      <c r="F1051" t="s">
        <v>305</v>
      </c>
      <c r="G1051" t="s">
        <v>304</v>
      </c>
      <c r="H1051" t="s">
        <v>30</v>
      </c>
      <c r="I1051" t="s">
        <v>31</v>
      </c>
      <c r="J1051" t="s">
        <v>32</v>
      </c>
      <c r="K1051" t="s">
        <v>33</v>
      </c>
      <c r="L1051" t="s">
        <v>195</v>
      </c>
      <c r="M1051" t="s">
        <v>362</v>
      </c>
      <c r="N1051" t="s">
        <v>60</v>
      </c>
      <c r="P1051" t="s">
        <v>61</v>
      </c>
      <c r="Q1051" t="s">
        <v>394</v>
      </c>
      <c r="R1051" s="5">
        <v>42422.300625000003</v>
      </c>
      <c r="S1051" s="5">
        <v>42648.940532407411</v>
      </c>
      <c r="T1051" t="s">
        <v>53</v>
      </c>
      <c r="U1051" t="s">
        <v>3972</v>
      </c>
      <c r="V1051" s="3" t="s">
        <v>321</v>
      </c>
      <c r="W1051" s="3" t="s">
        <v>133</v>
      </c>
      <c r="AM1051" s="5"/>
      <c r="AN1051" s="5"/>
      <c r="AQ1051" s="6"/>
    </row>
    <row r="1052" spans="2:43" x14ac:dyDescent="0.25">
      <c r="B1052" t="s">
        <v>2671</v>
      </c>
      <c r="C1052">
        <v>77423</v>
      </c>
      <c r="D1052" t="s">
        <v>2952</v>
      </c>
      <c r="E1052" t="s">
        <v>335</v>
      </c>
      <c r="F1052" t="s">
        <v>305</v>
      </c>
      <c r="G1052" t="s">
        <v>304</v>
      </c>
      <c r="H1052" t="s">
        <v>30</v>
      </c>
      <c r="I1052" t="s">
        <v>31</v>
      </c>
      <c r="J1052" t="s">
        <v>32</v>
      </c>
      <c r="K1052" t="s">
        <v>33</v>
      </c>
      <c r="L1052" t="s">
        <v>195</v>
      </c>
      <c r="M1052" t="s">
        <v>362</v>
      </c>
      <c r="N1052" t="s">
        <v>46</v>
      </c>
      <c r="P1052" t="s">
        <v>61</v>
      </c>
      <c r="Q1052" t="s">
        <v>2951</v>
      </c>
      <c r="R1052" s="5">
        <v>42422.300543981481</v>
      </c>
      <c r="S1052" s="5">
        <v>42709.766134259262</v>
      </c>
      <c r="T1052" t="s">
        <v>53</v>
      </c>
      <c r="U1052" t="s">
        <v>3967</v>
      </c>
      <c r="V1052" s="3" t="s">
        <v>321</v>
      </c>
      <c r="W1052" s="3" t="s">
        <v>77</v>
      </c>
      <c r="AM1052" s="5"/>
      <c r="AN1052" s="5"/>
      <c r="AQ1052" s="6"/>
    </row>
    <row r="1053" spans="2:43" x14ac:dyDescent="0.25">
      <c r="B1053" t="s">
        <v>2671</v>
      </c>
      <c r="C1053">
        <v>77248</v>
      </c>
      <c r="D1053" t="s">
        <v>363</v>
      </c>
      <c r="E1053" t="s">
        <v>335</v>
      </c>
      <c r="F1053" t="s">
        <v>305</v>
      </c>
      <c r="G1053" t="s">
        <v>304</v>
      </c>
      <c r="H1053" t="s">
        <v>30</v>
      </c>
      <c r="I1053" t="s">
        <v>31</v>
      </c>
      <c r="J1053" t="s">
        <v>32</v>
      </c>
      <c r="K1053" t="s">
        <v>33</v>
      </c>
      <c r="L1053" t="s">
        <v>195</v>
      </c>
      <c r="M1053" t="s">
        <v>362</v>
      </c>
      <c r="N1053" t="s">
        <v>46</v>
      </c>
      <c r="P1053" t="s">
        <v>61</v>
      </c>
      <c r="Q1053" t="s">
        <v>2951</v>
      </c>
      <c r="R1053" s="5">
        <v>42417.793124999997</v>
      </c>
      <c r="S1053" s="5">
        <v>42941.581631944442</v>
      </c>
      <c r="T1053" t="s">
        <v>2</v>
      </c>
      <c r="U1053" t="s">
        <v>35</v>
      </c>
      <c r="V1053" s="3" t="s">
        <v>321</v>
      </c>
      <c r="W1053" s="3" t="s">
        <v>4098</v>
      </c>
      <c r="AM1053" s="5"/>
      <c r="AN1053" s="5"/>
      <c r="AQ1053" s="6"/>
    </row>
    <row r="1054" spans="2:43" x14ac:dyDescent="0.25">
      <c r="B1054" t="s">
        <v>2947</v>
      </c>
      <c r="C1054">
        <v>77143</v>
      </c>
      <c r="D1054" t="s">
        <v>2950</v>
      </c>
      <c r="E1054" t="s">
        <v>387</v>
      </c>
      <c r="F1054" t="s">
        <v>305</v>
      </c>
      <c r="G1054" t="s">
        <v>337</v>
      </c>
      <c r="H1054" t="s">
        <v>30</v>
      </c>
      <c r="I1054" t="s">
        <v>68</v>
      </c>
      <c r="J1054" t="s">
        <v>43</v>
      </c>
      <c r="K1054" t="s">
        <v>33</v>
      </c>
      <c r="L1054" t="s">
        <v>73</v>
      </c>
      <c r="M1054" t="s">
        <v>263</v>
      </c>
      <c r="N1054" t="s">
        <v>46</v>
      </c>
      <c r="P1054" t="s">
        <v>47</v>
      </c>
      <c r="Q1054" t="s">
        <v>47</v>
      </c>
      <c r="R1054" s="5">
        <v>42416.614386574074</v>
      </c>
      <c r="S1054" s="5">
        <v>42444.877997685187</v>
      </c>
      <c r="T1054" t="s">
        <v>317</v>
      </c>
      <c r="U1054" t="s">
        <v>35</v>
      </c>
      <c r="V1054" s="3" t="s">
        <v>35</v>
      </c>
      <c r="W1054" s="3" t="s">
        <v>4156</v>
      </c>
      <c r="AM1054" s="5"/>
      <c r="AN1054" s="5"/>
      <c r="AQ1054" s="6"/>
    </row>
    <row r="1055" spans="2:43" x14ac:dyDescent="0.25">
      <c r="B1055" t="s">
        <v>2947</v>
      </c>
      <c r="C1055">
        <v>76924</v>
      </c>
      <c r="D1055" t="s">
        <v>2949</v>
      </c>
      <c r="E1055" t="s">
        <v>387</v>
      </c>
      <c r="F1055" t="s">
        <v>305</v>
      </c>
      <c r="G1055" t="s">
        <v>328</v>
      </c>
      <c r="H1055" t="s">
        <v>30</v>
      </c>
      <c r="I1055" t="s">
        <v>68</v>
      </c>
      <c r="J1055" t="s">
        <v>43</v>
      </c>
      <c r="K1055" t="s">
        <v>33</v>
      </c>
      <c r="L1055" t="s">
        <v>73</v>
      </c>
      <c r="M1055" t="s">
        <v>263</v>
      </c>
      <c r="N1055" t="s">
        <v>46</v>
      </c>
      <c r="P1055" t="s">
        <v>47</v>
      </c>
      <c r="Q1055" t="s">
        <v>2481</v>
      </c>
      <c r="R1055" s="5">
        <v>42411.315416666665</v>
      </c>
      <c r="S1055" s="5">
        <v>42678.651724537034</v>
      </c>
      <c r="T1055" t="s">
        <v>317</v>
      </c>
      <c r="U1055" t="s">
        <v>35</v>
      </c>
      <c r="V1055" s="3" t="s">
        <v>35</v>
      </c>
      <c r="W1055" s="3" t="s">
        <v>133</v>
      </c>
      <c r="AM1055" s="5"/>
      <c r="AN1055" s="5"/>
      <c r="AQ1055" s="6"/>
    </row>
    <row r="1056" spans="2:43" x14ac:dyDescent="0.25">
      <c r="B1056" t="s">
        <v>2947</v>
      </c>
      <c r="C1056">
        <v>76907</v>
      </c>
      <c r="D1056" t="s">
        <v>2948</v>
      </c>
      <c r="E1056" t="s">
        <v>131</v>
      </c>
      <c r="F1056" t="s">
        <v>305</v>
      </c>
      <c r="G1056" t="s">
        <v>328</v>
      </c>
      <c r="H1056" t="s">
        <v>30</v>
      </c>
      <c r="I1056" t="s">
        <v>68</v>
      </c>
      <c r="J1056" t="s">
        <v>43</v>
      </c>
      <c r="K1056" t="s">
        <v>33</v>
      </c>
      <c r="L1056" t="s">
        <v>73</v>
      </c>
      <c r="M1056" t="s">
        <v>263</v>
      </c>
      <c r="N1056" t="s">
        <v>46</v>
      </c>
      <c r="P1056" t="s">
        <v>47</v>
      </c>
      <c r="Q1056" t="s">
        <v>2481</v>
      </c>
      <c r="R1056" s="5">
        <v>42410.910914351851</v>
      </c>
      <c r="S1056" s="5">
        <v>42678.651990740742</v>
      </c>
      <c r="T1056" t="s">
        <v>1</v>
      </c>
      <c r="U1056" t="s">
        <v>35</v>
      </c>
      <c r="V1056" s="3" t="s">
        <v>35</v>
      </c>
      <c r="W1056" s="3" t="s">
        <v>4098</v>
      </c>
      <c r="AM1056" s="5"/>
      <c r="AN1056" s="5"/>
      <c r="AQ1056" s="6"/>
    </row>
    <row r="1057" spans="2:43" x14ac:dyDescent="0.25">
      <c r="B1057" t="s">
        <v>364</v>
      </c>
      <c r="C1057">
        <v>76875</v>
      </c>
      <c r="D1057" t="s">
        <v>2945</v>
      </c>
      <c r="E1057" t="s">
        <v>82</v>
      </c>
      <c r="F1057" t="s">
        <v>305</v>
      </c>
      <c r="G1057" t="s">
        <v>304</v>
      </c>
      <c r="H1057" t="s">
        <v>30</v>
      </c>
      <c r="I1057" t="s">
        <v>31</v>
      </c>
      <c r="J1057" t="s">
        <v>43</v>
      </c>
      <c r="K1057" t="s">
        <v>44</v>
      </c>
      <c r="L1057" t="s">
        <v>73</v>
      </c>
      <c r="M1057" t="s">
        <v>273</v>
      </c>
      <c r="N1057" t="s">
        <v>523</v>
      </c>
      <c r="P1057" t="s">
        <v>61</v>
      </c>
      <c r="Q1057" t="s">
        <v>2946</v>
      </c>
      <c r="R1057" s="5">
        <v>42410.612824074073</v>
      </c>
      <c r="S1057" s="5">
        <v>42922.679606481484</v>
      </c>
      <c r="T1057" t="s">
        <v>317</v>
      </c>
      <c r="U1057" t="s">
        <v>35</v>
      </c>
      <c r="V1057" s="3" t="s">
        <v>35</v>
      </c>
      <c r="W1057" s="3" t="s">
        <v>190</v>
      </c>
      <c r="AM1057" s="5"/>
      <c r="AN1057" s="5"/>
      <c r="AQ1057" s="6"/>
    </row>
    <row r="1058" spans="2:43" x14ac:dyDescent="0.25">
      <c r="B1058" t="s">
        <v>364</v>
      </c>
      <c r="C1058">
        <v>76846</v>
      </c>
      <c r="D1058" t="s">
        <v>2942</v>
      </c>
      <c r="E1058" t="s">
        <v>110</v>
      </c>
      <c r="F1058" t="s">
        <v>305</v>
      </c>
      <c r="G1058" t="s">
        <v>304</v>
      </c>
      <c r="H1058" t="s">
        <v>54</v>
      </c>
      <c r="I1058" t="s">
        <v>31</v>
      </c>
      <c r="J1058" t="s">
        <v>43</v>
      </c>
      <c r="K1058" t="s">
        <v>44</v>
      </c>
      <c r="L1058" t="s">
        <v>73</v>
      </c>
      <c r="M1058" t="s">
        <v>263</v>
      </c>
      <c r="N1058" t="s">
        <v>60</v>
      </c>
      <c r="O1058" t="s">
        <v>2943</v>
      </c>
      <c r="P1058" t="s">
        <v>61</v>
      </c>
      <c r="Q1058" t="s">
        <v>2944</v>
      </c>
      <c r="R1058" s="5">
        <v>42410.315358796295</v>
      </c>
      <c r="S1058" s="5">
        <v>42840.084374999999</v>
      </c>
      <c r="T1058" t="s">
        <v>317</v>
      </c>
      <c r="U1058" t="s">
        <v>3971</v>
      </c>
      <c r="V1058" s="3" t="s">
        <v>321</v>
      </c>
      <c r="W1058" s="3" t="s">
        <v>133</v>
      </c>
      <c r="AM1058" s="5"/>
      <c r="AN1058" s="5"/>
      <c r="AQ1058" s="6"/>
    </row>
    <row r="1059" spans="2:43" x14ac:dyDescent="0.25">
      <c r="B1059" t="s">
        <v>364</v>
      </c>
      <c r="C1059">
        <v>76841</v>
      </c>
      <c r="D1059" t="s">
        <v>365</v>
      </c>
      <c r="E1059" t="s">
        <v>110</v>
      </c>
      <c r="F1059" t="s">
        <v>305</v>
      </c>
      <c r="G1059" t="s">
        <v>304</v>
      </c>
      <c r="H1059" t="s">
        <v>30</v>
      </c>
      <c r="I1059" t="s">
        <v>31</v>
      </c>
      <c r="J1059" t="s">
        <v>43</v>
      </c>
      <c r="K1059" t="s">
        <v>51</v>
      </c>
      <c r="L1059" t="s">
        <v>73</v>
      </c>
      <c r="M1059" t="s">
        <v>273</v>
      </c>
      <c r="N1059" t="s">
        <v>60</v>
      </c>
      <c r="P1059" t="s">
        <v>61</v>
      </c>
      <c r="Q1059" t="s">
        <v>159</v>
      </c>
      <c r="R1059" s="5">
        <v>42410.268078703702</v>
      </c>
      <c r="S1059" s="5">
        <v>43187.158055555556</v>
      </c>
      <c r="T1059" t="s">
        <v>4</v>
      </c>
      <c r="U1059" t="s">
        <v>35</v>
      </c>
      <c r="V1059" s="3" t="s">
        <v>35</v>
      </c>
      <c r="W1059" s="3" t="s">
        <v>4098</v>
      </c>
      <c r="AM1059" s="5"/>
      <c r="AN1059" s="5"/>
      <c r="AQ1059" s="6"/>
    </row>
    <row r="1060" spans="2:43" x14ac:dyDescent="0.25">
      <c r="B1060" t="s">
        <v>2892</v>
      </c>
      <c r="C1060">
        <v>76834</v>
      </c>
      <c r="D1060" t="s">
        <v>2941</v>
      </c>
      <c r="E1060" t="s">
        <v>301</v>
      </c>
      <c r="F1060" t="s">
        <v>305</v>
      </c>
      <c r="G1060" t="s">
        <v>328</v>
      </c>
      <c r="H1060" t="s">
        <v>30</v>
      </c>
      <c r="I1060" t="s">
        <v>31</v>
      </c>
      <c r="J1060" t="s">
        <v>32</v>
      </c>
      <c r="K1060" t="s">
        <v>33</v>
      </c>
      <c r="L1060" t="s">
        <v>73</v>
      </c>
      <c r="M1060" t="s">
        <v>263</v>
      </c>
      <c r="N1060" t="s">
        <v>46</v>
      </c>
      <c r="P1060" t="s">
        <v>47</v>
      </c>
      <c r="Q1060" t="s">
        <v>2481</v>
      </c>
      <c r="R1060" s="5">
        <v>42409.866574074076</v>
      </c>
      <c r="S1060" s="5">
        <v>42678.652048611111</v>
      </c>
      <c r="T1060" t="s">
        <v>317</v>
      </c>
      <c r="U1060" t="s">
        <v>35</v>
      </c>
      <c r="V1060" s="3" t="s">
        <v>321</v>
      </c>
      <c r="W1060" s="3" t="s">
        <v>69</v>
      </c>
      <c r="AM1060" s="5"/>
      <c r="AN1060" s="5"/>
      <c r="AQ1060" s="6"/>
    </row>
    <row r="1061" spans="2:43" x14ac:dyDescent="0.25">
      <c r="B1061" t="s">
        <v>2848</v>
      </c>
      <c r="C1061">
        <v>76753</v>
      </c>
      <c r="D1061" t="s">
        <v>2940</v>
      </c>
      <c r="E1061" t="s">
        <v>84</v>
      </c>
      <c r="F1061" t="s">
        <v>305</v>
      </c>
      <c r="G1061" t="s">
        <v>304</v>
      </c>
      <c r="H1061" t="s">
        <v>54</v>
      </c>
      <c r="I1061" t="s">
        <v>31</v>
      </c>
      <c r="J1061" t="s">
        <v>43</v>
      </c>
      <c r="K1061" t="s">
        <v>44</v>
      </c>
      <c r="L1061" t="s">
        <v>73</v>
      </c>
      <c r="M1061" t="s">
        <v>263</v>
      </c>
      <c r="N1061" t="s">
        <v>46</v>
      </c>
      <c r="O1061" t="s">
        <v>2895</v>
      </c>
      <c r="P1061" t="s">
        <v>2552</v>
      </c>
      <c r="Q1061" t="s">
        <v>2854</v>
      </c>
      <c r="R1061" s="5">
        <v>42409.430092592593</v>
      </c>
      <c r="S1061" s="5">
        <v>42991.478321759256</v>
      </c>
      <c r="T1061" t="s">
        <v>82</v>
      </c>
      <c r="U1061" t="s">
        <v>35</v>
      </c>
      <c r="V1061" s="3" t="s">
        <v>35</v>
      </c>
      <c r="W1061" s="3" t="s">
        <v>3661</v>
      </c>
      <c r="AM1061" s="5"/>
      <c r="AN1061" s="5"/>
      <c r="AQ1061" s="6"/>
    </row>
    <row r="1062" spans="2:43" x14ac:dyDescent="0.25">
      <c r="B1062" t="s">
        <v>2848</v>
      </c>
      <c r="C1062">
        <v>76752</v>
      </c>
      <c r="D1062" t="s">
        <v>2939</v>
      </c>
      <c r="E1062" t="s">
        <v>82</v>
      </c>
      <c r="F1062" t="s">
        <v>305</v>
      </c>
      <c r="G1062" t="s">
        <v>304</v>
      </c>
      <c r="H1062" t="s">
        <v>54</v>
      </c>
      <c r="I1062" t="s">
        <v>31</v>
      </c>
      <c r="J1062" t="s">
        <v>43</v>
      </c>
      <c r="K1062" t="s">
        <v>44</v>
      </c>
      <c r="L1062" t="s">
        <v>73</v>
      </c>
      <c r="M1062" t="s">
        <v>263</v>
      </c>
      <c r="N1062" t="s">
        <v>46</v>
      </c>
      <c r="P1062" t="s">
        <v>2552</v>
      </c>
      <c r="Q1062" t="s">
        <v>2552</v>
      </c>
      <c r="R1062" s="5">
        <v>42409.42900462963</v>
      </c>
      <c r="S1062" s="5">
        <v>42529.345300925925</v>
      </c>
      <c r="T1062" t="s">
        <v>82</v>
      </c>
      <c r="U1062" t="s">
        <v>35</v>
      </c>
      <c r="V1062" s="3" t="s">
        <v>35</v>
      </c>
      <c r="W1062" s="3" t="s">
        <v>3233</v>
      </c>
      <c r="AM1062" s="5"/>
      <c r="AN1062" s="5"/>
      <c r="AQ1062" s="6"/>
    </row>
    <row r="1063" spans="2:43" x14ac:dyDescent="0.25">
      <c r="B1063" t="s">
        <v>2935</v>
      </c>
      <c r="C1063">
        <v>76743</v>
      </c>
      <c r="D1063" t="s">
        <v>2938</v>
      </c>
      <c r="E1063" t="s">
        <v>341</v>
      </c>
      <c r="F1063" t="s">
        <v>305</v>
      </c>
      <c r="G1063" t="s">
        <v>304</v>
      </c>
      <c r="H1063" t="s">
        <v>30</v>
      </c>
      <c r="I1063" t="s">
        <v>31</v>
      </c>
      <c r="J1063" t="s">
        <v>32</v>
      </c>
      <c r="K1063" t="s">
        <v>33</v>
      </c>
      <c r="L1063" t="s">
        <v>52</v>
      </c>
      <c r="M1063" t="s">
        <v>106</v>
      </c>
      <c r="N1063" t="s">
        <v>55</v>
      </c>
      <c r="P1063" t="s">
        <v>65</v>
      </c>
      <c r="Q1063" t="s">
        <v>2936</v>
      </c>
      <c r="R1063" s="5">
        <v>42409.397303240738</v>
      </c>
      <c r="S1063" s="5">
        <v>42648.940682870372</v>
      </c>
      <c r="T1063" t="s">
        <v>341</v>
      </c>
      <c r="U1063" t="s">
        <v>35</v>
      </c>
      <c r="V1063" s="3" t="s">
        <v>321</v>
      </c>
      <c r="W1063" s="3" t="s">
        <v>133</v>
      </c>
      <c r="AM1063" s="5"/>
      <c r="AN1063" s="5"/>
      <c r="AQ1063" s="6"/>
    </row>
    <row r="1064" spans="2:43" x14ac:dyDescent="0.25">
      <c r="B1064" t="s">
        <v>2931</v>
      </c>
      <c r="C1064">
        <v>76676</v>
      </c>
      <c r="D1064" t="s">
        <v>2937</v>
      </c>
      <c r="E1064" t="s">
        <v>5</v>
      </c>
      <c r="F1064" t="s">
        <v>305</v>
      </c>
      <c r="G1064" t="s">
        <v>328</v>
      </c>
      <c r="H1064" t="s">
        <v>30</v>
      </c>
      <c r="I1064" t="s">
        <v>31</v>
      </c>
      <c r="J1064" t="s">
        <v>32</v>
      </c>
      <c r="K1064" t="s">
        <v>33</v>
      </c>
      <c r="L1064" t="s">
        <v>73</v>
      </c>
      <c r="M1064" t="s">
        <v>273</v>
      </c>
      <c r="N1064" t="s">
        <v>60</v>
      </c>
      <c r="P1064" t="s">
        <v>61</v>
      </c>
      <c r="Q1064" t="s">
        <v>519</v>
      </c>
      <c r="R1064" s="5">
        <v>42406.025173611109</v>
      </c>
      <c r="S1064" s="5">
        <v>42534.841168981482</v>
      </c>
      <c r="T1064" t="s">
        <v>317</v>
      </c>
      <c r="U1064" t="s">
        <v>35</v>
      </c>
      <c r="V1064" s="3" t="s">
        <v>321</v>
      </c>
      <c r="W1064" s="3" t="s">
        <v>4156</v>
      </c>
      <c r="AM1064" s="5"/>
      <c r="AN1064" s="5"/>
      <c r="AQ1064" s="6"/>
    </row>
    <row r="1065" spans="2:43" x14ac:dyDescent="0.25">
      <c r="B1065" t="s">
        <v>2935</v>
      </c>
      <c r="C1065">
        <v>76497</v>
      </c>
      <c r="D1065" t="s">
        <v>366</v>
      </c>
      <c r="E1065" t="s">
        <v>332</v>
      </c>
      <c r="F1065" t="s">
        <v>305</v>
      </c>
      <c r="G1065" t="s">
        <v>304</v>
      </c>
      <c r="H1065" t="s">
        <v>30</v>
      </c>
      <c r="I1065" t="s">
        <v>31</v>
      </c>
      <c r="J1065" t="s">
        <v>32</v>
      </c>
      <c r="K1065" t="s">
        <v>33</v>
      </c>
      <c r="L1065" t="s">
        <v>52</v>
      </c>
      <c r="M1065" t="s">
        <v>106</v>
      </c>
      <c r="N1065" t="s">
        <v>55</v>
      </c>
      <c r="P1065" t="s">
        <v>65</v>
      </c>
      <c r="Q1065" t="s">
        <v>2936</v>
      </c>
      <c r="R1065" s="5">
        <v>42403.666747685187</v>
      </c>
      <c r="S1065" s="5">
        <v>42930.308472222219</v>
      </c>
      <c r="T1065" t="s">
        <v>332</v>
      </c>
      <c r="U1065" t="s">
        <v>35</v>
      </c>
      <c r="V1065" s="3" t="s">
        <v>321</v>
      </c>
      <c r="W1065" s="3" t="s">
        <v>4098</v>
      </c>
      <c r="AM1065" s="5"/>
      <c r="AN1065" s="5"/>
      <c r="AQ1065" s="6"/>
    </row>
    <row r="1066" spans="2:43" x14ac:dyDescent="0.25">
      <c r="B1066" t="s">
        <v>2931</v>
      </c>
      <c r="C1066">
        <v>76447</v>
      </c>
      <c r="D1066" t="s">
        <v>2933</v>
      </c>
      <c r="E1066" t="s">
        <v>139</v>
      </c>
      <c r="F1066" t="s">
        <v>305</v>
      </c>
      <c r="G1066" t="s">
        <v>328</v>
      </c>
      <c r="H1066" t="s">
        <v>30</v>
      </c>
      <c r="I1066" t="s">
        <v>31</v>
      </c>
      <c r="J1066" t="s">
        <v>32</v>
      </c>
      <c r="K1066" t="s">
        <v>33</v>
      </c>
      <c r="L1066" t="s">
        <v>73</v>
      </c>
      <c r="M1066" t="s">
        <v>263</v>
      </c>
      <c r="N1066" t="s">
        <v>60</v>
      </c>
      <c r="O1066" t="s">
        <v>358</v>
      </c>
      <c r="P1066" t="s">
        <v>61</v>
      </c>
      <c r="Q1066" t="s">
        <v>2934</v>
      </c>
      <c r="R1066" s="5">
        <v>42402.815312500003</v>
      </c>
      <c r="S1066" s="5">
        <v>42534.844456018516</v>
      </c>
      <c r="T1066" t="s">
        <v>317</v>
      </c>
      <c r="U1066" t="s">
        <v>35</v>
      </c>
      <c r="V1066" s="3" t="s">
        <v>321</v>
      </c>
      <c r="W1066" s="3" t="s">
        <v>133</v>
      </c>
      <c r="AM1066" s="5"/>
      <c r="AN1066" s="5"/>
      <c r="AQ1066" s="6"/>
    </row>
    <row r="1067" spans="2:43" x14ac:dyDescent="0.25">
      <c r="B1067" t="s">
        <v>3891</v>
      </c>
      <c r="C1067">
        <v>76431</v>
      </c>
      <c r="D1067" t="s">
        <v>3896</v>
      </c>
      <c r="E1067" t="s">
        <v>3872</v>
      </c>
      <c r="F1067" t="s">
        <v>305</v>
      </c>
      <c r="G1067" t="s">
        <v>304</v>
      </c>
      <c r="H1067" t="s">
        <v>30</v>
      </c>
      <c r="I1067" t="s">
        <v>31</v>
      </c>
      <c r="J1067" t="s">
        <v>43</v>
      </c>
      <c r="K1067" t="s">
        <v>51</v>
      </c>
      <c r="L1067" t="s">
        <v>34</v>
      </c>
      <c r="M1067" t="s">
        <v>368</v>
      </c>
      <c r="N1067" t="s">
        <v>60</v>
      </c>
      <c r="P1067" t="s">
        <v>369</v>
      </c>
      <c r="Q1067" t="s">
        <v>133</v>
      </c>
      <c r="R1067" s="5">
        <v>42402.607083333336</v>
      </c>
      <c r="S1067" s="5">
        <v>42947.645578703705</v>
      </c>
      <c r="T1067" t="s">
        <v>53</v>
      </c>
      <c r="U1067" t="s">
        <v>35</v>
      </c>
      <c r="V1067" s="3" t="s">
        <v>35</v>
      </c>
      <c r="W1067" s="3" t="s">
        <v>69</v>
      </c>
      <c r="AM1067" s="5"/>
      <c r="AN1067" s="5"/>
      <c r="AQ1067" s="6"/>
    </row>
    <row r="1068" spans="2:43" x14ac:dyDescent="0.25">
      <c r="B1068" t="s">
        <v>3891</v>
      </c>
      <c r="C1068">
        <v>76430</v>
      </c>
      <c r="D1068" t="s">
        <v>3895</v>
      </c>
      <c r="E1068" t="s">
        <v>3872</v>
      </c>
      <c r="F1068" t="s">
        <v>305</v>
      </c>
      <c r="G1068" t="s">
        <v>304</v>
      </c>
      <c r="H1068" t="s">
        <v>30</v>
      </c>
      <c r="I1068" t="s">
        <v>31</v>
      </c>
      <c r="J1068" t="s">
        <v>43</v>
      </c>
      <c r="K1068" t="s">
        <v>51</v>
      </c>
      <c r="L1068" t="s">
        <v>34</v>
      </c>
      <c r="M1068" t="s">
        <v>368</v>
      </c>
      <c r="N1068" t="s">
        <v>60</v>
      </c>
      <c r="P1068" t="s">
        <v>369</v>
      </c>
      <c r="Q1068" t="s">
        <v>133</v>
      </c>
      <c r="R1068" s="5">
        <v>42402.605567129627</v>
      </c>
      <c r="S1068" s="5">
        <v>42478.700752314813</v>
      </c>
      <c r="T1068" t="s">
        <v>53</v>
      </c>
      <c r="U1068" t="s">
        <v>3970</v>
      </c>
      <c r="V1068" s="3" t="s">
        <v>35</v>
      </c>
      <c r="W1068" s="3" t="s">
        <v>133</v>
      </c>
      <c r="AM1068" s="5"/>
      <c r="AN1068" s="5"/>
      <c r="AQ1068" s="6"/>
    </row>
    <row r="1069" spans="2:43" x14ac:dyDescent="0.25">
      <c r="B1069" t="s">
        <v>3891</v>
      </c>
      <c r="C1069">
        <v>76429</v>
      </c>
      <c r="D1069" t="s">
        <v>3893</v>
      </c>
      <c r="E1069" t="s">
        <v>3894</v>
      </c>
      <c r="F1069" t="s">
        <v>305</v>
      </c>
      <c r="G1069" t="s">
        <v>304</v>
      </c>
      <c r="H1069" t="s">
        <v>30</v>
      </c>
      <c r="I1069" t="s">
        <v>31</v>
      </c>
      <c r="J1069" t="s">
        <v>43</v>
      </c>
      <c r="K1069" t="s">
        <v>51</v>
      </c>
      <c r="L1069" t="s">
        <v>34</v>
      </c>
      <c r="M1069" t="s">
        <v>3780</v>
      </c>
      <c r="N1069" t="s">
        <v>60</v>
      </c>
      <c r="P1069" t="s">
        <v>369</v>
      </c>
      <c r="Q1069" t="s">
        <v>133</v>
      </c>
      <c r="R1069" s="5">
        <v>42402.603564814817</v>
      </c>
      <c r="S1069" s="5">
        <v>42709.764143518521</v>
      </c>
      <c r="T1069" t="s">
        <v>53</v>
      </c>
      <c r="U1069" t="s">
        <v>3965</v>
      </c>
      <c r="V1069" s="3" t="s">
        <v>35</v>
      </c>
      <c r="W1069" s="3" t="s">
        <v>77</v>
      </c>
      <c r="AM1069" s="5"/>
      <c r="AN1069" s="5"/>
      <c r="AQ1069" s="6"/>
    </row>
    <row r="1070" spans="2:43" x14ac:dyDescent="0.25">
      <c r="B1070" t="s">
        <v>2931</v>
      </c>
      <c r="C1070">
        <v>76402</v>
      </c>
      <c r="D1070" t="s">
        <v>2932</v>
      </c>
      <c r="E1070" t="s">
        <v>5</v>
      </c>
      <c r="F1070" t="s">
        <v>305</v>
      </c>
      <c r="G1070" t="s">
        <v>328</v>
      </c>
      <c r="H1070" t="s">
        <v>30</v>
      </c>
      <c r="I1070" t="s">
        <v>31</v>
      </c>
      <c r="J1070" t="s">
        <v>32</v>
      </c>
      <c r="K1070" t="s">
        <v>33</v>
      </c>
      <c r="L1070" t="s">
        <v>73</v>
      </c>
      <c r="M1070" t="s">
        <v>273</v>
      </c>
      <c r="N1070" t="s">
        <v>46</v>
      </c>
      <c r="P1070" t="s">
        <v>61</v>
      </c>
      <c r="Q1070" t="s">
        <v>519</v>
      </c>
      <c r="R1070" s="5">
        <v>42402.402962962966</v>
      </c>
      <c r="S1070" s="5">
        <v>42534.843553240738</v>
      </c>
      <c r="T1070" t="s">
        <v>5</v>
      </c>
      <c r="U1070" t="s">
        <v>35</v>
      </c>
      <c r="V1070" s="3" t="s">
        <v>321</v>
      </c>
      <c r="W1070" s="3" t="s">
        <v>4098</v>
      </c>
      <c r="AM1070" s="5"/>
      <c r="AN1070" s="5"/>
      <c r="AQ1070" s="6"/>
    </row>
    <row r="1071" spans="2:43" x14ac:dyDescent="0.25">
      <c r="B1071" t="s">
        <v>2928</v>
      </c>
      <c r="C1071">
        <v>76395</v>
      </c>
      <c r="D1071" t="s">
        <v>2930</v>
      </c>
      <c r="E1071" t="s">
        <v>94</v>
      </c>
      <c r="F1071" t="s">
        <v>305</v>
      </c>
      <c r="G1071" t="s">
        <v>304</v>
      </c>
      <c r="H1071" t="s">
        <v>30</v>
      </c>
      <c r="I1071" t="s">
        <v>31</v>
      </c>
      <c r="J1071" t="s">
        <v>32</v>
      </c>
      <c r="K1071" t="s">
        <v>51</v>
      </c>
      <c r="L1071" t="s">
        <v>73</v>
      </c>
      <c r="M1071" t="s">
        <v>263</v>
      </c>
      <c r="N1071" t="s">
        <v>60</v>
      </c>
      <c r="P1071" t="s">
        <v>47</v>
      </c>
      <c r="Q1071" t="s">
        <v>562</v>
      </c>
      <c r="R1071" s="5">
        <v>42402.315694444442</v>
      </c>
      <c r="S1071" s="5">
        <v>42779.804386574076</v>
      </c>
      <c r="T1071" t="s">
        <v>317</v>
      </c>
      <c r="U1071" t="s">
        <v>3958</v>
      </c>
      <c r="V1071" s="3" t="s">
        <v>321</v>
      </c>
      <c r="W1071" s="3" t="s">
        <v>133</v>
      </c>
      <c r="AM1071" s="5"/>
      <c r="AN1071" s="5"/>
      <c r="AQ1071" s="6"/>
    </row>
    <row r="1072" spans="2:43" x14ac:dyDescent="0.25">
      <c r="B1072" t="s">
        <v>2928</v>
      </c>
      <c r="C1072">
        <v>76394</v>
      </c>
      <c r="D1072" t="s">
        <v>2929</v>
      </c>
      <c r="E1072" t="s">
        <v>94</v>
      </c>
      <c r="F1072" t="s">
        <v>305</v>
      </c>
      <c r="G1072" t="s">
        <v>304</v>
      </c>
      <c r="H1072" t="s">
        <v>30</v>
      </c>
      <c r="I1072" t="s">
        <v>31</v>
      </c>
      <c r="J1072" t="s">
        <v>32</v>
      </c>
      <c r="K1072" t="s">
        <v>51</v>
      </c>
      <c r="L1072" t="s">
        <v>73</v>
      </c>
      <c r="M1072" t="s">
        <v>273</v>
      </c>
      <c r="N1072" t="s">
        <v>60</v>
      </c>
      <c r="P1072" t="s">
        <v>47</v>
      </c>
      <c r="Q1072" t="s">
        <v>562</v>
      </c>
      <c r="R1072" s="5">
        <v>42402.315648148149</v>
      </c>
      <c r="S1072" s="5">
        <v>42709.766006944446</v>
      </c>
      <c r="T1072" t="s">
        <v>317</v>
      </c>
      <c r="U1072" t="s">
        <v>3967</v>
      </c>
      <c r="V1072" s="3" t="s">
        <v>321</v>
      </c>
      <c r="W1072" s="3" t="s">
        <v>77</v>
      </c>
      <c r="AM1072" s="5"/>
      <c r="AN1072" s="5"/>
      <c r="AQ1072" s="6"/>
    </row>
    <row r="1073" spans="2:43" x14ac:dyDescent="0.25">
      <c r="B1073" t="s">
        <v>2928</v>
      </c>
      <c r="C1073">
        <v>76380</v>
      </c>
      <c r="D1073" t="s">
        <v>367</v>
      </c>
      <c r="E1073" t="s">
        <v>94</v>
      </c>
      <c r="F1073" t="s">
        <v>305</v>
      </c>
      <c r="G1073" t="s">
        <v>304</v>
      </c>
      <c r="H1073" t="s">
        <v>30</v>
      </c>
      <c r="I1073" t="s">
        <v>31</v>
      </c>
      <c r="J1073" t="s">
        <v>32</v>
      </c>
      <c r="K1073" t="s">
        <v>51</v>
      </c>
      <c r="L1073" t="s">
        <v>73</v>
      </c>
      <c r="M1073" t="s">
        <v>273</v>
      </c>
      <c r="N1073" t="s">
        <v>46</v>
      </c>
      <c r="P1073" t="s">
        <v>47</v>
      </c>
      <c r="Q1073" t="s">
        <v>159</v>
      </c>
      <c r="R1073" s="5">
        <v>42401.940729166665</v>
      </c>
      <c r="S1073" s="5">
        <v>42871.700231481482</v>
      </c>
      <c r="T1073" t="s">
        <v>3</v>
      </c>
      <c r="U1073" t="s">
        <v>35</v>
      </c>
      <c r="V1073" s="3" t="s">
        <v>321</v>
      </c>
      <c r="W1073" s="3" t="s">
        <v>4098</v>
      </c>
      <c r="AM1073" s="5"/>
      <c r="AN1073" s="5"/>
      <c r="AQ1073" s="6"/>
    </row>
    <row r="1074" spans="2:43" x14ac:dyDescent="0.25">
      <c r="B1074" t="s">
        <v>3891</v>
      </c>
      <c r="C1074">
        <v>76375</v>
      </c>
      <c r="D1074" t="s">
        <v>370</v>
      </c>
      <c r="E1074" t="s">
        <v>371</v>
      </c>
      <c r="F1074" t="s">
        <v>305</v>
      </c>
      <c r="G1074" t="s">
        <v>304</v>
      </c>
      <c r="H1074" t="s">
        <v>30</v>
      </c>
      <c r="I1074" t="s">
        <v>31</v>
      </c>
      <c r="J1074" t="s">
        <v>43</v>
      </c>
      <c r="K1074" t="s">
        <v>51</v>
      </c>
      <c r="L1074" t="s">
        <v>34</v>
      </c>
      <c r="M1074" t="s">
        <v>368</v>
      </c>
      <c r="N1074" t="s">
        <v>60</v>
      </c>
      <c r="P1074" t="s">
        <v>369</v>
      </c>
      <c r="Q1074" t="s">
        <v>3892</v>
      </c>
      <c r="R1074" s="5">
        <v>42401.816168981481</v>
      </c>
      <c r="S1074" s="5">
        <v>43177.167453703703</v>
      </c>
      <c r="T1074" t="s">
        <v>3</v>
      </c>
      <c r="U1074" t="s">
        <v>35</v>
      </c>
      <c r="V1074" s="3" t="s">
        <v>35</v>
      </c>
      <c r="W1074" s="3" t="s">
        <v>4098</v>
      </c>
      <c r="AM1074" s="5"/>
      <c r="AN1074" s="5"/>
      <c r="AQ1074" s="6"/>
    </row>
    <row r="1075" spans="2:43" x14ac:dyDescent="0.25">
      <c r="B1075" t="s">
        <v>2733</v>
      </c>
      <c r="C1075">
        <v>76324</v>
      </c>
      <c r="D1075" t="s">
        <v>2926</v>
      </c>
      <c r="E1075" t="s">
        <v>387</v>
      </c>
      <c r="F1075" t="s">
        <v>305</v>
      </c>
      <c r="G1075" t="s">
        <v>328</v>
      </c>
      <c r="H1075" t="s">
        <v>54</v>
      </c>
      <c r="I1075" t="s">
        <v>31</v>
      </c>
      <c r="J1075" t="s">
        <v>32</v>
      </c>
      <c r="K1075" t="s">
        <v>33</v>
      </c>
      <c r="L1075" t="s">
        <v>73</v>
      </c>
      <c r="M1075" t="s">
        <v>263</v>
      </c>
      <c r="N1075" t="s">
        <v>2508</v>
      </c>
      <c r="P1075" t="s">
        <v>491</v>
      </c>
      <c r="Q1075" t="s">
        <v>2927</v>
      </c>
      <c r="R1075" s="5">
        <v>42400.695034722223</v>
      </c>
      <c r="S1075" s="5">
        <v>42678.648240740738</v>
      </c>
      <c r="T1075" t="s">
        <v>72</v>
      </c>
      <c r="U1075" t="s">
        <v>35</v>
      </c>
      <c r="V1075" s="3" t="s">
        <v>321</v>
      </c>
      <c r="W1075" s="3" t="s">
        <v>92</v>
      </c>
      <c r="AM1075" s="5"/>
      <c r="AN1075" s="5"/>
      <c r="AQ1075" s="6"/>
    </row>
    <row r="1076" spans="2:43" x14ac:dyDescent="0.25">
      <c r="B1076" t="s">
        <v>2866</v>
      </c>
      <c r="C1076">
        <v>76263</v>
      </c>
      <c r="D1076" t="s">
        <v>2925</v>
      </c>
      <c r="E1076" t="s">
        <v>387</v>
      </c>
      <c r="F1076" t="s">
        <v>305</v>
      </c>
      <c r="G1076" t="s">
        <v>310</v>
      </c>
      <c r="H1076" t="s">
        <v>30</v>
      </c>
      <c r="I1076" t="s">
        <v>31</v>
      </c>
      <c r="J1076" t="s">
        <v>32</v>
      </c>
      <c r="K1076" t="s">
        <v>33</v>
      </c>
      <c r="L1076" t="s">
        <v>73</v>
      </c>
      <c r="M1076" t="s">
        <v>263</v>
      </c>
      <c r="N1076" t="s">
        <v>331</v>
      </c>
      <c r="P1076" t="s">
        <v>65</v>
      </c>
      <c r="Q1076" t="s">
        <v>2868</v>
      </c>
      <c r="R1076" s="5">
        <v>42397.824745370373</v>
      </c>
      <c r="S1076" s="5">
        <v>42678.65185185185</v>
      </c>
      <c r="T1076" t="s">
        <v>317</v>
      </c>
      <c r="U1076" t="s">
        <v>35</v>
      </c>
      <c r="V1076" s="3" t="s">
        <v>321</v>
      </c>
      <c r="W1076" s="3" t="s">
        <v>4156</v>
      </c>
      <c r="AM1076" s="5"/>
      <c r="AN1076" s="5"/>
      <c r="AQ1076" s="6"/>
    </row>
    <row r="1077" spans="2:43" x14ac:dyDescent="0.25">
      <c r="B1077" t="s">
        <v>2848</v>
      </c>
      <c r="C1077">
        <v>76262</v>
      </c>
      <c r="D1077" t="s">
        <v>2924</v>
      </c>
      <c r="E1077" t="s">
        <v>82</v>
      </c>
      <c r="F1077" t="s">
        <v>305</v>
      </c>
      <c r="G1077" t="s">
        <v>304</v>
      </c>
      <c r="H1077" t="s">
        <v>54</v>
      </c>
      <c r="I1077" t="s">
        <v>31</v>
      </c>
      <c r="J1077" t="s">
        <v>43</v>
      </c>
      <c r="K1077" t="s">
        <v>44</v>
      </c>
      <c r="L1077" t="s">
        <v>73</v>
      </c>
      <c r="M1077" t="s">
        <v>263</v>
      </c>
      <c r="N1077" t="s">
        <v>46</v>
      </c>
      <c r="P1077" t="s">
        <v>2552</v>
      </c>
      <c r="Q1077" t="s">
        <v>2552</v>
      </c>
      <c r="R1077" s="5">
        <v>42397.824490740742</v>
      </c>
      <c r="S1077" s="5">
        <v>42580.791967592595</v>
      </c>
      <c r="T1077" t="s">
        <v>317</v>
      </c>
      <c r="U1077" t="s">
        <v>3965</v>
      </c>
      <c r="V1077" s="3" t="s">
        <v>35</v>
      </c>
      <c r="W1077" s="3" t="s">
        <v>77</v>
      </c>
      <c r="AM1077" s="5"/>
      <c r="AN1077" s="5"/>
      <c r="AQ1077" s="6"/>
    </row>
    <row r="1078" spans="2:43" x14ac:dyDescent="0.25">
      <c r="B1078" t="s">
        <v>2829</v>
      </c>
      <c r="C1078">
        <v>76260</v>
      </c>
      <c r="D1078" t="s">
        <v>2875</v>
      </c>
      <c r="E1078" t="s">
        <v>139</v>
      </c>
      <c r="F1078" t="s">
        <v>305</v>
      </c>
      <c r="G1078" t="s">
        <v>310</v>
      </c>
      <c r="H1078" t="s">
        <v>30</v>
      </c>
      <c r="I1078" t="s">
        <v>31</v>
      </c>
      <c r="J1078" t="s">
        <v>43</v>
      </c>
      <c r="K1078" t="s">
        <v>44</v>
      </c>
      <c r="L1078" t="s">
        <v>73</v>
      </c>
      <c r="M1078" t="s">
        <v>263</v>
      </c>
      <c r="N1078" t="s">
        <v>46</v>
      </c>
      <c r="P1078" t="s">
        <v>61</v>
      </c>
      <c r="R1078" s="5">
        <v>42397.823842592596</v>
      </c>
      <c r="S1078" s="5">
        <v>42678.645243055558</v>
      </c>
      <c r="T1078" t="s">
        <v>317</v>
      </c>
      <c r="U1078" t="s">
        <v>35</v>
      </c>
      <c r="V1078" s="3" t="s">
        <v>35</v>
      </c>
      <c r="W1078" s="3" t="s">
        <v>4156</v>
      </c>
      <c r="AM1078" s="5"/>
      <c r="AN1078" s="5"/>
      <c r="AQ1078" s="6"/>
    </row>
    <row r="1079" spans="2:43" x14ac:dyDescent="0.25">
      <c r="B1079" t="s">
        <v>506</v>
      </c>
      <c r="C1079">
        <v>76257</v>
      </c>
      <c r="D1079" t="s">
        <v>2923</v>
      </c>
      <c r="E1079" t="s">
        <v>131</v>
      </c>
      <c r="F1079" t="s">
        <v>305</v>
      </c>
      <c r="G1079" t="s">
        <v>337</v>
      </c>
      <c r="H1079" t="s">
        <v>30</v>
      </c>
      <c r="I1079" t="s">
        <v>31</v>
      </c>
      <c r="J1079" t="s">
        <v>32</v>
      </c>
      <c r="K1079" t="s">
        <v>51</v>
      </c>
      <c r="L1079" t="s">
        <v>73</v>
      </c>
      <c r="M1079" t="s">
        <v>263</v>
      </c>
      <c r="N1079" t="s">
        <v>46</v>
      </c>
      <c r="P1079" t="s">
        <v>47</v>
      </c>
      <c r="Q1079" t="s">
        <v>159</v>
      </c>
      <c r="R1079" s="5">
        <v>42397.822905092595</v>
      </c>
      <c r="S1079" s="5">
        <v>42745.156643518516</v>
      </c>
      <c r="T1079" t="s">
        <v>317</v>
      </c>
      <c r="U1079" t="s">
        <v>35</v>
      </c>
      <c r="V1079" s="3" t="s">
        <v>321</v>
      </c>
      <c r="W1079" s="3" t="s">
        <v>4156</v>
      </c>
      <c r="AM1079" s="5"/>
      <c r="AN1079" s="5"/>
      <c r="AQ1079" s="6"/>
    </row>
    <row r="1080" spans="2:43" x14ac:dyDescent="0.25">
      <c r="B1080" t="s">
        <v>3889</v>
      </c>
      <c r="C1080">
        <v>76233</v>
      </c>
      <c r="D1080" t="s">
        <v>3890</v>
      </c>
      <c r="E1080" t="s">
        <v>2350</v>
      </c>
      <c r="F1080" t="s">
        <v>305</v>
      </c>
      <c r="G1080" t="s">
        <v>337</v>
      </c>
      <c r="H1080" t="s">
        <v>426</v>
      </c>
      <c r="I1080" t="s">
        <v>57</v>
      </c>
      <c r="J1080" t="s">
        <v>2183</v>
      </c>
      <c r="K1080" t="s">
        <v>44</v>
      </c>
      <c r="L1080" t="s">
        <v>34</v>
      </c>
      <c r="M1080" t="s">
        <v>368</v>
      </c>
      <c r="N1080" t="s">
        <v>46</v>
      </c>
      <c r="P1080" t="s">
        <v>2475</v>
      </c>
      <c r="R1080" s="5">
        <v>42397.682141203702</v>
      </c>
      <c r="S1080" s="5">
        <v>43332.662210648145</v>
      </c>
      <c r="T1080" t="s">
        <v>171</v>
      </c>
      <c r="U1080" t="s">
        <v>35</v>
      </c>
      <c r="V1080" s="3" t="s">
        <v>35</v>
      </c>
      <c r="W1080" s="3" t="s">
        <v>92</v>
      </c>
      <c r="AM1080" s="5"/>
      <c r="AN1080" s="5"/>
      <c r="AQ1080" s="6"/>
    </row>
    <row r="1081" spans="2:43" x14ac:dyDescent="0.25">
      <c r="B1081" t="s">
        <v>3846</v>
      </c>
      <c r="C1081">
        <v>76229</v>
      </c>
      <c r="D1081" t="s">
        <v>3888</v>
      </c>
      <c r="E1081" t="s">
        <v>371</v>
      </c>
      <c r="F1081" t="s">
        <v>305</v>
      </c>
      <c r="G1081" t="s">
        <v>337</v>
      </c>
      <c r="H1081" t="s">
        <v>56</v>
      </c>
      <c r="I1081" t="s">
        <v>68</v>
      </c>
      <c r="J1081" t="s">
        <v>43</v>
      </c>
      <c r="K1081" t="s">
        <v>33</v>
      </c>
      <c r="L1081" t="s">
        <v>34</v>
      </c>
      <c r="M1081" t="s">
        <v>368</v>
      </c>
      <c r="N1081" t="s">
        <v>46</v>
      </c>
      <c r="P1081" t="s">
        <v>56</v>
      </c>
      <c r="R1081" s="5">
        <v>42397.664398148147</v>
      </c>
      <c r="S1081" s="5">
        <v>42476.9296875</v>
      </c>
      <c r="T1081" t="s">
        <v>171</v>
      </c>
      <c r="U1081" t="s">
        <v>35</v>
      </c>
      <c r="V1081" s="3" t="s">
        <v>35</v>
      </c>
      <c r="W1081" s="3" t="s">
        <v>92</v>
      </c>
      <c r="AM1081" s="5"/>
      <c r="AN1081" s="5"/>
      <c r="AQ1081" s="6"/>
    </row>
    <row r="1082" spans="2:43" x14ac:dyDescent="0.25">
      <c r="B1082" t="s">
        <v>2910</v>
      </c>
      <c r="C1082">
        <v>76214</v>
      </c>
      <c r="D1082" t="s">
        <v>2921</v>
      </c>
      <c r="E1082" t="s">
        <v>417</v>
      </c>
      <c r="F1082" t="s">
        <v>305</v>
      </c>
      <c r="G1082" t="s">
        <v>310</v>
      </c>
      <c r="H1082" t="s">
        <v>30</v>
      </c>
      <c r="I1082" t="s">
        <v>31</v>
      </c>
      <c r="J1082" t="s">
        <v>43</v>
      </c>
      <c r="K1082" t="s">
        <v>44</v>
      </c>
      <c r="L1082" t="s">
        <v>45</v>
      </c>
      <c r="M1082" t="s">
        <v>261</v>
      </c>
      <c r="N1082" t="s">
        <v>60</v>
      </c>
      <c r="P1082" t="s">
        <v>61</v>
      </c>
      <c r="Q1082" t="s">
        <v>2922</v>
      </c>
      <c r="R1082" s="5">
        <v>42397.594305555554</v>
      </c>
      <c r="S1082" s="5">
        <v>43025.125289351854</v>
      </c>
      <c r="T1082" t="s">
        <v>62</v>
      </c>
      <c r="U1082" t="s">
        <v>35</v>
      </c>
      <c r="V1082" s="3" t="s">
        <v>35</v>
      </c>
      <c r="W1082" s="3" t="s">
        <v>428</v>
      </c>
      <c r="AM1082" s="5"/>
      <c r="AN1082" s="5"/>
      <c r="AQ1082" s="6"/>
    </row>
    <row r="1083" spans="2:43" x14ac:dyDescent="0.25">
      <c r="B1083" t="s">
        <v>2910</v>
      </c>
      <c r="C1083">
        <v>76213</v>
      </c>
      <c r="D1083" t="s">
        <v>2919</v>
      </c>
      <c r="E1083" t="s">
        <v>417</v>
      </c>
      <c r="F1083" t="s">
        <v>305</v>
      </c>
      <c r="G1083" t="s">
        <v>304</v>
      </c>
      <c r="H1083" t="s">
        <v>30</v>
      </c>
      <c r="I1083" t="s">
        <v>31</v>
      </c>
      <c r="J1083" t="s">
        <v>43</v>
      </c>
      <c r="K1083" t="s">
        <v>44</v>
      </c>
      <c r="L1083" t="s">
        <v>45</v>
      </c>
      <c r="M1083" t="s">
        <v>261</v>
      </c>
      <c r="N1083" t="s">
        <v>518</v>
      </c>
      <c r="P1083" t="s">
        <v>61</v>
      </c>
      <c r="Q1083" t="s">
        <v>2920</v>
      </c>
      <c r="R1083" s="5">
        <v>42397.590960648151</v>
      </c>
      <c r="S1083" s="5">
        <v>42941.834722222222</v>
      </c>
      <c r="T1083" t="s">
        <v>62</v>
      </c>
      <c r="U1083" t="s">
        <v>3969</v>
      </c>
      <c r="V1083" s="3" t="s">
        <v>35</v>
      </c>
      <c r="W1083" s="3" t="s">
        <v>133</v>
      </c>
      <c r="AM1083" s="5"/>
      <c r="AN1083" s="5"/>
      <c r="AQ1083" s="6"/>
    </row>
    <row r="1084" spans="2:43" x14ac:dyDescent="0.25">
      <c r="B1084" t="s">
        <v>2910</v>
      </c>
      <c r="C1084">
        <v>76211</v>
      </c>
      <c r="D1084" t="s">
        <v>59</v>
      </c>
      <c r="E1084" t="s">
        <v>3</v>
      </c>
      <c r="F1084" t="s">
        <v>305</v>
      </c>
      <c r="G1084" t="s">
        <v>304</v>
      </c>
      <c r="H1084" t="s">
        <v>30</v>
      </c>
      <c r="I1084" t="s">
        <v>31</v>
      </c>
      <c r="J1084" t="s">
        <v>43</v>
      </c>
      <c r="K1084" t="s">
        <v>44</v>
      </c>
      <c r="L1084" t="s">
        <v>45</v>
      </c>
      <c r="M1084" t="s">
        <v>261</v>
      </c>
      <c r="N1084" t="s">
        <v>60</v>
      </c>
      <c r="O1084" t="s">
        <v>492</v>
      </c>
      <c r="P1084" t="s">
        <v>61</v>
      </c>
      <c r="Q1084" t="s">
        <v>2481</v>
      </c>
      <c r="R1084" s="5">
        <v>42397.588148148148</v>
      </c>
      <c r="S1084" s="5">
        <v>43187.157812500001</v>
      </c>
      <c r="T1084" t="s">
        <v>62</v>
      </c>
      <c r="U1084" t="s">
        <v>35</v>
      </c>
      <c r="V1084" s="3" t="s">
        <v>35</v>
      </c>
      <c r="W1084" s="3" t="s">
        <v>4098</v>
      </c>
      <c r="AM1084" s="5"/>
      <c r="AN1084" s="5"/>
      <c r="AQ1084" s="6"/>
    </row>
    <row r="1085" spans="2:43" x14ac:dyDescent="0.25">
      <c r="B1085" t="s">
        <v>2910</v>
      </c>
      <c r="C1085">
        <v>76210</v>
      </c>
      <c r="D1085" t="s">
        <v>2918</v>
      </c>
      <c r="E1085" t="s">
        <v>417</v>
      </c>
      <c r="F1085" t="s">
        <v>305</v>
      </c>
      <c r="G1085" t="s">
        <v>337</v>
      </c>
      <c r="H1085" t="s">
        <v>30</v>
      </c>
      <c r="I1085" t="s">
        <v>31</v>
      </c>
      <c r="J1085" t="s">
        <v>43</v>
      </c>
      <c r="K1085" t="s">
        <v>44</v>
      </c>
      <c r="L1085" t="s">
        <v>45</v>
      </c>
      <c r="M1085" t="s">
        <v>261</v>
      </c>
      <c r="N1085" t="s">
        <v>60</v>
      </c>
      <c r="P1085" t="s">
        <v>61</v>
      </c>
      <c r="Q1085" t="s">
        <v>2769</v>
      </c>
      <c r="R1085" s="5">
        <v>42397.588125000002</v>
      </c>
      <c r="S1085" s="5">
        <v>42678.648564814815</v>
      </c>
      <c r="T1085" t="s">
        <v>62</v>
      </c>
      <c r="U1085" t="s">
        <v>35</v>
      </c>
      <c r="V1085" s="3" t="s">
        <v>35</v>
      </c>
      <c r="W1085" s="3" t="s">
        <v>65</v>
      </c>
      <c r="AM1085" s="5"/>
      <c r="AN1085" s="5"/>
      <c r="AQ1085" s="6"/>
    </row>
    <row r="1086" spans="2:43" x14ac:dyDescent="0.25">
      <c r="B1086" t="s">
        <v>2586</v>
      </c>
      <c r="C1086">
        <v>76100</v>
      </c>
      <c r="D1086" t="s">
        <v>2917</v>
      </c>
      <c r="E1086" t="s">
        <v>435</v>
      </c>
      <c r="F1086" t="s">
        <v>305</v>
      </c>
      <c r="G1086" t="s">
        <v>304</v>
      </c>
      <c r="H1086" t="s">
        <v>30</v>
      </c>
      <c r="I1086" t="s">
        <v>31</v>
      </c>
      <c r="J1086" t="s">
        <v>43</v>
      </c>
      <c r="K1086" t="s">
        <v>44</v>
      </c>
      <c r="L1086" t="s">
        <v>380</v>
      </c>
      <c r="M1086" t="s">
        <v>2588</v>
      </c>
      <c r="N1086" t="s">
        <v>46</v>
      </c>
      <c r="P1086" t="s">
        <v>61</v>
      </c>
      <c r="Q1086" t="s">
        <v>2481</v>
      </c>
      <c r="R1086" s="5">
        <v>42397.166875000003</v>
      </c>
      <c r="S1086" s="5">
        <v>42648.768449074072</v>
      </c>
      <c r="T1086" t="s">
        <v>317</v>
      </c>
      <c r="U1086" t="s">
        <v>3968</v>
      </c>
      <c r="V1086" s="3" t="s">
        <v>35</v>
      </c>
      <c r="W1086" s="3" t="s">
        <v>133</v>
      </c>
      <c r="AM1086" s="5"/>
      <c r="AN1086" s="5"/>
      <c r="AQ1086" s="6"/>
    </row>
    <row r="1087" spans="2:43" x14ac:dyDescent="0.25">
      <c r="B1087" t="s">
        <v>2892</v>
      </c>
      <c r="C1087">
        <v>76017</v>
      </c>
      <c r="D1087" t="s">
        <v>2915</v>
      </c>
      <c r="E1087" t="s">
        <v>167</v>
      </c>
      <c r="F1087" t="s">
        <v>305</v>
      </c>
      <c r="G1087" t="s">
        <v>337</v>
      </c>
      <c r="H1087" t="s">
        <v>30</v>
      </c>
      <c r="I1087" t="s">
        <v>31</v>
      </c>
      <c r="J1087" t="s">
        <v>32</v>
      </c>
      <c r="K1087" t="s">
        <v>33</v>
      </c>
      <c r="L1087" t="s">
        <v>34</v>
      </c>
      <c r="M1087" t="s">
        <v>2916</v>
      </c>
      <c r="N1087" t="s">
        <v>60</v>
      </c>
      <c r="P1087" t="s">
        <v>369</v>
      </c>
      <c r="R1087" s="5">
        <v>42396.660277777781</v>
      </c>
      <c r="S1087" s="5">
        <v>42412.607881944445</v>
      </c>
      <c r="T1087" t="s">
        <v>317</v>
      </c>
      <c r="U1087" t="s">
        <v>35</v>
      </c>
      <c r="V1087" s="3" t="s">
        <v>321</v>
      </c>
      <c r="W1087" s="3" t="s">
        <v>118</v>
      </c>
      <c r="AM1087" s="5"/>
      <c r="AN1087" s="5"/>
      <c r="AQ1087" s="6"/>
    </row>
    <row r="1088" spans="2:43" x14ac:dyDescent="0.25">
      <c r="B1088" t="s">
        <v>2856</v>
      </c>
      <c r="C1088">
        <v>75994</v>
      </c>
      <c r="D1088" t="s">
        <v>2914</v>
      </c>
      <c r="E1088" t="s">
        <v>2509</v>
      </c>
      <c r="F1088" t="s">
        <v>305</v>
      </c>
      <c r="G1088" t="s">
        <v>328</v>
      </c>
      <c r="H1088" t="s">
        <v>30</v>
      </c>
      <c r="I1088" t="s">
        <v>31</v>
      </c>
      <c r="J1088" t="s">
        <v>32</v>
      </c>
      <c r="K1088" t="s">
        <v>33</v>
      </c>
      <c r="L1088" t="s">
        <v>96</v>
      </c>
      <c r="M1088" t="s">
        <v>275</v>
      </c>
      <c r="N1088" t="s">
        <v>46</v>
      </c>
      <c r="P1088" t="s">
        <v>2166</v>
      </c>
      <c r="Q1088" t="s">
        <v>2913</v>
      </c>
      <c r="R1088" s="5">
        <v>42396.549259259256</v>
      </c>
      <c r="S1088" s="5">
        <v>42678.648125</v>
      </c>
      <c r="T1088" t="s">
        <v>72</v>
      </c>
      <c r="U1088" t="s">
        <v>35</v>
      </c>
      <c r="V1088" s="3" t="s">
        <v>321</v>
      </c>
      <c r="W1088" s="3" t="s">
        <v>92</v>
      </c>
      <c r="AM1088" s="5"/>
      <c r="AN1088" s="5"/>
      <c r="AQ1088" s="6"/>
    </row>
    <row r="1089" spans="2:43" x14ac:dyDescent="0.25">
      <c r="B1089" t="s">
        <v>2856</v>
      </c>
      <c r="C1089">
        <v>75993</v>
      </c>
      <c r="D1089" t="s">
        <v>2912</v>
      </c>
      <c r="E1089" t="s">
        <v>2509</v>
      </c>
      <c r="F1089" t="s">
        <v>305</v>
      </c>
      <c r="G1089" t="s">
        <v>328</v>
      </c>
      <c r="H1089" t="s">
        <v>30</v>
      </c>
      <c r="I1089" t="s">
        <v>31</v>
      </c>
      <c r="J1089" t="s">
        <v>32</v>
      </c>
      <c r="K1089" t="s">
        <v>33</v>
      </c>
      <c r="L1089" t="s">
        <v>96</v>
      </c>
      <c r="M1089" t="s">
        <v>275</v>
      </c>
      <c r="N1089" t="s">
        <v>46</v>
      </c>
      <c r="P1089" t="s">
        <v>2166</v>
      </c>
      <c r="Q1089" t="s">
        <v>2913</v>
      </c>
      <c r="R1089" s="5">
        <v>42396.548692129632</v>
      </c>
      <c r="S1089" s="5">
        <v>42545.823020833333</v>
      </c>
      <c r="T1089" t="s">
        <v>72</v>
      </c>
      <c r="U1089" t="s">
        <v>35</v>
      </c>
      <c r="V1089" s="3" t="s">
        <v>321</v>
      </c>
      <c r="W1089" s="3" t="s">
        <v>3233</v>
      </c>
      <c r="AM1089" s="5"/>
      <c r="AN1089" s="5"/>
      <c r="AQ1089" s="6"/>
    </row>
    <row r="1090" spans="2:43" x14ac:dyDescent="0.25">
      <c r="B1090" t="s">
        <v>2910</v>
      </c>
      <c r="C1090">
        <v>75946</v>
      </c>
      <c r="D1090" t="s">
        <v>2911</v>
      </c>
      <c r="E1090" t="s">
        <v>417</v>
      </c>
      <c r="F1090" t="s">
        <v>305</v>
      </c>
      <c r="G1090" t="s">
        <v>337</v>
      </c>
      <c r="H1090" t="s">
        <v>30</v>
      </c>
      <c r="I1090" t="s">
        <v>31</v>
      </c>
      <c r="J1090" t="s">
        <v>43</v>
      </c>
      <c r="K1090" t="s">
        <v>44</v>
      </c>
      <c r="L1090" t="s">
        <v>45</v>
      </c>
      <c r="M1090" t="s">
        <v>261</v>
      </c>
      <c r="N1090" t="s">
        <v>60</v>
      </c>
      <c r="P1090" t="s">
        <v>61</v>
      </c>
      <c r="R1090" s="5">
        <v>42395.961747685185</v>
      </c>
      <c r="S1090" s="5">
        <v>42416.750601851854</v>
      </c>
      <c r="T1090" t="s">
        <v>3</v>
      </c>
      <c r="U1090" t="s">
        <v>35</v>
      </c>
      <c r="V1090" s="3" t="s">
        <v>35</v>
      </c>
      <c r="W1090" s="3" t="s">
        <v>4156</v>
      </c>
      <c r="AM1090" s="5"/>
      <c r="AN1090" s="5"/>
      <c r="AQ1090" s="6"/>
    </row>
    <row r="1091" spans="2:43" x14ac:dyDescent="0.25">
      <c r="B1091" t="s">
        <v>2856</v>
      </c>
      <c r="C1091">
        <v>75941</v>
      </c>
      <c r="D1091" t="s">
        <v>2909</v>
      </c>
      <c r="E1091" t="s">
        <v>387</v>
      </c>
      <c r="F1091" t="s">
        <v>305</v>
      </c>
      <c r="G1091" t="s">
        <v>310</v>
      </c>
      <c r="H1091" t="s">
        <v>30</v>
      </c>
      <c r="I1091" t="s">
        <v>31</v>
      </c>
      <c r="J1091" t="s">
        <v>32</v>
      </c>
      <c r="K1091" t="s">
        <v>33</v>
      </c>
      <c r="L1091" t="s">
        <v>96</v>
      </c>
      <c r="M1091" t="s">
        <v>275</v>
      </c>
      <c r="N1091" t="s">
        <v>46</v>
      </c>
      <c r="P1091" t="s">
        <v>2166</v>
      </c>
      <c r="R1091" s="5">
        <v>42395.815497685187</v>
      </c>
      <c r="S1091" s="5">
        <v>43332.701898148145</v>
      </c>
      <c r="T1091" t="s">
        <v>317</v>
      </c>
      <c r="U1091" t="s">
        <v>35</v>
      </c>
      <c r="V1091" s="3" t="s">
        <v>321</v>
      </c>
      <c r="W1091" s="3" t="s">
        <v>133</v>
      </c>
      <c r="AM1091" s="5"/>
      <c r="AN1091" s="5"/>
      <c r="AQ1091" s="6"/>
    </row>
    <row r="1092" spans="2:43" x14ac:dyDescent="0.25">
      <c r="B1092" t="s">
        <v>2856</v>
      </c>
      <c r="C1092">
        <v>75940</v>
      </c>
      <c r="D1092" t="s">
        <v>2908</v>
      </c>
      <c r="E1092" t="s">
        <v>387</v>
      </c>
      <c r="F1092" t="s">
        <v>305</v>
      </c>
      <c r="G1092" t="s">
        <v>310</v>
      </c>
      <c r="H1092" t="s">
        <v>30</v>
      </c>
      <c r="I1092" t="s">
        <v>31</v>
      </c>
      <c r="J1092" t="s">
        <v>32</v>
      </c>
      <c r="K1092" t="s">
        <v>33</v>
      </c>
      <c r="L1092" t="s">
        <v>96</v>
      </c>
      <c r="M1092" t="s">
        <v>275</v>
      </c>
      <c r="N1092" t="s">
        <v>60</v>
      </c>
      <c r="P1092" t="s">
        <v>2166</v>
      </c>
      <c r="R1092" s="5">
        <v>42395.815451388888</v>
      </c>
      <c r="S1092" s="5">
        <v>43332.701886574076</v>
      </c>
      <c r="T1092" t="s">
        <v>317</v>
      </c>
      <c r="U1092" t="s">
        <v>35</v>
      </c>
      <c r="V1092" s="3" t="s">
        <v>321</v>
      </c>
      <c r="W1092" s="3" t="s">
        <v>65</v>
      </c>
      <c r="AM1092" s="5"/>
      <c r="AN1092" s="5"/>
      <c r="AQ1092" s="6"/>
    </row>
    <row r="1093" spans="2:43" x14ac:dyDescent="0.25">
      <c r="B1093" t="s">
        <v>2896</v>
      </c>
      <c r="C1093">
        <v>75939</v>
      </c>
      <c r="D1093" t="s">
        <v>2907</v>
      </c>
      <c r="E1093" t="s">
        <v>387</v>
      </c>
      <c r="F1093" t="s">
        <v>305</v>
      </c>
      <c r="G1093" t="s">
        <v>310</v>
      </c>
      <c r="H1093" t="s">
        <v>30</v>
      </c>
      <c r="I1093" t="s">
        <v>68</v>
      </c>
      <c r="J1093" t="s">
        <v>43</v>
      </c>
      <c r="K1093" t="s">
        <v>33</v>
      </c>
      <c r="L1093" t="s">
        <v>73</v>
      </c>
      <c r="M1093" t="s">
        <v>263</v>
      </c>
      <c r="N1093" t="s">
        <v>46</v>
      </c>
      <c r="P1093" t="s">
        <v>47</v>
      </c>
      <c r="R1093" s="5">
        <v>42395.815266203703</v>
      </c>
      <c r="S1093" s="5">
        <v>43333.450925925928</v>
      </c>
      <c r="T1093" t="s">
        <v>317</v>
      </c>
      <c r="U1093" t="s">
        <v>35</v>
      </c>
      <c r="V1093" s="3" t="s">
        <v>35</v>
      </c>
      <c r="W1093" s="3" t="s">
        <v>133</v>
      </c>
      <c r="AM1093" s="5"/>
      <c r="AN1093" s="5"/>
      <c r="AQ1093" s="6"/>
    </row>
    <row r="1094" spans="2:43" x14ac:dyDescent="0.25">
      <c r="B1094" t="s">
        <v>2896</v>
      </c>
      <c r="C1094">
        <v>75938</v>
      </c>
      <c r="D1094" t="s">
        <v>2906</v>
      </c>
      <c r="E1094" t="s">
        <v>387</v>
      </c>
      <c r="F1094" t="s">
        <v>305</v>
      </c>
      <c r="G1094" t="s">
        <v>353</v>
      </c>
      <c r="H1094" t="s">
        <v>30</v>
      </c>
      <c r="I1094" t="s">
        <v>68</v>
      </c>
      <c r="J1094" t="s">
        <v>43</v>
      </c>
      <c r="K1094" t="s">
        <v>33</v>
      </c>
      <c r="L1094" t="s">
        <v>73</v>
      </c>
      <c r="M1094" t="s">
        <v>263</v>
      </c>
      <c r="N1094" t="s">
        <v>46</v>
      </c>
      <c r="P1094" t="s">
        <v>47</v>
      </c>
      <c r="R1094" s="5">
        <v>42395.815196759257</v>
      </c>
      <c r="S1094" s="5">
        <v>42678.645358796297</v>
      </c>
      <c r="T1094" t="s">
        <v>317</v>
      </c>
      <c r="U1094" t="s">
        <v>35</v>
      </c>
      <c r="V1094" s="3" t="s">
        <v>35</v>
      </c>
      <c r="W1094" s="3" t="s">
        <v>65</v>
      </c>
      <c r="AM1094" s="5"/>
      <c r="AN1094" s="5"/>
      <c r="AQ1094" s="6"/>
    </row>
    <row r="1095" spans="2:43" x14ac:dyDescent="0.25">
      <c r="B1095" t="s">
        <v>2892</v>
      </c>
      <c r="C1095">
        <v>75899</v>
      </c>
      <c r="D1095" t="s">
        <v>2905</v>
      </c>
      <c r="E1095" t="s">
        <v>301</v>
      </c>
      <c r="F1095" t="s">
        <v>305</v>
      </c>
      <c r="G1095" t="s">
        <v>328</v>
      </c>
      <c r="H1095" t="s">
        <v>30</v>
      </c>
      <c r="I1095" t="s">
        <v>31</v>
      </c>
      <c r="J1095" t="s">
        <v>32</v>
      </c>
      <c r="K1095" t="s">
        <v>33</v>
      </c>
      <c r="L1095" t="s">
        <v>73</v>
      </c>
      <c r="M1095" t="s">
        <v>263</v>
      </c>
      <c r="N1095" t="s">
        <v>518</v>
      </c>
      <c r="P1095" t="s">
        <v>47</v>
      </c>
      <c r="Q1095" t="s">
        <v>2481</v>
      </c>
      <c r="R1095" s="5">
        <v>42395.597719907404</v>
      </c>
      <c r="S1095" s="5">
        <v>42678.651956018519</v>
      </c>
      <c r="T1095" t="s">
        <v>317</v>
      </c>
      <c r="U1095" t="s">
        <v>35</v>
      </c>
      <c r="V1095" s="3" t="s">
        <v>321</v>
      </c>
      <c r="W1095" s="3" t="s">
        <v>133</v>
      </c>
      <c r="AM1095" s="5"/>
      <c r="AN1095" s="5"/>
      <c r="AQ1095" s="6"/>
    </row>
    <row r="1096" spans="2:43" x14ac:dyDescent="0.25">
      <c r="B1096" t="s">
        <v>2892</v>
      </c>
      <c r="C1096">
        <v>75898</v>
      </c>
      <c r="D1096" t="s">
        <v>2904</v>
      </c>
      <c r="E1096" t="s">
        <v>301</v>
      </c>
      <c r="F1096" t="s">
        <v>305</v>
      </c>
      <c r="G1096" t="s">
        <v>328</v>
      </c>
      <c r="H1096" t="s">
        <v>30</v>
      </c>
      <c r="I1096" t="s">
        <v>31</v>
      </c>
      <c r="J1096" t="s">
        <v>32</v>
      </c>
      <c r="K1096" t="s">
        <v>33</v>
      </c>
      <c r="L1096" t="s">
        <v>73</v>
      </c>
      <c r="M1096" t="s">
        <v>263</v>
      </c>
      <c r="N1096" t="s">
        <v>46</v>
      </c>
      <c r="P1096" t="s">
        <v>47</v>
      </c>
      <c r="Q1096" t="s">
        <v>2481</v>
      </c>
      <c r="R1096" s="5">
        <v>42395.597673611112</v>
      </c>
      <c r="S1096" s="5">
        <v>42678.651886574073</v>
      </c>
      <c r="T1096" t="s">
        <v>317</v>
      </c>
      <c r="U1096" t="s">
        <v>35</v>
      </c>
      <c r="V1096" s="3" t="s">
        <v>321</v>
      </c>
      <c r="W1096" s="3" t="s">
        <v>4156</v>
      </c>
      <c r="AM1096" s="5"/>
      <c r="AN1096" s="5"/>
      <c r="AQ1096" s="6"/>
    </row>
    <row r="1097" spans="2:43" x14ac:dyDescent="0.25">
      <c r="B1097" t="s">
        <v>2856</v>
      </c>
      <c r="C1097">
        <v>75889</v>
      </c>
      <c r="D1097" t="s">
        <v>2902</v>
      </c>
      <c r="E1097" t="s">
        <v>2509</v>
      </c>
      <c r="F1097" t="s">
        <v>305</v>
      </c>
      <c r="G1097" t="s">
        <v>328</v>
      </c>
      <c r="H1097" t="s">
        <v>30</v>
      </c>
      <c r="I1097" t="s">
        <v>31</v>
      </c>
      <c r="J1097" t="s">
        <v>32</v>
      </c>
      <c r="K1097" t="s">
        <v>33</v>
      </c>
      <c r="L1097" t="s">
        <v>96</v>
      </c>
      <c r="M1097" t="s">
        <v>275</v>
      </c>
      <c r="N1097" t="s">
        <v>46</v>
      </c>
      <c r="P1097" t="s">
        <v>2166</v>
      </c>
      <c r="Q1097" t="s">
        <v>2903</v>
      </c>
      <c r="R1097" s="5">
        <v>42395.586828703701</v>
      </c>
      <c r="S1097" s="5">
        <v>42456.420775462961</v>
      </c>
      <c r="T1097" t="s">
        <v>317</v>
      </c>
      <c r="U1097" t="s">
        <v>35</v>
      </c>
      <c r="V1097" s="3" t="s">
        <v>321</v>
      </c>
      <c r="W1097" s="3" t="s">
        <v>4098</v>
      </c>
      <c r="AM1097" s="5"/>
      <c r="AN1097" s="5"/>
      <c r="AQ1097" s="6"/>
    </row>
    <row r="1098" spans="2:43" x14ac:dyDescent="0.25">
      <c r="B1098" t="s">
        <v>2856</v>
      </c>
      <c r="C1098">
        <v>75888</v>
      </c>
      <c r="D1098" t="s">
        <v>2901</v>
      </c>
      <c r="E1098" t="s">
        <v>387</v>
      </c>
      <c r="F1098" t="s">
        <v>305</v>
      </c>
      <c r="G1098" t="s">
        <v>310</v>
      </c>
      <c r="H1098" t="s">
        <v>30</v>
      </c>
      <c r="I1098" t="s">
        <v>31</v>
      </c>
      <c r="J1098" t="s">
        <v>32</v>
      </c>
      <c r="K1098" t="s">
        <v>33</v>
      </c>
      <c r="L1098" t="s">
        <v>96</v>
      </c>
      <c r="M1098" t="s">
        <v>275</v>
      </c>
      <c r="N1098" t="s">
        <v>46</v>
      </c>
      <c r="P1098" t="s">
        <v>2166</v>
      </c>
      <c r="R1098" s="5">
        <v>42395.586828703701</v>
      </c>
      <c r="S1098" s="5">
        <v>42678.645312499997</v>
      </c>
      <c r="T1098" t="s">
        <v>317</v>
      </c>
      <c r="U1098" t="s">
        <v>35</v>
      </c>
      <c r="V1098" s="3" t="s">
        <v>321</v>
      </c>
      <c r="W1098" s="3" t="s">
        <v>4156</v>
      </c>
      <c r="AM1098" s="5"/>
      <c r="AN1098" s="5"/>
      <c r="AQ1098" s="6"/>
    </row>
    <row r="1099" spans="2:43" x14ac:dyDescent="0.25">
      <c r="B1099" t="s">
        <v>2892</v>
      </c>
      <c r="C1099">
        <v>75885</v>
      </c>
      <c r="D1099" t="s">
        <v>2893</v>
      </c>
      <c r="E1099" t="s">
        <v>387</v>
      </c>
      <c r="F1099" t="s">
        <v>305</v>
      </c>
      <c r="G1099" t="s">
        <v>310</v>
      </c>
      <c r="H1099" t="s">
        <v>30</v>
      </c>
      <c r="I1099" t="s">
        <v>31</v>
      </c>
      <c r="J1099" t="s">
        <v>32</v>
      </c>
      <c r="K1099" t="s">
        <v>33</v>
      </c>
      <c r="L1099" t="s">
        <v>73</v>
      </c>
      <c r="M1099" t="s">
        <v>263</v>
      </c>
      <c r="N1099" t="s">
        <v>46</v>
      </c>
      <c r="P1099" t="s">
        <v>47</v>
      </c>
      <c r="R1099" s="5">
        <v>42395.58666666667</v>
      </c>
      <c r="S1099" s="5">
        <v>42678.644756944443</v>
      </c>
      <c r="T1099" t="s">
        <v>317</v>
      </c>
      <c r="U1099" t="s">
        <v>35</v>
      </c>
      <c r="V1099" s="3" t="s">
        <v>321</v>
      </c>
      <c r="W1099" s="3" t="s">
        <v>4098</v>
      </c>
      <c r="AM1099" s="5"/>
      <c r="AN1099" s="5"/>
      <c r="AQ1099" s="6"/>
    </row>
    <row r="1100" spans="2:43" x14ac:dyDescent="0.25">
      <c r="B1100" t="s">
        <v>2892</v>
      </c>
      <c r="C1100">
        <v>75884</v>
      </c>
      <c r="D1100" t="s">
        <v>2900</v>
      </c>
      <c r="E1100" t="s">
        <v>387</v>
      </c>
      <c r="F1100" t="s">
        <v>305</v>
      </c>
      <c r="G1100" t="s">
        <v>310</v>
      </c>
      <c r="H1100" t="s">
        <v>30</v>
      </c>
      <c r="I1100" t="s">
        <v>31</v>
      </c>
      <c r="J1100" t="s">
        <v>32</v>
      </c>
      <c r="K1100" t="s">
        <v>33</v>
      </c>
      <c r="L1100" t="s">
        <v>73</v>
      </c>
      <c r="M1100" t="s">
        <v>263</v>
      </c>
      <c r="N1100" t="s">
        <v>46</v>
      </c>
      <c r="P1100" t="s">
        <v>47</v>
      </c>
      <c r="R1100" s="5">
        <v>42395.586655092593</v>
      </c>
      <c r="S1100" s="5">
        <v>42678.644837962966</v>
      </c>
      <c r="T1100" t="s">
        <v>317</v>
      </c>
      <c r="U1100" t="s">
        <v>35</v>
      </c>
      <c r="V1100" s="3" t="s">
        <v>321</v>
      </c>
      <c r="W1100" s="3" t="s">
        <v>4156</v>
      </c>
      <c r="AM1100" s="5"/>
      <c r="AN1100" s="5"/>
      <c r="AQ1100" s="6"/>
    </row>
    <row r="1101" spans="2:43" x14ac:dyDescent="0.25">
      <c r="B1101" t="s">
        <v>2896</v>
      </c>
      <c r="C1101">
        <v>75877</v>
      </c>
      <c r="D1101" t="s">
        <v>2899</v>
      </c>
      <c r="E1101" t="s">
        <v>139</v>
      </c>
      <c r="F1101" t="s">
        <v>305</v>
      </c>
      <c r="G1101" t="s">
        <v>353</v>
      </c>
      <c r="H1101" t="s">
        <v>30</v>
      </c>
      <c r="I1101" t="s">
        <v>68</v>
      </c>
      <c r="J1101" t="s">
        <v>43</v>
      </c>
      <c r="K1101" t="s">
        <v>33</v>
      </c>
      <c r="L1101" t="s">
        <v>73</v>
      </c>
      <c r="M1101" t="s">
        <v>263</v>
      </c>
      <c r="N1101" t="s">
        <v>46</v>
      </c>
      <c r="P1101" t="s">
        <v>47</v>
      </c>
      <c r="R1101" s="5">
        <v>42395.586157407408</v>
      </c>
      <c r="S1101" s="5">
        <v>42678.648078703707</v>
      </c>
      <c r="T1101" t="s">
        <v>317</v>
      </c>
      <c r="U1101" t="s">
        <v>35</v>
      </c>
      <c r="V1101" s="3" t="s">
        <v>35</v>
      </c>
      <c r="W1101" s="3" t="s">
        <v>4098</v>
      </c>
      <c r="AM1101" s="5"/>
      <c r="AN1101" s="5"/>
      <c r="AQ1101" s="6"/>
    </row>
    <row r="1102" spans="2:43" x14ac:dyDescent="0.25">
      <c r="B1102" t="s">
        <v>2896</v>
      </c>
      <c r="C1102">
        <v>75876</v>
      </c>
      <c r="D1102" t="s">
        <v>2898</v>
      </c>
      <c r="E1102" t="s">
        <v>387</v>
      </c>
      <c r="F1102" t="s">
        <v>305</v>
      </c>
      <c r="G1102" t="s">
        <v>310</v>
      </c>
      <c r="H1102" t="s">
        <v>30</v>
      </c>
      <c r="I1102" t="s">
        <v>68</v>
      </c>
      <c r="J1102" t="s">
        <v>43</v>
      </c>
      <c r="K1102" t="s">
        <v>33</v>
      </c>
      <c r="L1102" t="s">
        <v>73</v>
      </c>
      <c r="M1102" t="s">
        <v>263</v>
      </c>
      <c r="N1102" t="s">
        <v>46</v>
      </c>
      <c r="P1102" t="s">
        <v>47</v>
      </c>
      <c r="R1102" s="5">
        <v>42395.586145833331</v>
      </c>
      <c r="S1102" s="5">
        <v>42678.645428240743</v>
      </c>
      <c r="T1102" t="s">
        <v>317</v>
      </c>
      <c r="U1102" t="s">
        <v>35</v>
      </c>
      <c r="V1102" s="3" t="s">
        <v>35</v>
      </c>
      <c r="W1102" s="3" t="s">
        <v>4156</v>
      </c>
      <c r="AM1102" s="5"/>
      <c r="AN1102" s="5"/>
      <c r="AQ1102" s="6"/>
    </row>
    <row r="1103" spans="2:43" x14ac:dyDescent="0.25">
      <c r="B1103" t="s">
        <v>2896</v>
      </c>
      <c r="C1103">
        <v>75848</v>
      </c>
      <c r="D1103" t="s">
        <v>2897</v>
      </c>
      <c r="E1103" t="s">
        <v>387</v>
      </c>
      <c r="F1103" t="s">
        <v>305</v>
      </c>
      <c r="G1103" t="s">
        <v>353</v>
      </c>
      <c r="H1103" t="s">
        <v>30</v>
      </c>
      <c r="I1103" t="s">
        <v>68</v>
      </c>
      <c r="J1103" t="s">
        <v>43</v>
      </c>
      <c r="K1103" t="s">
        <v>33</v>
      </c>
      <c r="L1103" t="s">
        <v>73</v>
      </c>
      <c r="M1103" t="s">
        <v>263</v>
      </c>
      <c r="N1103" t="s">
        <v>46</v>
      </c>
      <c r="P1103" t="s">
        <v>47</v>
      </c>
      <c r="R1103" s="5">
        <v>42394.785081018519</v>
      </c>
      <c r="S1103" s="5">
        <v>42678.645543981482</v>
      </c>
      <c r="T1103" t="s">
        <v>1</v>
      </c>
      <c r="U1103" t="s">
        <v>35</v>
      </c>
      <c r="V1103" s="3" t="s">
        <v>35</v>
      </c>
      <c r="W1103" s="3" t="s">
        <v>133</v>
      </c>
      <c r="AM1103" s="5"/>
      <c r="AN1103" s="5"/>
      <c r="AQ1103" s="6"/>
    </row>
    <row r="1104" spans="2:43" x14ac:dyDescent="0.25">
      <c r="B1104" t="s">
        <v>488</v>
      </c>
      <c r="C1104">
        <v>75779</v>
      </c>
      <c r="D1104" t="s">
        <v>2894</v>
      </c>
      <c r="E1104" t="s">
        <v>139</v>
      </c>
      <c r="F1104" t="s">
        <v>305</v>
      </c>
      <c r="G1104" t="s">
        <v>304</v>
      </c>
      <c r="H1104" t="s">
        <v>30</v>
      </c>
      <c r="I1104" t="s">
        <v>31</v>
      </c>
      <c r="J1104" t="s">
        <v>43</v>
      </c>
      <c r="K1104" t="s">
        <v>44</v>
      </c>
      <c r="L1104" t="s">
        <v>73</v>
      </c>
      <c r="M1104" t="s">
        <v>263</v>
      </c>
      <c r="N1104" t="s">
        <v>46</v>
      </c>
      <c r="O1104" t="s">
        <v>2895</v>
      </c>
      <c r="P1104" t="s">
        <v>92</v>
      </c>
      <c r="Q1104" t="s">
        <v>92</v>
      </c>
      <c r="R1104" s="5">
        <v>42393.554143518515</v>
      </c>
      <c r="S1104" s="5">
        <v>42991.471192129633</v>
      </c>
      <c r="T1104" t="s">
        <v>72</v>
      </c>
      <c r="U1104" t="s">
        <v>35</v>
      </c>
      <c r="V1104" s="3" t="s">
        <v>35</v>
      </c>
      <c r="W1104" s="3" t="s">
        <v>3661</v>
      </c>
      <c r="AM1104" s="5"/>
      <c r="AN1104" s="5"/>
      <c r="AQ1104" s="6"/>
    </row>
    <row r="1105" spans="2:43" x14ac:dyDescent="0.25">
      <c r="B1105" t="s">
        <v>2892</v>
      </c>
      <c r="C1105">
        <v>75758</v>
      </c>
      <c r="D1105" t="s">
        <v>2893</v>
      </c>
      <c r="E1105" t="s">
        <v>301</v>
      </c>
      <c r="F1105" t="s">
        <v>305</v>
      </c>
      <c r="G1105" t="s">
        <v>328</v>
      </c>
      <c r="H1105" t="s">
        <v>30</v>
      </c>
      <c r="I1105" t="s">
        <v>31</v>
      </c>
      <c r="J1105" t="s">
        <v>32</v>
      </c>
      <c r="K1105" t="s">
        <v>33</v>
      </c>
      <c r="L1105" t="s">
        <v>73</v>
      </c>
      <c r="M1105" t="s">
        <v>263</v>
      </c>
      <c r="N1105" t="s">
        <v>46</v>
      </c>
      <c r="P1105" t="s">
        <v>47</v>
      </c>
      <c r="Q1105" t="s">
        <v>2481</v>
      </c>
      <c r="R1105" s="5">
        <v>42391.842893518522</v>
      </c>
      <c r="S1105" s="5">
        <v>42678.651967592596</v>
      </c>
      <c r="T1105" t="s">
        <v>1</v>
      </c>
      <c r="U1105" t="s">
        <v>35</v>
      </c>
      <c r="V1105" s="3" t="s">
        <v>321</v>
      </c>
      <c r="W1105" s="3" t="s">
        <v>4098</v>
      </c>
      <c r="AM1105" s="5"/>
      <c r="AN1105" s="5"/>
      <c r="AQ1105" s="6"/>
    </row>
    <row r="1106" spans="2:43" x14ac:dyDescent="0.25">
      <c r="B1106" t="s">
        <v>506</v>
      </c>
      <c r="C1106">
        <v>75649</v>
      </c>
      <c r="D1106" t="s">
        <v>2891</v>
      </c>
      <c r="E1106" t="s">
        <v>91</v>
      </c>
      <c r="F1106" t="s">
        <v>305</v>
      </c>
      <c r="G1106" t="s">
        <v>337</v>
      </c>
      <c r="H1106" t="s">
        <v>54</v>
      </c>
      <c r="I1106" t="s">
        <v>31</v>
      </c>
      <c r="J1106" t="s">
        <v>32</v>
      </c>
      <c r="K1106" t="s">
        <v>51</v>
      </c>
      <c r="L1106" t="s">
        <v>73</v>
      </c>
      <c r="M1106" t="s">
        <v>263</v>
      </c>
      <c r="N1106" t="s">
        <v>518</v>
      </c>
      <c r="O1106" t="s">
        <v>132</v>
      </c>
      <c r="P1106" t="s">
        <v>47</v>
      </c>
      <c r="Q1106" t="s">
        <v>159</v>
      </c>
      <c r="R1106" s="5">
        <v>42390.811759259261</v>
      </c>
      <c r="S1106" s="5">
        <v>42830.709560185183</v>
      </c>
      <c r="T1106" t="s">
        <v>317</v>
      </c>
      <c r="U1106" t="s">
        <v>35</v>
      </c>
      <c r="V1106" s="3" t="s">
        <v>321</v>
      </c>
      <c r="W1106" s="3" t="s">
        <v>133</v>
      </c>
      <c r="AM1106" s="5"/>
      <c r="AN1106" s="5"/>
      <c r="AQ1106" s="6"/>
    </row>
    <row r="1107" spans="2:43" x14ac:dyDescent="0.25">
      <c r="B1107" t="s">
        <v>2847</v>
      </c>
      <c r="C1107">
        <v>75563</v>
      </c>
      <c r="D1107" t="s">
        <v>2889</v>
      </c>
      <c r="E1107" t="s">
        <v>376</v>
      </c>
      <c r="F1107" t="s">
        <v>305</v>
      </c>
      <c r="G1107" t="s">
        <v>304</v>
      </c>
      <c r="H1107" t="s">
        <v>30</v>
      </c>
      <c r="I1107" t="s">
        <v>31</v>
      </c>
      <c r="J1107" t="s">
        <v>43</v>
      </c>
      <c r="K1107" t="s">
        <v>51</v>
      </c>
      <c r="L1107" t="s">
        <v>34</v>
      </c>
      <c r="M1107" t="s">
        <v>373</v>
      </c>
      <c r="N1107" t="s">
        <v>46</v>
      </c>
      <c r="P1107" t="s">
        <v>374</v>
      </c>
      <c r="Q1107" t="s">
        <v>2890</v>
      </c>
      <c r="R1107" s="5">
        <v>42389.903356481482</v>
      </c>
      <c r="S1107" s="5">
        <v>42629.723136574074</v>
      </c>
      <c r="T1107" t="s">
        <v>149</v>
      </c>
      <c r="U1107" t="s">
        <v>3967</v>
      </c>
      <c r="V1107" s="3" t="s">
        <v>35</v>
      </c>
      <c r="W1107" s="3" t="s">
        <v>77</v>
      </c>
      <c r="AM1107" s="5"/>
      <c r="AN1107" s="5"/>
      <c r="AQ1107" s="6"/>
    </row>
    <row r="1108" spans="2:43" x14ac:dyDescent="0.25">
      <c r="B1108" t="s">
        <v>2886</v>
      </c>
      <c r="C1108">
        <v>75402</v>
      </c>
      <c r="D1108" t="s">
        <v>2887</v>
      </c>
      <c r="E1108" t="s">
        <v>1</v>
      </c>
      <c r="F1108" t="s">
        <v>305</v>
      </c>
      <c r="G1108" t="s">
        <v>1621</v>
      </c>
      <c r="H1108" t="s">
        <v>30</v>
      </c>
      <c r="I1108" t="s">
        <v>31</v>
      </c>
      <c r="J1108" t="s">
        <v>32</v>
      </c>
      <c r="K1108" t="s">
        <v>33</v>
      </c>
      <c r="L1108" t="s">
        <v>34</v>
      </c>
      <c r="M1108" t="s">
        <v>2888</v>
      </c>
      <c r="N1108" t="s">
        <v>46</v>
      </c>
      <c r="P1108" t="s">
        <v>377</v>
      </c>
      <c r="R1108" s="5">
        <v>42388.925185185188</v>
      </c>
      <c r="S1108" s="5">
        <v>43171.783483796295</v>
      </c>
      <c r="T1108" t="s">
        <v>1</v>
      </c>
      <c r="U1108" t="s">
        <v>35</v>
      </c>
      <c r="V1108" s="3" t="s">
        <v>35</v>
      </c>
      <c r="W1108" s="3" t="s">
        <v>4126</v>
      </c>
      <c r="AM1108" s="5"/>
      <c r="AN1108" s="5"/>
      <c r="AQ1108" s="6"/>
    </row>
    <row r="1109" spans="2:43" x14ac:dyDescent="0.25">
      <c r="B1109" t="s">
        <v>2880</v>
      </c>
      <c r="C1109">
        <v>75308</v>
      </c>
      <c r="D1109" t="s">
        <v>2884</v>
      </c>
      <c r="E1109" t="s">
        <v>387</v>
      </c>
      <c r="F1109" t="s">
        <v>305</v>
      </c>
      <c r="G1109" t="s">
        <v>310</v>
      </c>
      <c r="H1109" t="s">
        <v>30</v>
      </c>
      <c r="I1109" t="s">
        <v>31</v>
      </c>
      <c r="J1109" t="s">
        <v>32</v>
      </c>
      <c r="K1109" t="s">
        <v>33</v>
      </c>
      <c r="L1109" t="s">
        <v>73</v>
      </c>
      <c r="M1109" t="s">
        <v>263</v>
      </c>
      <c r="N1109" t="s">
        <v>2885</v>
      </c>
      <c r="P1109" t="s">
        <v>47</v>
      </c>
      <c r="R1109" s="5">
        <v>42387.814930555556</v>
      </c>
      <c r="S1109" s="5">
        <v>42563.856435185182</v>
      </c>
      <c r="T1109" t="s">
        <v>317</v>
      </c>
      <c r="U1109" t="s">
        <v>35</v>
      </c>
      <c r="V1109" s="3" t="s">
        <v>321</v>
      </c>
      <c r="W1109" s="3" t="s">
        <v>133</v>
      </c>
      <c r="AM1109" s="5"/>
      <c r="AN1109" s="5"/>
      <c r="AQ1109" s="6"/>
    </row>
    <row r="1110" spans="2:43" x14ac:dyDescent="0.25">
      <c r="B1110" t="s">
        <v>2880</v>
      </c>
      <c r="C1110">
        <v>75307</v>
      </c>
      <c r="D1110" t="s">
        <v>2883</v>
      </c>
      <c r="E1110" t="s">
        <v>139</v>
      </c>
      <c r="F1110" t="s">
        <v>305</v>
      </c>
      <c r="G1110" t="s">
        <v>310</v>
      </c>
      <c r="H1110" t="s">
        <v>30</v>
      </c>
      <c r="I1110" t="s">
        <v>31</v>
      </c>
      <c r="J1110" t="s">
        <v>32</v>
      </c>
      <c r="K1110" t="s">
        <v>33</v>
      </c>
      <c r="L1110" t="s">
        <v>73</v>
      </c>
      <c r="M1110" t="s">
        <v>263</v>
      </c>
      <c r="N1110" t="s">
        <v>60</v>
      </c>
      <c r="P1110" t="s">
        <v>47</v>
      </c>
      <c r="R1110" s="5">
        <v>42387.81486111111</v>
      </c>
      <c r="S1110" s="5">
        <v>42716.914560185185</v>
      </c>
      <c r="T1110" t="s">
        <v>317</v>
      </c>
      <c r="U1110" t="s">
        <v>35</v>
      </c>
      <c r="V1110" s="3" t="s">
        <v>321</v>
      </c>
      <c r="W1110" s="3" t="s">
        <v>65</v>
      </c>
      <c r="AM1110" s="5"/>
      <c r="AN1110" s="5"/>
      <c r="AQ1110" s="6"/>
    </row>
    <row r="1111" spans="2:43" x14ac:dyDescent="0.25">
      <c r="B1111" t="s">
        <v>2880</v>
      </c>
      <c r="C1111">
        <v>75306</v>
      </c>
      <c r="D1111" t="s">
        <v>2882</v>
      </c>
      <c r="E1111" t="s">
        <v>139</v>
      </c>
      <c r="F1111" t="s">
        <v>305</v>
      </c>
      <c r="G1111" t="s">
        <v>310</v>
      </c>
      <c r="H1111" t="s">
        <v>30</v>
      </c>
      <c r="I1111" t="s">
        <v>31</v>
      </c>
      <c r="J1111" t="s">
        <v>32</v>
      </c>
      <c r="K1111" t="s">
        <v>33</v>
      </c>
      <c r="L1111" t="s">
        <v>73</v>
      </c>
      <c r="M1111" t="s">
        <v>263</v>
      </c>
      <c r="N1111" t="s">
        <v>46</v>
      </c>
      <c r="P1111" t="s">
        <v>47</v>
      </c>
      <c r="R1111" s="5">
        <v>42387.814803240741</v>
      </c>
      <c r="S1111" s="5">
        <v>42678.645219907405</v>
      </c>
      <c r="T1111" t="s">
        <v>317</v>
      </c>
      <c r="U1111" t="s">
        <v>35</v>
      </c>
      <c r="V1111" s="3" t="s">
        <v>321</v>
      </c>
      <c r="W1111" s="3" t="s">
        <v>4156</v>
      </c>
      <c r="AM1111" s="5"/>
      <c r="AN1111" s="5"/>
      <c r="AQ1111" s="6"/>
    </row>
    <row r="1112" spans="2:43" x14ac:dyDescent="0.25">
      <c r="B1112" t="s">
        <v>2880</v>
      </c>
      <c r="C1112">
        <v>75304</v>
      </c>
      <c r="D1112" t="s">
        <v>2881</v>
      </c>
      <c r="E1112" t="s">
        <v>139</v>
      </c>
      <c r="F1112" t="s">
        <v>305</v>
      </c>
      <c r="G1112" t="s">
        <v>310</v>
      </c>
      <c r="H1112" t="s">
        <v>30</v>
      </c>
      <c r="I1112" t="s">
        <v>31</v>
      </c>
      <c r="J1112" t="s">
        <v>32</v>
      </c>
      <c r="K1112" t="s">
        <v>33</v>
      </c>
      <c r="L1112" t="s">
        <v>73</v>
      </c>
      <c r="M1112" t="s">
        <v>263</v>
      </c>
      <c r="N1112" t="s">
        <v>46</v>
      </c>
      <c r="P1112" t="s">
        <v>47</v>
      </c>
      <c r="R1112" s="5">
        <v>42387.706828703704</v>
      </c>
      <c r="S1112" s="5">
        <v>42678.644942129627</v>
      </c>
      <c r="T1112" t="s">
        <v>1</v>
      </c>
      <c r="U1112" t="s">
        <v>35</v>
      </c>
      <c r="V1112" s="3" t="s">
        <v>321</v>
      </c>
      <c r="W1112" s="3" t="s">
        <v>4098</v>
      </c>
      <c r="AM1112" s="5"/>
      <c r="AN1112" s="5"/>
      <c r="AQ1112" s="6"/>
    </row>
    <row r="1113" spans="2:43" x14ac:dyDescent="0.25">
      <c r="B1113" t="s">
        <v>2841</v>
      </c>
      <c r="C1113">
        <v>75274</v>
      </c>
      <c r="D1113" t="s">
        <v>2878</v>
      </c>
      <c r="E1113" t="s">
        <v>39</v>
      </c>
      <c r="F1113" t="s">
        <v>305</v>
      </c>
      <c r="G1113" t="s">
        <v>353</v>
      </c>
      <c r="H1113" t="s">
        <v>30</v>
      </c>
      <c r="I1113" t="s">
        <v>31</v>
      </c>
      <c r="J1113" t="s">
        <v>32</v>
      </c>
      <c r="K1113" t="s">
        <v>33</v>
      </c>
      <c r="L1113" t="s">
        <v>34</v>
      </c>
      <c r="M1113" t="s">
        <v>258</v>
      </c>
      <c r="N1113" t="s">
        <v>46</v>
      </c>
      <c r="P1113" t="s">
        <v>56</v>
      </c>
      <c r="Q1113" t="s">
        <v>2879</v>
      </c>
      <c r="R1113" s="5">
        <v>42387.306354166663</v>
      </c>
      <c r="S1113" s="5">
        <v>42678.646770833337</v>
      </c>
      <c r="T1113" t="s">
        <v>2509</v>
      </c>
      <c r="U1113" t="s">
        <v>35</v>
      </c>
      <c r="V1113" s="3" t="s">
        <v>321</v>
      </c>
      <c r="W1113" s="3" t="s">
        <v>4126</v>
      </c>
      <c r="AM1113" s="5"/>
      <c r="AN1113" s="5"/>
      <c r="AQ1113" s="6"/>
    </row>
    <row r="1114" spans="2:43" x14ac:dyDescent="0.25">
      <c r="B1114" t="s">
        <v>2833</v>
      </c>
      <c r="C1114">
        <v>75254</v>
      </c>
      <c r="D1114" t="s">
        <v>2877</v>
      </c>
      <c r="E1114" t="s">
        <v>382</v>
      </c>
      <c r="F1114" t="s">
        <v>305</v>
      </c>
      <c r="G1114" t="s">
        <v>337</v>
      </c>
      <c r="H1114" t="s">
        <v>30</v>
      </c>
      <c r="I1114" t="s">
        <v>31</v>
      </c>
      <c r="J1114" t="s">
        <v>32</v>
      </c>
      <c r="K1114" t="s">
        <v>44</v>
      </c>
      <c r="L1114" t="s">
        <v>380</v>
      </c>
      <c r="M1114" t="s">
        <v>379</v>
      </c>
      <c r="N1114" t="s">
        <v>518</v>
      </c>
      <c r="O1114" t="s">
        <v>325</v>
      </c>
      <c r="P1114" t="s">
        <v>61</v>
      </c>
      <c r="R1114" s="5">
        <v>42385.645856481482</v>
      </c>
      <c r="S1114" s="5">
        <v>42678.645567129628</v>
      </c>
      <c r="T1114" t="s">
        <v>317</v>
      </c>
      <c r="U1114" t="s">
        <v>35</v>
      </c>
      <c r="V1114" s="3" t="s">
        <v>321</v>
      </c>
      <c r="W1114" s="3" t="s">
        <v>4156</v>
      </c>
      <c r="AM1114" s="5"/>
      <c r="AN1114" s="5"/>
      <c r="AQ1114" s="6"/>
    </row>
    <row r="1115" spans="2:43" x14ac:dyDescent="0.25">
      <c r="B1115" t="s">
        <v>2829</v>
      </c>
      <c r="C1115">
        <v>75245</v>
      </c>
      <c r="D1115" t="s">
        <v>2875</v>
      </c>
      <c r="E1115" t="s">
        <v>139</v>
      </c>
      <c r="F1115" t="s">
        <v>305</v>
      </c>
      <c r="G1115" t="s">
        <v>304</v>
      </c>
      <c r="H1115" t="s">
        <v>30</v>
      </c>
      <c r="I1115" t="s">
        <v>31</v>
      </c>
      <c r="J1115" t="s">
        <v>43</v>
      </c>
      <c r="K1115" t="s">
        <v>44</v>
      </c>
      <c r="L1115" t="s">
        <v>73</v>
      </c>
      <c r="M1115" t="s">
        <v>263</v>
      </c>
      <c r="N1115" t="s">
        <v>2876</v>
      </c>
      <c r="P1115" t="s">
        <v>61</v>
      </c>
      <c r="R1115" s="5">
        <v>42384.998923611114</v>
      </c>
      <c r="S1115" s="5">
        <v>42709.766145833331</v>
      </c>
      <c r="T1115" t="s">
        <v>53</v>
      </c>
      <c r="U1115" t="s">
        <v>3966</v>
      </c>
      <c r="V1115" s="3" t="s">
        <v>35</v>
      </c>
      <c r="W1115" s="3" t="s">
        <v>75</v>
      </c>
      <c r="AM1115" s="5"/>
      <c r="AN1115" s="5"/>
      <c r="AQ1115" s="6"/>
    </row>
    <row r="1116" spans="2:43" x14ac:dyDescent="0.25">
      <c r="B1116" t="s">
        <v>2866</v>
      </c>
      <c r="C1116">
        <v>75241</v>
      </c>
      <c r="D1116" t="s">
        <v>2874</v>
      </c>
      <c r="E1116" t="s">
        <v>131</v>
      </c>
      <c r="F1116" t="s">
        <v>305</v>
      </c>
      <c r="G1116" t="s">
        <v>304</v>
      </c>
      <c r="H1116" t="s">
        <v>30</v>
      </c>
      <c r="I1116" t="s">
        <v>31</v>
      </c>
      <c r="J1116" t="s">
        <v>32</v>
      </c>
      <c r="K1116" t="s">
        <v>33</v>
      </c>
      <c r="L1116" t="s">
        <v>73</v>
      </c>
      <c r="M1116" t="s">
        <v>263</v>
      </c>
      <c r="N1116" t="s">
        <v>518</v>
      </c>
      <c r="P1116" t="s">
        <v>65</v>
      </c>
      <c r="Q1116" t="s">
        <v>2868</v>
      </c>
      <c r="R1116" s="5">
        <v>42384.983159722222</v>
      </c>
      <c r="S1116" s="5">
        <v>42709.765960648147</v>
      </c>
      <c r="T1116" t="s">
        <v>53</v>
      </c>
      <c r="U1116" t="s">
        <v>3966</v>
      </c>
      <c r="V1116" s="3" t="s">
        <v>321</v>
      </c>
      <c r="W1116" s="3" t="s">
        <v>75</v>
      </c>
      <c r="AM1116" s="5"/>
      <c r="AN1116" s="5"/>
      <c r="AQ1116" s="6"/>
    </row>
    <row r="1117" spans="2:43" x14ac:dyDescent="0.25">
      <c r="B1117" t="s">
        <v>2743</v>
      </c>
      <c r="C1117">
        <v>75220</v>
      </c>
      <c r="D1117" t="s">
        <v>2873</v>
      </c>
      <c r="E1117" t="s">
        <v>94</v>
      </c>
      <c r="F1117" t="s">
        <v>305</v>
      </c>
      <c r="G1117" t="s">
        <v>304</v>
      </c>
      <c r="H1117" t="s">
        <v>30</v>
      </c>
      <c r="I1117" t="s">
        <v>31</v>
      </c>
      <c r="J1117" t="s">
        <v>32</v>
      </c>
      <c r="K1117" t="s">
        <v>51</v>
      </c>
      <c r="L1117" t="s">
        <v>73</v>
      </c>
      <c r="M1117" t="s">
        <v>273</v>
      </c>
      <c r="N1117" t="s">
        <v>518</v>
      </c>
      <c r="P1117" t="s">
        <v>47</v>
      </c>
      <c r="Q1117" t="s">
        <v>528</v>
      </c>
      <c r="R1117" s="5">
        <v>42384.608958333331</v>
      </c>
      <c r="S1117" s="5">
        <v>42580.795115740744</v>
      </c>
      <c r="T1117" t="s">
        <v>317</v>
      </c>
      <c r="U1117" t="s">
        <v>3965</v>
      </c>
      <c r="V1117" s="3" t="s">
        <v>321</v>
      </c>
      <c r="W1117" s="3" t="s">
        <v>77</v>
      </c>
      <c r="AM1117" s="5"/>
      <c r="AN1117" s="5"/>
      <c r="AQ1117" s="6"/>
    </row>
    <row r="1118" spans="2:43" x14ac:dyDescent="0.25">
      <c r="B1118" t="s">
        <v>2562</v>
      </c>
      <c r="C1118">
        <v>75219</v>
      </c>
      <c r="D1118" t="s">
        <v>2872</v>
      </c>
      <c r="E1118" t="s">
        <v>445</v>
      </c>
      <c r="F1118" t="s">
        <v>305</v>
      </c>
      <c r="G1118" t="s">
        <v>337</v>
      </c>
      <c r="H1118" t="s">
        <v>30</v>
      </c>
      <c r="I1118" t="s">
        <v>31</v>
      </c>
      <c r="J1118" t="s">
        <v>32</v>
      </c>
      <c r="K1118" t="s">
        <v>33</v>
      </c>
      <c r="L1118" t="s">
        <v>73</v>
      </c>
      <c r="M1118" t="s">
        <v>263</v>
      </c>
      <c r="N1118" t="s">
        <v>518</v>
      </c>
      <c r="P1118" t="s">
        <v>394</v>
      </c>
      <c r="R1118" s="5">
        <v>42384.608541666668</v>
      </c>
      <c r="S1118" s="5">
        <v>42398.873680555553</v>
      </c>
      <c r="T1118" t="s">
        <v>317</v>
      </c>
      <c r="U1118" t="s">
        <v>35</v>
      </c>
      <c r="V1118" s="3" t="s">
        <v>321</v>
      </c>
      <c r="W1118" s="3" t="s">
        <v>4156</v>
      </c>
      <c r="AM1118" s="5"/>
      <c r="AN1118" s="5"/>
      <c r="AQ1118" s="6"/>
    </row>
    <row r="1119" spans="2:43" x14ac:dyDescent="0.25">
      <c r="B1119" t="s">
        <v>488</v>
      </c>
      <c r="C1119">
        <v>75113</v>
      </c>
      <c r="D1119" t="s">
        <v>489</v>
      </c>
      <c r="E1119" t="s">
        <v>490</v>
      </c>
      <c r="F1119" t="s">
        <v>305</v>
      </c>
      <c r="G1119" t="s">
        <v>304</v>
      </c>
      <c r="H1119" t="s">
        <v>30</v>
      </c>
      <c r="I1119" t="s">
        <v>31</v>
      </c>
      <c r="J1119" t="s">
        <v>43</v>
      </c>
      <c r="K1119" t="s">
        <v>44</v>
      </c>
      <c r="L1119" t="s">
        <v>73</v>
      </c>
      <c r="M1119" t="s">
        <v>263</v>
      </c>
      <c r="N1119" t="s">
        <v>595</v>
      </c>
      <c r="O1119" t="s">
        <v>596</v>
      </c>
      <c r="P1119" t="s">
        <v>491</v>
      </c>
      <c r="Q1119" t="s">
        <v>491</v>
      </c>
      <c r="R1119" s="5">
        <v>42382.467291666668</v>
      </c>
      <c r="S1119" s="5">
        <v>43109.236493055556</v>
      </c>
      <c r="T1119" t="s">
        <v>86</v>
      </c>
      <c r="U1119" t="s">
        <v>35</v>
      </c>
      <c r="V1119" s="3" t="s">
        <v>35</v>
      </c>
      <c r="W1119" s="3" t="s">
        <v>4098</v>
      </c>
      <c r="AM1119" s="5"/>
      <c r="AN1119" s="5"/>
      <c r="AQ1119" s="6"/>
    </row>
    <row r="1120" spans="2:43" x14ac:dyDescent="0.25">
      <c r="B1120" t="s">
        <v>2858</v>
      </c>
      <c r="C1120">
        <v>75082</v>
      </c>
      <c r="D1120" t="s">
        <v>2871</v>
      </c>
      <c r="E1120" t="s">
        <v>94</v>
      </c>
      <c r="F1120" t="s">
        <v>305</v>
      </c>
      <c r="G1120" t="s">
        <v>337</v>
      </c>
      <c r="H1120" t="s">
        <v>30</v>
      </c>
      <c r="I1120" t="s">
        <v>31</v>
      </c>
      <c r="J1120" t="s">
        <v>32</v>
      </c>
      <c r="K1120" t="s">
        <v>44</v>
      </c>
      <c r="L1120" t="s">
        <v>73</v>
      </c>
      <c r="M1120" t="s">
        <v>263</v>
      </c>
      <c r="N1120" t="s">
        <v>46</v>
      </c>
      <c r="P1120" t="s">
        <v>61</v>
      </c>
      <c r="R1120" s="5">
        <v>42381.678344907406</v>
      </c>
      <c r="S1120" s="5">
        <v>42678.643842592595</v>
      </c>
      <c r="T1120" t="s">
        <v>317</v>
      </c>
      <c r="U1120" t="s">
        <v>35</v>
      </c>
      <c r="V1120" s="3" t="s">
        <v>321</v>
      </c>
      <c r="W1120" s="3" t="s">
        <v>4153</v>
      </c>
      <c r="AM1120" s="5"/>
      <c r="AN1120" s="5"/>
      <c r="AQ1120" s="6"/>
    </row>
    <row r="1121" spans="2:43" x14ac:dyDescent="0.25">
      <c r="B1121" t="s">
        <v>2866</v>
      </c>
      <c r="C1121">
        <v>74825</v>
      </c>
      <c r="D1121" t="s">
        <v>2870</v>
      </c>
      <c r="E1121" t="s">
        <v>131</v>
      </c>
      <c r="F1121" t="s">
        <v>305</v>
      </c>
      <c r="G1121" t="s">
        <v>304</v>
      </c>
      <c r="H1121" t="s">
        <v>30</v>
      </c>
      <c r="I1121" t="s">
        <v>31</v>
      </c>
      <c r="J1121" t="s">
        <v>32</v>
      </c>
      <c r="K1121" t="s">
        <v>33</v>
      </c>
      <c r="L1121" t="s">
        <v>73</v>
      </c>
      <c r="M1121" t="s">
        <v>263</v>
      </c>
      <c r="N1121" t="s">
        <v>46</v>
      </c>
      <c r="P1121" t="s">
        <v>65</v>
      </c>
      <c r="Q1121" t="s">
        <v>2868</v>
      </c>
      <c r="R1121" s="5">
        <v>42374.814479166664</v>
      </c>
      <c r="S1121" s="5">
        <v>42648.764224537037</v>
      </c>
      <c r="T1121" t="s">
        <v>317</v>
      </c>
      <c r="U1121" t="s">
        <v>35</v>
      </c>
      <c r="V1121" s="3" t="s">
        <v>321</v>
      </c>
      <c r="W1121" s="3" t="s">
        <v>133</v>
      </c>
      <c r="AM1121" s="5"/>
      <c r="AN1121" s="5"/>
      <c r="AQ1121" s="6"/>
    </row>
    <row r="1122" spans="2:43" x14ac:dyDescent="0.25">
      <c r="B1122" t="s">
        <v>2866</v>
      </c>
      <c r="C1122">
        <v>74824</v>
      </c>
      <c r="D1122" t="s">
        <v>2869</v>
      </c>
      <c r="E1122" t="s">
        <v>387</v>
      </c>
      <c r="F1122" t="s">
        <v>305</v>
      </c>
      <c r="G1122" t="s">
        <v>337</v>
      </c>
      <c r="H1122" t="s">
        <v>30</v>
      </c>
      <c r="I1122" t="s">
        <v>31</v>
      </c>
      <c r="J1122" t="s">
        <v>32</v>
      </c>
      <c r="K1122" t="s">
        <v>33</v>
      </c>
      <c r="L1122" t="s">
        <v>73</v>
      </c>
      <c r="M1122" t="s">
        <v>263</v>
      </c>
      <c r="N1122" t="s">
        <v>331</v>
      </c>
      <c r="P1122" t="s">
        <v>65</v>
      </c>
      <c r="Q1122" t="s">
        <v>394</v>
      </c>
      <c r="R1122" s="5">
        <v>42374.814421296294</v>
      </c>
      <c r="S1122" s="5">
        <v>42678.651909722219</v>
      </c>
      <c r="T1122" t="s">
        <v>317</v>
      </c>
      <c r="U1122" t="s">
        <v>35</v>
      </c>
      <c r="V1122" s="3" t="s">
        <v>321</v>
      </c>
      <c r="W1122" s="3" t="s">
        <v>65</v>
      </c>
      <c r="AM1122" s="5"/>
      <c r="AN1122" s="5"/>
      <c r="AQ1122" s="6"/>
    </row>
    <row r="1123" spans="2:43" x14ac:dyDescent="0.25">
      <c r="B1123" t="s">
        <v>2866</v>
      </c>
      <c r="C1123">
        <v>74808</v>
      </c>
      <c r="D1123" t="s">
        <v>2867</v>
      </c>
      <c r="E1123" t="s">
        <v>131</v>
      </c>
      <c r="F1123" t="s">
        <v>305</v>
      </c>
      <c r="G1123" t="s">
        <v>304</v>
      </c>
      <c r="H1123" t="s">
        <v>30</v>
      </c>
      <c r="I1123" t="s">
        <v>31</v>
      </c>
      <c r="J1123" t="s">
        <v>32</v>
      </c>
      <c r="K1123" t="s">
        <v>33</v>
      </c>
      <c r="L1123" t="s">
        <v>73</v>
      </c>
      <c r="M1123" t="s">
        <v>263</v>
      </c>
      <c r="N1123" t="s">
        <v>331</v>
      </c>
      <c r="P1123" t="s">
        <v>65</v>
      </c>
      <c r="Q1123" t="s">
        <v>2868</v>
      </c>
      <c r="R1123" s="5">
        <v>42374.561168981483</v>
      </c>
      <c r="S1123" s="5">
        <v>42857.588587962964</v>
      </c>
      <c r="T1123" t="s">
        <v>332</v>
      </c>
      <c r="U1123" t="s">
        <v>35</v>
      </c>
      <c r="V1123" s="3" t="s">
        <v>321</v>
      </c>
      <c r="W1123" s="3" t="s">
        <v>4098</v>
      </c>
      <c r="AM1123" s="5"/>
      <c r="AN1123" s="5"/>
      <c r="AQ1123" s="6"/>
    </row>
    <row r="1124" spans="2:43" x14ac:dyDescent="0.25">
      <c r="B1124" t="s">
        <v>2858</v>
      </c>
      <c r="C1124">
        <v>74771</v>
      </c>
      <c r="D1124" t="s">
        <v>2865</v>
      </c>
      <c r="E1124" t="s">
        <v>387</v>
      </c>
      <c r="F1124" t="s">
        <v>305</v>
      </c>
      <c r="G1124" t="s">
        <v>304</v>
      </c>
      <c r="H1124" t="s">
        <v>30</v>
      </c>
      <c r="I1124" t="s">
        <v>31</v>
      </c>
      <c r="J1124" t="s">
        <v>32</v>
      </c>
      <c r="K1124" t="s">
        <v>44</v>
      </c>
      <c r="L1124" t="s">
        <v>73</v>
      </c>
      <c r="M1124" t="s">
        <v>263</v>
      </c>
      <c r="N1124" t="s">
        <v>46</v>
      </c>
      <c r="P1124" t="s">
        <v>61</v>
      </c>
      <c r="R1124" s="5">
        <v>42374.314641203702</v>
      </c>
      <c r="S1124" s="5">
        <v>42648.764687499999</v>
      </c>
      <c r="T1124" t="s">
        <v>317</v>
      </c>
      <c r="U1124" t="s">
        <v>35</v>
      </c>
      <c r="V1124" s="3" t="s">
        <v>321</v>
      </c>
      <c r="W1124" s="3" t="s">
        <v>133</v>
      </c>
      <c r="AM1124" s="5"/>
      <c r="AN1124" s="5"/>
      <c r="AQ1124" s="6"/>
    </row>
    <row r="1125" spans="2:43" x14ac:dyDescent="0.25">
      <c r="B1125" t="s">
        <v>2858</v>
      </c>
      <c r="C1125">
        <v>74770</v>
      </c>
      <c r="D1125" t="s">
        <v>2864</v>
      </c>
      <c r="E1125" t="s">
        <v>94</v>
      </c>
      <c r="F1125" t="s">
        <v>305</v>
      </c>
      <c r="G1125" t="s">
        <v>304</v>
      </c>
      <c r="H1125" t="s">
        <v>30</v>
      </c>
      <c r="I1125" t="s">
        <v>31</v>
      </c>
      <c r="J1125" t="s">
        <v>32</v>
      </c>
      <c r="K1125" t="s">
        <v>44</v>
      </c>
      <c r="L1125" t="s">
        <v>73</v>
      </c>
      <c r="M1125" t="s">
        <v>263</v>
      </c>
      <c r="N1125" t="s">
        <v>60</v>
      </c>
      <c r="P1125" t="s">
        <v>61</v>
      </c>
      <c r="R1125" s="5">
        <v>42374.314513888887</v>
      </c>
      <c r="S1125" s="5">
        <v>42709.766469907408</v>
      </c>
      <c r="T1125" t="s">
        <v>317</v>
      </c>
      <c r="U1125" t="s">
        <v>3961</v>
      </c>
      <c r="V1125" s="3" t="s">
        <v>321</v>
      </c>
      <c r="W1125" s="3" t="s">
        <v>65</v>
      </c>
      <c r="AM1125" s="5"/>
      <c r="AN1125" s="5"/>
      <c r="AQ1125" s="6"/>
    </row>
    <row r="1126" spans="2:43" x14ac:dyDescent="0.25">
      <c r="B1126" t="s">
        <v>2847</v>
      </c>
      <c r="C1126">
        <v>74769</v>
      </c>
      <c r="D1126" t="s">
        <v>2863</v>
      </c>
      <c r="E1126" t="s">
        <v>134</v>
      </c>
      <c r="F1126" t="s">
        <v>305</v>
      </c>
      <c r="G1126" t="s">
        <v>304</v>
      </c>
      <c r="H1126" t="s">
        <v>30</v>
      </c>
      <c r="I1126" t="s">
        <v>31</v>
      </c>
      <c r="J1126" t="s">
        <v>43</v>
      </c>
      <c r="K1126" t="s">
        <v>51</v>
      </c>
      <c r="L1126" t="s">
        <v>34</v>
      </c>
      <c r="M1126" t="s">
        <v>373</v>
      </c>
      <c r="N1126" t="s">
        <v>46</v>
      </c>
      <c r="P1126" t="s">
        <v>374</v>
      </c>
      <c r="Q1126" t="s">
        <v>2416</v>
      </c>
      <c r="R1126" s="5">
        <v>42374.308888888889</v>
      </c>
      <c r="S1126" s="5">
        <v>42947.770925925928</v>
      </c>
      <c r="T1126" t="s">
        <v>53</v>
      </c>
      <c r="U1126" t="s">
        <v>35</v>
      </c>
      <c r="V1126" s="3" t="s">
        <v>35</v>
      </c>
      <c r="W1126" s="3" t="s">
        <v>69</v>
      </c>
      <c r="AM1126" s="5"/>
      <c r="AN1126" s="5"/>
      <c r="AQ1126" s="6"/>
    </row>
    <row r="1127" spans="2:43" x14ac:dyDescent="0.25">
      <c r="B1127" t="s">
        <v>2847</v>
      </c>
      <c r="C1127">
        <v>74768</v>
      </c>
      <c r="D1127" t="s">
        <v>2862</v>
      </c>
      <c r="E1127" t="s">
        <v>376</v>
      </c>
      <c r="F1127" t="s">
        <v>305</v>
      </c>
      <c r="G1127" t="s">
        <v>304</v>
      </c>
      <c r="H1127" t="s">
        <v>30</v>
      </c>
      <c r="I1127" t="s">
        <v>31</v>
      </c>
      <c r="J1127" t="s">
        <v>43</v>
      </c>
      <c r="K1127" t="s">
        <v>51</v>
      </c>
      <c r="L1127" t="s">
        <v>34</v>
      </c>
      <c r="M1127" t="s">
        <v>373</v>
      </c>
      <c r="N1127" t="s">
        <v>518</v>
      </c>
      <c r="P1127" t="s">
        <v>374</v>
      </c>
      <c r="R1127" s="5">
        <v>42374.308761574073</v>
      </c>
      <c r="S1127" s="5">
        <v>42629.723055555558</v>
      </c>
      <c r="T1127" t="s">
        <v>53</v>
      </c>
      <c r="U1127" t="s">
        <v>3964</v>
      </c>
      <c r="V1127" s="3" t="s">
        <v>35</v>
      </c>
      <c r="W1127" s="3" t="s">
        <v>133</v>
      </c>
      <c r="AM1127" s="5"/>
      <c r="AN1127" s="5"/>
      <c r="AQ1127" s="6"/>
    </row>
    <row r="1128" spans="2:43" x14ac:dyDescent="0.25">
      <c r="B1128" t="s">
        <v>2847</v>
      </c>
      <c r="C1128">
        <v>74767</v>
      </c>
      <c r="D1128" t="s">
        <v>2861</v>
      </c>
      <c r="E1128" t="s">
        <v>376</v>
      </c>
      <c r="F1128" t="s">
        <v>305</v>
      </c>
      <c r="G1128" t="s">
        <v>337</v>
      </c>
      <c r="H1128" t="s">
        <v>30</v>
      </c>
      <c r="I1128" t="s">
        <v>31</v>
      </c>
      <c r="J1128" t="s">
        <v>43</v>
      </c>
      <c r="K1128" t="s">
        <v>51</v>
      </c>
      <c r="L1128" t="s">
        <v>34</v>
      </c>
      <c r="M1128" t="s">
        <v>373</v>
      </c>
      <c r="N1128" t="s">
        <v>60</v>
      </c>
      <c r="P1128" t="s">
        <v>374</v>
      </c>
      <c r="R1128" s="5">
        <v>42374.308622685188</v>
      </c>
      <c r="S1128" s="5">
        <v>42411.856377314813</v>
      </c>
      <c r="T1128" t="s">
        <v>53</v>
      </c>
      <c r="U1128" t="s">
        <v>35</v>
      </c>
      <c r="V1128" s="3" t="s">
        <v>35</v>
      </c>
      <c r="W1128" s="3" t="s">
        <v>118</v>
      </c>
      <c r="AM1128" s="5"/>
      <c r="AN1128" s="5"/>
      <c r="AQ1128" s="6"/>
    </row>
    <row r="1129" spans="2:43" x14ac:dyDescent="0.25">
      <c r="B1129" t="s">
        <v>3886</v>
      </c>
      <c r="C1129">
        <v>74752</v>
      </c>
      <c r="D1129" t="s">
        <v>4182</v>
      </c>
      <c r="E1129" t="s">
        <v>2053</v>
      </c>
      <c r="F1129" t="s">
        <v>305</v>
      </c>
      <c r="G1129" t="s">
        <v>304</v>
      </c>
      <c r="H1129" t="s">
        <v>30</v>
      </c>
      <c r="I1129" t="s">
        <v>68</v>
      </c>
      <c r="J1129" t="s">
        <v>58</v>
      </c>
      <c r="K1129" t="s">
        <v>51</v>
      </c>
      <c r="L1129" t="s">
        <v>34</v>
      </c>
      <c r="M1129" t="s">
        <v>3780</v>
      </c>
      <c r="N1129" t="s">
        <v>46</v>
      </c>
      <c r="O1129" t="s">
        <v>533</v>
      </c>
      <c r="P1129" t="s">
        <v>3887</v>
      </c>
      <c r="Q1129" t="s">
        <v>85</v>
      </c>
      <c r="R1129" s="5">
        <v>42373.895497685182</v>
      </c>
      <c r="S1129" s="5">
        <v>43287.855949074074</v>
      </c>
      <c r="T1129" t="s">
        <v>2053</v>
      </c>
      <c r="U1129" t="s">
        <v>35</v>
      </c>
      <c r="V1129" s="3" t="s">
        <v>35</v>
      </c>
      <c r="W1129" s="3" t="s">
        <v>4155</v>
      </c>
      <c r="AM1129" s="5"/>
      <c r="AN1129" s="5"/>
      <c r="AQ1129" s="6"/>
    </row>
    <row r="1130" spans="2:43" x14ac:dyDescent="0.25">
      <c r="B1130" t="s">
        <v>2833</v>
      </c>
      <c r="C1130">
        <v>74749</v>
      </c>
      <c r="D1130" t="s">
        <v>2860</v>
      </c>
      <c r="E1130" t="s">
        <v>382</v>
      </c>
      <c r="F1130" t="s">
        <v>305</v>
      </c>
      <c r="G1130" t="s">
        <v>328</v>
      </c>
      <c r="H1130" t="s">
        <v>30</v>
      </c>
      <c r="I1130" t="s">
        <v>31</v>
      </c>
      <c r="J1130" t="s">
        <v>32</v>
      </c>
      <c r="K1130" t="s">
        <v>44</v>
      </c>
      <c r="L1130" t="s">
        <v>380</v>
      </c>
      <c r="M1130" t="s">
        <v>379</v>
      </c>
      <c r="N1130" t="s">
        <v>518</v>
      </c>
      <c r="O1130" t="s">
        <v>325</v>
      </c>
      <c r="P1130" t="s">
        <v>61</v>
      </c>
      <c r="R1130" s="5">
        <v>42373.866597222222</v>
      </c>
      <c r="S1130" s="5">
        <v>42678.64638888889</v>
      </c>
      <c r="T1130" t="s">
        <v>317</v>
      </c>
      <c r="U1130" t="s">
        <v>35</v>
      </c>
      <c r="V1130" s="3" t="s">
        <v>321</v>
      </c>
      <c r="W1130" s="3" t="s">
        <v>133</v>
      </c>
      <c r="AM1130" s="5"/>
      <c r="AN1130" s="5"/>
      <c r="AQ1130" s="6"/>
    </row>
    <row r="1131" spans="2:43" x14ac:dyDescent="0.25">
      <c r="B1131" t="s">
        <v>2833</v>
      </c>
      <c r="C1131">
        <v>74748</v>
      </c>
      <c r="D1131" t="s">
        <v>2859</v>
      </c>
      <c r="E1131" t="s">
        <v>382</v>
      </c>
      <c r="F1131" t="s">
        <v>305</v>
      </c>
      <c r="G1131" t="s">
        <v>328</v>
      </c>
      <c r="H1131" t="s">
        <v>30</v>
      </c>
      <c r="I1131" t="s">
        <v>31</v>
      </c>
      <c r="J1131" t="s">
        <v>32</v>
      </c>
      <c r="K1131" t="s">
        <v>44</v>
      </c>
      <c r="L1131" t="s">
        <v>380</v>
      </c>
      <c r="M1131" t="s">
        <v>379</v>
      </c>
      <c r="N1131" t="s">
        <v>60</v>
      </c>
      <c r="O1131" t="s">
        <v>325</v>
      </c>
      <c r="P1131" t="s">
        <v>61</v>
      </c>
      <c r="R1131" s="5">
        <v>42373.866493055553</v>
      </c>
      <c r="S1131" s="5">
        <v>42678.646064814813</v>
      </c>
      <c r="T1131" t="s">
        <v>317</v>
      </c>
      <c r="U1131" t="s">
        <v>35</v>
      </c>
      <c r="V1131" s="3" t="s">
        <v>321</v>
      </c>
      <c r="W1131" s="3" t="s">
        <v>65</v>
      </c>
      <c r="AM1131" s="5"/>
      <c r="AN1131" s="5"/>
      <c r="AQ1131" s="6"/>
    </row>
    <row r="1132" spans="2:43" x14ac:dyDescent="0.25">
      <c r="B1132" t="s">
        <v>2858</v>
      </c>
      <c r="C1132">
        <v>74747</v>
      </c>
      <c r="D1132" t="s">
        <v>372</v>
      </c>
      <c r="E1132" t="s">
        <v>94</v>
      </c>
      <c r="F1132" t="s">
        <v>305</v>
      </c>
      <c r="G1132" t="s">
        <v>304</v>
      </c>
      <c r="H1132" t="s">
        <v>30</v>
      </c>
      <c r="I1132" t="s">
        <v>31</v>
      </c>
      <c r="J1132" t="s">
        <v>32</v>
      </c>
      <c r="K1132" t="s">
        <v>44</v>
      </c>
      <c r="L1132" t="s">
        <v>73</v>
      </c>
      <c r="M1132" t="s">
        <v>263</v>
      </c>
      <c r="N1132" t="s">
        <v>46</v>
      </c>
      <c r="P1132" t="s">
        <v>61</v>
      </c>
      <c r="R1132" s="5">
        <v>42373.85738425926</v>
      </c>
      <c r="S1132" s="5">
        <v>42871.689120370371</v>
      </c>
      <c r="T1132" t="s">
        <v>1</v>
      </c>
      <c r="U1132" t="s">
        <v>35</v>
      </c>
      <c r="V1132" s="3" t="s">
        <v>321</v>
      </c>
      <c r="W1132" s="3" t="s">
        <v>4098</v>
      </c>
      <c r="AM1132" s="5"/>
      <c r="AN1132" s="5"/>
      <c r="AQ1132" s="6"/>
    </row>
    <row r="1133" spans="2:43" x14ac:dyDescent="0.25">
      <c r="B1133" t="s">
        <v>2856</v>
      </c>
      <c r="C1133">
        <v>74685</v>
      </c>
      <c r="D1133" t="s">
        <v>2857</v>
      </c>
      <c r="E1133" t="s">
        <v>387</v>
      </c>
      <c r="F1133" t="s">
        <v>305</v>
      </c>
      <c r="G1133" t="s">
        <v>310</v>
      </c>
      <c r="H1133" t="s">
        <v>30</v>
      </c>
      <c r="I1133" t="s">
        <v>31</v>
      </c>
      <c r="J1133" t="s">
        <v>32</v>
      </c>
      <c r="K1133" t="s">
        <v>33</v>
      </c>
      <c r="L1133" t="s">
        <v>96</v>
      </c>
      <c r="M1133" t="s">
        <v>275</v>
      </c>
      <c r="N1133" t="s">
        <v>46</v>
      </c>
      <c r="P1133" t="s">
        <v>2166</v>
      </c>
      <c r="R1133" s="5">
        <v>42369.157650462963</v>
      </c>
      <c r="S1133" s="5">
        <v>42563.858912037038</v>
      </c>
      <c r="T1133" t="s">
        <v>2509</v>
      </c>
      <c r="U1133" t="s">
        <v>35</v>
      </c>
      <c r="V1133" s="3" t="s">
        <v>321</v>
      </c>
      <c r="W1133" s="3" t="s">
        <v>133</v>
      </c>
      <c r="AM1133" s="5"/>
      <c r="AN1133" s="5"/>
      <c r="AQ1133" s="6"/>
    </row>
    <row r="1134" spans="2:43" x14ac:dyDescent="0.25">
      <c r="B1134" t="s">
        <v>2848</v>
      </c>
      <c r="C1134">
        <v>74670</v>
      </c>
      <c r="D1134" t="s">
        <v>2855</v>
      </c>
      <c r="E1134" t="s">
        <v>82</v>
      </c>
      <c r="F1134" t="s">
        <v>305</v>
      </c>
      <c r="G1134" t="s">
        <v>328</v>
      </c>
      <c r="H1134" t="s">
        <v>54</v>
      </c>
      <c r="I1134" t="s">
        <v>31</v>
      </c>
      <c r="J1134" t="s">
        <v>43</v>
      </c>
      <c r="K1134" t="s">
        <v>44</v>
      </c>
      <c r="L1134" t="s">
        <v>73</v>
      </c>
      <c r="M1134" t="s">
        <v>263</v>
      </c>
      <c r="N1134" t="s">
        <v>46</v>
      </c>
      <c r="P1134" t="s">
        <v>2552</v>
      </c>
      <c r="Q1134" t="s">
        <v>2854</v>
      </c>
      <c r="R1134" s="5">
        <v>42367.545960648145</v>
      </c>
      <c r="S1134" s="5">
        <v>42786.455312500002</v>
      </c>
      <c r="T1134" t="s">
        <v>82</v>
      </c>
      <c r="U1134" t="s">
        <v>35</v>
      </c>
      <c r="V1134" s="3" t="s">
        <v>35</v>
      </c>
      <c r="W1134" s="3" t="s">
        <v>3028</v>
      </c>
      <c r="AM1134" s="5"/>
      <c r="AN1134" s="5"/>
      <c r="AQ1134" s="6"/>
    </row>
    <row r="1135" spans="2:43" x14ac:dyDescent="0.25">
      <c r="B1135" t="s">
        <v>2848</v>
      </c>
      <c r="C1135">
        <v>74669</v>
      </c>
      <c r="D1135" t="s">
        <v>2853</v>
      </c>
      <c r="E1135" t="s">
        <v>82</v>
      </c>
      <c r="F1135" t="s">
        <v>305</v>
      </c>
      <c r="G1135" t="s">
        <v>337</v>
      </c>
      <c r="H1135" t="s">
        <v>54</v>
      </c>
      <c r="I1135" t="s">
        <v>31</v>
      </c>
      <c r="J1135" t="s">
        <v>43</v>
      </c>
      <c r="K1135" t="s">
        <v>44</v>
      </c>
      <c r="L1135" t="s">
        <v>73</v>
      </c>
      <c r="M1135" t="s">
        <v>263</v>
      </c>
      <c r="N1135" t="s">
        <v>46</v>
      </c>
      <c r="P1135" t="s">
        <v>2552</v>
      </c>
      <c r="Q1135" t="s">
        <v>2854</v>
      </c>
      <c r="R1135" s="5">
        <v>42367.54483796296</v>
      </c>
      <c r="S1135" s="5">
        <v>42678.648622685185</v>
      </c>
      <c r="T1135" t="s">
        <v>82</v>
      </c>
      <c r="U1135" t="s">
        <v>35</v>
      </c>
      <c r="V1135" s="3" t="s">
        <v>35</v>
      </c>
      <c r="W1135" s="3" t="s">
        <v>3039</v>
      </c>
      <c r="AM1135" s="5"/>
      <c r="AN1135" s="5"/>
      <c r="AQ1135" s="6"/>
    </row>
    <row r="1136" spans="2:43" x14ac:dyDescent="0.25">
      <c r="B1136" t="s">
        <v>2848</v>
      </c>
      <c r="C1136">
        <v>74630</v>
      </c>
      <c r="D1136" t="s">
        <v>2852</v>
      </c>
      <c r="E1136" t="s">
        <v>82</v>
      </c>
      <c r="F1136" t="s">
        <v>305</v>
      </c>
      <c r="G1136" t="s">
        <v>304</v>
      </c>
      <c r="H1136" t="s">
        <v>54</v>
      </c>
      <c r="I1136" t="s">
        <v>68</v>
      </c>
      <c r="J1136" t="s">
        <v>43</v>
      </c>
      <c r="K1136" t="s">
        <v>33</v>
      </c>
      <c r="L1136" t="s">
        <v>73</v>
      </c>
      <c r="M1136" t="s">
        <v>263</v>
      </c>
      <c r="N1136" t="s">
        <v>46</v>
      </c>
      <c r="P1136" t="s">
        <v>2552</v>
      </c>
      <c r="Q1136" t="s">
        <v>2552</v>
      </c>
      <c r="R1136" s="5">
        <v>42362.814398148148</v>
      </c>
      <c r="S1136" s="5">
        <v>42648.772222222222</v>
      </c>
      <c r="T1136" t="s">
        <v>317</v>
      </c>
      <c r="U1136" t="s">
        <v>3958</v>
      </c>
      <c r="V1136" s="3" t="s">
        <v>35</v>
      </c>
      <c r="W1136" s="3" t="s">
        <v>133</v>
      </c>
      <c r="AM1136" s="5"/>
      <c r="AN1136" s="5"/>
      <c r="AQ1136" s="6"/>
    </row>
    <row r="1137" spans="2:43" x14ac:dyDescent="0.25">
      <c r="B1137" t="s">
        <v>2848</v>
      </c>
      <c r="C1137">
        <v>74629</v>
      </c>
      <c r="D1137" t="s">
        <v>2851</v>
      </c>
      <c r="E1137" t="s">
        <v>82</v>
      </c>
      <c r="F1137" t="s">
        <v>305</v>
      </c>
      <c r="G1137" t="s">
        <v>337</v>
      </c>
      <c r="H1137" t="s">
        <v>54</v>
      </c>
      <c r="I1137" t="s">
        <v>68</v>
      </c>
      <c r="J1137" t="s">
        <v>43</v>
      </c>
      <c r="K1137" t="s">
        <v>33</v>
      </c>
      <c r="L1137" t="s">
        <v>73</v>
      </c>
      <c r="M1137" t="s">
        <v>263</v>
      </c>
      <c r="N1137" t="s">
        <v>60</v>
      </c>
      <c r="P1137" t="s">
        <v>2552</v>
      </c>
      <c r="R1137" s="5">
        <v>42362.814282407409</v>
      </c>
      <c r="S1137" s="5">
        <v>42403.139409722222</v>
      </c>
      <c r="T1137" t="s">
        <v>317</v>
      </c>
      <c r="U1137" t="s">
        <v>35</v>
      </c>
      <c r="V1137" s="3" t="s">
        <v>35</v>
      </c>
      <c r="W1137" s="3" t="s">
        <v>65</v>
      </c>
      <c r="AM1137" s="5"/>
      <c r="AN1137" s="5"/>
      <c r="AQ1137" s="6"/>
    </row>
    <row r="1138" spans="2:43" x14ac:dyDescent="0.25">
      <c r="B1138" t="s">
        <v>2848</v>
      </c>
      <c r="C1138">
        <v>74611</v>
      </c>
      <c r="D1138" t="s">
        <v>2849</v>
      </c>
      <c r="E1138" t="s">
        <v>82</v>
      </c>
      <c r="F1138" t="s">
        <v>305</v>
      </c>
      <c r="G1138" t="s">
        <v>304</v>
      </c>
      <c r="H1138" t="s">
        <v>54</v>
      </c>
      <c r="I1138" t="s">
        <v>31</v>
      </c>
      <c r="J1138" t="s">
        <v>43</v>
      </c>
      <c r="K1138" t="s">
        <v>44</v>
      </c>
      <c r="L1138" t="s">
        <v>73</v>
      </c>
      <c r="M1138" t="s">
        <v>263</v>
      </c>
      <c r="N1138" t="s">
        <v>46</v>
      </c>
      <c r="P1138" t="s">
        <v>2552</v>
      </c>
      <c r="Q1138" t="s">
        <v>2552</v>
      </c>
      <c r="R1138" s="5">
        <v>42362.319733796299</v>
      </c>
      <c r="S1138" s="5">
        <v>42871.700092592589</v>
      </c>
      <c r="T1138" t="s">
        <v>2850</v>
      </c>
      <c r="U1138" t="s">
        <v>35</v>
      </c>
      <c r="V1138" s="3" t="s">
        <v>35</v>
      </c>
      <c r="W1138" s="3" t="s">
        <v>4098</v>
      </c>
      <c r="AM1138" s="5"/>
      <c r="AN1138" s="5"/>
      <c r="AQ1138" s="6"/>
    </row>
    <row r="1139" spans="2:43" x14ac:dyDescent="0.25">
      <c r="B1139" t="s">
        <v>2847</v>
      </c>
      <c r="C1139">
        <v>74511</v>
      </c>
      <c r="D1139" t="s">
        <v>375</v>
      </c>
      <c r="E1139" t="s">
        <v>376</v>
      </c>
      <c r="F1139" t="s">
        <v>305</v>
      </c>
      <c r="G1139" t="s">
        <v>304</v>
      </c>
      <c r="H1139" t="s">
        <v>30</v>
      </c>
      <c r="I1139" t="s">
        <v>31</v>
      </c>
      <c r="J1139" t="s">
        <v>43</v>
      </c>
      <c r="K1139" t="s">
        <v>51</v>
      </c>
      <c r="L1139" t="s">
        <v>34</v>
      </c>
      <c r="M1139" t="s">
        <v>373</v>
      </c>
      <c r="N1139" t="s">
        <v>46</v>
      </c>
      <c r="P1139" t="s">
        <v>374</v>
      </c>
      <c r="Q1139" t="s">
        <v>2416</v>
      </c>
      <c r="R1139" s="5">
        <v>42359.912187499998</v>
      </c>
      <c r="S1139" s="5">
        <v>43229.412951388891</v>
      </c>
      <c r="T1139" t="s">
        <v>1</v>
      </c>
      <c r="U1139" t="s">
        <v>35</v>
      </c>
      <c r="V1139" s="3" t="s">
        <v>35</v>
      </c>
      <c r="W1139" s="3" t="s">
        <v>4098</v>
      </c>
      <c r="AM1139" s="5"/>
      <c r="AN1139" s="5"/>
      <c r="AQ1139" s="6"/>
    </row>
    <row r="1140" spans="2:43" x14ac:dyDescent="0.25">
      <c r="B1140" t="s">
        <v>2845</v>
      </c>
      <c r="C1140">
        <v>74118</v>
      </c>
      <c r="D1140" t="s">
        <v>2846</v>
      </c>
      <c r="E1140" t="s">
        <v>2675</v>
      </c>
      <c r="F1140" t="s">
        <v>305</v>
      </c>
      <c r="G1140" t="s">
        <v>337</v>
      </c>
      <c r="H1140" t="s">
        <v>30</v>
      </c>
      <c r="I1140" t="s">
        <v>68</v>
      </c>
      <c r="J1140" t="s">
        <v>58</v>
      </c>
      <c r="K1140" t="s">
        <v>51</v>
      </c>
      <c r="L1140" t="s">
        <v>303</v>
      </c>
      <c r="M1140" t="s">
        <v>302</v>
      </c>
      <c r="N1140" t="s">
        <v>46</v>
      </c>
      <c r="P1140" t="s">
        <v>61</v>
      </c>
      <c r="Q1140" t="s">
        <v>528</v>
      </c>
      <c r="R1140" s="5">
        <v>42353.28392361111</v>
      </c>
      <c r="S1140" s="5">
        <v>42991.126168981478</v>
      </c>
      <c r="T1140" t="s">
        <v>2675</v>
      </c>
      <c r="U1140" t="s">
        <v>3963</v>
      </c>
      <c r="V1140" s="3" t="s">
        <v>35</v>
      </c>
      <c r="W1140" s="3" t="s">
        <v>133</v>
      </c>
      <c r="AM1140" s="5"/>
      <c r="AN1140" s="5"/>
      <c r="AQ1140" s="6"/>
    </row>
    <row r="1141" spans="2:43" x14ac:dyDescent="0.25">
      <c r="B1141" t="s">
        <v>2843</v>
      </c>
      <c r="C1141">
        <v>74108</v>
      </c>
      <c r="D1141" t="s">
        <v>2844</v>
      </c>
      <c r="E1141" t="s">
        <v>2509</v>
      </c>
      <c r="F1141" t="s">
        <v>305</v>
      </c>
      <c r="G1141" t="s">
        <v>328</v>
      </c>
      <c r="H1141" t="s">
        <v>30</v>
      </c>
      <c r="I1141" t="s">
        <v>31</v>
      </c>
      <c r="J1141" t="s">
        <v>32</v>
      </c>
      <c r="K1141" t="s">
        <v>33</v>
      </c>
      <c r="L1141" t="s">
        <v>73</v>
      </c>
      <c r="M1141" t="s">
        <v>263</v>
      </c>
      <c r="N1141" t="s">
        <v>46</v>
      </c>
      <c r="P1141" t="s">
        <v>491</v>
      </c>
      <c r="Q1141" t="s">
        <v>2735</v>
      </c>
      <c r="R1141" s="5">
        <v>42353.195034722223</v>
      </c>
      <c r="S1141" s="5">
        <v>42456.414236111108</v>
      </c>
      <c r="T1141" t="s">
        <v>2509</v>
      </c>
      <c r="U1141" t="s">
        <v>35</v>
      </c>
      <c r="V1141" s="3" t="s">
        <v>321</v>
      </c>
      <c r="W1141" s="3" t="s">
        <v>3233</v>
      </c>
      <c r="AM1141" s="5"/>
      <c r="AN1141" s="5"/>
      <c r="AQ1141" s="6"/>
    </row>
    <row r="1142" spans="2:43" x14ac:dyDescent="0.25">
      <c r="B1142" t="s">
        <v>3882</v>
      </c>
      <c r="C1142">
        <v>74059</v>
      </c>
      <c r="D1142" t="s">
        <v>3885</v>
      </c>
      <c r="E1142" t="s">
        <v>2212</v>
      </c>
      <c r="F1142" t="s">
        <v>305</v>
      </c>
      <c r="G1142" t="s">
        <v>304</v>
      </c>
      <c r="H1142" t="s">
        <v>30</v>
      </c>
      <c r="I1142" t="s">
        <v>31</v>
      </c>
      <c r="J1142" t="s">
        <v>43</v>
      </c>
      <c r="K1142" t="s">
        <v>44</v>
      </c>
      <c r="L1142" t="s">
        <v>34</v>
      </c>
      <c r="M1142" t="s">
        <v>3780</v>
      </c>
      <c r="N1142" t="s">
        <v>46</v>
      </c>
      <c r="P1142" t="s">
        <v>377</v>
      </c>
      <c r="R1142" s="5">
        <v>42349.956990740742</v>
      </c>
      <c r="S1142" s="5">
        <v>42947.637442129628</v>
      </c>
      <c r="T1142" t="s">
        <v>53</v>
      </c>
      <c r="U1142" t="s">
        <v>35</v>
      </c>
      <c r="V1142" s="3" t="s">
        <v>35</v>
      </c>
      <c r="W1142" s="3" t="s">
        <v>69</v>
      </c>
      <c r="AM1142" s="5"/>
      <c r="AN1142" s="5"/>
      <c r="AQ1142" s="6"/>
    </row>
    <row r="1143" spans="2:43" x14ac:dyDescent="0.25">
      <c r="B1143" t="s">
        <v>3882</v>
      </c>
      <c r="C1143">
        <v>74058</v>
      </c>
      <c r="D1143" t="s">
        <v>3884</v>
      </c>
      <c r="E1143" t="s">
        <v>2212</v>
      </c>
      <c r="F1143" t="s">
        <v>305</v>
      </c>
      <c r="G1143" t="s">
        <v>304</v>
      </c>
      <c r="H1143" t="s">
        <v>30</v>
      </c>
      <c r="I1143" t="s">
        <v>31</v>
      </c>
      <c r="J1143" t="s">
        <v>43</v>
      </c>
      <c r="K1143" t="s">
        <v>44</v>
      </c>
      <c r="L1143" t="s">
        <v>34</v>
      </c>
      <c r="M1143" t="s">
        <v>3780</v>
      </c>
      <c r="N1143" t="s">
        <v>46</v>
      </c>
      <c r="P1143" t="s">
        <v>377</v>
      </c>
      <c r="R1143" s="5">
        <v>42349.95689814815</v>
      </c>
      <c r="S1143" s="5">
        <v>42478.7030787037</v>
      </c>
      <c r="T1143" t="s">
        <v>53</v>
      </c>
      <c r="U1143" t="s">
        <v>3962</v>
      </c>
      <c r="V1143" s="3" t="s">
        <v>35</v>
      </c>
      <c r="W1143" s="3" t="s">
        <v>133</v>
      </c>
      <c r="AM1143" s="5"/>
      <c r="AN1143" s="5"/>
      <c r="AQ1143" s="6"/>
    </row>
    <row r="1144" spans="2:43" x14ac:dyDescent="0.25">
      <c r="B1144" t="s">
        <v>3882</v>
      </c>
      <c r="C1144">
        <v>74057</v>
      </c>
      <c r="D1144" t="s">
        <v>3883</v>
      </c>
      <c r="E1144" t="s">
        <v>2212</v>
      </c>
      <c r="F1144" t="s">
        <v>305</v>
      </c>
      <c r="G1144" t="s">
        <v>304</v>
      </c>
      <c r="H1144" t="s">
        <v>30</v>
      </c>
      <c r="I1144" t="s">
        <v>31</v>
      </c>
      <c r="J1144" t="s">
        <v>43</v>
      </c>
      <c r="K1144" t="s">
        <v>44</v>
      </c>
      <c r="L1144" t="s">
        <v>34</v>
      </c>
      <c r="M1144" t="s">
        <v>3780</v>
      </c>
      <c r="N1144" t="s">
        <v>60</v>
      </c>
      <c r="P1144" t="s">
        <v>377</v>
      </c>
      <c r="R1144" s="5">
        <v>42349.956805555557</v>
      </c>
      <c r="S1144" s="5">
        <v>42478.692939814813</v>
      </c>
      <c r="T1144" t="s">
        <v>53</v>
      </c>
      <c r="U1144" t="s">
        <v>3961</v>
      </c>
      <c r="V1144" s="3" t="s">
        <v>35</v>
      </c>
      <c r="W1144" s="3" t="s">
        <v>118</v>
      </c>
      <c r="AM1144" s="5"/>
      <c r="AN1144" s="5"/>
      <c r="AQ1144" s="6"/>
    </row>
    <row r="1145" spans="2:43" x14ac:dyDescent="0.25">
      <c r="B1145" t="s">
        <v>3882</v>
      </c>
      <c r="C1145">
        <v>74055</v>
      </c>
      <c r="D1145" t="s">
        <v>378</v>
      </c>
      <c r="E1145" t="s">
        <v>371</v>
      </c>
      <c r="F1145" t="s">
        <v>305</v>
      </c>
      <c r="G1145" t="s">
        <v>304</v>
      </c>
      <c r="H1145" t="s">
        <v>30</v>
      </c>
      <c r="I1145" t="s">
        <v>31</v>
      </c>
      <c r="J1145" t="s">
        <v>43</v>
      </c>
      <c r="K1145" t="s">
        <v>51</v>
      </c>
      <c r="L1145" t="s">
        <v>34</v>
      </c>
      <c r="M1145" t="s">
        <v>368</v>
      </c>
      <c r="N1145" t="s">
        <v>331</v>
      </c>
      <c r="P1145" t="s">
        <v>377</v>
      </c>
      <c r="R1145" s="5">
        <v>42349.886608796296</v>
      </c>
      <c r="S1145" s="5">
        <v>43177.166377314818</v>
      </c>
      <c r="T1145" t="s">
        <v>1</v>
      </c>
      <c r="U1145" t="s">
        <v>35</v>
      </c>
      <c r="V1145" s="3" t="s">
        <v>35</v>
      </c>
      <c r="W1145" s="3" t="s">
        <v>4098</v>
      </c>
      <c r="AM1145" s="5"/>
      <c r="AN1145" s="5"/>
      <c r="AQ1145" s="6"/>
    </row>
    <row r="1146" spans="2:43" x14ac:dyDescent="0.25">
      <c r="B1146" t="s">
        <v>2841</v>
      </c>
      <c r="C1146">
        <v>74032</v>
      </c>
      <c r="D1146" t="s">
        <v>2842</v>
      </c>
      <c r="E1146" t="s">
        <v>387</v>
      </c>
      <c r="F1146" t="s">
        <v>305</v>
      </c>
      <c r="G1146" t="s">
        <v>328</v>
      </c>
      <c r="H1146" t="s">
        <v>30</v>
      </c>
      <c r="I1146" t="s">
        <v>31</v>
      </c>
      <c r="J1146" t="s">
        <v>32</v>
      </c>
      <c r="K1146" t="s">
        <v>33</v>
      </c>
      <c r="L1146" t="s">
        <v>73</v>
      </c>
      <c r="M1146" t="s">
        <v>263</v>
      </c>
      <c r="N1146" t="s">
        <v>46</v>
      </c>
      <c r="P1146" t="s">
        <v>491</v>
      </c>
      <c r="Q1146" t="s">
        <v>2735</v>
      </c>
      <c r="R1146" s="5">
        <v>42349.493009259262</v>
      </c>
      <c r="S1146" s="5">
        <v>42453.384756944448</v>
      </c>
      <c r="T1146" t="s">
        <v>2509</v>
      </c>
      <c r="U1146" t="s">
        <v>35</v>
      </c>
      <c r="V1146" s="3" t="s">
        <v>321</v>
      </c>
      <c r="W1146" s="3" t="s">
        <v>35</v>
      </c>
      <c r="AM1146" s="5"/>
      <c r="AN1146" s="5"/>
      <c r="AQ1146" s="6"/>
    </row>
    <row r="1147" spans="2:43" x14ac:dyDescent="0.25">
      <c r="B1147" t="s">
        <v>2837</v>
      </c>
      <c r="C1147">
        <v>73725</v>
      </c>
      <c r="D1147" t="s">
        <v>2840</v>
      </c>
      <c r="E1147" t="s">
        <v>139</v>
      </c>
      <c r="F1147" t="s">
        <v>305</v>
      </c>
      <c r="G1147" t="s">
        <v>310</v>
      </c>
      <c r="H1147" t="s">
        <v>30</v>
      </c>
      <c r="I1147" t="s">
        <v>31</v>
      </c>
      <c r="J1147" t="s">
        <v>43</v>
      </c>
      <c r="K1147" t="s">
        <v>44</v>
      </c>
      <c r="L1147" t="s">
        <v>73</v>
      </c>
      <c r="M1147" t="s">
        <v>263</v>
      </c>
      <c r="N1147" t="s">
        <v>46</v>
      </c>
      <c r="P1147" t="s">
        <v>61</v>
      </c>
      <c r="R1147" s="5">
        <v>42343.313622685186</v>
      </c>
      <c r="S1147" s="5">
        <v>42563.858969907407</v>
      </c>
      <c r="T1147" t="s">
        <v>317</v>
      </c>
      <c r="U1147" t="s">
        <v>35</v>
      </c>
      <c r="V1147" s="3" t="s">
        <v>35</v>
      </c>
      <c r="W1147" s="3" t="s">
        <v>133</v>
      </c>
      <c r="AM1147" s="5"/>
      <c r="AN1147" s="5"/>
      <c r="AQ1147" s="6"/>
    </row>
    <row r="1148" spans="2:43" x14ac:dyDescent="0.25">
      <c r="B1148" t="s">
        <v>2837</v>
      </c>
      <c r="C1148">
        <v>73724</v>
      </c>
      <c r="D1148" t="s">
        <v>2839</v>
      </c>
      <c r="E1148" t="s">
        <v>139</v>
      </c>
      <c r="F1148" t="s">
        <v>305</v>
      </c>
      <c r="G1148" t="s">
        <v>328</v>
      </c>
      <c r="H1148" t="s">
        <v>30</v>
      </c>
      <c r="I1148" t="s">
        <v>31</v>
      </c>
      <c r="J1148" t="s">
        <v>32</v>
      </c>
      <c r="K1148" t="s">
        <v>33</v>
      </c>
      <c r="L1148" t="s">
        <v>73</v>
      </c>
      <c r="M1148" t="s">
        <v>263</v>
      </c>
      <c r="N1148" t="s">
        <v>60</v>
      </c>
      <c r="P1148" t="s">
        <v>61</v>
      </c>
      <c r="R1148" s="5">
        <v>42343.313564814816</v>
      </c>
      <c r="S1148" s="5">
        <v>42716.917557870373</v>
      </c>
      <c r="T1148" t="s">
        <v>317</v>
      </c>
      <c r="U1148" t="s">
        <v>35</v>
      </c>
      <c r="V1148" s="3" t="s">
        <v>321</v>
      </c>
      <c r="W1148" s="3" t="s">
        <v>65</v>
      </c>
      <c r="AM1148" s="5"/>
      <c r="AN1148" s="5"/>
      <c r="AQ1148" s="6"/>
    </row>
    <row r="1149" spans="2:43" x14ac:dyDescent="0.25">
      <c r="B1149" t="s">
        <v>2837</v>
      </c>
      <c r="C1149">
        <v>73720</v>
      </c>
      <c r="D1149" t="s">
        <v>2838</v>
      </c>
      <c r="E1149" t="s">
        <v>435</v>
      </c>
      <c r="F1149" t="s">
        <v>305</v>
      </c>
      <c r="G1149" t="s">
        <v>328</v>
      </c>
      <c r="H1149" t="s">
        <v>30</v>
      </c>
      <c r="I1149" t="s">
        <v>31</v>
      </c>
      <c r="J1149" t="s">
        <v>32</v>
      </c>
      <c r="K1149" t="s">
        <v>33</v>
      </c>
      <c r="L1149" t="s">
        <v>73</v>
      </c>
      <c r="M1149" t="s">
        <v>273</v>
      </c>
      <c r="N1149" t="s">
        <v>46</v>
      </c>
      <c r="O1149" t="s">
        <v>325</v>
      </c>
      <c r="P1149" t="s">
        <v>61</v>
      </c>
      <c r="R1149" s="5">
        <v>42342.983715277776</v>
      </c>
      <c r="S1149" s="5">
        <v>42678.645428240743</v>
      </c>
      <c r="T1149" t="s">
        <v>1</v>
      </c>
      <c r="U1149" t="s">
        <v>35</v>
      </c>
      <c r="V1149" s="3" t="s">
        <v>321</v>
      </c>
      <c r="W1149" s="3" t="s">
        <v>4098</v>
      </c>
      <c r="AM1149" s="5"/>
      <c r="AN1149" s="5"/>
      <c r="AQ1149" s="6"/>
    </row>
    <row r="1150" spans="2:43" x14ac:dyDescent="0.25">
      <c r="B1150" t="s">
        <v>2834</v>
      </c>
      <c r="C1150">
        <v>73717</v>
      </c>
      <c r="D1150" t="s">
        <v>2835</v>
      </c>
      <c r="E1150" t="s">
        <v>2378</v>
      </c>
      <c r="F1150" t="s">
        <v>305</v>
      </c>
      <c r="G1150" t="s">
        <v>304</v>
      </c>
      <c r="H1150" t="s">
        <v>30</v>
      </c>
      <c r="I1150" t="s">
        <v>68</v>
      </c>
      <c r="J1150" t="s">
        <v>58</v>
      </c>
      <c r="K1150" t="s">
        <v>51</v>
      </c>
      <c r="L1150" t="s">
        <v>34</v>
      </c>
      <c r="M1150" t="s">
        <v>2036</v>
      </c>
      <c r="N1150" t="s">
        <v>46</v>
      </c>
      <c r="O1150" t="s">
        <v>2836</v>
      </c>
      <c r="P1150" t="s">
        <v>2679</v>
      </c>
      <c r="Q1150" t="s">
        <v>2416</v>
      </c>
      <c r="R1150" s="5">
        <v>42342.91946759259</v>
      </c>
      <c r="S1150" s="5">
        <v>42801.457430555558</v>
      </c>
      <c r="T1150" t="s">
        <v>2</v>
      </c>
      <c r="U1150" t="s">
        <v>35</v>
      </c>
      <c r="V1150" s="3" t="s">
        <v>35</v>
      </c>
      <c r="W1150" s="3" t="s">
        <v>4133</v>
      </c>
      <c r="AM1150" s="5"/>
      <c r="AN1150" s="5"/>
      <c r="AQ1150" s="6"/>
    </row>
    <row r="1151" spans="2:43" x14ac:dyDescent="0.25">
      <c r="B1151" t="s">
        <v>2833</v>
      </c>
      <c r="C1151">
        <v>73715</v>
      </c>
      <c r="D1151" t="s">
        <v>381</v>
      </c>
      <c r="E1151" t="s">
        <v>382</v>
      </c>
      <c r="F1151" t="s">
        <v>305</v>
      </c>
      <c r="G1151" t="s">
        <v>328</v>
      </c>
      <c r="H1151" t="s">
        <v>30</v>
      </c>
      <c r="I1151" t="s">
        <v>31</v>
      </c>
      <c r="J1151" t="s">
        <v>32</v>
      </c>
      <c r="K1151" t="s">
        <v>44</v>
      </c>
      <c r="L1151" t="s">
        <v>380</v>
      </c>
      <c r="M1151" t="s">
        <v>379</v>
      </c>
      <c r="N1151" t="s">
        <v>60</v>
      </c>
      <c r="O1151" t="s">
        <v>325</v>
      </c>
      <c r="P1151" t="s">
        <v>61</v>
      </c>
      <c r="R1151" s="5">
        <v>42342.909201388888</v>
      </c>
      <c r="S1151" s="5">
        <v>42678.645787037036</v>
      </c>
      <c r="T1151" t="s">
        <v>1</v>
      </c>
      <c r="U1151" t="s">
        <v>35</v>
      </c>
      <c r="V1151" s="3" t="s">
        <v>321</v>
      </c>
      <c r="W1151" s="3" t="s">
        <v>4098</v>
      </c>
      <c r="AM1151" s="5"/>
      <c r="AN1151" s="5"/>
      <c r="AQ1151" s="6"/>
    </row>
    <row r="1152" spans="2:43" x14ac:dyDescent="0.25">
      <c r="B1152" t="s">
        <v>2804</v>
      </c>
      <c r="C1152">
        <v>73612</v>
      </c>
      <c r="D1152" t="s">
        <v>2832</v>
      </c>
      <c r="E1152" t="s">
        <v>387</v>
      </c>
      <c r="F1152" t="s">
        <v>305</v>
      </c>
      <c r="G1152" t="s">
        <v>337</v>
      </c>
      <c r="H1152" t="s">
        <v>30</v>
      </c>
      <c r="I1152" t="s">
        <v>31</v>
      </c>
      <c r="J1152" t="s">
        <v>32</v>
      </c>
      <c r="K1152" t="s">
        <v>44</v>
      </c>
      <c r="L1152" t="s">
        <v>73</v>
      </c>
      <c r="M1152" t="s">
        <v>263</v>
      </c>
      <c r="N1152" t="s">
        <v>60</v>
      </c>
      <c r="P1152" t="s">
        <v>65</v>
      </c>
      <c r="Q1152" t="s">
        <v>2805</v>
      </c>
      <c r="R1152" s="5">
        <v>42341.467118055552</v>
      </c>
      <c r="S1152" s="5">
        <v>42678.64371527778</v>
      </c>
      <c r="T1152" t="s">
        <v>72</v>
      </c>
      <c r="U1152" t="s">
        <v>35</v>
      </c>
      <c r="V1152" s="3" t="s">
        <v>321</v>
      </c>
      <c r="W1152" s="3" t="s">
        <v>4153</v>
      </c>
      <c r="AM1152" s="5"/>
      <c r="AN1152" s="5"/>
      <c r="AQ1152" s="6"/>
    </row>
    <row r="1153" spans="2:43" x14ac:dyDescent="0.25">
      <c r="B1153" t="s">
        <v>2829</v>
      </c>
      <c r="C1153">
        <v>73600</v>
      </c>
      <c r="D1153" t="s">
        <v>2831</v>
      </c>
      <c r="E1153" t="s">
        <v>139</v>
      </c>
      <c r="F1153" t="s">
        <v>305</v>
      </c>
      <c r="G1153" t="s">
        <v>304</v>
      </c>
      <c r="H1153" t="s">
        <v>30</v>
      </c>
      <c r="I1153" t="s">
        <v>31</v>
      </c>
      <c r="J1153" t="s">
        <v>43</v>
      </c>
      <c r="K1153" t="s">
        <v>44</v>
      </c>
      <c r="L1153" t="s">
        <v>73</v>
      </c>
      <c r="M1153" t="s">
        <v>263</v>
      </c>
      <c r="N1153" t="s">
        <v>518</v>
      </c>
      <c r="P1153" t="s">
        <v>61</v>
      </c>
      <c r="R1153" s="5">
        <v>42341.313668981478</v>
      </c>
      <c r="S1153" s="5">
        <v>42648.772060185183</v>
      </c>
      <c r="T1153" t="s">
        <v>317</v>
      </c>
      <c r="U1153" t="s">
        <v>35</v>
      </c>
      <c r="V1153" s="3" t="s">
        <v>35</v>
      </c>
      <c r="W1153" s="3" t="s">
        <v>133</v>
      </c>
      <c r="AM1153" s="5"/>
      <c r="AN1153" s="5"/>
      <c r="AQ1153" s="6"/>
    </row>
    <row r="1154" spans="2:43" x14ac:dyDescent="0.25">
      <c r="B1154" t="s">
        <v>2829</v>
      </c>
      <c r="C1154">
        <v>73599</v>
      </c>
      <c r="D1154" t="s">
        <v>2830</v>
      </c>
      <c r="E1154" t="s">
        <v>139</v>
      </c>
      <c r="F1154" t="s">
        <v>305</v>
      </c>
      <c r="G1154" t="s">
        <v>337</v>
      </c>
      <c r="H1154" t="s">
        <v>30</v>
      </c>
      <c r="I1154" t="s">
        <v>31</v>
      </c>
      <c r="J1154" t="s">
        <v>43</v>
      </c>
      <c r="K1154" t="s">
        <v>44</v>
      </c>
      <c r="L1154" t="s">
        <v>73</v>
      </c>
      <c r="M1154" t="s">
        <v>263</v>
      </c>
      <c r="N1154" t="s">
        <v>60</v>
      </c>
      <c r="P1154" t="s">
        <v>61</v>
      </c>
      <c r="Q1154" t="s">
        <v>394</v>
      </c>
      <c r="R1154" s="5">
        <v>42341.313576388886</v>
      </c>
      <c r="S1154" s="5">
        <v>42678.646354166667</v>
      </c>
      <c r="T1154" t="s">
        <v>317</v>
      </c>
      <c r="U1154" t="s">
        <v>35</v>
      </c>
      <c r="V1154" s="3" t="s">
        <v>35</v>
      </c>
      <c r="W1154" s="3" t="s">
        <v>65</v>
      </c>
      <c r="AM1154" s="5"/>
      <c r="AN1154" s="5"/>
      <c r="AQ1154" s="6"/>
    </row>
    <row r="1155" spans="2:43" x14ac:dyDescent="0.25">
      <c r="B1155" t="s">
        <v>2829</v>
      </c>
      <c r="C1155">
        <v>73572</v>
      </c>
      <c r="D1155" t="s">
        <v>385</v>
      </c>
      <c r="E1155" t="s">
        <v>139</v>
      </c>
      <c r="F1155" t="s">
        <v>305</v>
      </c>
      <c r="G1155" t="s">
        <v>304</v>
      </c>
      <c r="H1155" t="s">
        <v>30</v>
      </c>
      <c r="I1155" t="s">
        <v>31</v>
      </c>
      <c r="J1155" t="s">
        <v>43</v>
      </c>
      <c r="K1155" t="s">
        <v>44</v>
      </c>
      <c r="L1155" t="s">
        <v>73</v>
      </c>
      <c r="M1155" t="s">
        <v>263</v>
      </c>
      <c r="N1155" t="s">
        <v>384</v>
      </c>
      <c r="P1155" t="s">
        <v>61</v>
      </c>
      <c r="Q1155" t="s">
        <v>394</v>
      </c>
      <c r="R1155" s="5">
        <v>42340.826655092591</v>
      </c>
      <c r="S1155" s="5">
        <v>42871.689189814817</v>
      </c>
      <c r="T1155" t="s">
        <v>1</v>
      </c>
      <c r="U1155" t="s">
        <v>35</v>
      </c>
      <c r="V1155" s="3" t="s">
        <v>35</v>
      </c>
      <c r="W1155" s="3" t="s">
        <v>4098</v>
      </c>
      <c r="AM1155" s="5"/>
      <c r="AN1155" s="5"/>
      <c r="AQ1155" s="6"/>
    </row>
    <row r="1156" spans="2:43" x14ac:dyDescent="0.25">
      <c r="B1156" t="s">
        <v>289</v>
      </c>
      <c r="C1156">
        <v>73287</v>
      </c>
      <c r="D1156" t="s">
        <v>290</v>
      </c>
      <c r="E1156" t="s">
        <v>291</v>
      </c>
      <c r="F1156" t="s">
        <v>29</v>
      </c>
      <c r="H1156" t="s">
        <v>30</v>
      </c>
      <c r="I1156" t="s">
        <v>31</v>
      </c>
      <c r="J1156" t="s">
        <v>32</v>
      </c>
      <c r="K1156" t="s">
        <v>33</v>
      </c>
      <c r="L1156" t="s">
        <v>96</v>
      </c>
      <c r="M1156" t="s">
        <v>292</v>
      </c>
      <c r="N1156" t="s">
        <v>46</v>
      </c>
      <c r="P1156" t="s">
        <v>65</v>
      </c>
      <c r="R1156" s="5">
        <v>42333.685243055559</v>
      </c>
      <c r="S1156" s="5">
        <v>43053.988854166666</v>
      </c>
      <c r="T1156" t="s">
        <v>293</v>
      </c>
      <c r="U1156" t="s">
        <v>35</v>
      </c>
      <c r="V1156" s="3" t="s">
        <v>35</v>
      </c>
      <c r="W1156" s="3" t="s">
        <v>4098</v>
      </c>
      <c r="AM1156" s="5"/>
      <c r="AN1156" s="5"/>
      <c r="AQ1156" s="6"/>
    </row>
    <row r="1157" spans="2:43" x14ac:dyDescent="0.25">
      <c r="B1157" t="s">
        <v>2727</v>
      </c>
      <c r="C1157">
        <v>72782</v>
      </c>
      <c r="D1157" t="s">
        <v>2827</v>
      </c>
      <c r="E1157" t="s">
        <v>2828</v>
      </c>
      <c r="F1157" t="s">
        <v>305</v>
      </c>
      <c r="G1157" t="s">
        <v>304</v>
      </c>
      <c r="H1157" t="s">
        <v>54</v>
      </c>
      <c r="I1157" t="s">
        <v>31</v>
      </c>
      <c r="J1157" t="s">
        <v>32</v>
      </c>
      <c r="K1157" t="s">
        <v>51</v>
      </c>
      <c r="L1157" t="s">
        <v>45</v>
      </c>
      <c r="M1157" t="s">
        <v>260</v>
      </c>
      <c r="N1157" t="s">
        <v>55</v>
      </c>
      <c r="O1157" t="s">
        <v>2538</v>
      </c>
      <c r="P1157" t="s">
        <v>428</v>
      </c>
      <c r="R1157" s="5">
        <v>42325.395289351851</v>
      </c>
      <c r="S1157" s="5">
        <v>43177.162997685184</v>
      </c>
      <c r="T1157" t="s">
        <v>2826</v>
      </c>
      <c r="U1157" t="s">
        <v>35</v>
      </c>
      <c r="V1157" s="3" t="s">
        <v>35</v>
      </c>
      <c r="W1157" s="3" t="s">
        <v>428</v>
      </c>
      <c r="AM1157" s="5"/>
      <c r="AN1157" s="5"/>
      <c r="AQ1157" s="6"/>
    </row>
    <row r="1158" spans="2:43" x14ac:dyDescent="0.25">
      <c r="B1158" t="s">
        <v>2727</v>
      </c>
      <c r="C1158">
        <v>72780</v>
      </c>
      <c r="D1158" t="s">
        <v>2825</v>
      </c>
      <c r="E1158" t="s">
        <v>2732</v>
      </c>
      <c r="F1158" t="s">
        <v>305</v>
      </c>
      <c r="G1158" t="s">
        <v>310</v>
      </c>
      <c r="H1158" t="s">
        <v>54</v>
      </c>
      <c r="I1158" t="s">
        <v>31</v>
      </c>
      <c r="J1158" t="s">
        <v>32</v>
      </c>
      <c r="K1158" t="s">
        <v>51</v>
      </c>
      <c r="L1158" t="s">
        <v>45</v>
      </c>
      <c r="M1158" t="s">
        <v>260</v>
      </c>
      <c r="N1158" t="s">
        <v>55</v>
      </c>
      <c r="P1158" t="s">
        <v>65</v>
      </c>
      <c r="R1158" s="5">
        <v>42325.3909375</v>
      </c>
      <c r="S1158" s="5">
        <v>42524.551817129628</v>
      </c>
      <c r="T1158" t="s">
        <v>2826</v>
      </c>
      <c r="U1158" t="s">
        <v>35</v>
      </c>
      <c r="V1158" s="3" t="s">
        <v>35</v>
      </c>
      <c r="W1158" s="3" t="s">
        <v>65</v>
      </c>
      <c r="AM1158" s="5"/>
      <c r="AN1158" s="5"/>
      <c r="AQ1158" s="6"/>
    </row>
    <row r="1159" spans="2:43" x14ac:dyDescent="0.25">
      <c r="B1159" t="s">
        <v>2815</v>
      </c>
      <c r="C1159">
        <v>72684</v>
      </c>
      <c r="D1159" t="s">
        <v>2824</v>
      </c>
      <c r="E1159" t="s">
        <v>82</v>
      </c>
      <c r="F1159" t="s">
        <v>305</v>
      </c>
      <c r="G1159" t="s">
        <v>328</v>
      </c>
      <c r="H1159" t="s">
        <v>30</v>
      </c>
      <c r="I1159" t="s">
        <v>68</v>
      </c>
      <c r="J1159" t="s">
        <v>43</v>
      </c>
      <c r="K1159" t="s">
        <v>33</v>
      </c>
      <c r="L1159" t="s">
        <v>73</v>
      </c>
      <c r="M1159" t="s">
        <v>263</v>
      </c>
      <c r="N1159" t="s">
        <v>46</v>
      </c>
      <c r="P1159" t="s">
        <v>1749</v>
      </c>
      <c r="R1159" s="5">
        <v>42322.313668981478</v>
      </c>
      <c r="S1159" s="5">
        <v>42402.233495370368</v>
      </c>
      <c r="T1159" t="s">
        <v>317</v>
      </c>
      <c r="U1159" t="s">
        <v>35</v>
      </c>
      <c r="V1159" s="3" t="s">
        <v>35</v>
      </c>
      <c r="W1159" s="3" t="s">
        <v>3233</v>
      </c>
      <c r="AM1159" s="5"/>
      <c r="AN1159" s="5"/>
      <c r="AQ1159" s="6"/>
    </row>
    <row r="1160" spans="2:43" x14ac:dyDescent="0.25">
      <c r="B1160" t="s">
        <v>2815</v>
      </c>
      <c r="C1160">
        <v>72683</v>
      </c>
      <c r="D1160" t="s">
        <v>2822</v>
      </c>
      <c r="E1160" t="s">
        <v>82</v>
      </c>
      <c r="F1160" t="s">
        <v>305</v>
      </c>
      <c r="G1160" t="s">
        <v>328</v>
      </c>
      <c r="H1160" t="s">
        <v>30</v>
      </c>
      <c r="I1160" t="s">
        <v>68</v>
      </c>
      <c r="J1160" t="s">
        <v>43</v>
      </c>
      <c r="K1160" t="s">
        <v>33</v>
      </c>
      <c r="L1160" t="s">
        <v>73</v>
      </c>
      <c r="M1160" t="s">
        <v>263</v>
      </c>
      <c r="N1160" t="s">
        <v>46</v>
      </c>
      <c r="O1160" t="s">
        <v>2823</v>
      </c>
      <c r="P1160" t="s">
        <v>1749</v>
      </c>
      <c r="R1160" s="5">
        <v>42322.313599537039</v>
      </c>
      <c r="S1160" s="5">
        <v>42678.643796296295</v>
      </c>
      <c r="T1160" t="s">
        <v>317</v>
      </c>
      <c r="U1160" t="s">
        <v>35</v>
      </c>
      <c r="V1160" s="3" t="s">
        <v>35</v>
      </c>
      <c r="W1160" s="3" t="s">
        <v>92</v>
      </c>
      <c r="AM1160" s="5"/>
      <c r="AN1160" s="5"/>
      <c r="AQ1160" s="6"/>
    </row>
    <row r="1161" spans="2:43" x14ac:dyDescent="0.25">
      <c r="B1161" t="s">
        <v>2815</v>
      </c>
      <c r="C1161">
        <v>72682</v>
      </c>
      <c r="D1161" t="s">
        <v>2821</v>
      </c>
      <c r="E1161" t="s">
        <v>82</v>
      </c>
      <c r="F1161" t="s">
        <v>305</v>
      </c>
      <c r="G1161" t="s">
        <v>328</v>
      </c>
      <c r="H1161" t="s">
        <v>30</v>
      </c>
      <c r="I1161" t="s">
        <v>68</v>
      </c>
      <c r="J1161" t="s">
        <v>43</v>
      </c>
      <c r="K1161" t="s">
        <v>33</v>
      </c>
      <c r="L1161" t="s">
        <v>73</v>
      </c>
      <c r="M1161" t="s">
        <v>263</v>
      </c>
      <c r="N1161" t="s">
        <v>46</v>
      </c>
      <c r="P1161" t="s">
        <v>1749</v>
      </c>
      <c r="R1161" s="5">
        <v>42322.313530092593</v>
      </c>
      <c r="S1161" s="5">
        <v>42678.643622685187</v>
      </c>
      <c r="T1161" t="s">
        <v>317</v>
      </c>
      <c r="U1161" t="s">
        <v>35</v>
      </c>
      <c r="V1161" s="3" t="s">
        <v>35</v>
      </c>
      <c r="W1161" s="3" t="s">
        <v>491</v>
      </c>
      <c r="AM1161" s="5"/>
      <c r="AN1161" s="5"/>
      <c r="AQ1161" s="6"/>
    </row>
    <row r="1162" spans="2:43" x14ac:dyDescent="0.25">
      <c r="B1162" t="s">
        <v>2815</v>
      </c>
      <c r="C1162">
        <v>72681</v>
      </c>
      <c r="D1162" t="s">
        <v>2820</v>
      </c>
      <c r="E1162" t="s">
        <v>82</v>
      </c>
      <c r="F1162" t="s">
        <v>305</v>
      </c>
      <c r="G1162" t="s">
        <v>328</v>
      </c>
      <c r="H1162" t="s">
        <v>30</v>
      </c>
      <c r="I1162" t="s">
        <v>68</v>
      </c>
      <c r="J1162" t="s">
        <v>43</v>
      </c>
      <c r="K1162" t="s">
        <v>33</v>
      </c>
      <c r="L1162" t="s">
        <v>73</v>
      </c>
      <c r="M1162" t="s">
        <v>263</v>
      </c>
      <c r="N1162" t="s">
        <v>46</v>
      </c>
      <c r="P1162" t="s">
        <v>1749</v>
      </c>
      <c r="R1162" s="5">
        <v>42322.313472222224</v>
      </c>
      <c r="S1162" s="5">
        <v>42678.643611111111</v>
      </c>
      <c r="T1162" t="s">
        <v>317</v>
      </c>
      <c r="U1162" t="s">
        <v>35</v>
      </c>
      <c r="V1162" s="3" t="s">
        <v>35</v>
      </c>
      <c r="W1162" s="3" t="s">
        <v>133</v>
      </c>
      <c r="AM1162" s="5"/>
      <c r="AN1162" s="5"/>
      <c r="AQ1162" s="6"/>
    </row>
    <row r="1163" spans="2:43" x14ac:dyDescent="0.25">
      <c r="B1163" t="s">
        <v>2815</v>
      </c>
      <c r="C1163">
        <v>72680</v>
      </c>
      <c r="D1163" t="s">
        <v>2819</v>
      </c>
      <c r="E1163" t="s">
        <v>82</v>
      </c>
      <c r="F1163" t="s">
        <v>305</v>
      </c>
      <c r="G1163" t="s">
        <v>337</v>
      </c>
      <c r="H1163" t="s">
        <v>426</v>
      </c>
      <c r="I1163" t="s">
        <v>68</v>
      </c>
      <c r="J1163" t="s">
        <v>43</v>
      </c>
      <c r="K1163" t="s">
        <v>33</v>
      </c>
      <c r="L1163" t="s">
        <v>73</v>
      </c>
      <c r="M1163" t="s">
        <v>263</v>
      </c>
      <c r="N1163" t="s">
        <v>46</v>
      </c>
      <c r="P1163" t="s">
        <v>1749</v>
      </c>
      <c r="R1163" s="5">
        <v>42322.313414351855</v>
      </c>
      <c r="S1163" s="5">
        <v>42678.64203703704</v>
      </c>
      <c r="T1163" t="s">
        <v>317</v>
      </c>
      <c r="U1163" t="s">
        <v>35</v>
      </c>
      <c r="V1163" s="3" t="s">
        <v>35</v>
      </c>
      <c r="W1163" s="3" t="s">
        <v>65</v>
      </c>
      <c r="AM1163" s="5"/>
      <c r="AN1163" s="5"/>
      <c r="AQ1163" s="6"/>
    </row>
    <row r="1164" spans="2:43" x14ac:dyDescent="0.25">
      <c r="B1164" t="s">
        <v>2815</v>
      </c>
      <c r="C1164">
        <v>72679</v>
      </c>
      <c r="D1164" t="s">
        <v>2818</v>
      </c>
      <c r="E1164" t="s">
        <v>82</v>
      </c>
      <c r="F1164" t="s">
        <v>305</v>
      </c>
      <c r="G1164" t="s">
        <v>328</v>
      </c>
      <c r="H1164" t="s">
        <v>30</v>
      </c>
      <c r="I1164" t="s">
        <v>68</v>
      </c>
      <c r="J1164" t="s">
        <v>43</v>
      </c>
      <c r="K1164" t="s">
        <v>33</v>
      </c>
      <c r="L1164" t="s">
        <v>73</v>
      </c>
      <c r="M1164" t="s">
        <v>263</v>
      </c>
      <c r="N1164" t="s">
        <v>46</v>
      </c>
      <c r="P1164" t="s">
        <v>1749</v>
      </c>
      <c r="R1164" s="5">
        <v>42322.313356481478</v>
      </c>
      <c r="S1164" s="5">
        <v>42678.643784722219</v>
      </c>
      <c r="T1164" t="s">
        <v>317</v>
      </c>
      <c r="U1164" t="s">
        <v>35</v>
      </c>
      <c r="V1164" s="3" t="s">
        <v>35</v>
      </c>
      <c r="W1164" s="3" t="s">
        <v>3028</v>
      </c>
      <c r="AM1164" s="5"/>
      <c r="AN1164" s="5"/>
      <c r="AQ1164" s="6"/>
    </row>
    <row r="1165" spans="2:43" x14ac:dyDescent="0.25">
      <c r="B1165" t="s">
        <v>2815</v>
      </c>
      <c r="C1165">
        <v>72678</v>
      </c>
      <c r="D1165" t="s">
        <v>2817</v>
      </c>
      <c r="E1165" t="s">
        <v>82</v>
      </c>
      <c r="F1165" t="s">
        <v>305</v>
      </c>
      <c r="G1165" t="s">
        <v>328</v>
      </c>
      <c r="H1165" t="s">
        <v>30</v>
      </c>
      <c r="I1165" t="s">
        <v>68</v>
      </c>
      <c r="J1165" t="s">
        <v>43</v>
      </c>
      <c r="K1165" t="s">
        <v>33</v>
      </c>
      <c r="L1165" t="s">
        <v>73</v>
      </c>
      <c r="M1165" t="s">
        <v>263</v>
      </c>
      <c r="N1165" t="s">
        <v>46</v>
      </c>
      <c r="P1165" t="s">
        <v>1749</v>
      </c>
      <c r="R1165" s="5">
        <v>42322.313020833331</v>
      </c>
      <c r="S1165" s="5">
        <v>42678.643738425926</v>
      </c>
      <c r="T1165" t="s">
        <v>317</v>
      </c>
      <c r="U1165" t="s">
        <v>35</v>
      </c>
      <c r="V1165" s="3" t="s">
        <v>35</v>
      </c>
      <c r="W1165" s="3" t="s">
        <v>3039</v>
      </c>
      <c r="AM1165" s="5"/>
      <c r="AN1165" s="5"/>
      <c r="AQ1165" s="6"/>
    </row>
    <row r="1166" spans="2:43" x14ac:dyDescent="0.25">
      <c r="B1166" t="s">
        <v>2815</v>
      </c>
      <c r="C1166">
        <v>72673</v>
      </c>
      <c r="D1166" t="s">
        <v>2816</v>
      </c>
      <c r="E1166" t="s">
        <v>82</v>
      </c>
      <c r="F1166" t="s">
        <v>305</v>
      </c>
      <c r="G1166" t="s">
        <v>328</v>
      </c>
      <c r="H1166" t="s">
        <v>30</v>
      </c>
      <c r="I1166" t="s">
        <v>68</v>
      </c>
      <c r="J1166" t="s">
        <v>43</v>
      </c>
      <c r="K1166" t="s">
        <v>33</v>
      </c>
      <c r="L1166" t="s">
        <v>73</v>
      </c>
      <c r="M1166" t="s">
        <v>263</v>
      </c>
      <c r="N1166" t="s">
        <v>46</v>
      </c>
      <c r="P1166" t="s">
        <v>1749</v>
      </c>
      <c r="R1166" s="5">
        <v>42321.821851851855</v>
      </c>
      <c r="S1166" s="5">
        <v>42678.643900462965</v>
      </c>
      <c r="T1166" t="s">
        <v>1</v>
      </c>
      <c r="U1166" t="s">
        <v>35</v>
      </c>
      <c r="V1166" s="3" t="s">
        <v>35</v>
      </c>
      <c r="W1166" s="3" t="s">
        <v>4098</v>
      </c>
      <c r="AM1166" s="5"/>
      <c r="AN1166" s="5"/>
      <c r="AQ1166" s="6"/>
    </row>
    <row r="1167" spans="2:43" x14ac:dyDescent="0.25">
      <c r="B1167" t="s">
        <v>2200</v>
      </c>
      <c r="C1167">
        <v>72634</v>
      </c>
      <c r="D1167" t="s">
        <v>2814</v>
      </c>
      <c r="E1167" t="s">
        <v>387</v>
      </c>
      <c r="F1167" t="s">
        <v>305</v>
      </c>
      <c r="G1167" t="s">
        <v>310</v>
      </c>
      <c r="H1167" t="s">
        <v>30</v>
      </c>
      <c r="I1167" t="s">
        <v>68</v>
      </c>
      <c r="J1167" t="s">
        <v>43</v>
      </c>
      <c r="K1167" t="s">
        <v>33</v>
      </c>
      <c r="L1167" t="s">
        <v>73</v>
      </c>
      <c r="M1167" t="s">
        <v>263</v>
      </c>
      <c r="N1167" t="s">
        <v>46</v>
      </c>
      <c r="P1167" t="s">
        <v>61</v>
      </c>
      <c r="R1167" s="5">
        <v>42321.313483796293</v>
      </c>
      <c r="S1167" s="5">
        <v>42326.645810185182</v>
      </c>
      <c r="T1167" t="s">
        <v>317</v>
      </c>
      <c r="U1167" t="s">
        <v>35</v>
      </c>
      <c r="V1167" s="3" t="s">
        <v>35</v>
      </c>
      <c r="W1167" s="3" t="s">
        <v>85</v>
      </c>
      <c r="AM1167" s="5"/>
      <c r="AN1167" s="5"/>
      <c r="AQ1167" s="6"/>
    </row>
    <row r="1168" spans="2:43" x14ac:dyDescent="0.25">
      <c r="B1168" t="s">
        <v>2200</v>
      </c>
      <c r="C1168">
        <v>72632</v>
      </c>
      <c r="D1168" t="s">
        <v>2813</v>
      </c>
      <c r="E1168" t="s">
        <v>387</v>
      </c>
      <c r="F1168" t="s">
        <v>305</v>
      </c>
      <c r="G1168" t="s">
        <v>310</v>
      </c>
      <c r="H1168" t="s">
        <v>30</v>
      </c>
      <c r="I1168" t="s">
        <v>68</v>
      </c>
      <c r="J1168" t="s">
        <v>43</v>
      </c>
      <c r="K1168" t="s">
        <v>33</v>
      </c>
      <c r="L1168" t="s">
        <v>73</v>
      </c>
      <c r="M1168" t="s">
        <v>263</v>
      </c>
      <c r="N1168" t="s">
        <v>46</v>
      </c>
      <c r="P1168" t="s">
        <v>61</v>
      </c>
      <c r="R1168" s="5">
        <v>42321.313298611109</v>
      </c>
      <c r="S1168" s="5">
        <v>42678.641805555555</v>
      </c>
      <c r="T1168" t="s">
        <v>317</v>
      </c>
      <c r="U1168" t="s">
        <v>35</v>
      </c>
      <c r="V1168" s="3" t="s">
        <v>35</v>
      </c>
      <c r="W1168" s="3" t="s">
        <v>491</v>
      </c>
      <c r="AM1168" s="5"/>
      <c r="AN1168" s="5"/>
      <c r="AQ1168" s="6"/>
    </row>
    <row r="1169" spans="2:43" x14ac:dyDescent="0.25">
      <c r="B1169" t="s">
        <v>2200</v>
      </c>
      <c r="C1169">
        <v>72631</v>
      </c>
      <c r="D1169" t="s">
        <v>2812</v>
      </c>
      <c r="E1169" t="s">
        <v>387</v>
      </c>
      <c r="F1169" t="s">
        <v>305</v>
      </c>
      <c r="G1169" t="s">
        <v>353</v>
      </c>
      <c r="H1169" t="s">
        <v>30</v>
      </c>
      <c r="I1169" t="s">
        <v>68</v>
      </c>
      <c r="J1169" t="s">
        <v>43</v>
      </c>
      <c r="K1169" t="s">
        <v>33</v>
      </c>
      <c r="L1169" t="s">
        <v>73</v>
      </c>
      <c r="M1169" t="s">
        <v>263</v>
      </c>
      <c r="N1169" t="s">
        <v>46</v>
      </c>
      <c r="P1169" t="s">
        <v>61</v>
      </c>
      <c r="R1169" s="5">
        <v>42321.313217592593</v>
      </c>
      <c r="S1169" s="5">
        <v>42678.641689814816</v>
      </c>
      <c r="T1169" t="s">
        <v>317</v>
      </c>
      <c r="U1169" t="s">
        <v>35</v>
      </c>
      <c r="V1169" s="3" t="s">
        <v>35</v>
      </c>
      <c r="W1169" s="3" t="s">
        <v>133</v>
      </c>
      <c r="AM1169" s="5"/>
      <c r="AN1169" s="5"/>
      <c r="AQ1169" s="6"/>
    </row>
    <row r="1170" spans="2:43" x14ac:dyDescent="0.25">
      <c r="B1170" t="s">
        <v>2200</v>
      </c>
      <c r="C1170">
        <v>72630</v>
      </c>
      <c r="D1170" t="s">
        <v>2811</v>
      </c>
      <c r="E1170" t="s">
        <v>387</v>
      </c>
      <c r="F1170" t="s">
        <v>305</v>
      </c>
      <c r="G1170" t="s">
        <v>353</v>
      </c>
      <c r="H1170" t="s">
        <v>30</v>
      </c>
      <c r="I1170" t="s">
        <v>68</v>
      </c>
      <c r="J1170" t="s">
        <v>43</v>
      </c>
      <c r="K1170" t="s">
        <v>33</v>
      </c>
      <c r="L1170" t="s">
        <v>73</v>
      </c>
      <c r="M1170" t="s">
        <v>263</v>
      </c>
      <c r="N1170" t="s">
        <v>46</v>
      </c>
      <c r="P1170" t="s">
        <v>61</v>
      </c>
      <c r="R1170" s="5">
        <v>42321.313101851854</v>
      </c>
      <c r="S1170" s="5">
        <v>42678.641979166663</v>
      </c>
      <c r="T1170" t="s">
        <v>317</v>
      </c>
      <c r="U1170" t="s">
        <v>35</v>
      </c>
      <c r="V1170" s="3" t="s">
        <v>35</v>
      </c>
      <c r="W1170" s="3" t="s">
        <v>65</v>
      </c>
      <c r="AM1170" s="5"/>
      <c r="AN1170" s="5"/>
      <c r="AQ1170" s="6"/>
    </row>
    <row r="1171" spans="2:43" x14ac:dyDescent="0.25">
      <c r="B1171" t="s">
        <v>2200</v>
      </c>
      <c r="C1171">
        <v>72629</v>
      </c>
      <c r="D1171" t="s">
        <v>2810</v>
      </c>
      <c r="E1171" t="s">
        <v>387</v>
      </c>
      <c r="F1171" t="s">
        <v>305</v>
      </c>
      <c r="G1171" t="s">
        <v>310</v>
      </c>
      <c r="H1171" t="s">
        <v>30</v>
      </c>
      <c r="I1171" t="s">
        <v>68</v>
      </c>
      <c r="J1171" t="s">
        <v>43</v>
      </c>
      <c r="K1171" t="s">
        <v>33</v>
      </c>
      <c r="L1171" t="s">
        <v>73</v>
      </c>
      <c r="M1171" t="s">
        <v>263</v>
      </c>
      <c r="N1171" t="s">
        <v>46</v>
      </c>
      <c r="P1171" t="s">
        <v>61</v>
      </c>
      <c r="R1171" s="5">
        <v>42321.313020833331</v>
      </c>
      <c r="S1171" s="5">
        <v>42678.641597222224</v>
      </c>
      <c r="T1171" t="s">
        <v>317</v>
      </c>
      <c r="U1171" t="s">
        <v>35</v>
      </c>
      <c r="V1171" s="3" t="s">
        <v>35</v>
      </c>
      <c r="W1171" s="3" t="s">
        <v>3028</v>
      </c>
      <c r="AM1171" s="5"/>
      <c r="AN1171" s="5"/>
      <c r="AQ1171" s="6"/>
    </row>
    <row r="1172" spans="2:43" x14ac:dyDescent="0.25">
      <c r="B1172" t="s">
        <v>2200</v>
      </c>
      <c r="C1172">
        <v>72628</v>
      </c>
      <c r="D1172" t="s">
        <v>2809</v>
      </c>
      <c r="E1172" t="s">
        <v>387</v>
      </c>
      <c r="F1172" t="s">
        <v>305</v>
      </c>
      <c r="G1172" t="s">
        <v>310</v>
      </c>
      <c r="H1172" t="s">
        <v>30</v>
      </c>
      <c r="I1172" t="s">
        <v>68</v>
      </c>
      <c r="J1172" t="s">
        <v>43</v>
      </c>
      <c r="K1172" t="s">
        <v>33</v>
      </c>
      <c r="L1172" t="s">
        <v>73</v>
      </c>
      <c r="M1172" t="s">
        <v>263</v>
      </c>
      <c r="N1172" t="s">
        <v>46</v>
      </c>
      <c r="P1172" t="s">
        <v>61</v>
      </c>
      <c r="R1172" s="5">
        <v>42321.312939814816</v>
      </c>
      <c r="S1172" s="5">
        <v>42678.641782407409</v>
      </c>
      <c r="T1172" t="s">
        <v>317</v>
      </c>
      <c r="U1172" t="s">
        <v>35</v>
      </c>
      <c r="V1172" s="3" t="s">
        <v>35</v>
      </c>
      <c r="W1172" s="3" t="s">
        <v>3039</v>
      </c>
      <c r="AM1172" s="5"/>
      <c r="AN1172" s="5"/>
      <c r="AQ1172" s="6"/>
    </row>
    <row r="1173" spans="2:43" x14ac:dyDescent="0.25">
      <c r="B1173" t="s">
        <v>2200</v>
      </c>
      <c r="C1173">
        <v>72606</v>
      </c>
      <c r="D1173" t="s">
        <v>2808</v>
      </c>
      <c r="E1173" t="s">
        <v>445</v>
      </c>
      <c r="F1173" t="s">
        <v>305</v>
      </c>
      <c r="G1173" t="s">
        <v>353</v>
      </c>
      <c r="H1173" t="s">
        <v>30</v>
      </c>
      <c r="I1173" t="s">
        <v>68</v>
      </c>
      <c r="J1173" t="s">
        <v>43</v>
      </c>
      <c r="K1173" t="s">
        <v>33</v>
      </c>
      <c r="L1173" t="s">
        <v>73</v>
      </c>
      <c r="M1173" t="s">
        <v>263</v>
      </c>
      <c r="N1173" t="s">
        <v>46</v>
      </c>
      <c r="P1173" t="s">
        <v>61</v>
      </c>
      <c r="R1173" s="5">
        <v>42320.942835648151</v>
      </c>
      <c r="S1173" s="5">
        <v>42345.909305555557</v>
      </c>
      <c r="T1173" t="s">
        <v>1</v>
      </c>
      <c r="U1173" t="s">
        <v>35</v>
      </c>
      <c r="V1173" s="3" t="s">
        <v>35</v>
      </c>
      <c r="W1173" s="3" t="s">
        <v>4098</v>
      </c>
      <c r="AM1173" s="5"/>
      <c r="AN1173" s="5"/>
      <c r="AQ1173" s="6"/>
    </row>
    <row r="1174" spans="2:43" x14ac:dyDescent="0.25">
      <c r="B1174" t="s">
        <v>2804</v>
      </c>
      <c r="C1174">
        <v>72554</v>
      </c>
      <c r="D1174" t="s">
        <v>2807</v>
      </c>
      <c r="E1174" t="s">
        <v>445</v>
      </c>
      <c r="F1174" t="s">
        <v>305</v>
      </c>
      <c r="G1174" t="s">
        <v>304</v>
      </c>
      <c r="H1174" t="s">
        <v>30</v>
      </c>
      <c r="I1174" t="s">
        <v>31</v>
      </c>
      <c r="J1174" t="s">
        <v>32</v>
      </c>
      <c r="K1174" t="s">
        <v>44</v>
      </c>
      <c r="L1174" t="s">
        <v>73</v>
      </c>
      <c r="M1174" t="s">
        <v>263</v>
      </c>
      <c r="N1174" t="s">
        <v>46</v>
      </c>
      <c r="P1174" t="s">
        <v>65</v>
      </c>
      <c r="Q1174" t="s">
        <v>2805</v>
      </c>
      <c r="R1174" s="5">
        <v>42320.313101851854</v>
      </c>
      <c r="S1174" s="5">
        <v>42648.762499999997</v>
      </c>
      <c r="T1174" t="s">
        <v>317</v>
      </c>
      <c r="U1174" t="s">
        <v>35</v>
      </c>
      <c r="V1174" s="3" t="s">
        <v>321</v>
      </c>
      <c r="W1174" s="3" t="s">
        <v>133</v>
      </c>
      <c r="AM1174" s="5"/>
      <c r="AN1174" s="5"/>
      <c r="AQ1174" s="6"/>
    </row>
    <row r="1175" spans="2:43" x14ac:dyDescent="0.25">
      <c r="B1175" t="s">
        <v>2804</v>
      </c>
      <c r="C1175">
        <v>72553</v>
      </c>
      <c r="D1175" t="s">
        <v>2806</v>
      </c>
      <c r="E1175" t="s">
        <v>387</v>
      </c>
      <c r="F1175" t="s">
        <v>305</v>
      </c>
      <c r="G1175" t="s">
        <v>304</v>
      </c>
      <c r="H1175" t="s">
        <v>30</v>
      </c>
      <c r="I1175" t="s">
        <v>31</v>
      </c>
      <c r="J1175" t="s">
        <v>32</v>
      </c>
      <c r="K1175" t="s">
        <v>44</v>
      </c>
      <c r="L1175" t="s">
        <v>73</v>
      </c>
      <c r="M1175" t="s">
        <v>263</v>
      </c>
      <c r="N1175" t="s">
        <v>60</v>
      </c>
      <c r="P1175" t="s">
        <v>65</v>
      </c>
      <c r="Q1175" t="s">
        <v>2805</v>
      </c>
      <c r="R1175" s="5">
        <v>42320.313020833331</v>
      </c>
      <c r="S1175" s="5">
        <v>42648.762395833335</v>
      </c>
      <c r="T1175" t="s">
        <v>317</v>
      </c>
      <c r="U1175" t="s">
        <v>3960</v>
      </c>
      <c r="V1175" s="3" t="s">
        <v>321</v>
      </c>
      <c r="W1175" s="3" t="s">
        <v>65</v>
      </c>
      <c r="AM1175" s="5"/>
      <c r="AN1175" s="5"/>
      <c r="AQ1175" s="6"/>
    </row>
    <row r="1176" spans="2:43" x14ac:dyDescent="0.25">
      <c r="B1176" t="s">
        <v>2804</v>
      </c>
      <c r="C1176">
        <v>72544</v>
      </c>
      <c r="D1176" t="s">
        <v>386</v>
      </c>
      <c r="E1176" t="s">
        <v>387</v>
      </c>
      <c r="F1176" t="s">
        <v>305</v>
      </c>
      <c r="G1176" t="s">
        <v>304</v>
      </c>
      <c r="H1176" t="s">
        <v>30</v>
      </c>
      <c r="I1176" t="s">
        <v>31</v>
      </c>
      <c r="J1176" t="s">
        <v>32</v>
      </c>
      <c r="K1176" t="s">
        <v>44</v>
      </c>
      <c r="L1176" t="s">
        <v>73</v>
      </c>
      <c r="M1176" t="s">
        <v>263</v>
      </c>
      <c r="N1176" t="s">
        <v>46</v>
      </c>
      <c r="P1176" t="s">
        <v>65</v>
      </c>
      <c r="Q1176" t="s">
        <v>2805</v>
      </c>
      <c r="R1176" s="5">
        <v>42319.914050925923</v>
      </c>
      <c r="S1176" s="5">
        <v>42857.579131944447</v>
      </c>
      <c r="T1176" t="s">
        <v>332</v>
      </c>
      <c r="U1176" t="s">
        <v>35</v>
      </c>
      <c r="V1176" s="3" t="s">
        <v>321</v>
      </c>
      <c r="W1176" s="3" t="s">
        <v>4098</v>
      </c>
      <c r="AM1176" s="5"/>
      <c r="AN1176" s="5"/>
      <c r="AQ1176" s="6"/>
    </row>
    <row r="1177" spans="2:43" x14ac:dyDescent="0.25">
      <c r="B1177" t="s">
        <v>2788</v>
      </c>
      <c r="C1177">
        <v>72463</v>
      </c>
      <c r="D1177" t="s">
        <v>2803</v>
      </c>
      <c r="E1177" t="s">
        <v>110</v>
      </c>
      <c r="F1177" t="s">
        <v>305</v>
      </c>
      <c r="G1177" t="s">
        <v>353</v>
      </c>
      <c r="H1177" t="s">
        <v>30</v>
      </c>
      <c r="I1177" t="s">
        <v>31</v>
      </c>
      <c r="J1177" t="s">
        <v>43</v>
      </c>
      <c r="K1177" t="s">
        <v>44</v>
      </c>
      <c r="L1177" t="s">
        <v>73</v>
      </c>
      <c r="M1177" t="s">
        <v>263</v>
      </c>
      <c r="N1177" t="s">
        <v>46</v>
      </c>
      <c r="P1177" t="s">
        <v>61</v>
      </c>
      <c r="R1177" s="5">
        <v>42319.479050925926</v>
      </c>
      <c r="S1177" s="5">
        <v>42395.593229166669</v>
      </c>
      <c r="T1177" t="s">
        <v>317</v>
      </c>
      <c r="U1177" t="s">
        <v>35</v>
      </c>
      <c r="V1177" s="3" t="s">
        <v>35</v>
      </c>
      <c r="W1177" s="3" t="s">
        <v>4153</v>
      </c>
      <c r="AM1177" s="5"/>
      <c r="AN1177" s="5"/>
      <c r="AQ1177" s="6"/>
    </row>
    <row r="1178" spans="2:43" x14ac:dyDescent="0.25">
      <c r="B1178" t="s">
        <v>2772</v>
      </c>
      <c r="C1178">
        <v>72462</v>
      </c>
      <c r="D1178" t="s">
        <v>2802</v>
      </c>
      <c r="E1178" t="s">
        <v>445</v>
      </c>
      <c r="F1178" t="s">
        <v>305</v>
      </c>
      <c r="G1178" t="s">
        <v>353</v>
      </c>
      <c r="H1178" t="s">
        <v>30</v>
      </c>
      <c r="I1178" t="s">
        <v>31</v>
      </c>
      <c r="J1178" t="s">
        <v>43</v>
      </c>
      <c r="K1178" t="s">
        <v>44</v>
      </c>
      <c r="L1178" t="s">
        <v>73</v>
      </c>
      <c r="M1178" t="s">
        <v>263</v>
      </c>
      <c r="N1178" t="s">
        <v>46</v>
      </c>
      <c r="P1178" t="s">
        <v>61</v>
      </c>
      <c r="R1178" s="5">
        <v>42319.478715277779</v>
      </c>
      <c r="S1178" s="5">
        <v>42341.471701388888</v>
      </c>
      <c r="T1178" t="s">
        <v>317</v>
      </c>
      <c r="U1178" t="s">
        <v>35</v>
      </c>
      <c r="V1178" s="3" t="s">
        <v>35</v>
      </c>
      <c r="W1178" s="3" t="s">
        <v>4153</v>
      </c>
      <c r="AM1178" s="5"/>
      <c r="AN1178" s="5"/>
      <c r="AQ1178" s="6"/>
    </row>
    <row r="1179" spans="2:43" x14ac:dyDescent="0.25">
      <c r="B1179" t="s">
        <v>2770</v>
      </c>
      <c r="C1179">
        <v>72461</v>
      </c>
      <c r="D1179" t="s">
        <v>2801</v>
      </c>
      <c r="E1179" t="s">
        <v>72</v>
      </c>
      <c r="F1179" t="s">
        <v>305</v>
      </c>
      <c r="G1179" t="s">
        <v>353</v>
      </c>
      <c r="H1179" t="s">
        <v>30</v>
      </c>
      <c r="I1179" t="s">
        <v>31</v>
      </c>
      <c r="J1179" t="s">
        <v>43</v>
      </c>
      <c r="K1179" t="s">
        <v>44</v>
      </c>
      <c r="L1179" t="s">
        <v>73</v>
      </c>
      <c r="M1179" t="s">
        <v>263</v>
      </c>
      <c r="N1179" t="s">
        <v>46</v>
      </c>
      <c r="P1179" t="s">
        <v>61</v>
      </c>
      <c r="R1179" s="5">
        <v>42319.478391203702</v>
      </c>
      <c r="S1179" s="5">
        <v>42373.843738425923</v>
      </c>
      <c r="T1179" t="s">
        <v>317</v>
      </c>
      <c r="U1179" t="s">
        <v>35</v>
      </c>
      <c r="V1179" s="3" t="s">
        <v>35</v>
      </c>
      <c r="W1179" s="3" t="s">
        <v>4153</v>
      </c>
      <c r="AM1179" s="5"/>
      <c r="AN1179" s="5"/>
      <c r="AQ1179" s="6"/>
    </row>
    <row r="1180" spans="2:43" x14ac:dyDescent="0.25">
      <c r="B1180" t="s">
        <v>2760</v>
      </c>
      <c r="C1180">
        <v>72460</v>
      </c>
      <c r="D1180" t="s">
        <v>2799</v>
      </c>
      <c r="E1180" t="s">
        <v>94</v>
      </c>
      <c r="F1180" t="s">
        <v>305</v>
      </c>
      <c r="G1180" t="s">
        <v>337</v>
      </c>
      <c r="H1180" t="s">
        <v>30</v>
      </c>
      <c r="I1180" t="s">
        <v>31</v>
      </c>
      <c r="J1180" t="s">
        <v>43</v>
      </c>
      <c r="K1180" t="s">
        <v>44</v>
      </c>
      <c r="L1180" t="s">
        <v>73</v>
      </c>
      <c r="M1180" t="s">
        <v>263</v>
      </c>
      <c r="N1180" t="s">
        <v>60</v>
      </c>
      <c r="P1180" t="s">
        <v>61</v>
      </c>
      <c r="Q1180" t="s">
        <v>2800</v>
      </c>
      <c r="R1180" s="5">
        <v>42319.478055555555</v>
      </c>
      <c r="S1180" s="5">
        <v>42346.681203703702</v>
      </c>
      <c r="T1180" t="s">
        <v>317</v>
      </c>
      <c r="U1180" t="s">
        <v>35</v>
      </c>
      <c r="V1180" s="3" t="s">
        <v>35</v>
      </c>
      <c r="W1180" s="3" t="s">
        <v>4153</v>
      </c>
      <c r="AM1180" s="5"/>
      <c r="AN1180" s="5"/>
      <c r="AQ1180" s="6"/>
    </row>
    <row r="1181" spans="2:43" x14ac:dyDescent="0.25">
      <c r="B1181" t="s">
        <v>2743</v>
      </c>
      <c r="C1181">
        <v>72459</v>
      </c>
      <c r="D1181" t="s">
        <v>2798</v>
      </c>
      <c r="E1181" t="s">
        <v>94</v>
      </c>
      <c r="F1181" t="s">
        <v>305</v>
      </c>
      <c r="G1181" t="s">
        <v>337</v>
      </c>
      <c r="H1181" t="s">
        <v>30</v>
      </c>
      <c r="I1181" t="s">
        <v>31</v>
      </c>
      <c r="J1181" t="s">
        <v>32</v>
      </c>
      <c r="K1181" t="s">
        <v>51</v>
      </c>
      <c r="L1181" t="s">
        <v>73</v>
      </c>
      <c r="M1181" t="s">
        <v>273</v>
      </c>
      <c r="N1181" t="s">
        <v>46</v>
      </c>
      <c r="P1181" t="s">
        <v>47</v>
      </c>
      <c r="R1181" s="5">
        <v>42319.477743055555</v>
      </c>
      <c r="S1181" s="5">
        <v>42678.643310185187</v>
      </c>
      <c r="T1181" t="s">
        <v>317</v>
      </c>
      <c r="U1181" t="s">
        <v>35</v>
      </c>
      <c r="V1181" s="3" t="s">
        <v>321</v>
      </c>
      <c r="W1181" s="3" t="s">
        <v>4153</v>
      </c>
      <c r="AM1181" s="5"/>
      <c r="AN1181" s="5"/>
      <c r="AQ1181" s="6"/>
    </row>
    <row r="1182" spans="2:43" x14ac:dyDescent="0.25">
      <c r="B1182" t="s">
        <v>2788</v>
      </c>
      <c r="C1182">
        <v>72451</v>
      </c>
      <c r="D1182" t="s">
        <v>2797</v>
      </c>
      <c r="E1182" t="s">
        <v>110</v>
      </c>
      <c r="F1182" t="s">
        <v>305</v>
      </c>
      <c r="G1182" t="s">
        <v>310</v>
      </c>
      <c r="H1182" t="s">
        <v>30</v>
      </c>
      <c r="I1182" t="s">
        <v>68</v>
      </c>
      <c r="J1182" t="s">
        <v>43</v>
      </c>
      <c r="K1182" t="s">
        <v>33</v>
      </c>
      <c r="L1182" t="s">
        <v>73</v>
      </c>
      <c r="M1182" t="s">
        <v>263</v>
      </c>
      <c r="N1182" t="s">
        <v>46</v>
      </c>
      <c r="P1182" t="s">
        <v>61</v>
      </c>
      <c r="R1182" s="5">
        <v>42319.313518518517</v>
      </c>
      <c r="S1182" s="5">
        <v>42340.750092592592</v>
      </c>
      <c r="T1182" t="s">
        <v>317</v>
      </c>
      <c r="U1182" t="s">
        <v>35</v>
      </c>
      <c r="V1182" s="3" t="s">
        <v>35</v>
      </c>
      <c r="W1182" s="3" t="s">
        <v>85</v>
      </c>
      <c r="AM1182" s="5"/>
      <c r="AN1182" s="5"/>
      <c r="AQ1182" s="6"/>
    </row>
    <row r="1183" spans="2:43" x14ac:dyDescent="0.25">
      <c r="B1183" t="s">
        <v>2788</v>
      </c>
      <c r="C1183">
        <v>72450</v>
      </c>
      <c r="D1183" t="s">
        <v>2796</v>
      </c>
      <c r="E1183" t="s">
        <v>110</v>
      </c>
      <c r="F1183" t="s">
        <v>305</v>
      </c>
      <c r="G1183" t="s">
        <v>337</v>
      </c>
      <c r="H1183" t="s">
        <v>30</v>
      </c>
      <c r="I1183" t="s">
        <v>68</v>
      </c>
      <c r="J1183" t="s">
        <v>43</v>
      </c>
      <c r="K1183" t="s">
        <v>33</v>
      </c>
      <c r="L1183" t="s">
        <v>73</v>
      </c>
      <c r="M1183" t="s">
        <v>263</v>
      </c>
      <c r="N1183" t="s">
        <v>46</v>
      </c>
      <c r="P1183" t="s">
        <v>61</v>
      </c>
      <c r="R1183" s="5">
        <v>42319.313425925924</v>
      </c>
      <c r="S1183" s="5">
        <v>42341.7424537037</v>
      </c>
      <c r="T1183" t="s">
        <v>317</v>
      </c>
      <c r="U1183" t="s">
        <v>35</v>
      </c>
      <c r="V1183" s="3" t="s">
        <v>35</v>
      </c>
      <c r="W1183" s="3" t="s">
        <v>3120</v>
      </c>
      <c r="AM1183" s="5"/>
      <c r="AN1183" s="5"/>
      <c r="AQ1183" s="6"/>
    </row>
    <row r="1184" spans="2:43" x14ac:dyDescent="0.25">
      <c r="B1184" t="s">
        <v>2788</v>
      </c>
      <c r="C1184">
        <v>72449</v>
      </c>
      <c r="D1184" t="s">
        <v>2795</v>
      </c>
      <c r="E1184" t="s">
        <v>110</v>
      </c>
      <c r="F1184" t="s">
        <v>305</v>
      </c>
      <c r="G1184" t="s">
        <v>310</v>
      </c>
      <c r="H1184" t="s">
        <v>30</v>
      </c>
      <c r="I1184" t="s">
        <v>31</v>
      </c>
      <c r="J1184" t="s">
        <v>43</v>
      </c>
      <c r="K1184" t="s">
        <v>44</v>
      </c>
      <c r="L1184" t="s">
        <v>73</v>
      </c>
      <c r="M1184" t="s">
        <v>263</v>
      </c>
      <c r="N1184" t="s">
        <v>46</v>
      </c>
      <c r="P1184" t="s">
        <v>61</v>
      </c>
      <c r="R1184" s="5">
        <v>42319.313321759262</v>
      </c>
      <c r="S1184" s="5">
        <v>42678.642361111109</v>
      </c>
      <c r="T1184" t="s">
        <v>317</v>
      </c>
      <c r="U1184" t="s">
        <v>35</v>
      </c>
      <c r="V1184" s="3" t="s">
        <v>35</v>
      </c>
      <c r="W1184" s="3" t="s">
        <v>491</v>
      </c>
      <c r="AM1184" s="5"/>
      <c r="AN1184" s="5"/>
      <c r="AQ1184" s="6"/>
    </row>
    <row r="1185" spans="2:43" x14ac:dyDescent="0.25">
      <c r="B1185" t="s">
        <v>2788</v>
      </c>
      <c r="C1185">
        <v>72448</v>
      </c>
      <c r="D1185" t="s">
        <v>2794</v>
      </c>
      <c r="E1185" t="s">
        <v>2790</v>
      </c>
      <c r="F1185" t="s">
        <v>305</v>
      </c>
      <c r="G1185" t="s">
        <v>353</v>
      </c>
      <c r="H1185" t="s">
        <v>30</v>
      </c>
      <c r="I1185" t="s">
        <v>31</v>
      </c>
      <c r="J1185" t="s">
        <v>32</v>
      </c>
      <c r="K1185" t="s">
        <v>51</v>
      </c>
      <c r="L1185" t="s">
        <v>73</v>
      </c>
      <c r="M1185" t="s">
        <v>263</v>
      </c>
      <c r="N1185" t="s">
        <v>60</v>
      </c>
      <c r="P1185" t="s">
        <v>61</v>
      </c>
      <c r="Q1185" t="s">
        <v>61</v>
      </c>
      <c r="R1185" s="5">
        <v>42319.313206018516</v>
      </c>
      <c r="S1185" s="5">
        <v>42759.635312500002</v>
      </c>
      <c r="T1185" t="s">
        <v>317</v>
      </c>
      <c r="U1185" t="s">
        <v>35</v>
      </c>
      <c r="V1185" s="3" t="s">
        <v>35</v>
      </c>
      <c r="W1185" s="3" t="s">
        <v>133</v>
      </c>
      <c r="AM1185" s="5"/>
      <c r="AN1185" s="5"/>
      <c r="AQ1185" s="6"/>
    </row>
    <row r="1186" spans="2:43" x14ac:dyDescent="0.25">
      <c r="B1186" t="s">
        <v>2788</v>
      </c>
      <c r="C1186">
        <v>72447</v>
      </c>
      <c r="D1186" t="s">
        <v>2793</v>
      </c>
      <c r="E1186" t="s">
        <v>110</v>
      </c>
      <c r="F1186" t="s">
        <v>305</v>
      </c>
      <c r="G1186" t="s">
        <v>353</v>
      </c>
      <c r="H1186" t="s">
        <v>30</v>
      </c>
      <c r="I1186" t="s">
        <v>31</v>
      </c>
      <c r="J1186" t="s">
        <v>43</v>
      </c>
      <c r="K1186" t="s">
        <v>44</v>
      </c>
      <c r="L1186" t="s">
        <v>73</v>
      </c>
      <c r="M1186" t="s">
        <v>263</v>
      </c>
      <c r="N1186" t="s">
        <v>60</v>
      </c>
      <c r="P1186" t="s">
        <v>61</v>
      </c>
      <c r="R1186" s="5">
        <v>42319.313101851854</v>
      </c>
      <c r="S1186" s="5">
        <v>42678.642118055555</v>
      </c>
      <c r="T1186" t="s">
        <v>317</v>
      </c>
      <c r="U1186" t="s">
        <v>35</v>
      </c>
      <c r="V1186" s="3" t="s">
        <v>35</v>
      </c>
      <c r="W1186" s="3" t="s">
        <v>65</v>
      </c>
      <c r="AM1186" s="5"/>
      <c r="AN1186" s="5"/>
      <c r="AQ1186" s="6"/>
    </row>
    <row r="1187" spans="2:43" x14ac:dyDescent="0.25">
      <c r="B1187" t="s">
        <v>2788</v>
      </c>
      <c r="C1187">
        <v>72446</v>
      </c>
      <c r="D1187" t="s">
        <v>2792</v>
      </c>
      <c r="E1187" t="s">
        <v>110</v>
      </c>
      <c r="F1187" t="s">
        <v>305</v>
      </c>
      <c r="G1187" t="s">
        <v>310</v>
      </c>
      <c r="H1187" t="s">
        <v>30</v>
      </c>
      <c r="I1187" t="s">
        <v>31</v>
      </c>
      <c r="J1187" t="s">
        <v>43</v>
      </c>
      <c r="K1187" t="s">
        <v>44</v>
      </c>
      <c r="L1187" t="s">
        <v>73</v>
      </c>
      <c r="M1187" t="s">
        <v>263</v>
      </c>
      <c r="N1187" t="s">
        <v>46</v>
      </c>
      <c r="P1187" t="s">
        <v>61</v>
      </c>
      <c r="R1187" s="5">
        <v>42319.312997685185</v>
      </c>
      <c r="S1187" s="5">
        <v>42678.642280092594</v>
      </c>
      <c r="T1187" t="s">
        <v>317</v>
      </c>
      <c r="U1187" t="s">
        <v>35</v>
      </c>
      <c r="V1187" s="3" t="s">
        <v>35</v>
      </c>
      <c r="W1187" s="3" t="s">
        <v>3028</v>
      </c>
      <c r="AM1187" s="5"/>
      <c r="AN1187" s="5"/>
      <c r="AQ1187" s="6"/>
    </row>
    <row r="1188" spans="2:43" x14ac:dyDescent="0.25">
      <c r="B1188" t="s">
        <v>2788</v>
      </c>
      <c r="C1188">
        <v>72445</v>
      </c>
      <c r="D1188" t="s">
        <v>2791</v>
      </c>
      <c r="E1188" t="s">
        <v>110</v>
      </c>
      <c r="F1188" t="s">
        <v>305</v>
      </c>
      <c r="G1188" t="s">
        <v>310</v>
      </c>
      <c r="H1188" t="s">
        <v>30</v>
      </c>
      <c r="I1188" t="s">
        <v>31</v>
      </c>
      <c r="J1188" t="s">
        <v>43</v>
      </c>
      <c r="K1188" t="s">
        <v>44</v>
      </c>
      <c r="L1188" t="s">
        <v>73</v>
      </c>
      <c r="M1188" t="s">
        <v>263</v>
      </c>
      <c r="N1188" t="s">
        <v>46</v>
      </c>
      <c r="P1188" t="s">
        <v>61</v>
      </c>
      <c r="R1188" s="5">
        <v>42319.312893518516</v>
      </c>
      <c r="S1188" s="5">
        <v>42678.642442129632</v>
      </c>
      <c r="T1188" t="s">
        <v>317</v>
      </c>
      <c r="U1188" t="s">
        <v>35</v>
      </c>
      <c r="V1188" s="3" t="s">
        <v>35</v>
      </c>
      <c r="W1188" s="3" t="s">
        <v>3039</v>
      </c>
      <c r="AM1188" s="5"/>
      <c r="AN1188" s="5"/>
      <c r="AQ1188" s="6"/>
    </row>
    <row r="1189" spans="2:43" x14ac:dyDescent="0.25">
      <c r="B1189" t="s">
        <v>2788</v>
      </c>
      <c r="C1189">
        <v>72432</v>
      </c>
      <c r="D1189" t="s">
        <v>2789</v>
      </c>
      <c r="E1189" t="s">
        <v>2790</v>
      </c>
      <c r="F1189" t="s">
        <v>305</v>
      </c>
      <c r="G1189" t="s">
        <v>353</v>
      </c>
      <c r="H1189" t="s">
        <v>30</v>
      </c>
      <c r="I1189" t="s">
        <v>31</v>
      </c>
      <c r="J1189" t="s">
        <v>32</v>
      </c>
      <c r="K1189" t="s">
        <v>51</v>
      </c>
      <c r="L1189" t="s">
        <v>73</v>
      </c>
      <c r="M1189" t="s">
        <v>263</v>
      </c>
      <c r="N1189" t="s">
        <v>46</v>
      </c>
      <c r="P1189" t="s">
        <v>61</v>
      </c>
      <c r="Q1189" t="s">
        <v>61</v>
      </c>
      <c r="R1189" s="5">
        <v>42318.82366898148</v>
      </c>
      <c r="S1189" s="5">
        <v>42759.635034722225</v>
      </c>
      <c r="T1189" t="s">
        <v>1</v>
      </c>
      <c r="U1189" t="s">
        <v>35</v>
      </c>
      <c r="V1189" s="3" t="s">
        <v>35</v>
      </c>
      <c r="W1189" s="3" t="s">
        <v>4098</v>
      </c>
      <c r="AM1189" s="5"/>
      <c r="AN1189" s="5"/>
      <c r="AQ1189" s="6"/>
    </row>
    <row r="1190" spans="2:43" x14ac:dyDescent="0.25">
      <c r="B1190" t="s">
        <v>2770</v>
      </c>
      <c r="C1190">
        <v>72399</v>
      </c>
      <c r="D1190" t="s">
        <v>2787</v>
      </c>
      <c r="E1190" t="s">
        <v>72</v>
      </c>
      <c r="F1190" t="s">
        <v>305</v>
      </c>
      <c r="G1190" t="s">
        <v>310</v>
      </c>
      <c r="H1190" t="s">
        <v>30</v>
      </c>
      <c r="I1190" t="s">
        <v>68</v>
      </c>
      <c r="J1190" t="s">
        <v>43</v>
      </c>
      <c r="K1190" t="s">
        <v>33</v>
      </c>
      <c r="L1190" t="s">
        <v>73</v>
      </c>
      <c r="M1190" t="s">
        <v>263</v>
      </c>
      <c r="N1190" t="s">
        <v>46</v>
      </c>
      <c r="P1190" t="s">
        <v>61</v>
      </c>
      <c r="R1190" s="5">
        <v>42318.314525462964</v>
      </c>
      <c r="S1190" s="5">
        <v>42340.744791666664</v>
      </c>
      <c r="T1190" t="s">
        <v>317</v>
      </c>
      <c r="U1190" t="s">
        <v>35</v>
      </c>
      <c r="V1190" s="3" t="s">
        <v>35</v>
      </c>
      <c r="W1190" s="3" t="s">
        <v>85</v>
      </c>
      <c r="AM1190" s="5"/>
      <c r="AN1190" s="5"/>
      <c r="AQ1190" s="6"/>
    </row>
    <row r="1191" spans="2:43" x14ac:dyDescent="0.25">
      <c r="B1191" t="s">
        <v>2770</v>
      </c>
      <c r="C1191">
        <v>72398</v>
      </c>
      <c r="D1191" t="s">
        <v>2786</v>
      </c>
      <c r="E1191" t="s">
        <v>72</v>
      </c>
      <c r="F1191" t="s">
        <v>305</v>
      </c>
      <c r="G1191" t="s">
        <v>310</v>
      </c>
      <c r="H1191" t="s">
        <v>30</v>
      </c>
      <c r="I1191" t="s">
        <v>68</v>
      </c>
      <c r="J1191" t="s">
        <v>43</v>
      </c>
      <c r="K1191" t="s">
        <v>33</v>
      </c>
      <c r="L1191" t="s">
        <v>73</v>
      </c>
      <c r="M1191" t="s">
        <v>263</v>
      </c>
      <c r="N1191" t="s">
        <v>46</v>
      </c>
      <c r="P1191" t="s">
        <v>61</v>
      </c>
      <c r="R1191" s="5">
        <v>42318.314432870371</v>
      </c>
      <c r="S1191" s="5">
        <v>42341.726388888892</v>
      </c>
      <c r="T1191" t="s">
        <v>317</v>
      </c>
      <c r="U1191" t="s">
        <v>35</v>
      </c>
      <c r="V1191" s="3" t="s">
        <v>35</v>
      </c>
      <c r="W1191" s="3" t="s">
        <v>3120</v>
      </c>
      <c r="AM1191" s="5"/>
      <c r="AN1191" s="5"/>
      <c r="AQ1191" s="6"/>
    </row>
    <row r="1192" spans="2:43" x14ac:dyDescent="0.25">
      <c r="B1192" t="s">
        <v>2770</v>
      </c>
      <c r="C1192">
        <v>72397</v>
      </c>
      <c r="D1192" t="s">
        <v>2785</v>
      </c>
      <c r="E1192" t="s">
        <v>72</v>
      </c>
      <c r="F1192" t="s">
        <v>305</v>
      </c>
      <c r="G1192" t="s">
        <v>310</v>
      </c>
      <c r="H1192" t="s">
        <v>30</v>
      </c>
      <c r="I1192" t="s">
        <v>31</v>
      </c>
      <c r="J1192" t="s">
        <v>43</v>
      </c>
      <c r="K1192" t="s">
        <v>44</v>
      </c>
      <c r="L1192" t="s">
        <v>73</v>
      </c>
      <c r="M1192" t="s">
        <v>263</v>
      </c>
      <c r="N1192" t="s">
        <v>46</v>
      </c>
      <c r="P1192" t="s">
        <v>61</v>
      </c>
      <c r="R1192" s="5">
        <v>42318.314328703702</v>
      </c>
      <c r="S1192" s="5">
        <v>42678.64203703704</v>
      </c>
      <c r="T1192" t="s">
        <v>317</v>
      </c>
      <c r="U1192" t="s">
        <v>35</v>
      </c>
      <c r="V1192" s="3" t="s">
        <v>35</v>
      </c>
      <c r="W1192" s="3" t="s">
        <v>491</v>
      </c>
      <c r="AM1192" s="5"/>
      <c r="AN1192" s="5"/>
      <c r="AQ1192" s="6"/>
    </row>
    <row r="1193" spans="2:43" x14ac:dyDescent="0.25">
      <c r="B1193" t="s">
        <v>2770</v>
      </c>
      <c r="C1193">
        <v>72396</v>
      </c>
      <c r="D1193" t="s">
        <v>2784</v>
      </c>
      <c r="E1193" t="s">
        <v>72</v>
      </c>
      <c r="F1193" t="s">
        <v>305</v>
      </c>
      <c r="G1193" t="s">
        <v>353</v>
      </c>
      <c r="H1193" t="s">
        <v>30</v>
      </c>
      <c r="I1193" t="s">
        <v>31</v>
      </c>
      <c r="J1193" t="s">
        <v>43</v>
      </c>
      <c r="K1193" t="s">
        <v>44</v>
      </c>
      <c r="L1193" t="s">
        <v>73</v>
      </c>
      <c r="M1193" t="s">
        <v>263</v>
      </c>
      <c r="N1193" t="s">
        <v>46</v>
      </c>
      <c r="P1193" t="s">
        <v>61</v>
      </c>
      <c r="R1193" s="5">
        <v>42318.31422453704</v>
      </c>
      <c r="S1193" s="5">
        <v>42341.730497685188</v>
      </c>
      <c r="T1193" t="s">
        <v>317</v>
      </c>
      <c r="U1193" t="s">
        <v>35</v>
      </c>
      <c r="V1193" s="3" t="s">
        <v>35</v>
      </c>
      <c r="W1193" s="3" t="s">
        <v>133</v>
      </c>
      <c r="AM1193" s="5"/>
      <c r="AN1193" s="5"/>
      <c r="AQ1193" s="6"/>
    </row>
    <row r="1194" spans="2:43" x14ac:dyDescent="0.25">
      <c r="B1194" t="s">
        <v>2770</v>
      </c>
      <c r="C1194">
        <v>72395</v>
      </c>
      <c r="D1194" t="s">
        <v>2783</v>
      </c>
      <c r="E1194" t="s">
        <v>72</v>
      </c>
      <c r="F1194" t="s">
        <v>305</v>
      </c>
      <c r="G1194" t="s">
        <v>353</v>
      </c>
      <c r="H1194" t="s">
        <v>30</v>
      </c>
      <c r="I1194" t="s">
        <v>31</v>
      </c>
      <c r="J1194" t="s">
        <v>43</v>
      </c>
      <c r="K1194" t="s">
        <v>44</v>
      </c>
      <c r="L1194" t="s">
        <v>73</v>
      </c>
      <c r="M1194" t="s">
        <v>263</v>
      </c>
      <c r="N1194" t="s">
        <v>60</v>
      </c>
      <c r="P1194" t="s">
        <v>61</v>
      </c>
      <c r="R1194" s="5">
        <v>42318.314131944448</v>
      </c>
      <c r="S1194" s="5">
        <v>42341.728807870371</v>
      </c>
      <c r="T1194" t="s">
        <v>317</v>
      </c>
      <c r="U1194" t="s">
        <v>35</v>
      </c>
      <c r="V1194" s="3" t="s">
        <v>35</v>
      </c>
      <c r="W1194" s="3" t="s">
        <v>65</v>
      </c>
      <c r="AM1194" s="5"/>
      <c r="AN1194" s="5"/>
      <c r="AQ1194" s="6"/>
    </row>
    <row r="1195" spans="2:43" x14ac:dyDescent="0.25">
      <c r="B1195" t="s">
        <v>2770</v>
      </c>
      <c r="C1195">
        <v>72394</v>
      </c>
      <c r="D1195" t="s">
        <v>2782</v>
      </c>
      <c r="E1195" t="s">
        <v>72</v>
      </c>
      <c r="F1195" t="s">
        <v>305</v>
      </c>
      <c r="G1195" t="s">
        <v>310</v>
      </c>
      <c r="H1195" t="s">
        <v>30</v>
      </c>
      <c r="I1195" t="s">
        <v>31</v>
      </c>
      <c r="J1195" t="s">
        <v>43</v>
      </c>
      <c r="K1195" t="s">
        <v>44</v>
      </c>
      <c r="L1195" t="s">
        <v>73</v>
      </c>
      <c r="M1195" t="s">
        <v>263</v>
      </c>
      <c r="N1195" t="s">
        <v>46</v>
      </c>
      <c r="P1195" t="s">
        <v>61</v>
      </c>
      <c r="R1195" s="5">
        <v>42318.314016203702</v>
      </c>
      <c r="S1195" s="5">
        <v>42341.727847222224</v>
      </c>
      <c r="T1195" t="s">
        <v>317</v>
      </c>
      <c r="U1195" t="s">
        <v>35</v>
      </c>
      <c r="V1195" s="3" t="s">
        <v>35</v>
      </c>
      <c r="W1195" s="3" t="s">
        <v>3028</v>
      </c>
      <c r="AM1195" s="5"/>
      <c r="AN1195" s="5"/>
      <c r="AQ1195" s="6"/>
    </row>
    <row r="1196" spans="2:43" x14ac:dyDescent="0.25">
      <c r="B1196" t="s">
        <v>2770</v>
      </c>
      <c r="C1196">
        <v>72393</v>
      </c>
      <c r="D1196" t="s">
        <v>2781</v>
      </c>
      <c r="E1196" t="s">
        <v>72</v>
      </c>
      <c r="F1196" t="s">
        <v>305</v>
      </c>
      <c r="G1196" t="s">
        <v>310</v>
      </c>
      <c r="H1196" t="s">
        <v>30</v>
      </c>
      <c r="I1196" t="s">
        <v>31</v>
      </c>
      <c r="J1196" t="s">
        <v>43</v>
      </c>
      <c r="K1196" t="s">
        <v>44</v>
      </c>
      <c r="L1196" t="s">
        <v>73</v>
      </c>
      <c r="M1196" t="s">
        <v>263</v>
      </c>
      <c r="N1196" t="s">
        <v>46</v>
      </c>
      <c r="P1196" t="s">
        <v>61</v>
      </c>
      <c r="R1196" s="5">
        <v>42318.313900462963</v>
      </c>
      <c r="S1196" s="5">
        <v>42341.727256944447</v>
      </c>
      <c r="T1196" t="s">
        <v>317</v>
      </c>
      <c r="U1196" t="s">
        <v>35</v>
      </c>
      <c r="V1196" s="3" t="s">
        <v>35</v>
      </c>
      <c r="W1196" s="3" t="s">
        <v>3039</v>
      </c>
      <c r="AM1196" s="5"/>
      <c r="AN1196" s="5"/>
      <c r="AQ1196" s="6"/>
    </row>
    <row r="1197" spans="2:43" x14ac:dyDescent="0.25">
      <c r="B1197" t="s">
        <v>2772</v>
      </c>
      <c r="C1197">
        <v>72392</v>
      </c>
      <c r="D1197" t="s">
        <v>2780</v>
      </c>
      <c r="E1197" t="s">
        <v>445</v>
      </c>
      <c r="F1197" t="s">
        <v>305</v>
      </c>
      <c r="G1197" t="s">
        <v>310</v>
      </c>
      <c r="H1197" t="s">
        <v>30</v>
      </c>
      <c r="I1197" t="s">
        <v>68</v>
      </c>
      <c r="J1197" t="s">
        <v>43</v>
      </c>
      <c r="K1197" t="s">
        <v>33</v>
      </c>
      <c r="L1197" t="s">
        <v>73</v>
      </c>
      <c r="M1197" t="s">
        <v>263</v>
      </c>
      <c r="N1197" t="s">
        <v>46</v>
      </c>
      <c r="P1197" t="s">
        <v>61</v>
      </c>
      <c r="R1197" s="5">
        <v>42318.313483796293</v>
      </c>
      <c r="S1197" s="5">
        <v>42340.743981481479</v>
      </c>
      <c r="T1197" t="s">
        <v>317</v>
      </c>
      <c r="U1197" t="s">
        <v>35</v>
      </c>
      <c r="V1197" s="3" t="s">
        <v>35</v>
      </c>
      <c r="W1197" s="3" t="s">
        <v>85</v>
      </c>
      <c r="AM1197" s="5"/>
      <c r="AN1197" s="5"/>
      <c r="AQ1197" s="6"/>
    </row>
    <row r="1198" spans="2:43" x14ac:dyDescent="0.25">
      <c r="B1198" t="s">
        <v>2772</v>
      </c>
      <c r="C1198">
        <v>72391</v>
      </c>
      <c r="D1198" t="s">
        <v>2779</v>
      </c>
      <c r="E1198" t="s">
        <v>445</v>
      </c>
      <c r="F1198" t="s">
        <v>305</v>
      </c>
      <c r="G1198" t="s">
        <v>337</v>
      </c>
      <c r="H1198" t="s">
        <v>30</v>
      </c>
      <c r="I1198" t="s">
        <v>68</v>
      </c>
      <c r="J1198" t="s">
        <v>43</v>
      </c>
      <c r="K1198" t="s">
        <v>33</v>
      </c>
      <c r="L1198" t="s">
        <v>73</v>
      </c>
      <c r="M1198" t="s">
        <v>263</v>
      </c>
      <c r="N1198" t="s">
        <v>46</v>
      </c>
      <c r="P1198" t="s">
        <v>61</v>
      </c>
      <c r="R1198" s="5">
        <v>42318.313379629632</v>
      </c>
      <c r="S1198" s="5">
        <v>42341.74428240741</v>
      </c>
      <c r="T1198" t="s">
        <v>317</v>
      </c>
      <c r="U1198" t="s">
        <v>35</v>
      </c>
      <c r="V1198" s="3" t="s">
        <v>35</v>
      </c>
      <c r="W1198" s="3" t="s">
        <v>3120</v>
      </c>
      <c r="AM1198" s="5"/>
      <c r="AN1198" s="5"/>
      <c r="AQ1198" s="6"/>
    </row>
    <row r="1199" spans="2:43" x14ac:dyDescent="0.25">
      <c r="B1199" t="s">
        <v>2772</v>
      </c>
      <c r="C1199">
        <v>72390</v>
      </c>
      <c r="D1199" t="s">
        <v>2778</v>
      </c>
      <c r="E1199" t="s">
        <v>445</v>
      </c>
      <c r="F1199" t="s">
        <v>305</v>
      </c>
      <c r="G1199" t="s">
        <v>310</v>
      </c>
      <c r="H1199" t="s">
        <v>30</v>
      </c>
      <c r="I1199" t="s">
        <v>31</v>
      </c>
      <c r="J1199" t="s">
        <v>43</v>
      </c>
      <c r="K1199" t="s">
        <v>44</v>
      </c>
      <c r="L1199" t="s">
        <v>73</v>
      </c>
      <c r="M1199" t="s">
        <v>263</v>
      </c>
      <c r="N1199" t="s">
        <v>46</v>
      </c>
      <c r="P1199" t="s">
        <v>61</v>
      </c>
      <c r="R1199" s="5">
        <v>42318.313287037039</v>
      </c>
      <c r="S1199" s="5">
        <v>42678.642557870371</v>
      </c>
      <c r="T1199" t="s">
        <v>317</v>
      </c>
      <c r="U1199" t="s">
        <v>35</v>
      </c>
      <c r="V1199" s="3" t="s">
        <v>35</v>
      </c>
      <c r="W1199" s="3" t="s">
        <v>491</v>
      </c>
      <c r="AM1199" s="5"/>
      <c r="AN1199" s="5"/>
      <c r="AQ1199" s="6"/>
    </row>
    <row r="1200" spans="2:43" x14ac:dyDescent="0.25">
      <c r="B1200" t="s">
        <v>2772</v>
      </c>
      <c r="C1200">
        <v>72389</v>
      </c>
      <c r="D1200" t="s">
        <v>2777</v>
      </c>
      <c r="E1200" t="s">
        <v>445</v>
      </c>
      <c r="F1200" t="s">
        <v>305</v>
      </c>
      <c r="G1200" t="s">
        <v>353</v>
      </c>
      <c r="H1200" t="s">
        <v>30</v>
      </c>
      <c r="I1200" t="s">
        <v>31</v>
      </c>
      <c r="J1200" t="s">
        <v>43</v>
      </c>
      <c r="K1200" t="s">
        <v>44</v>
      </c>
      <c r="L1200" t="s">
        <v>73</v>
      </c>
      <c r="M1200" t="s">
        <v>263</v>
      </c>
      <c r="N1200" t="s">
        <v>46</v>
      </c>
      <c r="P1200" t="s">
        <v>61</v>
      </c>
      <c r="R1200" s="5">
        <v>42318.31318287037</v>
      </c>
      <c r="S1200" s="5">
        <v>42678.642326388886</v>
      </c>
      <c r="T1200" t="s">
        <v>317</v>
      </c>
      <c r="U1200" t="s">
        <v>35</v>
      </c>
      <c r="V1200" s="3" t="s">
        <v>35</v>
      </c>
      <c r="W1200" s="3" t="s">
        <v>133</v>
      </c>
      <c r="AM1200" s="5"/>
      <c r="AN1200" s="5"/>
      <c r="AQ1200" s="6"/>
    </row>
    <row r="1201" spans="2:43" x14ac:dyDescent="0.25">
      <c r="B1201" t="s">
        <v>2772</v>
      </c>
      <c r="C1201">
        <v>72388</v>
      </c>
      <c r="D1201" t="s">
        <v>2776</v>
      </c>
      <c r="E1201" t="s">
        <v>445</v>
      </c>
      <c r="F1201" t="s">
        <v>305</v>
      </c>
      <c r="G1201" t="s">
        <v>353</v>
      </c>
      <c r="H1201" t="s">
        <v>30</v>
      </c>
      <c r="I1201" t="s">
        <v>31</v>
      </c>
      <c r="J1201" t="s">
        <v>43</v>
      </c>
      <c r="K1201" t="s">
        <v>44</v>
      </c>
      <c r="L1201" t="s">
        <v>73</v>
      </c>
      <c r="M1201" t="s">
        <v>263</v>
      </c>
      <c r="N1201" t="s">
        <v>60</v>
      </c>
      <c r="P1201" t="s">
        <v>61</v>
      </c>
      <c r="R1201" s="5">
        <v>42318.313078703701</v>
      </c>
      <c r="S1201" s="5">
        <v>42678.642141203702</v>
      </c>
      <c r="T1201" t="s">
        <v>317</v>
      </c>
      <c r="U1201" t="s">
        <v>35</v>
      </c>
      <c r="V1201" s="3" t="s">
        <v>35</v>
      </c>
      <c r="W1201" s="3" t="s">
        <v>65</v>
      </c>
      <c r="AM1201" s="5"/>
      <c r="AN1201" s="5"/>
      <c r="AQ1201" s="6"/>
    </row>
    <row r="1202" spans="2:43" x14ac:dyDescent="0.25">
      <c r="B1202" t="s">
        <v>2772</v>
      </c>
      <c r="C1202">
        <v>72387</v>
      </c>
      <c r="D1202" t="s">
        <v>2775</v>
      </c>
      <c r="E1202" t="s">
        <v>445</v>
      </c>
      <c r="F1202" t="s">
        <v>305</v>
      </c>
      <c r="G1202" t="s">
        <v>310</v>
      </c>
      <c r="H1202" t="s">
        <v>30</v>
      </c>
      <c r="I1202" t="s">
        <v>31</v>
      </c>
      <c r="J1202" t="s">
        <v>43</v>
      </c>
      <c r="K1202" t="s">
        <v>44</v>
      </c>
      <c r="L1202" t="s">
        <v>73</v>
      </c>
      <c r="M1202" t="s">
        <v>263</v>
      </c>
      <c r="N1202" t="s">
        <v>46</v>
      </c>
      <c r="P1202" t="s">
        <v>61</v>
      </c>
      <c r="R1202" s="5">
        <v>42318.312962962962</v>
      </c>
      <c r="S1202" s="5">
        <v>42678.642256944448</v>
      </c>
      <c r="T1202" t="s">
        <v>317</v>
      </c>
      <c r="U1202" t="s">
        <v>35</v>
      </c>
      <c r="V1202" s="3" t="s">
        <v>35</v>
      </c>
      <c r="W1202" s="3" t="s">
        <v>3028</v>
      </c>
      <c r="AM1202" s="5"/>
      <c r="AN1202" s="5"/>
      <c r="AQ1202" s="6"/>
    </row>
    <row r="1203" spans="2:43" x14ac:dyDescent="0.25">
      <c r="B1203" t="s">
        <v>2772</v>
      </c>
      <c r="C1203">
        <v>72386</v>
      </c>
      <c r="D1203" t="s">
        <v>2774</v>
      </c>
      <c r="E1203" t="s">
        <v>445</v>
      </c>
      <c r="F1203" t="s">
        <v>305</v>
      </c>
      <c r="G1203" t="s">
        <v>310</v>
      </c>
      <c r="H1203" t="s">
        <v>30</v>
      </c>
      <c r="I1203" t="s">
        <v>31</v>
      </c>
      <c r="J1203" t="s">
        <v>43</v>
      </c>
      <c r="K1203" t="s">
        <v>44</v>
      </c>
      <c r="L1203" t="s">
        <v>73</v>
      </c>
      <c r="M1203" t="s">
        <v>263</v>
      </c>
      <c r="N1203" t="s">
        <v>46</v>
      </c>
      <c r="P1203" t="s">
        <v>61</v>
      </c>
      <c r="R1203" s="5">
        <v>42318.312847222223</v>
      </c>
      <c r="S1203" s="5">
        <v>42678.642083333332</v>
      </c>
      <c r="T1203" t="s">
        <v>317</v>
      </c>
      <c r="U1203" t="s">
        <v>35</v>
      </c>
      <c r="V1203" s="3" t="s">
        <v>35</v>
      </c>
      <c r="W1203" s="3" t="s">
        <v>3039</v>
      </c>
      <c r="AM1203" s="5"/>
      <c r="AN1203" s="5"/>
      <c r="AQ1203" s="6"/>
    </row>
    <row r="1204" spans="2:43" x14ac:dyDescent="0.25">
      <c r="B1204" t="s">
        <v>2772</v>
      </c>
      <c r="C1204">
        <v>72378</v>
      </c>
      <c r="D1204" t="s">
        <v>2773</v>
      </c>
      <c r="E1204" t="s">
        <v>445</v>
      </c>
      <c r="F1204" t="s">
        <v>305</v>
      </c>
      <c r="G1204" t="s">
        <v>353</v>
      </c>
      <c r="H1204" t="s">
        <v>30</v>
      </c>
      <c r="I1204" t="s">
        <v>31</v>
      </c>
      <c r="J1204" t="s">
        <v>43</v>
      </c>
      <c r="K1204" t="s">
        <v>44</v>
      </c>
      <c r="L1204" t="s">
        <v>73</v>
      </c>
      <c r="M1204" t="s">
        <v>263</v>
      </c>
      <c r="N1204" t="s">
        <v>46</v>
      </c>
      <c r="P1204" t="s">
        <v>61</v>
      </c>
      <c r="R1204" s="5">
        <v>42317.916296296295</v>
      </c>
      <c r="S1204" s="5">
        <v>42678.643101851849</v>
      </c>
      <c r="T1204" t="s">
        <v>1</v>
      </c>
      <c r="U1204" t="s">
        <v>35</v>
      </c>
      <c r="V1204" s="3" t="s">
        <v>35</v>
      </c>
      <c r="W1204" s="3" t="s">
        <v>4098</v>
      </c>
      <c r="AM1204" s="5"/>
      <c r="AN1204" s="5"/>
      <c r="AQ1204" s="6"/>
    </row>
    <row r="1205" spans="2:43" x14ac:dyDescent="0.25">
      <c r="B1205" t="s">
        <v>2770</v>
      </c>
      <c r="C1205">
        <v>72371</v>
      </c>
      <c r="D1205" t="s">
        <v>2771</v>
      </c>
      <c r="E1205" t="s">
        <v>72</v>
      </c>
      <c r="F1205" t="s">
        <v>305</v>
      </c>
      <c r="G1205" t="s">
        <v>353</v>
      </c>
      <c r="H1205" t="s">
        <v>30</v>
      </c>
      <c r="I1205" t="s">
        <v>31</v>
      </c>
      <c r="J1205" t="s">
        <v>43</v>
      </c>
      <c r="K1205" t="s">
        <v>44</v>
      </c>
      <c r="L1205" t="s">
        <v>73</v>
      </c>
      <c r="M1205" t="s">
        <v>263</v>
      </c>
      <c r="N1205" t="s">
        <v>46</v>
      </c>
      <c r="P1205" t="s">
        <v>61</v>
      </c>
      <c r="R1205" s="5">
        <v>42317.831342592595</v>
      </c>
      <c r="S1205" s="5">
        <v>42678.642824074072</v>
      </c>
      <c r="T1205" t="s">
        <v>1</v>
      </c>
      <c r="U1205" t="s">
        <v>35</v>
      </c>
      <c r="V1205" s="3" t="s">
        <v>35</v>
      </c>
      <c r="W1205" s="3" t="s">
        <v>4098</v>
      </c>
      <c r="AM1205" s="5"/>
      <c r="AN1205" s="5"/>
      <c r="AQ1205" s="6"/>
    </row>
    <row r="1206" spans="2:43" x14ac:dyDescent="0.25">
      <c r="B1206" t="s">
        <v>2413</v>
      </c>
      <c r="C1206">
        <v>72297</v>
      </c>
      <c r="D1206" t="s">
        <v>2768</v>
      </c>
      <c r="E1206" t="s">
        <v>125</v>
      </c>
      <c r="F1206" t="s">
        <v>305</v>
      </c>
      <c r="G1206" t="s">
        <v>337</v>
      </c>
      <c r="H1206" t="s">
        <v>30</v>
      </c>
      <c r="I1206" t="s">
        <v>68</v>
      </c>
      <c r="J1206" t="s">
        <v>43</v>
      </c>
      <c r="K1206" t="s">
        <v>33</v>
      </c>
      <c r="L1206" t="s">
        <v>34</v>
      </c>
      <c r="M1206" t="s">
        <v>402</v>
      </c>
      <c r="N1206" t="s">
        <v>46</v>
      </c>
      <c r="P1206" t="s">
        <v>369</v>
      </c>
      <c r="Q1206" t="s">
        <v>2769</v>
      </c>
      <c r="R1206" s="5">
        <v>42317.216192129628</v>
      </c>
      <c r="S1206" s="5">
        <v>42929.392222222225</v>
      </c>
      <c r="T1206" t="s">
        <v>53</v>
      </c>
      <c r="U1206" t="s">
        <v>35</v>
      </c>
      <c r="V1206" s="3" t="s">
        <v>35</v>
      </c>
      <c r="W1206" s="3" t="s">
        <v>4155</v>
      </c>
      <c r="AM1206" s="5"/>
      <c r="AN1206" s="5"/>
      <c r="AQ1206" s="6"/>
    </row>
    <row r="1207" spans="2:43" x14ac:dyDescent="0.25">
      <c r="B1207" t="s">
        <v>2760</v>
      </c>
      <c r="C1207">
        <v>72288</v>
      </c>
      <c r="D1207" t="s">
        <v>2767</v>
      </c>
      <c r="E1207" t="s">
        <v>139</v>
      </c>
      <c r="F1207" t="s">
        <v>305</v>
      </c>
      <c r="G1207" t="s">
        <v>310</v>
      </c>
      <c r="H1207" t="s">
        <v>30</v>
      </c>
      <c r="I1207" t="s">
        <v>68</v>
      </c>
      <c r="J1207" t="s">
        <v>43</v>
      </c>
      <c r="K1207" t="s">
        <v>33</v>
      </c>
      <c r="L1207" t="s">
        <v>73</v>
      </c>
      <c r="M1207" t="s">
        <v>263</v>
      </c>
      <c r="N1207" t="s">
        <v>46</v>
      </c>
      <c r="P1207" t="s">
        <v>1634</v>
      </c>
      <c r="R1207" s="5">
        <v>42315.313368055555</v>
      </c>
      <c r="S1207" s="5">
        <v>42348.904722222222</v>
      </c>
      <c r="T1207" t="s">
        <v>317</v>
      </c>
      <c r="U1207" t="s">
        <v>35</v>
      </c>
      <c r="V1207" s="3" t="s">
        <v>35</v>
      </c>
      <c r="W1207" s="3" t="s">
        <v>85</v>
      </c>
      <c r="AM1207" s="5"/>
      <c r="AN1207" s="5"/>
      <c r="AQ1207" s="6"/>
    </row>
    <row r="1208" spans="2:43" x14ac:dyDescent="0.25">
      <c r="B1208" t="s">
        <v>2760</v>
      </c>
      <c r="C1208">
        <v>72287</v>
      </c>
      <c r="D1208" t="s">
        <v>2766</v>
      </c>
      <c r="E1208" t="s">
        <v>387</v>
      </c>
      <c r="F1208" t="s">
        <v>305</v>
      </c>
      <c r="G1208" t="s">
        <v>337</v>
      </c>
      <c r="H1208" t="s">
        <v>30</v>
      </c>
      <c r="I1208" t="s">
        <v>68</v>
      </c>
      <c r="J1208" t="s">
        <v>43</v>
      </c>
      <c r="K1208" t="s">
        <v>33</v>
      </c>
      <c r="L1208" t="s">
        <v>73</v>
      </c>
      <c r="M1208" t="s">
        <v>263</v>
      </c>
      <c r="N1208" t="s">
        <v>46</v>
      </c>
      <c r="P1208" t="s">
        <v>1634</v>
      </c>
      <c r="R1208" s="5">
        <v>42315.313263888886</v>
      </c>
      <c r="S1208" s="5">
        <v>42341.743645833332</v>
      </c>
      <c r="T1208" t="s">
        <v>317</v>
      </c>
      <c r="U1208" t="s">
        <v>35</v>
      </c>
      <c r="V1208" s="3" t="s">
        <v>35</v>
      </c>
      <c r="W1208" s="3" t="s">
        <v>3120</v>
      </c>
      <c r="AM1208" s="5"/>
      <c r="AN1208" s="5"/>
      <c r="AQ1208" s="6"/>
    </row>
    <row r="1209" spans="2:43" x14ac:dyDescent="0.25">
      <c r="B1209" t="s">
        <v>2760</v>
      </c>
      <c r="C1209">
        <v>72286</v>
      </c>
      <c r="D1209" t="s">
        <v>2765</v>
      </c>
      <c r="E1209" t="s">
        <v>387</v>
      </c>
      <c r="F1209" t="s">
        <v>305</v>
      </c>
      <c r="G1209" t="s">
        <v>310</v>
      </c>
      <c r="H1209" t="s">
        <v>30</v>
      </c>
      <c r="I1209" t="s">
        <v>31</v>
      </c>
      <c r="J1209" t="s">
        <v>43</v>
      </c>
      <c r="K1209" t="s">
        <v>44</v>
      </c>
      <c r="L1209" t="s">
        <v>73</v>
      </c>
      <c r="M1209" t="s">
        <v>263</v>
      </c>
      <c r="N1209" t="s">
        <v>46</v>
      </c>
      <c r="P1209" t="s">
        <v>1634</v>
      </c>
      <c r="R1209" s="5">
        <v>42315.31318287037</v>
      </c>
      <c r="S1209" s="5">
        <v>42678.644837962966</v>
      </c>
      <c r="T1209" t="s">
        <v>317</v>
      </c>
      <c r="U1209" t="s">
        <v>35</v>
      </c>
      <c r="V1209" s="3" t="s">
        <v>35</v>
      </c>
      <c r="W1209" s="3" t="s">
        <v>491</v>
      </c>
      <c r="AM1209" s="5"/>
      <c r="AN1209" s="5"/>
      <c r="AQ1209" s="6"/>
    </row>
    <row r="1210" spans="2:43" x14ac:dyDescent="0.25">
      <c r="B1210" t="s">
        <v>388</v>
      </c>
      <c r="C1210">
        <v>72285</v>
      </c>
      <c r="D1210" t="s">
        <v>2764</v>
      </c>
      <c r="E1210" t="s">
        <v>139</v>
      </c>
      <c r="F1210" t="s">
        <v>305</v>
      </c>
      <c r="G1210" t="s">
        <v>304</v>
      </c>
      <c r="H1210" t="s">
        <v>30</v>
      </c>
      <c r="I1210" t="s">
        <v>31</v>
      </c>
      <c r="J1210" t="s">
        <v>43</v>
      </c>
      <c r="K1210" t="s">
        <v>44</v>
      </c>
      <c r="L1210" t="s">
        <v>73</v>
      </c>
      <c r="M1210" t="s">
        <v>263</v>
      </c>
      <c r="N1210" t="s">
        <v>46</v>
      </c>
      <c r="P1210" t="s">
        <v>1634</v>
      </c>
      <c r="R1210" s="5">
        <v>42315.313090277778</v>
      </c>
      <c r="S1210" s="5">
        <v>42648.772013888891</v>
      </c>
      <c r="T1210" t="s">
        <v>317</v>
      </c>
      <c r="U1210" t="s">
        <v>35</v>
      </c>
      <c r="V1210" s="3" t="s">
        <v>35</v>
      </c>
      <c r="W1210" s="3" t="s">
        <v>133</v>
      </c>
      <c r="AM1210" s="5"/>
      <c r="AN1210" s="5"/>
      <c r="AQ1210" s="6"/>
    </row>
    <row r="1211" spans="2:43" x14ac:dyDescent="0.25">
      <c r="B1211" t="s">
        <v>388</v>
      </c>
      <c r="C1211">
        <v>72284</v>
      </c>
      <c r="D1211" t="s">
        <v>2763</v>
      </c>
      <c r="E1211" t="s">
        <v>139</v>
      </c>
      <c r="F1211" t="s">
        <v>305</v>
      </c>
      <c r="G1211" t="s">
        <v>304</v>
      </c>
      <c r="H1211" t="s">
        <v>30</v>
      </c>
      <c r="I1211" t="s">
        <v>31</v>
      </c>
      <c r="J1211" t="s">
        <v>43</v>
      </c>
      <c r="K1211" t="s">
        <v>44</v>
      </c>
      <c r="L1211" t="s">
        <v>73</v>
      </c>
      <c r="M1211" t="s">
        <v>263</v>
      </c>
      <c r="N1211" t="s">
        <v>60</v>
      </c>
      <c r="P1211" t="s">
        <v>1634</v>
      </c>
      <c r="R1211" s="5">
        <v>42315.312986111108</v>
      </c>
      <c r="S1211" s="5">
        <v>42871.69258101852</v>
      </c>
      <c r="T1211" t="s">
        <v>317</v>
      </c>
      <c r="U1211" t="s">
        <v>3959</v>
      </c>
      <c r="V1211" s="3" t="s">
        <v>35</v>
      </c>
      <c r="W1211" s="3" t="s">
        <v>65</v>
      </c>
      <c r="AM1211" s="5"/>
      <c r="AN1211" s="5"/>
      <c r="AQ1211" s="6"/>
    </row>
    <row r="1212" spans="2:43" x14ac:dyDescent="0.25">
      <c r="B1212" t="s">
        <v>2760</v>
      </c>
      <c r="C1212">
        <v>72283</v>
      </c>
      <c r="D1212" t="s">
        <v>2762</v>
      </c>
      <c r="E1212" t="s">
        <v>387</v>
      </c>
      <c r="F1212" t="s">
        <v>305</v>
      </c>
      <c r="G1212" t="s">
        <v>353</v>
      </c>
      <c r="H1212" t="s">
        <v>30</v>
      </c>
      <c r="I1212" t="s">
        <v>31</v>
      </c>
      <c r="J1212" t="s">
        <v>43</v>
      </c>
      <c r="K1212" t="s">
        <v>44</v>
      </c>
      <c r="L1212" t="s">
        <v>73</v>
      </c>
      <c r="M1212" t="s">
        <v>263</v>
      </c>
      <c r="N1212" t="s">
        <v>46</v>
      </c>
      <c r="P1212" t="s">
        <v>61</v>
      </c>
      <c r="R1212" s="5">
        <v>42315.31287037037</v>
      </c>
      <c r="S1212" s="5">
        <v>42678.643240740741</v>
      </c>
      <c r="T1212" t="s">
        <v>317</v>
      </c>
      <c r="U1212" t="s">
        <v>35</v>
      </c>
      <c r="V1212" s="3" t="s">
        <v>35</v>
      </c>
      <c r="W1212" s="3" t="s">
        <v>3028</v>
      </c>
      <c r="AM1212" s="5"/>
      <c r="AN1212" s="5"/>
      <c r="AQ1212" s="6"/>
    </row>
    <row r="1213" spans="2:43" x14ac:dyDescent="0.25">
      <c r="B1213" t="s">
        <v>2760</v>
      </c>
      <c r="C1213">
        <v>72282</v>
      </c>
      <c r="D1213" t="s">
        <v>2761</v>
      </c>
      <c r="E1213" t="s">
        <v>387</v>
      </c>
      <c r="F1213" t="s">
        <v>305</v>
      </c>
      <c r="G1213" t="s">
        <v>353</v>
      </c>
      <c r="H1213" t="s">
        <v>30</v>
      </c>
      <c r="I1213" t="s">
        <v>31</v>
      </c>
      <c r="J1213" t="s">
        <v>43</v>
      </c>
      <c r="K1213" t="s">
        <v>44</v>
      </c>
      <c r="L1213" t="s">
        <v>73</v>
      </c>
      <c r="M1213" t="s">
        <v>263</v>
      </c>
      <c r="N1213" t="s">
        <v>46</v>
      </c>
      <c r="P1213" t="s">
        <v>61</v>
      </c>
      <c r="R1213" s="5">
        <v>42315.3127662037</v>
      </c>
      <c r="S1213" s="5">
        <v>42678.643495370372</v>
      </c>
      <c r="T1213" t="s">
        <v>317</v>
      </c>
      <c r="U1213" t="s">
        <v>35</v>
      </c>
      <c r="V1213" s="3" t="s">
        <v>35</v>
      </c>
      <c r="W1213" s="3" t="s">
        <v>3039</v>
      </c>
      <c r="AM1213" s="5"/>
      <c r="AN1213" s="5"/>
      <c r="AQ1213" s="6"/>
    </row>
    <row r="1214" spans="2:43" x14ac:dyDescent="0.25">
      <c r="B1214" t="s">
        <v>388</v>
      </c>
      <c r="C1214">
        <v>72280</v>
      </c>
      <c r="D1214" t="s">
        <v>389</v>
      </c>
      <c r="E1214" t="s">
        <v>139</v>
      </c>
      <c r="F1214" t="s">
        <v>305</v>
      </c>
      <c r="G1214" t="s">
        <v>304</v>
      </c>
      <c r="H1214" t="s">
        <v>30</v>
      </c>
      <c r="I1214" t="s">
        <v>31</v>
      </c>
      <c r="J1214" t="s">
        <v>43</v>
      </c>
      <c r="K1214" t="s">
        <v>44</v>
      </c>
      <c r="L1214" t="s">
        <v>73</v>
      </c>
      <c r="M1214" t="s">
        <v>263</v>
      </c>
      <c r="N1214" t="s">
        <v>46</v>
      </c>
      <c r="P1214" t="s">
        <v>61</v>
      </c>
      <c r="R1214" s="5">
        <v>42314.939386574071</v>
      </c>
      <c r="S1214" s="5">
        <v>42871.69971064815</v>
      </c>
      <c r="T1214" t="s">
        <v>1</v>
      </c>
      <c r="U1214" t="s">
        <v>35</v>
      </c>
      <c r="V1214" s="3" t="s">
        <v>35</v>
      </c>
      <c r="W1214" s="3" t="s">
        <v>4098</v>
      </c>
      <c r="AM1214" s="5"/>
      <c r="AN1214" s="5"/>
      <c r="AQ1214" s="6"/>
    </row>
    <row r="1215" spans="2:43" x14ac:dyDescent="0.25">
      <c r="B1215" t="s">
        <v>2109</v>
      </c>
      <c r="C1215">
        <v>72142</v>
      </c>
      <c r="D1215" t="s">
        <v>2759</v>
      </c>
      <c r="E1215" t="s">
        <v>387</v>
      </c>
      <c r="F1215" t="s">
        <v>305</v>
      </c>
      <c r="G1215" t="s">
        <v>328</v>
      </c>
      <c r="H1215" t="s">
        <v>30</v>
      </c>
      <c r="I1215" t="s">
        <v>31</v>
      </c>
      <c r="J1215" t="s">
        <v>43</v>
      </c>
      <c r="K1215" t="s">
        <v>44</v>
      </c>
      <c r="L1215" t="s">
        <v>73</v>
      </c>
      <c r="M1215" t="s">
        <v>263</v>
      </c>
      <c r="N1215" t="s">
        <v>46</v>
      </c>
      <c r="P1215" t="s">
        <v>1634</v>
      </c>
      <c r="Q1215" t="s">
        <v>2112</v>
      </c>
      <c r="R1215" s="5">
        <v>42312.949212962965</v>
      </c>
      <c r="S1215" s="5">
        <v>42678.641585648147</v>
      </c>
      <c r="T1215" t="s">
        <v>2</v>
      </c>
      <c r="U1215" t="s">
        <v>35</v>
      </c>
      <c r="V1215" s="3" t="s">
        <v>35</v>
      </c>
      <c r="W1215" s="3" t="s">
        <v>3028</v>
      </c>
      <c r="AM1215" s="5"/>
      <c r="AN1215" s="5"/>
      <c r="AQ1215" s="6"/>
    </row>
    <row r="1216" spans="2:43" x14ac:dyDescent="0.25">
      <c r="B1216" t="s">
        <v>2750</v>
      </c>
      <c r="C1216">
        <v>72021</v>
      </c>
      <c r="D1216" t="s">
        <v>2758</v>
      </c>
      <c r="E1216" t="s">
        <v>1747</v>
      </c>
      <c r="F1216" t="s">
        <v>305</v>
      </c>
      <c r="G1216" t="s">
        <v>304</v>
      </c>
      <c r="H1216" t="s">
        <v>30</v>
      </c>
      <c r="I1216" t="s">
        <v>68</v>
      </c>
      <c r="J1216" t="s">
        <v>43</v>
      </c>
      <c r="K1216" t="s">
        <v>33</v>
      </c>
      <c r="L1216" t="s">
        <v>2529</v>
      </c>
      <c r="M1216" t="s">
        <v>266</v>
      </c>
      <c r="N1216" t="s">
        <v>46</v>
      </c>
      <c r="P1216" t="s">
        <v>65</v>
      </c>
      <c r="R1216" s="5">
        <v>42311.742523148147</v>
      </c>
      <c r="S1216" s="5">
        <v>42944.664907407408</v>
      </c>
      <c r="T1216" t="s">
        <v>288</v>
      </c>
      <c r="U1216" t="s">
        <v>35</v>
      </c>
      <c r="V1216" s="3" t="s">
        <v>35</v>
      </c>
      <c r="W1216" s="3" t="s">
        <v>69</v>
      </c>
      <c r="AM1216" s="5"/>
      <c r="AN1216" s="5"/>
      <c r="AQ1216" s="6"/>
    </row>
    <row r="1217" spans="2:43" x14ac:dyDescent="0.25">
      <c r="B1217" t="s">
        <v>2490</v>
      </c>
      <c r="C1217">
        <v>71909</v>
      </c>
      <c r="D1217" t="s">
        <v>2757</v>
      </c>
      <c r="E1217" t="s">
        <v>435</v>
      </c>
      <c r="F1217" t="s">
        <v>305</v>
      </c>
      <c r="G1217" t="s">
        <v>353</v>
      </c>
      <c r="H1217" t="s">
        <v>30</v>
      </c>
      <c r="I1217" t="s">
        <v>31</v>
      </c>
      <c r="J1217" t="s">
        <v>43</v>
      </c>
      <c r="K1217" t="s">
        <v>44</v>
      </c>
      <c r="L1217" t="s">
        <v>380</v>
      </c>
      <c r="M1217" t="s">
        <v>379</v>
      </c>
      <c r="N1217" t="s">
        <v>46</v>
      </c>
      <c r="P1217" t="s">
        <v>47</v>
      </c>
      <c r="R1217" s="5">
        <v>42310.313078703701</v>
      </c>
      <c r="S1217" s="5">
        <v>42678.641574074078</v>
      </c>
      <c r="T1217" t="s">
        <v>317</v>
      </c>
      <c r="U1217" t="s">
        <v>35</v>
      </c>
      <c r="V1217" s="3" t="s">
        <v>35</v>
      </c>
      <c r="W1217" s="3" t="s">
        <v>133</v>
      </c>
      <c r="AM1217" s="5"/>
      <c r="AN1217" s="5"/>
      <c r="AQ1217" s="6"/>
    </row>
    <row r="1218" spans="2:43" x14ac:dyDescent="0.25">
      <c r="B1218" t="s">
        <v>2490</v>
      </c>
      <c r="C1218">
        <v>71908</v>
      </c>
      <c r="D1218" t="s">
        <v>2756</v>
      </c>
      <c r="E1218" t="s">
        <v>435</v>
      </c>
      <c r="F1218" t="s">
        <v>305</v>
      </c>
      <c r="G1218" t="s">
        <v>353</v>
      </c>
      <c r="H1218" t="s">
        <v>30</v>
      </c>
      <c r="I1218" t="s">
        <v>31</v>
      </c>
      <c r="J1218" t="s">
        <v>43</v>
      </c>
      <c r="K1218" t="s">
        <v>44</v>
      </c>
      <c r="L1218" t="s">
        <v>380</v>
      </c>
      <c r="M1218" t="s">
        <v>379</v>
      </c>
      <c r="N1218" t="s">
        <v>46</v>
      </c>
      <c r="P1218" t="s">
        <v>47</v>
      </c>
      <c r="R1218" s="5">
        <v>42310.312986111108</v>
      </c>
      <c r="S1218" s="5">
        <v>42678.641817129632</v>
      </c>
      <c r="T1218" t="s">
        <v>317</v>
      </c>
      <c r="U1218" t="s">
        <v>35</v>
      </c>
      <c r="V1218" s="3" t="s">
        <v>35</v>
      </c>
      <c r="W1218" s="3" t="s">
        <v>65</v>
      </c>
      <c r="AM1218" s="5"/>
      <c r="AN1218" s="5"/>
      <c r="AQ1218" s="6"/>
    </row>
    <row r="1219" spans="2:43" x14ac:dyDescent="0.25">
      <c r="B1219" t="s">
        <v>2490</v>
      </c>
      <c r="C1219">
        <v>71907</v>
      </c>
      <c r="D1219" t="s">
        <v>2755</v>
      </c>
      <c r="E1219" t="s">
        <v>301</v>
      </c>
      <c r="F1219" t="s">
        <v>305</v>
      </c>
      <c r="G1219" t="s">
        <v>310</v>
      </c>
      <c r="H1219" t="s">
        <v>30</v>
      </c>
      <c r="I1219" t="s">
        <v>31</v>
      </c>
      <c r="J1219" t="s">
        <v>43</v>
      </c>
      <c r="K1219" t="s">
        <v>44</v>
      </c>
      <c r="L1219" t="s">
        <v>380</v>
      </c>
      <c r="M1219" t="s">
        <v>379</v>
      </c>
      <c r="N1219" t="s">
        <v>46</v>
      </c>
      <c r="P1219" t="s">
        <v>47</v>
      </c>
      <c r="R1219" s="5">
        <v>42310.312893518516</v>
      </c>
      <c r="S1219" s="5">
        <v>42678.641840277778</v>
      </c>
      <c r="T1219" t="s">
        <v>317</v>
      </c>
      <c r="U1219" t="s">
        <v>35</v>
      </c>
      <c r="V1219" s="3" t="s">
        <v>35</v>
      </c>
      <c r="W1219" s="3" t="s">
        <v>4153</v>
      </c>
      <c r="AM1219" s="5"/>
      <c r="AN1219" s="5"/>
      <c r="AQ1219" s="6"/>
    </row>
    <row r="1220" spans="2:43" x14ac:dyDescent="0.25">
      <c r="B1220" t="s">
        <v>2490</v>
      </c>
      <c r="C1220">
        <v>71898</v>
      </c>
      <c r="D1220" t="s">
        <v>2754</v>
      </c>
      <c r="E1220" t="s">
        <v>435</v>
      </c>
      <c r="F1220" t="s">
        <v>305</v>
      </c>
      <c r="G1220" t="s">
        <v>353</v>
      </c>
      <c r="H1220" t="s">
        <v>30</v>
      </c>
      <c r="I1220" t="s">
        <v>31</v>
      </c>
      <c r="J1220" t="s">
        <v>43</v>
      </c>
      <c r="K1220" t="s">
        <v>44</v>
      </c>
      <c r="L1220" t="s">
        <v>380</v>
      </c>
      <c r="M1220" t="s">
        <v>379</v>
      </c>
      <c r="N1220" t="s">
        <v>46</v>
      </c>
      <c r="P1220" t="s">
        <v>47</v>
      </c>
      <c r="R1220" s="5">
        <v>42310.190335648149</v>
      </c>
      <c r="S1220" s="5">
        <v>42678.641863425924</v>
      </c>
      <c r="T1220" t="s">
        <v>4</v>
      </c>
      <c r="U1220" t="s">
        <v>35</v>
      </c>
      <c r="V1220" s="3" t="s">
        <v>35</v>
      </c>
      <c r="W1220" s="3" t="s">
        <v>4098</v>
      </c>
      <c r="AM1220" s="5"/>
      <c r="AN1220" s="5"/>
      <c r="AQ1220" s="6"/>
    </row>
    <row r="1221" spans="2:43" x14ac:dyDescent="0.25">
      <c r="B1221" t="s">
        <v>2750</v>
      </c>
      <c r="C1221">
        <v>71701</v>
      </c>
      <c r="D1221" t="s">
        <v>2753</v>
      </c>
      <c r="E1221" t="s">
        <v>296</v>
      </c>
      <c r="F1221" t="s">
        <v>305</v>
      </c>
      <c r="G1221" t="s">
        <v>337</v>
      </c>
      <c r="H1221" t="s">
        <v>30</v>
      </c>
      <c r="I1221" t="s">
        <v>68</v>
      </c>
      <c r="J1221" t="s">
        <v>43</v>
      </c>
      <c r="K1221" t="s">
        <v>33</v>
      </c>
      <c r="L1221" t="s">
        <v>2529</v>
      </c>
      <c r="M1221" t="s">
        <v>266</v>
      </c>
      <c r="N1221" t="s">
        <v>46</v>
      </c>
      <c r="P1221" t="s">
        <v>65</v>
      </c>
      <c r="R1221" s="5">
        <v>42305.613194444442</v>
      </c>
      <c r="S1221" s="5">
        <v>42831.634641203702</v>
      </c>
      <c r="T1221" t="s">
        <v>288</v>
      </c>
      <c r="U1221" t="s">
        <v>35</v>
      </c>
      <c r="V1221" s="3" t="s">
        <v>35</v>
      </c>
      <c r="W1221" s="3" t="s">
        <v>133</v>
      </c>
      <c r="AM1221" s="5"/>
      <c r="AN1221" s="5"/>
      <c r="AQ1221" s="6"/>
    </row>
    <row r="1222" spans="2:43" x14ac:dyDescent="0.25">
      <c r="B1222" t="s">
        <v>2750</v>
      </c>
      <c r="C1222">
        <v>71700</v>
      </c>
      <c r="D1222" t="s">
        <v>2752</v>
      </c>
      <c r="E1222" t="s">
        <v>296</v>
      </c>
      <c r="F1222" t="s">
        <v>305</v>
      </c>
      <c r="G1222" t="s">
        <v>337</v>
      </c>
      <c r="H1222" t="s">
        <v>30</v>
      </c>
      <c r="I1222" t="s">
        <v>68</v>
      </c>
      <c r="J1222" t="s">
        <v>43</v>
      </c>
      <c r="K1222" t="s">
        <v>33</v>
      </c>
      <c r="L1222" t="s">
        <v>2529</v>
      </c>
      <c r="M1222" t="s">
        <v>266</v>
      </c>
      <c r="N1222" t="s">
        <v>46</v>
      </c>
      <c r="P1222" t="s">
        <v>65</v>
      </c>
      <c r="R1222" s="5">
        <v>42305.61309027778</v>
      </c>
      <c r="S1222" s="5">
        <v>42831.634363425925</v>
      </c>
      <c r="T1222" t="s">
        <v>288</v>
      </c>
      <c r="U1222" t="s">
        <v>35</v>
      </c>
      <c r="V1222" s="3" t="s">
        <v>35</v>
      </c>
      <c r="W1222" s="3" t="s">
        <v>65</v>
      </c>
      <c r="AM1222" s="5"/>
      <c r="AN1222" s="5"/>
      <c r="AQ1222" s="6"/>
    </row>
    <row r="1223" spans="2:43" x14ac:dyDescent="0.25">
      <c r="B1223" t="s">
        <v>2750</v>
      </c>
      <c r="C1223">
        <v>71692</v>
      </c>
      <c r="D1223" t="s">
        <v>2751</v>
      </c>
      <c r="E1223" t="s">
        <v>296</v>
      </c>
      <c r="F1223" t="s">
        <v>305</v>
      </c>
      <c r="G1223" t="s">
        <v>304</v>
      </c>
      <c r="H1223" t="s">
        <v>30</v>
      </c>
      <c r="I1223" t="s">
        <v>68</v>
      </c>
      <c r="J1223" t="s">
        <v>43</v>
      </c>
      <c r="K1223" t="s">
        <v>33</v>
      </c>
      <c r="L1223" t="s">
        <v>2529</v>
      </c>
      <c r="M1223" t="s">
        <v>266</v>
      </c>
      <c r="N1223" t="s">
        <v>46</v>
      </c>
      <c r="P1223" t="s">
        <v>65</v>
      </c>
      <c r="R1223" s="5">
        <v>42305.53638888889</v>
      </c>
      <c r="S1223" s="5">
        <v>43187.1562037037</v>
      </c>
      <c r="T1223" t="s">
        <v>1747</v>
      </c>
      <c r="U1223" t="s">
        <v>35</v>
      </c>
      <c r="V1223" s="3" t="s">
        <v>35</v>
      </c>
      <c r="W1223" s="3" t="s">
        <v>4098</v>
      </c>
      <c r="AM1223" s="5"/>
      <c r="AN1223" s="5"/>
      <c r="AQ1223" s="6"/>
    </row>
    <row r="1224" spans="2:43" x14ac:dyDescent="0.25">
      <c r="B1224" t="s">
        <v>2436</v>
      </c>
      <c r="C1224">
        <v>71543</v>
      </c>
      <c r="D1224" t="s">
        <v>2747</v>
      </c>
      <c r="E1224" t="s">
        <v>139</v>
      </c>
      <c r="F1224" t="s">
        <v>305</v>
      </c>
      <c r="G1224" t="s">
        <v>304</v>
      </c>
      <c r="H1224" t="s">
        <v>30</v>
      </c>
      <c r="I1224" t="s">
        <v>68</v>
      </c>
      <c r="J1224" t="s">
        <v>43</v>
      </c>
      <c r="K1224" t="s">
        <v>33</v>
      </c>
      <c r="L1224" t="s">
        <v>73</v>
      </c>
      <c r="M1224" t="s">
        <v>263</v>
      </c>
      <c r="N1224" t="s">
        <v>46</v>
      </c>
      <c r="O1224" t="s">
        <v>2748</v>
      </c>
      <c r="P1224" t="s">
        <v>491</v>
      </c>
      <c r="Q1224" t="s">
        <v>2749</v>
      </c>
      <c r="R1224" s="5">
        <v>42303.819490740738</v>
      </c>
      <c r="S1224" s="5">
        <v>42648.76840277778</v>
      </c>
      <c r="T1224" t="s">
        <v>317</v>
      </c>
      <c r="U1224" t="s">
        <v>35</v>
      </c>
      <c r="V1224" s="3" t="s">
        <v>35</v>
      </c>
      <c r="W1224" s="3" t="s">
        <v>3233</v>
      </c>
      <c r="AM1224" s="5"/>
      <c r="AN1224" s="5"/>
      <c r="AQ1224" s="6"/>
    </row>
    <row r="1225" spans="2:43" x14ac:dyDescent="0.25">
      <c r="B1225" t="s">
        <v>2720</v>
      </c>
      <c r="C1225">
        <v>71542</v>
      </c>
      <c r="D1225" t="s">
        <v>2746</v>
      </c>
      <c r="E1225" t="s">
        <v>361</v>
      </c>
      <c r="F1225" t="s">
        <v>305</v>
      </c>
      <c r="G1225" t="s">
        <v>328</v>
      </c>
      <c r="H1225" t="s">
        <v>30</v>
      </c>
      <c r="I1225" t="s">
        <v>31</v>
      </c>
      <c r="J1225" t="s">
        <v>43</v>
      </c>
      <c r="K1225" t="s">
        <v>44</v>
      </c>
      <c r="L1225" t="s">
        <v>73</v>
      </c>
      <c r="M1225" t="s">
        <v>263</v>
      </c>
      <c r="N1225" t="s">
        <v>46</v>
      </c>
      <c r="P1225" t="s">
        <v>2121</v>
      </c>
      <c r="Q1225" t="s">
        <v>2722</v>
      </c>
      <c r="R1225" s="5">
        <v>42303.819178240738</v>
      </c>
      <c r="S1225" s="5">
        <v>42394.276053240741</v>
      </c>
      <c r="T1225" t="s">
        <v>317</v>
      </c>
      <c r="U1225" t="s">
        <v>35</v>
      </c>
      <c r="V1225" s="3" t="s">
        <v>35</v>
      </c>
      <c r="W1225" s="3" t="s">
        <v>3233</v>
      </c>
      <c r="AM1225" s="5"/>
      <c r="AN1225" s="5"/>
      <c r="AQ1225" s="6"/>
    </row>
    <row r="1226" spans="2:43" x14ac:dyDescent="0.25">
      <c r="B1226" t="s">
        <v>3846</v>
      </c>
      <c r="C1226">
        <v>71481</v>
      </c>
      <c r="D1226" t="s">
        <v>3881</v>
      </c>
      <c r="E1226" t="s">
        <v>371</v>
      </c>
      <c r="F1226" t="s">
        <v>305</v>
      </c>
      <c r="G1226" t="s">
        <v>304</v>
      </c>
      <c r="H1226" t="s">
        <v>56</v>
      </c>
      <c r="I1226" t="s">
        <v>68</v>
      </c>
      <c r="J1226" t="s">
        <v>43</v>
      </c>
      <c r="K1226" t="s">
        <v>33</v>
      </c>
      <c r="L1226" t="s">
        <v>34</v>
      </c>
      <c r="M1226" t="s">
        <v>368</v>
      </c>
      <c r="N1226" t="s">
        <v>46</v>
      </c>
      <c r="P1226" t="s">
        <v>56</v>
      </c>
      <c r="R1226" s="5">
        <v>42301.612534722219</v>
      </c>
      <c r="S1226" s="5">
        <v>42313.640416666669</v>
      </c>
      <c r="T1226" t="s">
        <v>1917</v>
      </c>
      <c r="U1226" t="s">
        <v>35</v>
      </c>
      <c r="V1226" s="3" t="s">
        <v>35</v>
      </c>
      <c r="W1226" s="3" t="s">
        <v>2475</v>
      </c>
      <c r="AM1226" s="5"/>
      <c r="AN1226" s="5"/>
      <c r="AQ1226" s="6"/>
    </row>
    <row r="1227" spans="2:43" x14ac:dyDescent="0.25">
      <c r="B1227" t="s">
        <v>2743</v>
      </c>
      <c r="C1227">
        <v>71343</v>
      </c>
      <c r="D1227" t="s">
        <v>2745</v>
      </c>
      <c r="E1227" t="s">
        <v>94</v>
      </c>
      <c r="F1227" t="s">
        <v>305</v>
      </c>
      <c r="G1227" t="s">
        <v>304</v>
      </c>
      <c r="H1227" t="s">
        <v>30</v>
      </c>
      <c r="I1227" t="s">
        <v>31</v>
      </c>
      <c r="J1227" t="s">
        <v>32</v>
      </c>
      <c r="K1227" t="s">
        <v>51</v>
      </c>
      <c r="L1227" t="s">
        <v>73</v>
      </c>
      <c r="M1227" t="s">
        <v>263</v>
      </c>
      <c r="N1227" t="s">
        <v>518</v>
      </c>
      <c r="P1227" t="s">
        <v>47</v>
      </c>
      <c r="Q1227" t="s">
        <v>2481</v>
      </c>
      <c r="R1227" s="5">
        <v>42298.771145833336</v>
      </c>
      <c r="S1227" s="5">
        <v>42648.762685185182</v>
      </c>
      <c r="T1227" t="s">
        <v>317</v>
      </c>
      <c r="U1227" t="s">
        <v>3958</v>
      </c>
      <c r="V1227" s="3" t="s">
        <v>321</v>
      </c>
      <c r="W1227" s="3" t="s">
        <v>133</v>
      </c>
      <c r="AM1227" s="5"/>
      <c r="AN1227" s="5"/>
      <c r="AQ1227" s="6"/>
    </row>
    <row r="1228" spans="2:43" x14ac:dyDescent="0.25">
      <c r="B1228" t="s">
        <v>2743</v>
      </c>
      <c r="C1228">
        <v>71342</v>
      </c>
      <c r="D1228" t="s">
        <v>2744</v>
      </c>
      <c r="E1228" t="s">
        <v>94</v>
      </c>
      <c r="F1228" t="s">
        <v>305</v>
      </c>
      <c r="G1228" t="s">
        <v>337</v>
      </c>
      <c r="H1228" t="s">
        <v>30</v>
      </c>
      <c r="I1228" t="s">
        <v>31</v>
      </c>
      <c r="J1228" t="s">
        <v>32</v>
      </c>
      <c r="K1228" t="s">
        <v>51</v>
      </c>
      <c r="L1228" t="s">
        <v>73</v>
      </c>
      <c r="M1228" t="s">
        <v>263</v>
      </c>
      <c r="N1228" t="s">
        <v>60</v>
      </c>
      <c r="P1228" t="s">
        <v>47</v>
      </c>
      <c r="Q1228" t="s">
        <v>394</v>
      </c>
      <c r="R1228" s="5">
        <v>42298.771087962959</v>
      </c>
      <c r="S1228" s="5">
        <v>42678.646238425928</v>
      </c>
      <c r="T1228" t="s">
        <v>317</v>
      </c>
      <c r="U1228" t="s">
        <v>35</v>
      </c>
      <c r="V1228" s="3" t="s">
        <v>321</v>
      </c>
      <c r="W1228" s="3" t="s">
        <v>65</v>
      </c>
      <c r="AM1228" s="5"/>
      <c r="AN1228" s="5"/>
      <c r="AQ1228" s="6"/>
    </row>
    <row r="1229" spans="2:43" x14ac:dyDescent="0.25">
      <c r="B1229" t="s">
        <v>2743</v>
      </c>
      <c r="C1229">
        <v>71325</v>
      </c>
      <c r="D1229" t="s">
        <v>390</v>
      </c>
      <c r="E1229" t="s">
        <v>94</v>
      </c>
      <c r="F1229" t="s">
        <v>305</v>
      </c>
      <c r="G1229" t="s">
        <v>304</v>
      </c>
      <c r="H1229" t="s">
        <v>30</v>
      </c>
      <c r="I1229" t="s">
        <v>31</v>
      </c>
      <c r="J1229" t="s">
        <v>32</v>
      </c>
      <c r="K1229" t="s">
        <v>51</v>
      </c>
      <c r="L1229" t="s">
        <v>73</v>
      </c>
      <c r="M1229" t="s">
        <v>273</v>
      </c>
      <c r="N1229" t="s">
        <v>46</v>
      </c>
      <c r="P1229" t="s">
        <v>47</v>
      </c>
      <c r="Q1229" t="s">
        <v>65</v>
      </c>
      <c r="R1229" s="5">
        <v>42298.649548611109</v>
      </c>
      <c r="S1229" s="5">
        <v>42871.7</v>
      </c>
      <c r="T1229" t="s">
        <v>48</v>
      </c>
      <c r="U1229" t="s">
        <v>35</v>
      </c>
      <c r="V1229" s="3" t="s">
        <v>321</v>
      </c>
      <c r="W1229" s="3" t="s">
        <v>4098</v>
      </c>
      <c r="AM1229" s="5"/>
      <c r="AN1229" s="5"/>
      <c r="AQ1229" s="6"/>
    </row>
    <row r="1230" spans="2:43" x14ac:dyDescent="0.25">
      <c r="B1230" t="s">
        <v>2506</v>
      </c>
      <c r="C1230">
        <v>71247</v>
      </c>
      <c r="D1230" t="s">
        <v>2739</v>
      </c>
      <c r="E1230" t="s">
        <v>2740</v>
      </c>
      <c r="F1230" t="s">
        <v>305</v>
      </c>
      <c r="G1230" t="s">
        <v>304</v>
      </c>
      <c r="H1230" t="s">
        <v>54</v>
      </c>
      <c r="I1230" t="s">
        <v>31</v>
      </c>
      <c r="J1230" t="s">
        <v>32</v>
      </c>
      <c r="K1230" t="s">
        <v>51</v>
      </c>
      <c r="L1230" t="s">
        <v>34</v>
      </c>
      <c r="M1230" t="s">
        <v>1853</v>
      </c>
      <c r="N1230" t="s">
        <v>2508</v>
      </c>
      <c r="O1230" t="s">
        <v>2741</v>
      </c>
      <c r="P1230" t="s">
        <v>2216</v>
      </c>
      <c r="R1230" s="5">
        <v>42297.556990740741</v>
      </c>
      <c r="S1230" s="5">
        <v>42404.472870370373</v>
      </c>
      <c r="T1230" t="s">
        <v>2742</v>
      </c>
      <c r="U1230" t="s">
        <v>35</v>
      </c>
      <c r="V1230" s="3" t="s">
        <v>35</v>
      </c>
      <c r="W1230" s="3" t="s">
        <v>3120</v>
      </c>
      <c r="AM1230" s="5"/>
      <c r="AN1230" s="5"/>
      <c r="AQ1230" s="6"/>
    </row>
    <row r="1231" spans="2:43" x14ac:dyDescent="0.25">
      <c r="B1231" t="s">
        <v>2736</v>
      </c>
      <c r="C1231">
        <v>71191</v>
      </c>
      <c r="D1231" t="s">
        <v>2738</v>
      </c>
      <c r="E1231" t="s">
        <v>376</v>
      </c>
      <c r="F1231" t="s">
        <v>305</v>
      </c>
      <c r="G1231" t="s">
        <v>304</v>
      </c>
      <c r="H1231" t="s">
        <v>30</v>
      </c>
      <c r="I1231" t="s">
        <v>68</v>
      </c>
      <c r="J1231" t="s">
        <v>43</v>
      </c>
      <c r="K1231" t="s">
        <v>33</v>
      </c>
      <c r="L1231" t="s">
        <v>34</v>
      </c>
      <c r="M1231" t="s">
        <v>2179</v>
      </c>
      <c r="N1231" t="s">
        <v>46</v>
      </c>
      <c r="P1231" t="s">
        <v>1634</v>
      </c>
      <c r="Q1231" t="s">
        <v>2416</v>
      </c>
      <c r="R1231" s="5">
        <v>42296.844363425924</v>
      </c>
      <c r="S1231" s="5">
        <v>42801.452557870369</v>
      </c>
      <c r="T1231" t="s">
        <v>376</v>
      </c>
      <c r="U1231" t="s">
        <v>35</v>
      </c>
      <c r="V1231" s="3" t="s">
        <v>35</v>
      </c>
      <c r="W1231" s="3" t="s">
        <v>4133</v>
      </c>
      <c r="AM1231" s="5"/>
      <c r="AN1231" s="5"/>
      <c r="AQ1231" s="6"/>
    </row>
    <row r="1232" spans="2:43" x14ac:dyDescent="0.25">
      <c r="B1232" t="s">
        <v>2736</v>
      </c>
      <c r="C1232">
        <v>71190</v>
      </c>
      <c r="D1232" t="s">
        <v>2737</v>
      </c>
      <c r="E1232" t="s">
        <v>376</v>
      </c>
      <c r="F1232" t="s">
        <v>305</v>
      </c>
      <c r="G1232" t="s">
        <v>304</v>
      </c>
      <c r="H1232" t="s">
        <v>30</v>
      </c>
      <c r="I1232" t="s">
        <v>68</v>
      </c>
      <c r="J1232" t="s">
        <v>43</v>
      </c>
      <c r="K1232" t="s">
        <v>33</v>
      </c>
      <c r="L1232" t="s">
        <v>34</v>
      </c>
      <c r="M1232" t="s">
        <v>2179</v>
      </c>
      <c r="N1232" t="s">
        <v>46</v>
      </c>
      <c r="P1232" t="s">
        <v>1634</v>
      </c>
      <c r="R1232" s="5">
        <v>42296.84238425926</v>
      </c>
      <c r="S1232" s="5">
        <v>43187.156145833331</v>
      </c>
      <c r="T1232" t="s">
        <v>376</v>
      </c>
      <c r="U1232" t="s">
        <v>35</v>
      </c>
      <c r="V1232" s="3" t="s">
        <v>35</v>
      </c>
      <c r="W1232" s="3" t="s">
        <v>4098</v>
      </c>
      <c r="AM1232" s="5"/>
      <c r="AN1232" s="5"/>
      <c r="AQ1232" s="6"/>
    </row>
    <row r="1233" spans="2:43" x14ac:dyDescent="0.25">
      <c r="B1233" t="s">
        <v>2733</v>
      </c>
      <c r="C1233">
        <v>70716</v>
      </c>
      <c r="D1233" t="s">
        <v>2734</v>
      </c>
      <c r="E1233" t="s">
        <v>84</v>
      </c>
      <c r="F1233" t="s">
        <v>305</v>
      </c>
      <c r="G1233" t="s">
        <v>328</v>
      </c>
      <c r="H1233" t="s">
        <v>54</v>
      </c>
      <c r="I1233" t="s">
        <v>68</v>
      </c>
      <c r="J1233" t="s">
        <v>32</v>
      </c>
      <c r="K1233" t="s">
        <v>33</v>
      </c>
      <c r="L1233" t="s">
        <v>73</v>
      </c>
      <c r="M1233" t="s">
        <v>263</v>
      </c>
      <c r="N1233" t="s">
        <v>2508</v>
      </c>
      <c r="P1233" t="s">
        <v>491</v>
      </c>
      <c r="Q1233" t="s">
        <v>2735</v>
      </c>
      <c r="R1233" s="5">
        <v>42290.272291666668</v>
      </c>
      <c r="S1233" s="5">
        <v>42683.240358796298</v>
      </c>
      <c r="T1233" t="s">
        <v>2509</v>
      </c>
      <c r="U1233" t="s">
        <v>35</v>
      </c>
      <c r="V1233" s="3" t="s">
        <v>321</v>
      </c>
      <c r="W1233" s="3" t="s">
        <v>4098</v>
      </c>
      <c r="AM1233" s="5"/>
      <c r="AN1233" s="5"/>
      <c r="AQ1233" s="6"/>
    </row>
    <row r="1234" spans="2:43" x14ac:dyDescent="0.25">
      <c r="B1234" t="s">
        <v>2727</v>
      </c>
      <c r="C1234">
        <v>70570</v>
      </c>
      <c r="D1234" t="s">
        <v>2728</v>
      </c>
      <c r="E1234" t="s">
        <v>2729</v>
      </c>
      <c r="F1234" t="s">
        <v>305</v>
      </c>
      <c r="G1234" t="s">
        <v>304</v>
      </c>
      <c r="H1234" t="s">
        <v>54</v>
      </c>
      <c r="I1234" t="s">
        <v>31</v>
      </c>
      <c r="J1234" t="s">
        <v>32</v>
      </c>
      <c r="K1234" t="s">
        <v>51</v>
      </c>
      <c r="L1234" t="s">
        <v>45</v>
      </c>
      <c r="M1234" t="s">
        <v>260</v>
      </c>
      <c r="N1234" t="s">
        <v>55</v>
      </c>
      <c r="O1234" t="s">
        <v>2730</v>
      </c>
      <c r="P1234" t="s">
        <v>56</v>
      </c>
      <c r="Q1234" t="s">
        <v>2731</v>
      </c>
      <c r="R1234" s="5">
        <v>42286.252615740741</v>
      </c>
      <c r="S1234" s="5">
        <v>43187.156006944446</v>
      </c>
      <c r="T1234" t="s">
        <v>2732</v>
      </c>
      <c r="U1234" t="s">
        <v>35</v>
      </c>
      <c r="V1234" s="3" t="s">
        <v>35</v>
      </c>
      <c r="W1234" s="3" t="s">
        <v>4098</v>
      </c>
      <c r="AM1234" s="5"/>
      <c r="AN1234" s="5"/>
      <c r="AQ1234" s="6"/>
    </row>
    <row r="1235" spans="2:43" x14ac:dyDescent="0.25">
      <c r="B1235" t="s">
        <v>2720</v>
      </c>
      <c r="C1235">
        <v>70112</v>
      </c>
      <c r="D1235" t="s">
        <v>2726</v>
      </c>
      <c r="E1235" t="s">
        <v>2225</v>
      </c>
      <c r="F1235" t="s">
        <v>305</v>
      </c>
      <c r="G1235" t="s">
        <v>337</v>
      </c>
      <c r="H1235" t="s">
        <v>30</v>
      </c>
      <c r="I1235" t="s">
        <v>68</v>
      </c>
      <c r="J1235" t="s">
        <v>43</v>
      </c>
      <c r="K1235" t="s">
        <v>33</v>
      </c>
      <c r="L1235" t="s">
        <v>73</v>
      </c>
      <c r="M1235" t="s">
        <v>263</v>
      </c>
      <c r="N1235" t="s">
        <v>46</v>
      </c>
      <c r="P1235" t="s">
        <v>2121</v>
      </c>
      <c r="Q1235" t="s">
        <v>2722</v>
      </c>
      <c r="R1235" s="5">
        <v>42278.696030092593</v>
      </c>
      <c r="S1235" s="5">
        <v>42303.826747685183</v>
      </c>
      <c r="T1235" t="s">
        <v>317</v>
      </c>
      <c r="U1235" t="s">
        <v>35</v>
      </c>
      <c r="V1235" s="3" t="s">
        <v>35</v>
      </c>
      <c r="W1235" s="3" t="s">
        <v>85</v>
      </c>
      <c r="AM1235" s="5"/>
      <c r="AN1235" s="5"/>
      <c r="AQ1235" s="6"/>
    </row>
    <row r="1236" spans="2:43" x14ac:dyDescent="0.25">
      <c r="B1236" t="s">
        <v>2720</v>
      </c>
      <c r="C1236">
        <v>70111</v>
      </c>
      <c r="D1236" t="s">
        <v>2725</v>
      </c>
      <c r="E1236" t="s">
        <v>2225</v>
      </c>
      <c r="F1236" t="s">
        <v>305</v>
      </c>
      <c r="G1236" t="s">
        <v>337</v>
      </c>
      <c r="H1236" t="s">
        <v>30</v>
      </c>
      <c r="I1236" t="s">
        <v>68</v>
      </c>
      <c r="J1236" t="s">
        <v>43</v>
      </c>
      <c r="K1236" t="s">
        <v>33</v>
      </c>
      <c r="L1236" t="s">
        <v>73</v>
      </c>
      <c r="M1236" t="s">
        <v>263</v>
      </c>
      <c r="N1236" t="s">
        <v>46</v>
      </c>
      <c r="O1236" t="s">
        <v>2440</v>
      </c>
      <c r="P1236" t="s">
        <v>2121</v>
      </c>
      <c r="Q1236" t="s">
        <v>2722</v>
      </c>
      <c r="R1236" s="5">
        <v>42278.695937500001</v>
      </c>
      <c r="S1236" s="5">
        <v>42293.896099537036</v>
      </c>
      <c r="T1236" t="s">
        <v>317</v>
      </c>
      <c r="U1236" t="s">
        <v>35</v>
      </c>
      <c r="V1236" s="3" t="s">
        <v>35</v>
      </c>
      <c r="W1236" s="3" t="s">
        <v>4144</v>
      </c>
      <c r="AM1236" s="5"/>
      <c r="AN1236" s="5"/>
      <c r="AQ1236" s="6"/>
    </row>
    <row r="1237" spans="2:43" x14ac:dyDescent="0.25">
      <c r="B1237" t="s">
        <v>2720</v>
      </c>
      <c r="C1237">
        <v>70110</v>
      </c>
      <c r="D1237" t="s">
        <v>2724</v>
      </c>
      <c r="E1237" t="s">
        <v>2225</v>
      </c>
      <c r="F1237" t="s">
        <v>305</v>
      </c>
      <c r="G1237" t="s">
        <v>328</v>
      </c>
      <c r="H1237" t="s">
        <v>30</v>
      </c>
      <c r="I1237" t="s">
        <v>68</v>
      </c>
      <c r="J1237" t="s">
        <v>43</v>
      </c>
      <c r="K1237" t="s">
        <v>33</v>
      </c>
      <c r="L1237" t="s">
        <v>73</v>
      </c>
      <c r="M1237" t="s">
        <v>263</v>
      </c>
      <c r="N1237" t="s">
        <v>46</v>
      </c>
      <c r="P1237" t="s">
        <v>2121</v>
      </c>
      <c r="Q1237" t="s">
        <v>2722</v>
      </c>
      <c r="R1237" s="5">
        <v>42278.695844907408</v>
      </c>
      <c r="S1237" s="5">
        <v>42678.64266203704</v>
      </c>
      <c r="T1237" t="s">
        <v>317</v>
      </c>
      <c r="U1237" t="s">
        <v>35</v>
      </c>
      <c r="V1237" s="3" t="s">
        <v>35</v>
      </c>
      <c r="W1237" s="3" t="s">
        <v>491</v>
      </c>
      <c r="AM1237" s="5"/>
      <c r="AN1237" s="5"/>
      <c r="AQ1237" s="6"/>
    </row>
    <row r="1238" spans="2:43" x14ac:dyDescent="0.25">
      <c r="B1238" t="s">
        <v>2720</v>
      </c>
      <c r="C1238">
        <v>70109</v>
      </c>
      <c r="D1238" t="s">
        <v>2723</v>
      </c>
      <c r="E1238" t="s">
        <v>2225</v>
      </c>
      <c r="F1238" t="s">
        <v>305</v>
      </c>
      <c r="G1238" t="s">
        <v>328</v>
      </c>
      <c r="H1238" t="s">
        <v>30</v>
      </c>
      <c r="I1238" t="s">
        <v>31</v>
      </c>
      <c r="J1238" t="s">
        <v>43</v>
      </c>
      <c r="K1238" t="s">
        <v>44</v>
      </c>
      <c r="L1238" t="s">
        <v>73</v>
      </c>
      <c r="M1238" t="s">
        <v>263</v>
      </c>
      <c r="N1238" t="s">
        <v>46</v>
      </c>
      <c r="P1238" t="s">
        <v>2121</v>
      </c>
      <c r="Q1238" t="s">
        <v>2722</v>
      </c>
      <c r="R1238" s="5">
        <v>42278.695752314816</v>
      </c>
      <c r="S1238" s="5">
        <v>42678.642638888887</v>
      </c>
      <c r="T1238" t="s">
        <v>317</v>
      </c>
      <c r="U1238" t="s">
        <v>35</v>
      </c>
      <c r="V1238" s="3" t="s">
        <v>35</v>
      </c>
      <c r="W1238" s="3" t="s">
        <v>3028</v>
      </c>
      <c r="AM1238" s="5"/>
      <c r="AN1238" s="5"/>
      <c r="AQ1238" s="6"/>
    </row>
    <row r="1239" spans="2:43" x14ac:dyDescent="0.25">
      <c r="B1239" t="s">
        <v>2720</v>
      </c>
      <c r="C1239">
        <v>70081</v>
      </c>
      <c r="D1239" t="s">
        <v>2721</v>
      </c>
      <c r="E1239" t="s">
        <v>361</v>
      </c>
      <c r="F1239" t="s">
        <v>305</v>
      </c>
      <c r="G1239" t="s">
        <v>328</v>
      </c>
      <c r="H1239" t="s">
        <v>30</v>
      </c>
      <c r="I1239" t="s">
        <v>31</v>
      </c>
      <c r="J1239" t="s">
        <v>43</v>
      </c>
      <c r="K1239" t="s">
        <v>44</v>
      </c>
      <c r="L1239" t="s">
        <v>73</v>
      </c>
      <c r="M1239" t="s">
        <v>263</v>
      </c>
      <c r="N1239" t="s">
        <v>46</v>
      </c>
      <c r="P1239" t="s">
        <v>2121</v>
      </c>
      <c r="Q1239" t="s">
        <v>2722</v>
      </c>
      <c r="R1239" s="5">
        <v>42278.516747685186</v>
      </c>
      <c r="S1239" s="5">
        <v>42678.642708333333</v>
      </c>
      <c r="T1239" t="s">
        <v>300</v>
      </c>
      <c r="U1239" t="s">
        <v>35</v>
      </c>
      <c r="V1239" s="3" t="s">
        <v>35</v>
      </c>
      <c r="W1239" s="3" t="s">
        <v>4098</v>
      </c>
      <c r="AM1239" s="5"/>
      <c r="AN1239" s="5"/>
      <c r="AQ1239" s="6"/>
    </row>
    <row r="1240" spans="2:43" x14ac:dyDescent="0.25">
      <c r="B1240" t="s">
        <v>2711</v>
      </c>
      <c r="C1240">
        <v>69944</v>
      </c>
      <c r="D1240" t="s">
        <v>2719</v>
      </c>
      <c r="E1240" t="s">
        <v>2194</v>
      </c>
      <c r="F1240" t="s">
        <v>305</v>
      </c>
      <c r="G1240" t="s">
        <v>310</v>
      </c>
      <c r="H1240" t="s">
        <v>30</v>
      </c>
      <c r="I1240" t="s">
        <v>68</v>
      </c>
      <c r="J1240" t="s">
        <v>43</v>
      </c>
      <c r="K1240" t="s">
        <v>33</v>
      </c>
      <c r="L1240" t="s">
        <v>73</v>
      </c>
      <c r="M1240" t="s">
        <v>264</v>
      </c>
      <c r="N1240" t="s">
        <v>46</v>
      </c>
      <c r="P1240" t="s">
        <v>65</v>
      </c>
      <c r="R1240" s="5">
        <v>42276.559583333335</v>
      </c>
      <c r="S1240" s="5">
        <v>42502.28193287037</v>
      </c>
      <c r="T1240" t="s">
        <v>317</v>
      </c>
      <c r="U1240" t="s">
        <v>35</v>
      </c>
      <c r="V1240" s="3" t="s">
        <v>35</v>
      </c>
      <c r="W1240" s="3" t="s">
        <v>4145</v>
      </c>
      <c r="AM1240" s="5"/>
      <c r="AN1240" s="5"/>
      <c r="AQ1240" s="6"/>
    </row>
    <row r="1241" spans="2:43" x14ac:dyDescent="0.25">
      <c r="B1241" t="s">
        <v>2711</v>
      </c>
      <c r="C1241">
        <v>69943</v>
      </c>
      <c r="D1241" t="s">
        <v>2718</v>
      </c>
      <c r="E1241" t="s">
        <v>2194</v>
      </c>
      <c r="F1241" t="s">
        <v>305</v>
      </c>
      <c r="G1241" t="s">
        <v>310</v>
      </c>
      <c r="H1241" t="s">
        <v>30</v>
      </c>
      <c r="I1241" t="s">
        <v>68</v>
      </c>
      <c r="J1241" t="s">
        <v>43</v>
      </c>
      <c r="K1241" t="s">
        <v>33</v>
      </c>
      <c r="L1241" t="s">
        <v>73</v>
      </c>
      <c r="M1241" t="s">
        <v>264</v>
      </c>
      <c r="N1241" t="s">
        <v>46</v>
      </c>
      <c r="P1241" t="s">
        <v>65</v>
      </c>
      <c r="R1241" s="5">
        <v>42276.559479166666</v>
      </c>
      <c r="S1241" s="5">
        <v>42502.281770833331</v>
      </c>
      <c r="T1241" t="s">
        <v>317</v>
      </c>
      <c r="U1241" t="s">
        <v>35</v>
      </c>
      <c r="V1241" s="3" t="s">
        <v>35</v>
      </c>
      <c r="W1241" s="3" t="s">
        <v>4144</v>
      </c>
      <c r="AM1241" s="5"/>
      <c r="AN1241" s="5"/>
      <c r="AQ1241" s="6"/>
    </row>
    <row r="1242" spans="2:43" x14ac:dyDescent="0.25">
      <c r="B1242" t="s">
        <v>2711</v>
      </c>
      <c r="C1242">
        <v>69942</v>
      </c>
      <c r="D1242" t="s">
        <v>2717</v>
      </c>
      <c r="E1242" t="s">
        <v>2194</v>
      </c>
      <c r="F1242" t="s">
        <v>305</v>
      </c>
      <c r="G1242" t="s">
        <v>310</v>
      </c>
      <c r="H1242" t="s">
        <v>30</v>
      </c>
      <c r="I1242" t="s">
        <v>68</v>
      </c>
      <c r="J1242" t="s">
        <v>43</v>
      </c>
      <c r="K1242" t="s">
        <v>33</v>
      </c>
      <c r="L1242" t="s">
        <v>73</v>
      </c>
      <c r="M1242" t="s">
        <v>264</v>
      </c>
      <c r="N1242" t="s">
        <v>46</v>
      </c>
      <c r="P1242" t="s">
        <v>65</v>
      </c>
      <c r="R1242" s="5">
        <v>42276.559374999997</v>
      </c>
      <c r="S1242" s="5">
        <v>42502.281631944446</v>
      </c>
      <c r="T1242" t="s">
        <v>317</v>
      </c>
      <c r="U1242" t="s">
        <v>35</v>
      </c>
      <c r="V1242" s="3" t="s">
        <v>35</v>
      </c>
      <c r="W1242" s="3" t="s">
        <v>491</v>
      </c>
      <c r="AM1242" s="5"/>
      <c r="AN1242" s="5"/>
      <c r="AQ1242" s="6"/>
    </row>
    <row r="1243" spans="2:43" x14ac:dyDescent="0.25">
      <c r="B1243" t="s">
        <v>2711</v>
      </c>
      <c r="C1243">
        <v>69941</v>
      </c>
      <c r="D1243" t="s">
        <v>2716</v>
      </c>
      <c r="E1243" t="s">
        <v>335</v>
      </c>
      <c r="F1243" t="s">
        <v>305</v>
      </c>
      <c r="G1243" t="s">
        <v>304</v>
      </c>
      <c r="H1243" t="s">
        <v>30</v>
      </c>
      <c r="I1243" t="s">
        <v>68</v>
      </c>
      <c r="J1243" t="s">
        <v>43</v>
      </c>
      <c r="K1243" t="s">
        <v>33</v>
      </c>
      <c r="L1243" t="s">
        <v>73</v>
      </c>
      <c r="M1243" t="s">
        <v>264</v>
      </c>
      <c r="N1243" t="s">
        <v>46</v>
      </c>
      <c r="P1243" t="s">
        <v>65</v>
      </c>
      <c r="R1243" s="5">
        <v>42276.559282407405</v>
      </c>
      <c r="S1243" s="5">
        <v>42648.768287037034</v>
      </c>
      <c r="T1243" t="s">
        <v>317</v>
      </c>
      <c r="U1243" t="s">
        <v>35</v>
      </c>
      <c r="V1243" s="3" t="s">
        <v>35</v>
      </c>
      <c r="W1243" s="3" t="s">
        <v>133</v>
      </c>
      <c r="AM1243" s="5"/>
      <c r="AN1243" s="5"/>
      <c r="AQ1243" s="6"/>
    </row>
    <row r="1244" spans="2:43" x14ac:dyDescent="0.25">
      <c r="B1244" t="s">
        <v>2711</v>
      </c>
      <c r="C1244">
        <v>69940</v>
      </c>
      <c r="D1244" t="s">
        <v>2715</v>
      </c>
      <c r="E1244" t="s">
        <v>335</v>
      </c>
      <c r="F1244" t="s">
        <v>305</v>
      </c>
      <c r="G1244" t="s">
        <v>337</v>
      </c>
      <c r="H1244" t="s">
        <v>30</v>
      </c>
      <c r="I1244" t="s">
        <v>68</v>
      </c>
      <c r="J1244" t="s">
        <v>43</v>
      </c>
      <c r="K1244" t="s">
        <v>33</v>
      </c>
      <c r="L1244" t="s">
        <v>73</v>
      </c>
      <c r="M1244" t="s">
        <v>264</v>
      </c>
      <c r="N1244" t="s">
        <v>46</v>
      </c>
      <c r="P1244" t="s">
        <v>65</v>
      </c>
      <c r="R1244" s="5">
        <v>42276.559189814812</v>
      </c>
      <c r="S1244" s="5">
        <v>42502.280266203707</v>
      </c>
      <c r="T1244" t="s">
        <v>317</v>
      </c>
      <c r="U1244" t="s">
        <v>35</v>
      </c>
      <c r="V1244" s="3" t="s">
        <v>35</v>
      </c>
      <c r="W1244" s="3" t="s">
        <v>65</v>
      </c>
      <c r="AM1244" s="5"/>
      <c r="AN1244" s="5"/>
      <c r="AQ1244" s="6"/>
    </row>
    <row r="1245" spans="2:43" x14ac:dyDescent="0.25">
      <c r="B1245" t="s">
        <v>2711</v>
      </c>
      <c r="C1245">
        <v>69939</v>
      </c>
      <c r="D1245" t="s">
        <v>2714</v>
      </c>
      <c r="E1245" t="s">
        <v>94</v>
      </c>
      <c r="F1245" t="s">
        <v>305</v>
      </c>
      <c r="G1245" t="s">
        <v>310</v>
      </c>
      <c r="H1245" t="s">
        <v>30</v>
      </c>
      <c r="I1245" t="s">
        <v>68</v>
      </c>
      <c r="J1245" t="s">
        <v>43</v>
      </c>
      <c r="K1245" t="s">
        <v>33</v>
      </c>
      <c r="L1245" t="s">
        <v>73</v>
      </c>
      <c r="M1245" t="s">
        <v>264</v>
      </c>
      <c r="N1245" t="s">
        <v>46</v>
      </c>
      <c r="P1245" t="s">
        <v>65</v>
      </c>
      <c r="R1245" s="5">
        <v>42276.558958333335</v>
      </c>
      <c r="S1245" s="5">
        <v>42759.72320601852</v>
      </c>
      <c r="T1245" t="s">
        <v>317</v>
      </c>
      <c r="U1245" t="s">
        <v>35</v>
      </c>
      <c r="V1245" s="3" t="s">
        <v>35</v>
      </c>
      <c r="W1245" s="3" t="s">
        <v>4153</v>
      </c>
      <c r="AM1245" s="5"/>
      <c r="AN1245" s="5"/>
      <c r="AQ1245" s="6"/>
    </row>
    <row r="1246" spans="2:43" x14ac:dyDescent="0.25">
      <c r="B1246" t="s">
        <v>2711</v>
      </c>
      <c r="C1246">
        <v>69938</v>
      </c>
      <c r="D1246" t="s">
        <v>2713</v>
      </c>
      <c r="E1246" t="s">
        <v>2194</v>
      </c>
      <c r="F1246" t="s">
        <v>305</v>
      </c>
      <c r="G1246" t="s">
        <v>310</v>
      </c>
      <c r="H1246" t="s">
        <v>30</v>
      </c>
      <c r="I1246" t="s">
        <v>68</v>
      </c>
      <c r="J1246" t="s">
        <v>43</v>
      </c>
      <c r="K1246" t="s">
        <v>33</v>
      </c>
      <c r="L1246" t="s">
        <v>73</v>
      </c>
      <c r="M1246" t="s">
        <v>264</v>
      </c>
      <c r="N1246" t="s">
        <v>46</v>
      </c>
      <c r="P1246" t="s">
        <v>65</v>
      </c>
      <c r="R1246" s="5">
        <v>42276.558842592596</v>
      </c>
      <c r="S1246" s="5">
        <v>42502.281319444446</v>
      </c>
      <c r="T1246" t="s">
        <v>317</v>
      </c>
      <c r="U1246" t="s">
        <v>35</v>
      </c>
      <c r="V1246" s="3" t="s">
        <v>35</v>
      </c>
      <c r="W1246" s="3" t="s">
        <v>3028</v>
      </c>
      <c r="AM1246" s="5"/>
      <c r="AN1246" s="5"/>
      <c r="AQ1246" s="6"/>
    </row>
    <row r="1247" spans="2:43" x14ac:dyDescent="0.25">
      <c r="B1247" t="s">
        <v>2711</v>
      </c>
      <c r="C1247">
        <v>69937</v>
      </c>
      <c r="D1247" t="s">
        <v>2712</v>
      </c>
      <c r="E1247" t="s">
        <v>2194</v>
      </c>
      <c r="F1247" t="s">
        <v>305</v>
      </c>
      <c r="G1247" t="s">
        <v>310</v>
      </c>
      <c r="H1247" t="s">
        <v>30</v>
      </c>
      <c r="I1247" t="s">
        <v>68</v>
      </c>
      <c r="J1247" t="s">
        <v>43</v>
      </c>
      <c r="K1247" t="s">
        <v>33</v>
      </c>
      <c r="L1247" t="s">
        <v>73</v>
      </c>
      <c r="M1247" t="s">
        <v>264</v>
      </c>
      <c r="N1247" t="s">
        <v>46</v>
      </c>
      <c r="P1247" t="s">
        <v>65</v>
      </c>
      <c r="R1247" s="5">
        <v>42276.558738425927</v>
      </c>
      <c r="S1247" s="5">
        <v>42502.281145833331</v>
      </c>
      <c r="T1247" t="s">
        <v>317</v>
      </c>
      <c r="U1247" t="s">
        <v>35</v>
      </c>
      <c r="V1247" s="3" t="s">
        <v>35</v>
      </c>
      <c r="W1247" s="3" t="s">
        <v>3039</v>
      </c>
      <c r="AM1247" s="5"/>
      <c r="AN1247" s="5"/>
      <c r="AQ1247" s="6"/>
    </row>
    <row r="1248" spans="2:43" x14ac:dyDescent="0.25">
      <c r="B1248" t="s">
        <v>2711</v>
      </c>
      <c r="C1248">
        <v>69932</v>
      </c>
      <c r="D1248" t="s">
        <v>392</v>
      </c>
      <c r="E1248" t="s">
        <v>335</v>
      </c>
      <c r="F1248" t="s">
        <v>305</v>
      </c>
      <c r="G1248" t="s">
        <v>304</v>
      </c>
      <c r="H1248" t="s">
        <v>30</v>
      </c>
      <c r="I1248" t="s">
        <v>68</v>
      </c>
      <c r="J1248" t="s">
        <v>43</v>
      </c>
      <c r="K1248" t="s">
        <v>33</v>
      </c>
      <c r="L1248" t="s">
        <v>73</v>
      </c>
      <c r="M1248" t="s">
        <v>277</v>
      </c>
      <c r="N1248" t="s">
        <v>46</v>
      </c>
      <c r="P1248" t="s">
        <v>65</v>
      </c>
      <c r="Q1248" t="s">
        <v>2481</v>
      </c>
      <c r="R1248" s="5">
        <v>42276.499212962961</v>
      </c>
      <c r="S1248" s="5">
        <v>42871.614398148151</v>
      </c>
      <c r="T1248" t="s">
        <v>391</v>
      </c>
      <c r="U1248" t="s">
        <v>35</v>
      </c>
      <c r="V1248" s="3" t="s">
        <v>35</v>
      </c>
      <c r="W1248" s="3" t="s">
        <v>4098</v>
      </c>
      <c r="AM1248" s="5"/>
      <c r="AN1248" s="5"/>
      <c r="AQ1248" s="6"/>
    </row>
    <row r="1249" spans="2:43" x14ac:dyDescent="0.25">
      <c r="B1249" t="s">
        <v>2841</v>
      </c>
      <c r="C1249">
        <v>69820</v>
      </c>
      <c r="D1249" t="s">
        <v>3879</v>
      </c>
      <c r="E1249" t="s">
        <v>371</v>
      </c>
      <c r="F1249" t="s">
        <v>305</v>
      </c>
      <c r="G1249" t="s">
        <v>353</v>
      </c>
      <c r="H1249" t="s">
        <v>30</v>
      </c>
      <c r="I1249" t="s">
        <v>2156</v>
      </c>
      <c r="J1249" t="s">
        <v>32</v>
      </c>
      <c r="K1249" t="s">
        <v>2156</v>
      </c>
      <c r="L1249" t="s">
        <v>34</v>
      </c>
      <c r="M1249" t="s">
        <v>368</v>
      </c>
      <c r="N1249" t="s">
        <v>2508</v>
      </c>
      <c r="O1249" t="s">
        <v>3878</v>
      </c>
      <c r="P1249" t="s">
        <v>3880</v>
      </c>
      <c r="R1249" s="5">
        <v>42275.240023148152</v>
      </c>
      <c r="S1249" s="5">
        <v>42678.642511574071</v>
      </c>
      <c r="T1249" t="s">
        <v>2509</v>
      </c>
      <c r="U1249" t="s">
        <v>35</v>
      </c>
      <c r="V1249" s="3" t="s">
        <v>35</v>
      </c>
      <c r="W1249" s="3" t="s">
        <v>4126</v>
      </c>
      <c r="AM1249" s="5"/>
      <c r="AN1249" s="5"/>
      <c r="AQ1249" s="6"/>
    </row>
    <row r="1250" spans="2:43" x14ac:dyDescent="0.25">
      <c r="B1250" t="s">
        <v>2709</v>
      </c>
      <c r="C1250">
        <v>69738</v>
      </c>
      <c r="D1250" t="s">
        <v>2710</v>
      </c>
      <c r="E1250" t="s">
        <v>2002</v>
      </c>
      <c r="F1250" t="s">
        <v>305</v>
      </c>
      <c r="G1250" t="s">
        <v>304</v>
      </c>
      <c r="H1250" t="s">
        <v>30</v>
      </c>
      <c r="I1250" t="s">
        <v>31</v>
      </c>
      <c r="J1250" t="s">
        <v>32</v>
      </c>
      <c r="K1250" t="s">
        <v>44</v>
      </c>
      <c r="L1250" t="s">
        <v>34</v>
      </c>
      <c r="M1250" t="s">
        <v>1853</v>
      </c>
      <c r="N1250" t="s">
        <v>46</v>
      </c>
      <c r="P1250" t="s">
        <v>2679</v>
      </c>
      <c r="R1250" s="5">
        <v>42271.751273148147</v>
      </c>
      <c r="S1250" s="5">
        <v>43332.414571759262</v>
      </c>
      <c r="T1250" t="s">
        <v>39</v>
      </c>
      <c r="U1250" t="s">
        <v>35</v>
      </c>
      <c r="V1250" s="3" t="s">
        <v>321</v>
      </c>
      <c r="W1250" s="3" t="s">
        <v>4148</v>
      </c>
      <c r="AM1250" s="5"/>
      <c r="AN1250" s="5"/>
      <c r="AQ1250" s="6"/>
    </row>
    <row r="1251" spans="2:43" x14ac:dyDescent="0.25">
      <c r="B1251" t="s">
        <v>2210</v>
      </c>
      <c r="C1251">
        <v>69734</v>
      </c>
      <c r="D1251" t="s">
        <v>2707</v>
      </c>
      <c r="E1251" t="s">
        <v>376</v>
      </c>
      <c r="F1251" t="s">
        <v>305</v>
      </c>
      <c r="G1251" t="s">
        <v>304</v>
      </c>
      <c r="H1251" t="s">
        <v>2213</v>
      </c>
      <c r="I1251" t="s">
        <v>31</v>
      </c>
      <c r="J1251" t="s">
        <v>43</v>
      </c>
      <c r="K1251" t="s">
        <v>44</v>
      </c>
      <c r="L1251" t="s">
        <v>34</v>
      </c>
      <c r="M1251" t="s">
        <v>2179</v>
      </c>
      <c r="N1251" t="s">
        <v>46</v>
      </c>
      <c r="P1251" t="s">
        <v>2708</v>
      </c>
      <c r="Q1251" t="s">
        <v>2217</v>
      </c>
      <c r="R1251" s="5">
        <v>42271.736296296294</v>
      </c>
      <c r="S1251" s="5">
        <v>43333.441793981481</v>
      </c>
      <c r="T1251" t="s">
        <v>2212</v>
      </c>
      <c r="U1251" t="s">
        <v>35</v>
      </c>
      <c r="V1251" s="3" t="s">
        <v>35</v>
      </c>
      <c r="W1251" s="3" t="s">
        <v>4098</v>
      </c>
      <c r="AM1251" s="5"/>
      <c r="AN1251" s="5"/>
      <c r="AQ1251" s="6"/>
    </row>
    <row r="1252" spans="2:43" x14ac:dyDescent="0.25">
      <c r="B1252" t="s">
        <v>3876</v>
      </c>
      <c r="C1252">
        <v>69696</v>
      </c>
      <c r="D1252" t="s">
        <v>3877</v>
      </c>
      <c r="E1252" t="s">
        <v>371</v>
      </c>
      <c r="F1252" t="s">
        <v>305</v>
      </c>
      <c r="G1252" t="s">
        <v>353</v>
      </c>
      <c r="H1252" t="s">
        <v>30</v>
      </c>
      <c r="I1252" t="s">
        <v>31</v>
      </c>
      <c r="J1252" t="s">
        <v>32</v>
      </c>
      <c r="K1252" t="s">
        <v>44</v>
      </c>
      <c r="L1252" t="s">
        <v>34</v>
      </c>
      <c r="M1252" t="s">
        <v>368</v>
      </c>
      <c r="N1252" t="s">
        <v>2508</v>
      </c>
      <c r="O1252" t="s">
        <v>3878</v>
      </c>
      <c r="P1252" t="s">
        <v>2708</v>
      </c>
      <c r="R1252" s="5">
        <v>42271.393136574072</v>
      </c>
      <c r="S1252" s="5">
        <v>42345.977824074071</v>
      </c>
      <c r="T1252" t="s">
        <v>2509</v>
      </c>
      <c r="U1252" t="s">
        <v>35</v>
      </c>
      <c r="V1252" s="3" t="s">
        <v>321</v>
      </c>
      <c r="W1252" s="3" t="s">
        <v>4126</v>
      </c>
      <c r="AM1252" s="5"/>
      <c r="AN1252" s="5"/>
      <c r="AQ1252" s="6"/>
    </row>
    <row r="1253" spans="2:43" x14ac:dyDescent="0.25">
      <c r="B1253" t="s">
        <v>2676</v>
      </c>
      <c r="C1253">
        <v>69695</v>
      </c>
      <c r="D1253" t="s">
        <v>2705</v>
      </c>
      <c r="E1253" t="s">
        <v>2706</v>
      </c>
      <c r="F1253" t="s">
        <v>305</v>
      </c>
      <c r="G1253" t="s">
        <v>304</v>
      </c>
      <c r="H1253" t="s">
        <v>30</v>
      </c>
      <c r="I1253" t="s">
        <v>68</v>
      </c>
      <c r="J1253" t="s">
        <v>43</v>
      </c>
      <c r="K1253" t="s">
        <v>33</v>
      </c>
      <c r="L1253" t="s">
        <v>34</v>
      </c>
      <c r="M1253" t="s">
        <v>1853</v>
      </c>
      <c r="N1253" t="s">
        <v>46</v>
      </c>
      <c r="P1253" t="s">
        <v>2679</v>
      </c>
      <c r="Q1253" t="s">
        <v>2416</v>
      </c>
      <c r="R1253" s="5">
        <v>42271.385115740741</v>
      </c>
      <c r="S1253" s="5">
        <v>42801.437974537039</v>
      </c>
      <c r="T1253" t="s">
        <v>2706</v>
      </c>
      <c r="U1253" t="s">
        <v>35</v>
      </c>
      <c r="V1253" s="3" t="s">
        <v>35</v>
      </c>
      <c r="W1253" s="3" t="s">
        <v>4133</v>
      </c>
      <c r="AM1253" s="5"/>
      <c r="AN1253" s="5"/>
      <c r="AQ1253" s="6"/>
    </row>
    <row r="1254" spans="2:43" x14ac:dyDescent="0.25">
      <c r="B1254" t="s">
        <v>2689</v>
      </c>
      <c r="C1254">
        <v>69448</v>
      </c>
      <c r="D1254" t="s">
        <v>2704</v>
      </c>
      <c r="E1254" t="s">
        <v>125</v>
      </c>
      <c r="F1254" t="s">
        <v>305</v>
      </c>
      <c r="G1254" t="s">
        <v>304</v>
      </c>
      <c r="H1254" t="s">
        <v>30</v>
      </c>
      <c r="I1254" t="s">
        <v>31</v>
      </c>
      <c r="J1254" t="s">
        <v>32</v>
      </c>
      <c r="K1254" t="s">
        <v>44</v>
      </c>
      <c r="L1254" t="s">
        <v>34</v>
      </c>
      <c r="M1254" t="s">
        <v>2691</v>
      </c>
      <c r="N1254" t="s">
        <v>46</v>
      </c>
      <c r="P1254" t="s">
        <v>377</v>
      </c>
      <c r="R1254" s="5">
        <v>42268.826620370368</v>
      </c>
      <c r="S1254" s="5">
        <v>42629.724398148152</v>
      </c>
      <c r="T1254" t="s">
        <v>53</v>
      </c>
      <c r="U1254" t="s">
        <v>35</v>
      </c>
      <c r="V1254" s="3" t="s">
        <v>35</v>
      </c>
      <c r="W1254" s="3" t="s">
        <v>133</v>
      </c>
      <c r="AM1254" s="5"/>
      <c r="AN1254" s="5"/>
      <c r="AQ1254" s="6"/>
    </row>
    <row r="1255" spans="2:43" x14ac:dyDescent="0.25">
      <c r="B1255" t="s">
        <v>2689</v>
      </c>
      <c r="C1255">
        <v>69447</v>
      </c>
      <c r="D1255" t="s">
        <v>2703</v>
      </c>
      <c r="E1255" t="s">
        <v>125</v>
      </c>
      <c r="F1255" t="s">
        <v>305</v>
      </c>
      <c r="G1255" t="s">
        <v>304</v>
      </c>
      <c r="H1255" t="s">
        <v>30</v>
      </c>
      <c r="I1255" t="s">
        <v>31</v>
      </c>
      <c r="J1255" t="s">
        <v>32</v>
      </c>
      <c r="K1255" t="s">
        <v>44</v>
      </c>
      <c r="L1255" t="s">
        <v>34</v>
      </c>
      <c r="M1255" t="s">
        <v>2691</v>
      </c>
      <c r="N1255" t="s">
        <v>60</v>
      </c>
      <c r="P1255" t="s">
        <v>377</v>
      </c>
      <c r="R1255" s="5">
        <v>42268.826504629629</v>
      </c>
      <c r="S1255" s="5">
        <v>42342.308379629627</v>
      </c>
      <c r="T1255" t="s">
        <v>53</v>
      </c>
      <c r="U1255" t="s">
        <v>3957</v>
      </c>
      <c r="V1255" s="3" t="s">
        <v>35</v>
      </c>
      <c r="W1255" s="3" t="s">
        <v>118</v>
      </c>
      <c r="AM1255" s="5"/>
      <c r="AN1255" s="5"/>
      <c r="AQ1255" s="6"/>
    </row>
    <row r="1256" spans="2:43" x14ac:dyDescent="0.25">
      <c r="B1256" t="s">
        <v>2689</v>
      </c>
      <c r="C1256">
        <v>69446</v>
      </c>
      <c r="D1256" t="s">
        <v>2702</v>
      </c>
      <c r="E1256" t="s">
        <v>125</v>
      </c>
      <c r="F1256" t="s">
        <v>305</v>
      </c>
      <c r="G1256" t="s">
        <v>337</v>
      </c>
      <c r="H1256" t="s">
        <v>30</v>
      </c>
      <c r="I1256" t="s">
        <v>31</v>
      </c>
      <c r="J1256" t="s">
        <v>32</v>
      </c>
      <c r="K1256" t="s">
        <v>44</v>
      </c>
      <c r="L1256" t="s">
        <v>34</v>
      </c>
      <c r="M1256" t="s">
        <v>2691</v>
      </c>
      <c r="N1256" t="s">
        <v>46</v>
      </c>
      <c r="P1256" t="s">
        <v>377</v>
      </c>
      <c r="R1256" s="5">
        <v>42268.826354166667</v>
      </c>
      <c r="S1256" s="5">
        <v>42356.849386574075</v>
      </c>
      <c r="T1256" t="s">
        <v>53</v>
      </c>
      <c r="U1256" t="s">
        <v>35</v>
      </c>
      <c r="V1256" s="3" t="s">
        <v>35</v>
      </c>
      <c r="W1256" s="3" t="s">
        <v>4154</v>
      </c>
      <c r="AM1256" s="5"/>
      <c r="AN1256" s="5"/>
      <c r="AQ1256" s="6"/>
    </row>
    <row r="1257" spans="2:43" x14ac:dyDescent="0.25">
      <c r="B1257" t="s">
        <v>2608</v>
      </c>
      <c r="C1257">
        <v>69059</v>
      </c>
      <c r="D1257" t="s">
        <v>2701</v>
      </c>
      <c r="E1257" t="s">
        <v>94</v>
      </c>
      <c r="F1257" t="s">
        <v>305</v>
      </c>
      <c r="G1257" t="s">
        <v>328</v>
      </c>
      <c r="H1257" t="s">
        <v>30</v>
      </c>
      <c r="I1257" t="s">
        <v>31</v>
      </c>
      <c r="J1257" t="s">
        <v>43</v>
      </c>
      <c r="K1257" t="s">
        <v>44</v>
      </c>
      <c r="L1257" t="s">
        <v>73</v>
      </c>
      <c r="M1257" t="s">
        <v>273</v>
      </c>
      <c r="N1257" t="s">
        <v>46</v>
      </c>
      <c r="P1257" t="s">
        <v>394</v>
      </c>
      <c r="R1257" s="5">
        <v>42262.462939814817</v>
      </c>
      <c r="S1257" s="5">
        <v>42678.639039351852</v>
      </c>
      <c r="T1257" t="s">
        <v>317</v>
      </c>
      <c r="U1257" t="s">
        <v>35</v>
      </c>
      <c r="V1257" s="3" t="s">
        <v>35</v>
      </c>
      <c r="W1257" s="3" t="s">
        <v>133</v>
      </c>
      <c r="AM1257" s="5"/>
      <c r="AN1257" s="5"/>
      <c r="AQ1257" s="6"/>
    </row>
    <row r="1258" spans="2:43" x14ac:dyDescent="0.25">
      <c r="B1258" t="s">
        <v>2562</v>
      </c>
      <c r="C1258">
        <v>69057</v>
      </c>
      <c r="D1258" t="s">
        <v>2700</v>
      </c>
      <c r="E1258" t="s">
        <v>387</v>
      </c>
      <c r="F1258" t="s">
        <v>305</v>
      </c>
      <c r="G1258" t="s">
        <v>395</v>
      </c>
      <c r="H1258" t="s">
        <v>30</v>
      </c>
      <c r="I1258" t="s">
        <v>31</v>
      </c>
      <c r="J1258" t="s">
        <v>32</v>
      </c>
      <c r="K1258" t="s">
        <v>33</v>
      </c>
      <c r="L1258" t="s">
        <v>73</v>
      </c>
      <c r="M1258" t="s">
        <v>263</v>
      </c>
      <c r="N1258" t="s">
        <v>518</v>
      </c>
      <c r="P1258" t="s">
        <v>394</v>
      </c>
      <c r="Q1258" t="s">
        <v>159</v>
      </c>
      <c r="R1258" s="5">
        <v>42262.459155092591</v>
      </c>
      <c r="S1258" s="5">
        <v>42759.637754629628</v>
      </c>
      <c r="T1258" t="s">
        <v>317</v>
      </c>
      <c r="U1258" t="s">
        <v>35</v>
      </c>
      <c r="V1258" s="3" t="s">
        <v>321</v>
      </c>
      <c r="W1258" s="3" t="s">
        <v>133</v>
      </c>
      <c r="AM1258" s="5"/>
      <c r="AN1258" s="5"/>
      <c r="AQ1258" s="6"/>
    </row>
    <row r="1259" spans="2:43" x14ac:dyDescent="0.25">
      <c r="B1259" t="s">
        <v>2491</v>
      </c>
      <c r="C1259">
        <v>69055</v>
      </c>
      <c r="D1259" t="s">
        <v>2699</v>
      </c>
      <c r="E1259" t="s">
        <v>94</v>
      </c>
      <c r="F1259" t="s">
        <v>305</v>
      </c>
      <c r="G1259" t="s">
        <v>310</v>
      </c>
      <c r="H1259" t="s">
        <v>30</v>
      </c>
      <c r="I1259" t="s">
        <v>31</v>
      </c>
      <c r="J1259" t="s">
        <v>32</v>
      </c>
      <c r="K1259" t="s">
        <v>44</v>
      </c>
      <c r="L1259" t="s">
        <v>73</v>
      </c>
      <c r="M1259" t="s">
        <v>263</v>
      </c>
      <c r="N1259" t="s">
        <v>46</v>
      </c>
      <c r="P1259" t="s">
        <v>394</v>
      </c>
      <c r="R1259" s="5">
        <v>42262.452002314814</v>
      </c>
      <c r="S1259" s="5">
        <v>42563.865694444445</v>
      </c>
      <c r="T1259" t="s">
        <v>317</v>
      </c>
      <c r="U1259" t="s">
        <v>35</v>
      </c>
      <c r="V1259" s="3" t="s">
        <v>35</v>
      </c>
      <c r="W1259" s="3" t="s">
        <v>133</v>
      </c>
      <c r="AM1259" s="5"/>
      <c r="AN1259" s="5"/>
      <c r="AQ1259" s="6"/>
    </row>
    <row r="1260" spans="2:43" x14ac:dyDescent="0.25">
      <c r="B1260" t="s">
        <v>2697</v>
      </c>
      <c r="C1260">
        <v>68997</v>
      </c>
      <c r="D1260" t="s">
        <v>2698</v>
      </c>
      <c r="E1260" t="s">
        <v>2603</v>
      </c>
      <c r="F1260" t="s">
        <v>305</v>
      </c>
      <c r="G1260" t="s">
        <v>304</v>
      </c>
      <c r="H1260" t="s">
        <v>30</v>
      </c>
      <c r="I1260" t="s">
        <v>68</v>
      </c>
      <c r="J1260" t="s">
        <v>43</v>
      </c>
      <c r="K1260" t="s">
        <v>33</v>
      </c>
      <c r="L1260" t="s">
        <v>45</v>
      </c>
      <c r="M1260" t="s">
        <v>265</v>
      </c>
      <c r="N1260" t="s">
        <v>2508</v>
      </c>
      <c r="O1260" t="s">
        <v>2538</v>
      </c>
      <c r="P1260" t="s">
        <v>428</v>
      </c>
      <c r="R1260" s="5">
        <v>42261.665092592593</v>
      </c>
      <c r="S1260" s="5">
        <v>43332.462916666664</v>
      </c>
      <c r="T1260" t="s">
        <v>383</v>
      </c>
      <c r="U1260" t="s">
        <v>35</v>
      </c>
      <c r="V1260" s="3" t="s">
        <v>35</v>
      </c>
      <c r="W1260" s="3" t="s">
        <v>428</v>
      </c>
      <c r="AM1260" s="5"/>
      <c r="AN1260" s="5"/>
      <c r="AQ1260" s="6"/>
    </row>
    <row r="1261" spans="2:43" x14ac:dyDescent="0.25">
      <c r="B1261" t="s">
        <v>2695</v>
      </c>
      <c r="C1261">
        <v>68800</v>
      </c>
      <c r="D1261" t="s">
        <v>2696</v>
      </c>
      <c r="E1261" t="s">
        <v>2</v>
      </c>
      <c r="F1261" t="s">
        <v>305</v>
      </c>
      <c r="G1261" t="s">
        <v>1621</v>
      </c>
      <c r="H1261" t="s">
        <v>30</v>
      </c>
      <c r="I1261" t="s">
        <v>68</v>
      </c>
      <c r="J1261" t="s">
        <v>43</v>
      </c>
      <c r="K1261" t="s">
        <v>33</v>
      </c>
      <c r="L1261" t="s">
        <v>195</v>
      </c>
      <c r="M1261" t="s">
        <v>324</v>
      </c>
      <c r="N1261" t="s">
        <v>46</v>
      </c>
      <c r="P1261" t="s">
        <v>47</v>
      </c>
      <c r="R1261" s="5">
        <v>42256.862002314818</v>
      </c>
      <c r="S1261" s="5">
        <v>42774.956030092595</v>
      </c>
      <c r="T1261" t="s">
        <v>2</v>
      </c>
      <c r="U1261" t="s">
        <v>35</v>
      </c>
      <c r="V1261" s="3" t="s">
        <v>35</v>
      </c>
      <c r="W1261" s="3" t="s">
        <v>4126</v>
      </c>
      <c r="AM1261" s="5"/>
      <c r="AN1261" s="5"/>
      <c r="AQ1261" s="6"/>
    </row>
    <row r="1262" spans="2:43" x14ac:dyDescent="0.25">
      <c r="B1262" t="s">
        <v>3873</v>
      </c>
      <c r="C1262">
        <v>68663</v>
      </c>
      <c r="D1262" t="s">
        <v>3874</v>
      </c>
      <c r="E1262" t="s">
        <v>2509</v>
      </c>
      <c r="F1262" t="s">
        <v>305</v>
      </c>
      <c r="G1262" t="s">
        <v>304</v>
      </c>
      <c r="H1262" t="s">
        <v>30</v>
      </c>
      <c r="I1262" t="s">
        <v>57</v>
      </c>
      <c r="J1262" t="s">
        <v>58</v>
      </c>
      <c r="K1262" t="s">
        <v>33</v>
      </c>
      <c r="L1262" t="s">
        <v>34</v>
      </c>
      <c r="M1262" t="s">
        <v>3780</v>
      </c>
      <c r="N1262" t="s">
        <v>2508</v>
      </c>
      <c r="O1262" t="s">
        <v>3875</v>
      </c>
      <c r="P1262" t="s">
        <v>3187</v>
      </c>
      <c r="Q1262" t="s">
        <v>3187</v>
      </c>
      <c r="R1262" s="5">
        <v>42254.47960648148</v>
      </c>
      <c r="S1262" s="5">
        <v>43298.536759259259</v>
      </c>
      <c r="T1262" t="s">
        <v>2509</v>
      </c>
      <c r="U1262" t="s">
        <v>35</v>
      </c>
      <c r="V1262" s="3" t="s">
        <v>321</v>
      </c>
      <c r="W1262" s="3" t="s">
        <v>4143</v>
      </c>
      <c r="AM1262" s="5"/>
      <c r="AN1262" s="5"/>
      <c r="AQ1262" s="6"/>
    </row>
    <row r="1263" spans="2:43" x14ac:dyDescent="0.25">
      <c r="B1263" t="s">
        <v>2274</v>
      </c>
      <c r="C1263">
        <v>68493</v>
      </c>
      <c r="D1263" t="s">
        <v>2694</v>
      </c>
      <c r="E1263" t="s">
        <v>164</v>
      </c>
      <c r="F1263" t="s">
        <v>305</v>
      </c>
      <c r="G1263" t="s">
        <v>337</v>
      </c>
      <c r="H1263" t="s">
        <v>30</v>
      </c>
      <c r="I1263" t="s">
        <v>68</v>
      </c>
      <c r="J1263" t="s">
        <v>43</v>
      </c>
      <c r="K1263" t="s">
        <v>33</v>
      </c>
      <c r="L1263" t="s">
        <v>34</v>
      </c>
      <c r="M1263" t="s">
        <v>278</v>
      </c>
      <c r="N1263" t="s">
        <v>46</v>
      </c>
      <c r="P1263" t="s">
        <v>369</v>
      </c>
      <c r="R1263" s="5">
        <v>42250.873148148145</v>
      </c>
      <c r="S1263" s="5">
        <v>42926.590497685182</v>
      </c>
      <c r="T1263" t="s">
        <v>53</v>
      </c>
      <c r="U1263" t="s">
        <v>35</v>
      </c>
      <c r="V1263" s="3" t="s">
        <v>35</v>
      </c>
      <c r="W1263" s="3" t="s">
        <v>4154</v>
      </c>
      <c r="AM1263" s="5"/>
      <c r="AN1263" s="5"/>
      <c r="AQ1263" s="6"/>
    </row>
    <row r="1264" spans="2:43" x14ac:dyDescent="0.25">
      <c r="B1264" t="s">
        <v>2661</v>
      </c>
      <c r="C1264">
        <v>68492</v>
      </c>
      <c r="D1264" t="s">
        <v>2693</v>
      </c>
      <c r="E1264" t="s">
        <v>445</v>
      </c>
      <c r="F1264" t="s">
        <v>305</v>
      </c>
      <c r="G1264" t="s">
        <v>337</v>
      </c>
      <c r="H1264" t="s">
        <v>30</v>
      </c>
      <c r="I1264" t="s">
        <v>68</v>
      </c>
      <c r="J1264" t="s">
        <v>43</v>
      </c>
      <c r="K1264" t="s">
        <v>33</v>
      </c>
      <c r="L1264" t="s">
        <v>73</v>
      </c>
      <c r="M1264" t="s">
        <v>263</v>
      </c>
      <c r="N1264" t="s">
        <v>46</v>
      </c>
      <c r="P1264" t="s">
        <v>394</v>
      </c>
      <c r="R1264" s="5">
        <v>42250.872129629628</v>
      </c>
      <c r="S1264" s="5">
        <v>42678.643993055557</v>
      </c>
      <c r="T1264" t="s">
        <v>317</v>
      </c>
      <c r="U1264" t="s">
        <v>35</v>
      </c>
      <c r="V1264" s="3" t="s">
        <v>35</v>
      </c>
      <c r="W1264" s="3" t="s">
        <v>4153</v>
      </c>
      <c r="AM1264" s="5"/>
      <c r="AN1264" s="5"/>
      <c r="AQ1264" s="6"/>
    </row>
    <row r="1265" spans="2:43" x14ac:dyDescent="0.25">
      <c r="B1265" t="s">
        <v>2605</v>
      </c>
      <c r="C1265">
        <v>68489</v>
      </c>
      <c r="D1265" t="s">
        <v>2692</v>
      </c>
      <c r="E1265" t="s">
        <v>387</v>
      </c>
      <c r="F1265" t="s">
        <v>305</v>
      </c>
      <c r="G1265" t="s">
        <v>337</v>
      </c>
      <c r="H1265" t="s">
        <v>30</v>
      </c>
      <c r="I1265" t="s">
        <v>68</v>
      </c>
      <c r="J1265" t="s">
        <v>43</v>
      </c>
      <c r="K1265" t="s">
        <v>33</v>
      </c>
      <c r="L1265" t="s">
        <v>73</v>
      </c>
      <c r="M1265" t="s">
        <v>263</v>
      </c>
      <c r="N1265" t="s">
        <v>46</v>
      </c>
      <c r="P1265" t="s">
        <v>394</v>
      </c>
      <c r="R1265" s="5">
        <v>42250.871412037035</v>
      </c>
      <c r="S1265" s="5">
        <v>42290.736157407409</v>
      </c>
      <c r="T1265" t="s">
        <v>317</v>
      </c>
      <c r="U1265" t="s">
        <v>35</v>
      </c>
      <c r="V1265" s="3" t="s">
        <v>35</v>
      </c>
      <c r="W1265" s="3" t="s">
        <v>4153</v>
      </c>
      <c r="AM1265" s="5"/>
      <c r="AN1265" s="5"/>
      <c r="AQ1265" s="6"/>
    </row>
    <row r="1266" spans="2:43" x14ac:dyDescent="0.25">
      <c r="B1266" t="s">
        <v>2689</v>
      </c>
      <c r="C1266">
        <v>68487</v>
      </c>
      <c r="D1266" t="s">
        <v>2690</v>
      </c>
      <c r="E1266" t="s">
        <v>125</v>
      </c>
      <c r="F1266" t="s">
        <v>305</v>
      </c>
      <c r="G1266" t="s">
        <v>304</v>
      </c>
      <c r="H1266" t="s">
        <v>30</v>
      </c>
      <c r="I1266" t="s">
        <v>31</v>
      </c>
      <c r="J1266" t="s">
        <v>32</v>
      </c>
      <c r="K1266" t="s">
        <v>44</v>
      </c>
      <c r="L1266" t="s">
        <v>34</v>
      </c>
      <c r="M1266" t="s">
        <v>2691</v>
      </c>
      <c r="N1266" t="s">
        <v>46</v>
      </c>
      <c r="P1266" t="s">
        <v>377</v>
      </c>
      <c r="R1266" s="5">
        <v>42250.860347222224</v>
      </c>
      <c r="S1266" s="5">
        <v>42348.748055555552</v>
      </c>
      <c r="T1266" t="s">
        <v>2417</v>
      </c>
      <c r="U1266" t="s">
        <v>35</v>
      </c>
      <c r="V1266" s="3" t="s">
        <v>35</v>
      </c>
      <c r="W1266" s="3" t="s">
        <v>4098</v>
      </c>
      <c r="AM1266" s="5"/>
      <c r="AN1266" s="5"/>
      <c r="AQ1266" s="6"/>
    </row>
    <row r="1267" spans="2:43" x14ac:dyDescent="0.25">
      <c r="B1267" t="s">
        <v>2274</v>
      </c>
      <c r="C1267">
        <v>68476</v>
      </c>
      <c r="D1267" t="s">
        <v>2688</v>
      </c>
      <c r="E1267" t="s">
        <v>2276</v>
      </c>
      <c r="F1267" t="s">
        <v>305</v>
      </c>
      <c r="G1267" t="s">
        <v>304</v>
      </c>
      <c r="H1267" t="s">
        <v>30</v>
      </c>
      <c r="I1267" t="s">
        <v>68</v>
      </c>
      <c r="J1267" t="s">
        <v>43</v>
      </c>
      <c r="K1267" t="s">
        <v>33</v>
      </c>
      <c r="L1267" t="s">
        <v>34</v>
      </c>
      <c r="M1267" t="s">
        <v>278</v>
      </c>
      <c r="N1267" t="s">
        <v>46</v>
      </c>
      <c r="P1267" t="s">
        <v>369</v>
      </c>
      <c r="Q1267" t="s">
        <v>528</v>
      </c>
      <c r="R1267" s="5">
        <v>42250.676412037035</v>
      </c>
      <c r="S1267" s="5">
        <v>42941.80537037037</v>
      </c>
      <c r="T1267" t="s">
        <v>149</v>
      </c>
      <c r="U1267" t="s">
        <v>35</v>
      </c>
      <c r="V1267" s="3" t="s">
        <v>35</v>
      </c>
      <c r="W1267" s="3" t="s">
        <v>133</v>
      </c>
      <c r="AM1267" s="5"/>
      <c r="AN1267" s="5"/>
      <c r="AQ1267" s="6"/>
    </row>
    <row r="1268" spans="2:43" x14ac:dyDescent="0.25">
      <c r="B1268" t="s">
        <v>2274</v>
      </c>
      <c r="C1268">
        <v>68475</v>
      </c>
      <c r="D1268" t="s">
        <v>2687</v>
      </c>
      <c r="E1268" t="s">
        <v>2276</v>
      </c>
      <c r="F1268" t="s">
        <v>305</v>
      </c>
      <c r="G1268" t="s">
        <v>304</v>
      </c>
      <c r="H1268" t="s">
        <v>30</v>
      </c>
      <c r="I1268" t="s">
        <v>68</v>
      </c>
      <c r="J1268" t="s">
        <v>43</v>
      </c>
      <c r="K1268" t="s">
        <v>33</v>
      </c>
      <c r="L1268" t="s">
        <v>34</v>
      </c>
      <c r="M1268" t="s">
        <v>278</v>
      </c>
      <c r="N1268" t="s">
        <v>46</v>
      </c>
      <c r="P1268" t="s">
        <v>377</v>
      </c>
      <c r="R1268" s="5">
        <v>42250.676296296297</v>
      </c>
      <c r="S1268" s="5">
        <v>42356.71503472222</v>
      </c>
      <c r="T1268" t="s">
        <v>149</v>
      </c>
      <c r="U1268" t="s">
        <v>3956</v>
      </c>
      <c r="V1268" s="3" t="s">
        <v>35</v>
      </c>
      <c r="W1268" s="3" t="s">
        <v>118</v>
      </c>
      <c r="AM1268" s="5"/>
      <c r="AN1268" s="5"/>
      <c r="AQ1268" s="6"/>
    </row>
    <row r="1269" spans="2:43" x14ac:dyDescent="0.25">
      <c r="B1269" t="s">
        <v>3846</v>
      </c>
      <c r="C1269">
        <v>68456</v>
      </c>
      <c r="D1269" t="s">
        <v>3870</v>
      </c>
      <c r="E1269" t="s">
        <v>371</v>
      </c>
      <c r="F1269" t="s">
        <v>305</v>
      </c>
      <c r="G1269" t="s">
        <v>337</v>
      </c>
      <c r="H1269" t="s">
        <v>56</v>
      </c>
      <c r="I1269" t="s">
        <v>68</v>
      </c>
      <c r="J1269" t="s">
        <v>43</v>
      </c>
      <c r="K1269" t="s">
        <v>33</v>
      </c>
      <c r="L1269" t="s">
        <v>34</v>
      </c>
      <c r="M1269" t="s">
        <v>368</v>
      </c>
      <c r="N1269" t="s">
        <v>46</v>
      </c>
      <c r="O1269" t="s">
        <v>3871</v>
      </c>
      <c r="P1269" t="s">
        <v>56</v>
      </c>
      <c r="R1269" s="5">
        <v>42250.552835648145</v>
      </c>
      <c r="S1269" s="5">
        <v>42306.656770833331</v>
      </c>
      <c r="T1269" t="s">
        <v>3872</v>
      </c>
      <c r="U1269" t="s">
        <v>35</v>
      </c>
      <c r="V1269" s="3" t="s">
        <v>35</v>
      </c>
      <c r="W1269" s="3" t="s">
        <v>3120</v>
      </c>
      <c r="AM1269" s="5"/>
      <c r="AN1269" s="5"/>
      <c r="AQ1269" s="6"/>
    </row>
    <row r="1270" spans="2:43" x14ac:dyDescent="0.25">
      <c r="B1270" t="s">
        <v>2651</v>
      </c>
      <c r="C1270">
        <v>68367</v>
      </c>
      <c r="D1270" t="s">
        <v>2686</v>
      </c>
      <c r="E1270" t="s">
        <v>139</v>
      </c>
      <c r="F1270" t="s">
        <v>305</v>
      </c>
      <c r="G1270" t="s">
        <v>337</v>
      </c>
      <c r="H1270" t="s">
        <v>30</v>
      </c>
      <c r="I1270" t="s">
        <v>31</v>
      </c>
      <c r="J1270" t="s">
        <v>32</v>
      </c>
      <c r="K1270" t="s">
        <v>44</v>
      </c>
      <c r="L1270" t="s">
        <v>73</v>
      </c>
      <c r="M1270" t="s">
        <v>263</v>
      </c>
      <c r="N1270" t="s">
        <v>46</v>
      </c>
      <c r="P1270" t="s">
        <v>47</v>
      </c>
      <c r="R1270" s="5">
        <v>42249.802118055559</v>
      </c>
      <c r="S1270" s="5">
        <v>42678.643125000002</v>
      </c>
      <c r="T1270" t="s">
        <v>317</v>
      </c>
      <c r="U1270" t="s">
        <v>35</v>
      </c>
      <c r="V1270" s="3" t="s">
        <v>35</v>
      </c>
      <c r="W1270" s="3" t="s">
        <v>4153</v>
      </c>
      <c r="AM1270" s="5"/>
      <c r="AN1270" s="5"/>
      <c r="AQ1270" s="6"/>
    </row>
    <row r="1271" spans="2:43" x14ac:dyDescent="0.25">
      <c r="B1271" t="s">
        <v>2608</v>
      </c>
      <c r="C1271">
        <v>68366</v>
      </c>
      <c r="D1271" t="s">
        <v>2685</v>
      </c>
      <c r="E1271" t="s">
        <v>94</v>
      </c>
      <c r="F1271" t="s">
        <v>305</v>
      </c>
      <c r="G1271" t="s">
        <v>337</v>
      </c>
      <c r="H1271" t="s">
        <v>30</v>
      </c>
      <c r="I1271" t="s">
        <v>31</v>
      </c>
      <c r="J1271" t="s">
        <v>43</v>
      </c>
      <c r="K1271" t="s">
        <v>44</v>
      </c>
      <c r="L1271" t="s">
        <v>73</v>
      </c>
      <c r="M1271" t="s">
        <v>263</v>
      </c>
      <c r="N1271" t="s">
        <v>46</v>
      </c>
      <c r="P1271" t="s">
        <v>47</v>
      </c>
      <c r="R1271" s="5">
        <v>42249.801817129628</v>
      </c>
      <c r="S1271" s="5">
        <v>42678.637037037035</v>
      </c>
      <c r="T1271" t="s">
        <v>317</v>
      </c>
      <c r="U1271" t="s">
        <v>35</v>
      </c>
      <c r="V1271" s="3" t="s">
        <v>35</v>
      </c>
      <c r="W1271" s="3" t="s">
        <v>4153</v>
      </c>
      <c r="AM1271" s="5"/>
      <c r="AN1271" s="5"/>
      <c r="AQ1271" s="6"/>
    </row>
    <row r="1272" spans="2:43" x14ac:dyDescent="0.25">
      <c r="B1272" t="s">
        <v>2562</v>
      </c>
      <c r="C1272">
        <v>68365</v>
      </c>
      <c r="D1272" t="s">
        <v>2684</v>
      </c>
      <c r="E1272" t="s">
        <v>445</v>
      </c>
      <c r="F1272" t="s">
        <v>305</v>
      </c>
      <c r="G1272" t="s">
        <v>337</v>
      </c>
      <c r="H1272" t="s">
        <v>30</v>
      </c>
      <c r="I1272" t="s">
        <v>31</v>
      </c>
      <c r="J1272" t="s">
        <v>32</v>
      </c>
      <c r="K1272" t="s">
        <v>33</v>
      </c>
      <c r="L1272" t="s">
        <v>73</v>
      </c>
      <c r="M1272" t="s">
        <v>263</v>
      </c>
      <c r="N1272" t="s">
        <v>46</v>
      </c>
      <c r="P1272" t="s">
        <v>47</v>
      </c>
      <c r="R1272" s="5">
        <v>42249.801481481481</v>
      </c>
      <c r="S1272" s="5">
        <v>42678.643067129633</v>
      </c>
      <c r="T1272" t="s">
        <v>317</v>
      </c>
      <c r="U1272" t="s">
        <v>35</v>
      </c>
      <c r="V1272" s="3" t="s">
        <v>321</v>
      </c>
      <c r="W1272" s="3" t="s">
        <v>4153</v>
      </c>
      <c r="AM1272" s="5"/>
      <c r="AN1272" s="5"/>
      <c r="AQ1272" s="6"/>
    </row>
    <row r="1273" spans="2:43" x14ac:dyDescent="0.25">
      <c r="B1273" t="s">
        <v>2491</v>
      </c>
      <c r="C1273">
        <v>68364</v>
      </c>
      <c r="D1273" t="s">
        <v>2683</v>
      </c>
      <c r="E1273" t="s">
        <v>94</v>
      </c>
      <c r="F1273" t="s">
        <v>305</v>
      </c>
      <c r="G1273" t="s">
        <v>337</v>
      </c>
      <c r="H1273" t="s">
        <v>30</v>
      </c>
      <c r="I1273" t="s">
        <v>31</v>
      </c>
      <c r="J1273" t="s">
        <v>32</v>
      </c>
      <c r="K1273" t="s">
        <v>44</v>
      </c>
      <c r="L1273" t="s">
        <v>73</v>
      </c>
      <c r="M1273" t="s">
        <v>263</v>
      </c>
      <c r="N1273" t="s">
        <v>46</v>
      </c>
      <c r="P1273" t="s">
        <v>394</v>
      </c>
      <c r="R1273" s="5">
        <v>42249.801041666666</v>
      </c>
      <c r="S1273" s="5">
        <v>42678.648692129631</v>
      </c>
      <c r="T1273" t="s">
        <v>317</v>
      </c>
      <c r="U1273" t="s">
        <v>35</v>
      </c>
      <c r="V1273" s="3" t="s">
        <v>35</v>
      </c>
      <c r="W1273" s="3" t="s">
        <v>4153</v>
      </c>
      <c r="AM1273" s="5"/>
      <c r="AN1273" s="5"/>
      <c r="AQ1273" s="6"/>
    </row>
    <row r="1274" spans="2:43" x14ac:dyDescent="0.25">
      <c r="B1274" t="s">
        <v>2281</v>
      </c>
      <c r="C1274">
        <v>68363</v>
      </c>
      <c r="D1274" t="s">
        <v>2682</v>
      </c>
      <c r="E1274" t="s">
        <v>435</v>
      </c>
      <c r="F1274" t="s">
        <v>305</v>
      </c>
      <c r="G1274" t="s">
        <v>337</v>
      </c>
      <c r="H1274" t="s">
        <v>30</v>
      </c>
      <c r="I1274" t="s">
        <v>31</v>
      </c>
      <c r="J1274" t="s">
        <v>32</v>
      </c>
      <c r="K1274" t="s">
        <v>44</v>
      </c>
      <c r="L1274" t="s">
        <v>380</v>
      </c>
      <c r="M1274" t="s">
        <v>434</v>
      </c>
      <c r="N1274" t="s">
        <v>46</v>
      </c>
      <c r="P1274" t="s">
        <v>394</v>
      </c>
      <c r="R1274" s="5">
        <v>42249.800856481481</v>
      </c>
      <c r="S1274" s="5">
        <v>42293.73333333333</v>
      </c>
      <c r="T1274" t="s">
        <v>317</v>
      </c>
      <c r="U1274" t="s">
        <v>35</v>
      </c>
      <c r="V1274" s="3" t="s">
        <v>35</v>
      </c>
      <c r="W1274" s="3" t="s">
        <v>4153</v>
      </c>
      <c r="AM1274" s="5"/>
      <c r="AN1274" s="5"/>
      <c r="AQ1274" s="6"/>
    </row>
    <row r="1275" spans="2:43" x14ac:dyDescent="0.25">
      <c r="B1275" t="s">
        <v>2109</v>
      </c>
      <c r="C1275">
        <v>68362</v>
      </c>
      <c r="D1275" t="s">
        <v>2681</v>
      </c>
      <c r="E1275" t="s">
        <v>139</v>
      </c>
      <c r="F1275" t="s">
        <v>305</v>
      </c>
      <c r="G1275" t="s">
        <v>337</v>
      </c>
      <c r="H1275" t="s">
        <v>54</v>
      </c>
      <c r="I1275" t="s">
        <v>31</v>
      </c>
      <c r="J1275" t="s">
        <v>43</v>
      </c>
      <c r="K1275" t="s">
        <v>44</v>
      </c>
      <c r="L1275" t="s">
        <v>73</v>
      </c>
      <c r="M1275" t="s">
        <v>263</v>
      </c>
      <c r="N1275" t="s">
        <v>46</v>
      </c>
      <c r="P1275" t="s">
        <v>1749</v>
      </c>
      <c r="Q1275" t="s">
        <v>2112</v>
      </c>
      <c r="R1275" s="5">
        <v>42249.800520833334</v>
      </c>
      <c r="S1275" s="5">
        <v>42759.723391203705</v>
      </c>
      <c r="T1275" t="s">
        <v>317</v>
      </c>
      <c r="U1275" t="s">
        <v>35</v>
      </c>
      <c r="V1275" s="3" t="s">
        <v>35</v>
      </c>
      <c r="W1275" s="3" t="s">
        <v>4153</v>
      </c>
      <c r="AM1275" s="5"/>
      <c r="AN1275" s="5"/>
      <c r="AQ1275" s="6"/>
    </row>
    <row r="1276" spans="2:43" x14ac:dyDescent="0.25">
      <c r="B1276" t="s">
        <v>2390</v>
      </c>
      <c r="C1276">
        <v>68361</v>
      </c>
      <c r="D1276" t="s">
        <v>2680</v>
      </c>
      <c r="E1276" t="s">
        <v>131</v>
      </c>
      <c r="F1276" t="s">
        <v>305</v>
      </c>
      <c r="G1276" t="s">
        <v>310</v>
      </c>
      <c r="H1276" t="s">
        <v>30</v>
      </c>
      <c r="I1276" t="s">
        <v>68</v>
      </c>
      <c r="J1276" t="s">
        <v>43</v>
      </c>
      <c r="K1276" t="s">
        <v>33</v>
      </c>
      <c r="L1276" t="s">
        <v>96</v>
      </c>
      <c r="M1276" t="s">
        <v>269</v>
      </c>
      <c r="N1276" t="s">
        <v>46</v>
      </c>
      <c r="P1276" t="s">
        <v>394</v>
      </c>
      <c r="R1276" s="5">
        <v>42249.800162037034</v>
      </c>
      <c r="S1276" s="5">
        <v>42678.639293981483</v>
      </c>
      <c r="T1276" t="s">
        <v>317</v>
      </c>
      <c r="U1276" t="s">
        <v>35</v>
      </c>
      <c r="V1276" s="3" t="s">
        <v>35</v>
      </c>
      <c r="W1276" s="3" t="s">
        <v>4153</v>
      </c>
      <c r="AM1276" s="5"/>
      <c r="AN1276" s="5"/>
      <c r="AQ1276" s="6"/>
    </row>
    <row r="1277" spans="2:43" x14ac:dyDescent="0.25">
      <c r="B1277" t="s">
        <v>2022</v>
      </c>
      <c r="C1277">
        <v>68236</v>
      </c>
      <c r="D1277" t="s">
        <v>3868</v>
      </c>
      <c r="E1277" t="s">
        <v>3787</v>
      </c>
      <c r="F1277" t="s">
        <v>305</v>
      </c>
      <c r="G1277" t="s">
        <v>337</v>
      </c>
      <c r="H1277" t="s">
        <v>54</v>
      </c>
      <c r="I1277" t="s">
        <v>68</v>
      </c>
      <c r="J1277" t="s">
        <v>43</v>
      </c>
      <c r="K1277" t="s">
        <v>33</v>
      </c>
      <c r="L1277" t="s">
        <v>34</v>
      </c>
      <c r="M1277" t="s">
        <v>3780</v>
      </c>
      <c r="N1277" t="s">
        <v>46</v>
      </c>
      <c r="O1277" t="s">
        <v>3869</v>
      </c>
      <c r="P1277" t="s">
        <v>2180</v>
      </c>
      <c r="Q1277" t="s">
        <v>3809</v>
      </c>
      <c r="R1277" s="5">
        <v>42248.792534722219</v>
      </c>
      <c r="S1277" s="5">
        <v>43007.432997685188</v>
      </c>
      <c r="T1277" t="s">
        <v>3787</v>
      </c>
      <c r="U1277" t="s">
        <v>35</v>
      </c>
      <c r="V1277" s="3" t="s">
        <v>35</v>
      </c>
      <c r="W1277" s="3" t="s">
        <v>3039</v>
      </c>
      <c r="AM1277" s="5"/>
      <c r="AN1277" s="5"/>
      <c r="AQ1277" s="6"/>
    </row>
    <row r="1278" spans="2:43" x14ac:dyDescent="0.25">
      <c r="B1278" t="s">
        <v>2676</v>
      </c>
      <c r="C1278">
        <v>68219</v>
      </c>
      <c r="D1278" t="s">
        <v>2677</v>
      </c>
      <c r="E1278" t="s">
        <v>2678</v>
      </c>
      <c r="F1278" t="s">
        <v>305</v>
      </c>
      <c r="G1278" t="s">
        <v>304</v>
      </c>
      <c r="H1278" t="s">
        <v>30</v>
      </c>
      <c r="I1278" t="s">
        <v>31</v>
      </c>
      <c r="J1278" t="s">
        <v>32</v>
      </c>
      <c r="K1278" t="s">
        <v>33</v>
      </c>
      <c r="L1278" t="s">
        <v>34</v>
      </c>
      <c r="M1278" t="s">
        <v>1853</v>
      </c>
      <c r="N1278" t="s">
        <v>46</v>
      </c>
      <c r="P1278" t="s">
        <v>2679</v>
      </c>
      <c r="Q1278" t="s">
        <v>2416</v>
      </c>
      <c r="R1278" s="5">
        <v>42248.683877314812</v>
      </c>
      <c r="S1278" s="5">
        <v>42802.666747685187</v>
      </c>
      <c r="T1278" t="s">
        <v>39</v>
      </c>
      <c r="U1278" t="s">
        <v>35</v>
      </c>
      <c r="V1278" s="3" t="s">
        <v>35</v>
      </c>
      <c r="W1278" s="3" t="s">
        <v>4098</v>
      </c>
      <c r="AM1278" s="5"/>
      <c r="AN1278" s="5"/>
      <c r="AQ1278" s="6"/>
    </row>
    <row r="1279" spans="2:43" x14ac:dyDescent="0.25">
      <c r="B1279" t="s">
        <v>2671</v>
      </c>
      <c r="C1279">
        <v>68162</v>
      </c>
      <c r="D1279" t="s">
        <v>2674</v>
      </c>
      <c r="E1279" t="s">
        <v>2325</v>
      </c>
      <c r="F1279" t="s">
        <v>305</v>
      </c>
      <c r="G1279" t="s">
        <v>304</v>
      </c>
      <c r="H1279" t="s">
        <v>30</v>
      </c>
      <c r="I1279" t="s">
        <v>31</v>
      </c>
      <c r="J1279" t="s">
        <v>43</v>
      </c>
      <c r="K1279" t="s">
        <v>44</v>
      </c>
      <c r="L1279" t="s">
        <v>195</v>
      </c>
      <c r="M1279" t="s">
        <v>362</v>
      </c>
      <c r="N1279" t="s">
        <v>46</v>
      </c>
      <c r="P1279" t="s">
        <v>61</v>
      </c>
      <c r="R1279" s="5">
        <v>42248.272476851853</v>
      </c>
      <c r="S1279" s="5">
        <v>42648.938518518517</v>
      </c>
      <c r="T1279" t="s">
        <v>2675</v>
      </c>
      <c r="U1279" t="s">
        <v>3949</v>
      </c>
      <c r="V1279" s="3" t="s">
        <v>35</v>
      </c>
      <c r="W1279" s="3" t="s">
        <v>65</v>
      </c>
      <c r="AM1279" s="5"/>
      <c r="AN1279" s="5"/>
      <c r="AQ1279" s="6"/>
    </row>
    <row r="1280" spans="2:43" x14ac:dyDescent="0.25">
      <c r="B1280" t="s">
        <v>2671</v>
      </c>
      <c r="C1280">
        <v>68132</v>
      </c>
      <c r="D1280" t="s">
        <v>2672</v>
      </c>
      <c r="E1280" t="s">
        <v>194</v>
      </c>
      <c r="F1280" t="s">
        <v>305</v>
      </c>
      <c r="G1280" t="s">
        <v>304</v>
      </c>
      <c r="H1280" t="s">
        <v>30</v>
      </c>
      <c r="I1280" t="s">
        <v>31</v>
      </c>
      <c r="J1280" t="s">
        <v>43</v>
      </c>
      <c r="K1280" t="s">
        <v>44</v>
      </c>
      <c r="L1280" t="s">
        <v>195</v>
      </c>
      <c r="M1280" t="s">
        <v>362</v>
      </c>
      <c r="N1280" t="s">
        <v>46</v>
      </c>
      <c r="P1280" t="s">
        <v>61</v>
      </c>
      <c r="R1280" s="5">
        <v>42247.72042824074</v>
      </c>
      <c r="S1280" s="5">
        <v>43007.435474537036</v>
      </c>
      <c r="T1280" t="s">
        <v>2673</v>
      </c>
      <c r="U1280" t="s">
        <v>35</v>
      </c>
      <c r="V1280" s="3" t="s">
        <v>35</v>
      </c>
      <c r="W1280" s="3" t="s">
        <v>4098</v>
      </c>
      <c r="AM1280" s="5"/>
      <c r="AN1280" s="5"/>
      <c r="AQ1280" s="6"/>
    </row>
    <row r="1281" spans="2:43" x14ac:dyDescent="0.25">
      <c r="B1281" t="s">
        <v>2669</v>
      </c>
      <c r="C1281">
        <v>67887</v>
      </c>
      <c r="D1281" t="s">
        <v>2670</v>
      </c>
      <c r="E1281" t="s">
        <v>2526</v>
      </c>
      <c r="F1281" t="s">
        <v>305</v>
      </c>
      <c r="G1281" t="s">
        <v>304</v>
      </c>
      <c r="H1281" t="s">
        <v>30</v>
      </c>
      <c r="I1281" t="s">
        <v>31</v>
      </c>
      <c r="J1281" t="s">
        <v>43</v>
      </c>
      <c r="K1281" t="s">
        <v>44</v>
      </c>
      <c r="L1281" t="s">
        <v>45</v>
      </c>
      <c r="M1281" t="s">
        <v>265</v>
      </c>
      <c r="N1281" t="s">
        <v>46</v>
      </c>
      <c r="P1281" t="s">
        <v>428</v>
      </c>
      <c r="R1281" s="5">
        <v>42243.209918981483</v>
      </c>
      <c r="S1281" s="5">
        <v>42930.300069444442</v>
      </c>
      <c r="T1281" t="s">
        <v>2526</v>
      </c>
      <c r="U1281" t="s">
        <v>35</v>
      </c>
      <c r="V1281" s="3" t="s">
        <v>35</v>
      </c>
      <c r="W1281" s="3" t="s">
        <v>428</v>
      </c>
      <c r="AM1281" s="5"/>
      <c r="AN1281" s="5"/>
      <c r="AQ1281" s="6"/>
    </row>
    <row r="1282" spans="2:43" x14ac:dyDescent="0.25">
      <c r="B1282" t="s">
        <v>2281</v>
      </c>
      <c r="C1282">
        <v>67875</v>
      </c>
      <c r="D1282" t="s">
        <v>2668</v>
      </c>
      <c r="E1282" t="s">
        <v>435</v>
      </c>
      <c r="F1282" t="s">
        <v>305</v>
      </c>
      <c r="G1282" t="s">
        <v>353</v>
      </c>
      <c r="H1282" t="s">
        <v>30</v>
      </c>
      <c r="I1282" t="s">
        <v>31</v>
      </c>
      <c r="J1282" t="s">
        <v>32</v>
      </c>
      <c r="K1282" t="s">
        <v>44</v>
      </c>
      <c r="L1282" t="s">
        <v>380</v>
      </c>
      <c r="M1282" t="s">
        <v>434</v>
      </c>
      <c r="N1282" t="s">
        <v>46</v>
      </c>
      <c r="P1282" t="s">
        <v>47</v>
      </c>
      <c r="R1282" s="5">
        <v>42242.956342592595</v>
      </c>
      <c r="S1282" s="5">
        <v>43007.417939814812</v>
      </c>
      <c r="T1282" t="s">
        <v>317</v>
      </c>
      <c r="U1282" t="s">
        <v>35</v>
      </c>
      <c r="V1282" s="3" t="s">
        <v>35</v>
      </c>
      <c r="W1282" s="3" t="s">
        <v>4147</v>
      </c>
      <c r="AM1282" s="5"/>
      <c r="AN1282" s="5"/>
      <c r="AQ1282" s="6"/>
    </row>
    <row r="1283" spans="2:43" x14ac:dyDescent="0.25">
      <c r="B1283" t="s">
        <v>2281</v>
      </c>
      <c r="C1283">
        <v>67848</v>
      </c>
      <c r="D1283" t="s">
        <v>2667</v>
      </c>
      <c r="E1283" t="s">
        <v>435</v>
      </c>
      <c r="F1283" t="s">
        <v>305</v>
      </c>
      <c r="G1283" t="s">
        <v>353</v>
      </c>
      <c r="H1283" t="s">
        <v>30</v>
      </c>
      <c r="I1283" t="s">
        <v>31</v>
      </c>
      <c r="J1283" t="s">
        <v>32</v>
      </c>
      <c r="K1283" t="s">
        <v>44</v>
      </c>
      <c r="L1283" t="s">
        <v>380</v>
      </c>
      <c r="M1283" t="s">
        <v>2588</v>
      </c>
      <c r="N1283" t="s">
        <v>46</v>
      </c>
      <c r="P1283" t="s">
        <v>47</v>
      </c>
      <c r="R1283" s="5">
        <v>42242.611898148149</v>
      </c>
      <c r="S1283" s="5">
        <v>43007.417939814812</v>
      </c>
      <c r="T1283" t="s">
        <v>317</v>
      </c>
      <c r="U1283" t="s">
        <v>35</v>
      </c>
      <c r="V1283" s="3" t="s">
        <v>35</v>
      </c>
      <c r="W1283" s="3" t="s">
        <v>65</v>
      </c>
      <c r="AM1283" s="5"/>
      <c r="AN1283" s="5"/>
      <c r="AQ1283" s="6"/>
    </row>
    <row r="1284" spans="2:43" x14ac:dyDescent="0.25">
      <c r="B1284" t="s">
        <v>2281</v>
      </c>
      <c r="C1284">
        <v>67847</v>
      </c>
      <c r="D1284" t="s">
        <v>2666</v>
      </c>
      <c r="E1284" t="s">
        <v>435</v>
      </c>
      <c r="F1284" t="s">
        <v>305</v>
      </c>
      <c r="G1284" t="s">
        <v>353</v>
      </c>
      <c r="H1284" t="s">
        <v>30</v>
      </c>
      <c r="I1284" t="s">
        <v>31</v>
      </c>
      <c r="J1284" t="s">
        <v>32</v>
      </c>
      <c r="K1284" t="s">
        <v>44</v>
      </c>
      <c r="L1284" t="s">
        <v>380</v>
      </c>
      <c r="M1284" t="s">
        <v>2588</v>
      </c>
      <c r="N1284" t="s">
        <v>46</v>
      </c>
      <c r="P1284" t="s">
        <v>47</v>
      </c>
      <c r="R1284" s="5">
        <v>42242.611608796295</v>
      </c>
      <c r="S1284" s="5">
        <v>43007.417939814812</v>
      </c>
      <c r="T1284" t="s">
        <v>317</v>
      </c>
      <c r="U1284" t="s">
        <v>35</v>
      </c>
      <c r="V1284" s="3" t="s">
        <v>35</v>
      </c>
      <c r="W1284" s="3" t="s">
        <v>61</v>
      </c>
      <c r="AM1284" s="5"/>
      <c r="AN1284" s="5"/>
      <c r="AQ1284" s="6"/>
    </row>
    <row r="1285" spans="2:43" x14ac:dyDescent="0.25">
      <c r="B1285" t="s">
        <v>2281</v>
      </c>
      <c r="C1285">
        <v>67816</v>
      </c>
      <c r="D1285" t="s">
        <v>2665</v>
      </c>
      <c r="E1285" t="s">
        <v>435</v>
      </c>
      <c r="F1285" t="s">
        <v>305</v>
      </c>
      <c r="G1285" t="s">
        <v>353</v>
      </c>
      <c r="H1285" t="s">
        <v>30</v>
      </c>
      <c r="I1285" t="s">
        <v>31</v>
      </c>
      <c r="J1285" t="s">
        <v>32</v>
      </c>
      <c r="K1285" t="s">
        <v>44</v>
      </c>
      <c r="L1285" t="s">
        <v>380</v>
      </c>
      <c r="M1285" t="s">
        <v>434</v>
      </c>
      <c r="N1285" t="s">
        <v>46</v>
      </c>
      <c r="P1285" t="s">
        <v>47</v>
      </c>
      <c r="R1285" s="5">
        <v>42242.444224537037</v>
      </c>
      <c r="S1285" s="5">
        <v>43007.417939814812</v>
      </c>
      <c r="T1285" t="s">
        <v>4</v>
      </c>
      <c r="U1285" t="s">
        <v>35</v>
      </c>
      <c r="V1285" s="3" t="s">
        <v>35</v>
      </c>
      <c r="W1285" s="3" t="s">
        <v>4098</v>
      </c>
      <c r="AM1285" s="5"/>
      <c r="AN1285" s="5"/>
      <c r="AQ1285" s="6"/>
    </row>
    <row r="1286" spans="2:43" x14ac:dyDescent="0.25">
      <c r="B1286" t="s">
        <v>2661</v>
      </c>
      <c r="C1286">
        <v>67753</v>
      </c>
      <c r="D1286" t="s">
        <v>2664</v>
      </c>
      <c r="E1286" t="s">
        <v>445</v>
      </c>
      <c r="F1286" t="s">
        <v>305</v>
      </c>
      <c r="G1286" t="s">
        <v>395</v>
      </c>
      <c r="H1286" t="s">
        <v>30</v>
      </c>
      <c r="I1286" t="s">
        <v>68</v>
      </c>
      <c r="J1286" t="s">
        <v>43</v>
      </c>
      <c r="K1286" t="s">
        <v>33</v>
      </c>
      <c r="L1286" t="s">
        <v>73</v>
      </c>
      <c r="M1286" t="s">
        <v>263</v>
      </c>
      <c r="N1286" t="s">
        <v>518</v>
      </c>
      <c r="P1286" t="s">
        <v>394</v>
      </c>
      <c r="R1286" s="5">
        <v>42241.885844907411</v>
      </c>
      <c r="S1286" s="5">
        <v>42716.79115740741</v>
      </c>
      <c r="T1286" t="s">
        <v>317</v>
      </c>
      <c r="U1286" t="s">
        <v>35</v>
      </c>
      <c r="V1286" s="3" t="s">
        <v>35</v>
      </c>
      <c r="W1286" s="3" t="s">
        <v>65</v>
      </c>
      <c r="AM1286" s="5"/>
      <c r="AN1286" s="5"/>
      <c r="AQ1286" s="6"/>
    </row>
    <row r="1287" spans="2:43" x14ac:dyDescent="0.25">
      <c r="B1287" t="s">
        <v>2661</v>
      </c>
      <c r="C1287">
        <v>67752</v>
      </c>
      <c r="D1287" t="s">
        <v>2663</v>
      </c>
      <c r="E1287" t="s">
        <v>387</v>
      </c>
      <c r="F1287" t="s">
        <v>305</v>
      </c>
      <c r="G1287" t="s">
        <v>395</v>
      </c>
      <c r="H1287" t="s">
        <v>30</v>
      </c>
      <c r="I1287" t="s">
        <v>68</v>
      </c>
      <c r="J1287" t="s">
        <v>43</v>
      </c>
      <c r="K1287" t="s">
        <v>33</v>
      </c>
      <c r="L1287" t="s">
        <v>73</v>
      </c>
      <c r="M1287" t="s">
        <v>263</v>
      </c>
      <c r="N1287" t="s">
        <v>46</v>
      </c>
      <c r="P1287" t="s">
        <v>394</v>
      </c>
      <c r="R1287" s="5">
        <v>42241.885775462964</v>
      </c>
      <c r="S1287" s="5">
        <v>42759.734039351853</v>
      </c>
      <c r="T1287" t="s">
        <v>317</v>
      </c>
      <c r="U1287" t="s">
        <v>35</v>
      </c>
      <c r="V1287" s="3" t="s">
        <v>35</v>
      </c>
      <c r="W1287" s="3" t="s">
        <v>61</v>
      </c>
      <c r="AM1287" s="5"/>
      <c r="AN1287" s="5"/>
      <c r="AQ1287" s="6"/>
    </row>
    <row r="1288" spans="2:43" x14ac:dyDescent="0.25">
      <c r="B1288" t="s">
        <v>2661</v>
      </c>
      <c r="C1288">
        <v>67747</v>
      </c>
      <c r="D1288" t="s">
        <v>2662</v>
      </c>
      <c r="E1288" t="s">
        <v>445</v>
      </c>
      <c r="F1288" t="s">
        <v>305</v>
      </c>
      <c r="G1288" t="s">
        <v>395</v>
      </c>
      <c r="H1288" t="s">
        <v>30</v>
      </c>
      <c r="I1288" t="s">
        <v>68</v>
      </c>
      <c r="J1288" t="s">
        <v>43</v>
      </c>
      <c r="K1288" t="s">
        <v>33</v>
      </c>
      <c r="L1288" t="s">
        <v>73</v>
      </c>
      <c r="M1288" t="s">
        <v>263</v>
      </c>
      <c r="N1288" t="s">
        <v>46</v>
      </c>
      <c r="P1288" t="s">
        <v>394</v>
      </c>
      <c r="R1288" s="5">
        <v>42241.83353009259</v>
      </c>
      <c r="S1288" s="5">
        <v>42759.67459490741</v>
      </c>
      <c r="T1288" t="s">
        <v>98</v>
      </c>
      <c r="U1288" t="s">
        <v>35</v>
      </c>
      <c r="V1288" s="3" t="s">
        <v>35</v>
      </c>
      <c r="W1288" s="3" t="s">
        <v>4098</v>
      </c>
      <c r="AM1288" s="5"/>
      <c r="AN1288" s="5"/>
      <c r="AQ1288" s="6"/>
    </row>
    <row r="1289" spans="2:43" x14ac:dyDescent="0.25">
      <c r="B1289" t="s">
        <v>2651</v>
      </c>
      <c r="C1289">
        <v>67617</v>
      </c>
      <c r="D1289" t="s">
        <v>2660</v>
      </c>
      <c r="E1289" t="s">
        <v>139</v>
      </c>
      <c r="F1289" t="s">
        <v>305</v>
      </c>
      <c r="G1289" t="s">
        <v>310</v>
      </c>
      <c r="H1289" t="s">
        <v>30</v>
      </c>
      <c r="I1289" t="s">
        <v>31</v>
      </c>
      <c r="J1289" t="s">
        <v>32</v>
      </c>
      <c r="K1289" t="s">
        <v>33</v>
      </c>
      <c r="L1289" t="s">
        <v>73</v>
      </c>
      <c r="M1289" t="s">
        <v>273</v>
      </c>
      <c r="N1289" t="s">
        <v>46</v>
      </c>
      <c r="P1289" t="s">
        <v>47</v>
      </c>
      <c r="R1289" s="5">
        <v>42238.269606481481</v>
      </c>
      <c r="S1289" s="5">
        <v>42242.601979166669</v>
      </c>
      <c r="T1289" t="s">
        <v>317</v>
      </c>
      <c r="U1289" t="s">
        <v>35</v>
      </c>
      <c r="V1289" s="3" t="s">
        <v>35</v>
      </c>
      <c r="W1289" s="3" t="s">
        <v>4145</v>
      </c>
      <c r="AM1289" s="5"/>
      <c r="AN1289" s="5"/>
      <c r="AQ1289" s="6"/>
    </row>
    <row r="1290" spans="2:43" x14ac:dyDescent="0.25">
      <c r="B1290" t="s">
        <v>2651</v>
      </c>
      <c r="C1290">
        <v>67616</v>
      </c>
      <c r="D1290" t="s">
        <v>2659</v>
      </c>
      <c r="E1290" t="s">
        <v>139</v>
      </c>
      <c r="F1290" t="s">
        <v>305</v>
      </c>
      <c r="G1290" t="s">
        <v>310</v>
      </c>
      <c r="H1290" t="s">
        <v>30</v>
      </c>
      <c r="I1290" t="s">
        <v>31</v>
      </c>
      <c r="J1290" t="s">
        <v>32</v>
      </c>
      <c r="K1290" t="s">
        <v>33</v>
      </c>
      <c r="L1290" t="s">
        <v>73</v>
      </c>
      <c r="M1290" t="s">
        <v>273</v>
      </c>
      <c r="N1290" t="s">
        <v>46</v>
      </c>
      <c r="P1290" t="s">
        <v>47</v>
      </c>
      <c r="R1290" s="5">
        <v>42238.269560185188</v>
      </c>
      <c r="S1290" s="5">
        <v>42244.284930555557</v>
      </c>
      <c r="T1290" t="s">
        <v>317</v>
      </c>
      <c r="U1290" t="s">
        <v>35</v>
      </c>
      <c r="V1290" s="3" t="s">
        <v>35</v>
      </c>
      <c r="W1290" s="3" t="s">
        <v>2708</v>
      </c>
      <c r="AM1290" s="5"/>
      <c r="AN1290" s="5"/>
      <c r="AQ1290" s="6"/>
    </row>
    <row r="1291" spans="2:43" x14ac:dyDescent="0.25">
      <c r="B1291" t="s">
        <v>2651</v>
      </c>
      <c r="C1291">
        <v>67615</v>
      </c>
      <c r="D1291" t="s">
        <v>2658</v>
      </c>
      <c r="E1291" t="s">
        <v>139</v>
      </c>
      <c r="F1291" t="s">
        <v>305</v>
      </c>
      <c r="G1291" t="s">
        <v>310</v>
      </c>
      <c r="H1291" t="s">
        <v>30</v>
      </c>
      <c r="I1291" t="s">
        <v>31</v>
      </c>
      <c r="J1291" t="s">
        <v>32</v>
      </c>
      <c r="K1291" t="s">
        <v>33</v>
      </c>
      <c r="L1291" t="s">
        <v>73</v>
      </c>
      <c r="M1291" t="s">
        <v>273</v>
      </c>
      <c r="N1291" t="s">
        <v>46</v>
      </c>
      <c r="P1291" t="s">
        <v>47</v>
      </c>
      <c r="R1291" s="5">
        <v>42238.269513888888</v>
      </c>
      <c r="S1291" s="5">
        <v>42263.73159722222</v>
      </c>
      <c r="T1291" t="s">
        <v>317</v>
      </c>
      <c r="U1291" t="s">
        <v>35</v>
      </c>
      <c r="V1291" s="3" t="s">
        <v>35</v>
      </c>
      <c r="W1291" s="3" t="s">
        <v>491</v>
      </c>
      <c r="AM1291" s="5"/>
      <c r="AN1291" s="5"/>
      <c r="AQ1291" s="6"/>
    </row>
    <row r="1292" spans="2:43" x14ac:dyDescent="0.25">
      <c r="B1292" t="s">
        <v>2651</v>
      </c>
      <c r="C1292">
        <v>67614</v>
      </c>
      <c r="D1292" t="s">
        <v>2656</v>
      </c>
      <c r="E1292" t="s">
        <v>94</v>
      </c>
      <c r="F1292" t="s">
        <v>305</v>
      </c>
      <c r="G1292" t="s">
        <v>304</v>
      </c>
      <c r="H1292" t="s">
        <v>30</v>
      </c>
      <c r="I1292" t="s">
        <v>31</v>
      </c>
      <c r="J1292" t="s">
        <v>32</v>
      </c>
      <c r="K1292" t="s">
        <v>44</v>
      </c>
      <c r="L1292" t="s">
        <v>73</v>
      </c>
      <c r="M1292" t="s">
        <v>273</v>
      </c>
      <c r="N1292" t="s">
        <v>518</v>
      </c>
      <c r="O1292" t="s">
        <v>2657</v>
      </c>
      <c r="P1292" t="s">
        <v>47</v>
      </c>
      <c r="R1292" s="5">
        <v>42238.269467592596</v>
      </c>
      <c r="S1292" s="5">
        <v>42648.84952546296</v>
      </c>
      <c r="T1292" t="s">
        <v>317</v>
      </c>
      <c r="U1292" t="s">
        <v>3955</v>
      </c>
      <c r="V1292" s="3" t="s">
        <v>35</v>
      </c>
      <c r="W1292" s="3" t="s">
        <v>65</v>
      </c>
      <c r="AM1292" s="5"/>
      <c r="AN1292" s="5"/>
      <c r="AQ1292" s="6"/>
    </row>
    <row r="1293" spans="2:43" x14ac:dyDescent="0.25">
      <c r="B1293" t="s">
        <v>2651</v>
      </c>
      <c r="C1293">
        <v>67613</v>
      </c>
      <c r="D1293" t="s">
        <v>2655</v>
      </c>
      <c r="E1293" t="s">
        <v>94</v>
      </c>
      <c r="F1293" t="s">
        <v>305</v>
      </c>
      <c r="G1293" t="s">
        <v>337</v>
      </c>
      <c r="H1293" t="s">
        <v>30</v>
      </c>
      <c r="I1293" t="s">
        <v>31</v>
      </c>
      <c r="J1293" t="s">
        <v>32</v>
      </c>
      <c r="K1293" t="s">
        <v>44</v>
      </c>
      <c r="L1293" t="s">
        <v>73</v>
      </c>
      <c r="M1293" t="s">
        <v>263</v>
      </c>
      <c r="N1293" t="s">
        <v>46</v>
      </c>
      <c r="P1293" t="s">
        <v>47</v>
      </c>
      <c r="R1293" s="5">
        <v>42238.269421296296</v>
      </c>
      <c r="S1293" s="5">
        <v>43007.436412037037</v>
      </c>
      <c r="T1293" t="s">
        <v>317</v>
      </c>
      <c r="U1293" t="s">
        <v>35</v>
      </c>
      <c r="V1293" s="3" t="s">
        <v>321</v>
      </c>
      <c r="W1293" s="3" t="s">
        <v>61</v>
      </c>
      <c r="AM1293" s="5"/>
      <c r="AN1293" s="5"/>
      <c r="AQ1293" s="6"/>
    </row>
    <row r="1294" spans="2:43" x14ac:dyDescent="0.25">
      <c r="B1294" t="s">
        <v>2651</v>
      </c>
      <c r="C1294">
        <v>67612</v>
      </c>
      <c r="D1294" t="s">
        <v>2654</v>
      </c>
      <c r="E1294" t="s">
        <v>139</v>
      </c>
      <c r="F1294" t="s">
        <v>305</v>
      </c>
      <c r="G1294" t="s">
        <v>337</v>
      </c>
      <c r="H1294" t="s">
        <v>30</v>
      </c>
      <c r="I1294" t="s">
        <v>31</v>
      </c>
      <c r="J1294" t="s">
        <v>32</v>
      </c>
      <c r="K1294" t="s">
        <v>33</v>
      </c>
      <c r="L1294" t="s">
        <v>73</v>
      </c>
      <c r="M1294" t="s">
        <v>273</v>
      </c>
      <c r="N1294" t="s">
        <v>46</v>
      </c>
      <c r="P1294" t="s">
        <v>47</v>
      </c>
      <c r="R1294" s="5">
        <v>42238.269375000003</v>
      </c>
      <c r="S1294" s="5">
        <v>42678.63585648148</v>
      </c>
      <c r="T1294" t="s">
        <v>317</v>
      </c>
      <c r="U1294" t="s">
        <v>35</v>
      </c>
      <c r="V1294" s="3" t="s">
        <v>35</v>
      </c>
      <c r="W1294" s="3" t="s">
        <v>4147</v>
      </c>
      <c r="AM1294" s="5"/>
      <c r="AN1294" s="5"/>
      <c r="AQ1294" s="6"/>
    </row>
    <row r="1295" spans="2:43" x14ac:dyDescent="0.25">
      <c r="B1295" t="s">
        <v>2651</v>
      </c>
      <c r="C1295">
        <v>67611</v>
      </c>
      <c r="D1295" t="s">
        <v>2653</v>
      </c>
      <c r="E1295" t="s">
        <v>139</v>
      </c>
      <c r="F1295" t="s">
        <v>305</v>
      </c>
      <c r="G1295" t="s">
        <v>310</v>
      </c>
      <c r="H1295" t="s">
        <v>30</v>
      </c>
      <c r="I1295" t="s">
        <v>31</v>
      </c>
      <c r="J1295" t="s">
        <v>32</v>
      </c>
      <c r="K1295" t="s">
        <v>44</v>
      </c>
      <c r="L1295" t="s">
        <v>73</v>
      </c>
      <c r="M1295" t="s">
        <v>273</v>
      </c>
      <c r="N1295" t="s">
        <v>46</v>
      </c>
      <c r="P1295" t="s">
        <v>47</v>
      </c>
      <c r="R1295" s="5">
        <v>42238.269328703704</v>
      </c>
      <c r="S1295" s="5">
        <v>42256.688622685186</v>
      </c>
      <c r="T1295" t="s">
        <v>317</v>
      </c>
      <c r="U1295" t="s">
        <v>35</v>
      </c>
      <c r="V1295" s="3" t="s">
        <v>35</v>
      </c>
      <c r="W1295" s="3" t="s">
        <v>3028</v>
      </c>
      <c r="AM1295" s="5"/>
      <c r="AN1295" s="5"/>
      <c r="AQ1295" s="6"/>
    </row>
    <row r="1296" spans="2:43" x14ac:dyDescent="0.25">
      <c r="B1296" t="s">
        <v>2651</v>
      </c>
      <c r="C1296">
        <v>67610</v>
      </c>
      <c r="D1296" t="s">
        <v>2652</v>
      </c>
      <c r="E1296" t="s">
        <v>139</v>
      </c>
      <c r="F1296" t="s">
        <v>305</v>
      </c>
      <c r="G1296" t="s">
        <v>310</v>
      </c>
      <c r="H1296" t="s">
        <v>30</v>
      </c>
      <c r="I1296" t="s">
        <v>31</v>
      </c>
      <c r="J1296" t="s">
        <v>32</v>
      </c>
      <c r="K1296" t="s">
        <v>44</v>
      </c>
      <c r="L1296" t="s">
        <v>73</v>
      </c>
      <c r="M1296" t="s">
        <v>273</v>
      </c>
      <c r="N1296" t="s">
        <v>46</v>
      </c>
      <c r="P1296" t="s">
        <v>47</v>
      </c>
      <c r="R1296" s="5">
        <v>42238.269259259258</v>
      </c>
      <c r="S1296" s="5">
        <v>42256.688483796293</v>
      </c>
      <c r="T1296" t="s">
        <v>317</v>
      </c>
      <c r="U1296" t="s">
        <v>35</v>
      </c>
      <c r="V1296" s="3" t="s">
        <v>35</v>
      </c>
      <c r="W1296" s="3" t="s">
        <v>3039</v>
      </c>
      <c r="AM1296" s="5"/>
      <c r="AN1296" s="5"/>
      <c r="AQ1296" s="6"/>
    </row>
    <row r="1297" spans="2:43" x14ac:dyDescent="0.25">
      <c r="B1297" t="s">
        <v>2651</v>
      </c>
      <c r="C1297">
        <v>67608</v>
      </c>
      <c r="D1297" t="s">
        <v>393</v>
      </c>
      <c r="E1297" t="s">
        <v>94</v>
      </c>
      <c r="F1297" t="s">
        <v>305</v>
      </c>
      <c r="G1297" t="s">
        <v>304</v>
      </c>
      <c r="H1297" t="s">
        <v>30</v>
      </c>
      <c r="I1297" t="s">
        <v>31</v>
      </c>
      <c r="J1297" t="s">
        <v>32</v>
      </c>
      <c r="K1297" t="s">
        <v>44</v>
      </c>
      <c r="L1297" t="s">
        <v>73</v>
      </c>
      <c r="M1297" t="s">
        <v>273</v>
      </c>
      <c r="N1297" t="s">
        <v>46</v>
      </c>
      <c r="P1297" t="s">
        <v>47</v>
      </c>
      <c r="R1297" s="5">
        <v>42238.131064814814</v>
      </c>
      <c r="S1297" s="5">
        <v>42832.253564814811</v>
      </c>
      <c r="T1297" t="s">
        <v>3</v>
      </c>
      <c r="U1297" t="s">
        <v>35</v>
      </c>
      <c r="V1297" s="3" t="s">
        <v>35</v>
      </c>
      <c r="W1297" s="3" t="s">
        <v>4098</v>
      </c>
      <c r="AM1297" s="5"/>
      <c r="AN1297" s="5"/>
      <c r="AQ1297" s="6"/>
    </row>
    <row r="1298" spans="2:43" x14ac:dyDescent="0.25">
      <c r="B1298" t="s">
        <v>2649</v>
      </c>
      <c r="C1298">
        <v>67503</v>
      </c>
      <c r="D1298" t="s">
        <v>2650</v>
      </c>
      <c r="E1298" t="s">
        <v>62</v>
      </c>
      <c r="F1298" t="s">
        <v>305</v>
      </c>
      <c r="G1298" t="s">
        <v>353</v>
      </c>
      <c r="H1298" t="s">
        <v>30</v>
      </c>
      <c r="I1298" t="s">
        <v>31</v>
      </c>
      <c r="J1298" t="s">
        <v>32</v>
      </c>
      <c r="K1298" t="s">
        <v>33</v>
      </c>
      <c r="L1298" t="s">
        <v>45</v>
      </c>
      <c r="M1298" t="s">
        <v>265</v>
      </c>
      <c r="N1298" t="s">
        <v>46</v>
      </c>
      <c r="P1298" t="s">
        <v>428</v>
      </c>
      <c r="R1298" s="5">
        <v>42236.900462962964</v>
      </c>
      <c r="S1298" s="5">
        <v>42678.634618055556</v>
      </c>
      <c r="T1298" t="s">
        <v>2526</v>
      </c>
      <c r="U1298" t="s">
        <v>35</v>
      </c>
      <c r="V1298" s="3" t="s">
        <v>321</v>
      </c>
      <c r="W1298" s="3" t="s">
        <v>4126</v>
      </c>
      <c r="AM1298" s="5"/>
      <c r="AN1298" s="5"/>
      <c r="AQ1298" s="6"/>
    </row>
    <row r="1299" spans="2:43" x14ac:dyDescent="0.25">
      <c r="B1299" t="s">
        <v>2649</v>
      </c>
      <c r="C1299">
        <v>67502</v>
      </c>
      <c r="D1299" t="s">
        <v>2650</v>
      </c>
      <c r="E1299" t="s">
        <v>62</v>
      </c>
      <c r="F1299" t="s">
        <v>305</v>
      </c>
      <c r="G1299" t="s">
        <v>353</v>
      </c>
      <c r="H1299" t="s">
        <v>30</v>
      </c>
      <c r="I1299" t="s">
        <v>31</v>
      </c>
      <c r="J1299" t="s">
        <v>32</v>
      </c>
      <c r="K1299" t="s">
        <v>33</v>
      </c>
      <c r="L1299" t="s">
        <v>45</v>
      </c>
      <c r="M1299" t="s">
        <v>265</v>
      </c>
      <c r="N1299" t="s">
        <v>46</v>
      </c>
      <c r="P1299" t="s">
        <v>428</v>
      </c>
      <c r="R1299" s="5">
        <v>42236.897835648146</v>
      </c>
      <c r="S1299" s="5">
        <v>42678.634155092594</v>
      </c>
      <c r="T1299" t="s">
        <v>2526</v>
      </c>
      <c r="U1299" t="s">
        <v>35</v>
      </c>
      <c r="V1299" s="3" t="s">
        <v>321</v>
      </c>
      <c r="W1299" s="3" t="s">
        <v>4126</v>
      </c>
      <c r="AM1299" s="5"/>
      <c r="AN1299" s="5"/>
      <c r="AQ1299" s="6"/>
    </row>
    <row r="1300" spans="2:43" x14ac:dyDescent="0.25">
      <c r="B1300" t="s">
        <v>2649</v>
      </c>
      <c r="C1300">
        <v>67501</v>
      </c>
      <c r="D1300" t="s">
        <v>2650</v>
      </c>
      <c r="E1300" t="s">
        <v>343</v>
      </c>
      <c r="F1300" t="s">
        <v>305</v>
      </c>
      <c r="G1300" t="s">
        <v>353</v>
      </c>
      <c r="H1300" t="s">
        <v>30</v>
      </c>
      <c r="I1300" t="s">
        <v>31</v>
      </c>
      <c r="J1300" t="s">
        <v>32</v>
      </c>
      <c r="K1300" t="s">
        <v>33</v>
      </c>
      <c r="L1300" t="s">
        <v>45</v>
      </c>
      <c r="M1300" t="s">
        <v>265</v>
      </c>
      <c r="N1300" t="s">
        <v>46</v>
      </c>
      <c r="P1300" t="s">
        <v>428</v>
      </c>
      <c r="R1300" s="5">
        <v>42236.895405092589</v>
      </c>
      <c r="S1300" s="5">
        <v>43007.397210648145</v>
      </c>
      <c r="T1300" t="s">
        <v>2526</v>
      </c>
      <c r="U1300" t="s">
        <v>35</v>
      </c>
      <c r="V1300" s="3" t="s">
        <v>321</v>
      </c>
      <c r="W1300" s="3" t="s">
        <v>428</v>
      </c>
      <c r="AM1300" s="5"/>
      <c r="AN1300" s="5"/>
      <c r="AQ1300" s="6"/>
    </row>
    <row r="1301" spans="2:43" x14ac:dyDescent="0.25">
      <c r="B1301" t="s">
        <v>2413</v>
      </c>
      <c r="C1301">
        <v>67397</v>
      </c>
      <c r="D1301" t="s">
        <v>2648</v>
      </c>
      <c r="E1301" t="s">
        <v>125</v>
      </c>
      <c r="F1301" t="s">
        <v>305</v>
      </c>
      <c r="G1301" t="s">
        <v>304</v>
      </c>
      <c r="H1301" t="s">
        <v>30</v>
      </c>
      <c r="I1301" t="s">
        <v>68</v>
      </c>
      <c r="J1301" t="s">
        <v>43</v>
      </c>
      <c r="K1301" t="s">
        <v>33</v>
      </c>
      <c r="L1301" t="s">
        <v>34</v>
      </c>
      <c r="M1301" t="s">
        <v>402</v>
      </c>
      <c r="N1301" t="s">
        <v>46</v>
      </c>
      <c r="P1301" t="s">
        <v>369</v>
      </c>
      <c r="Q1301" t="s">
        <v>159</v>
      </c>
      <c r="R1301" s="5">
        <v>42235.948634259257</v>
      </c>
      <c r="S1301" s="5">
        <v>42839.750439814816</v>
      </c>
      <c r="T1301" t="s">
        <v>53</v>
      </c>
      <c r="U1301" t="s">
        <v>3954</v>
      </c>
      <c r="V1301" s="3" t="s">
        <v>35</v>
      </c>
      <c r="W1301" s="3" t="s">
        <v>133</v>
      </c>
      <c r="AM1301" s="5"/>
      <c r="AN1301" s="5"/>
      <c r="AQ1301" s="6"/>
    </row>
    <row r="1302" spans="2:43" x14ac:dyDescent="0.25">
      <c r="B1302" t="s">
        <v>2490</v>
      </c>
      <c r="C1302">
        <v>67390</v>
      </c>
      <c r="D1302" t="s">
        <v>2647</v>
      </c>
      <c r="E1302" t="s">
        <v>405</v>
      </c>
      <c r="F1302" t="s">
        <v>305</v>
      </c>
      <c r="G1302" t="s">
        <v>304</v>
      </c>
      <c r="H1302" t="s">
        <v>30</v>
      </c>
      <c r="I1302" t="s">
        <v>31</v>
      </c>
      <c r="J1302" t="s">
        <v>32</v>
      </c>
      <c r="K1302" t="s">
        <v>44</v>
      </c>
      <c r="L1302" t="s">
        <v>34</v>
      </c>
      <c r="M1302" t="s">
        <v>373</v>
      </c>
      <c r="N1302" t="s">
        <v>46</v>
      </c>
      <c r="P1302" t="s">
        <v>374</v>
      </c>
      <c r="R1302" s="5">
        <v>42235.941319444442</v>
      </c>
      <c r="S1302" s="5">
        <v>42649.655960648146</v>
      </c>
      <c r="T1302" t="s">
        <v>53</v>
      </c>
      <c r="U1302" t="s">
        <v>35</v>
      </c>
      <c r="V1302" s="3" t="s">
        <v>35</v>
      </c>
      <c r="W1302" s="3" t="s">
        <v>133</v>
      </c>
      <c r="AM1302" s="5"/>
      <c r="AN1302" s="5"/>
      <c r="AQ1302" s="6"/>
    </row>
    <row r="1303" spans="2:43" x14ac:dyDescent="0.25">
      <c r="B1303" t="s">
        <v>2513</v>
      </c>
      <c r="C1303">
        <v>67389</v>
      </c>
      <c r="D1303" t="s">
        <v>2646</v>
      </c>
      <c r="E1303" t="s">
        <v>50</v>
      </c>
      <c r="F1303" t="s">
        <v>305</v>
      </c>
      <c r="G1303" t="s">
        <v>310</v>
      </c>
      <c r="H1303" t="s">
        <v>30</v>
      </c>
      <c r="I1303" t="s">
        <v>31</v>
      </c>
      <c r="J1303" t="s">
        <v>32</v>
      </c>
      <c r="K1303" t="s">
        <v>51</v>
      </c>
      <c r="L1303" t="s">
        <v>52</v>
      </c>
      <c r="M1303" t="s">
        <v>259</v>
      </c>
      <c r="N1303" t="s">
        <v>46</v>
      </c>
      <c r="P1303" t="s">
        <v>47</v>
      </c>
      <c r="R1303" s="5">
        <v>42235.940706018519</v>
      </c>
      <c r="S1303" s="5">
        <v>42563.867824074077</v>
      </c>
      <c r="T1303" t="s">
        <v>53</v>
      </c>
      <c r="U1303" t="s">
        <v>35</v>
      </c>
      <c r="V1303" s="3" t="s">
        <v>321</v>
      </c>
      <c r="W1303" s="3" t="s">
        <v>133</v>
      </c>
      <c r="AM1303" s="5"/>
      <c r="AN1303" s="5"/>
      <c r="AQ1303" s="6"/>
    </row>
    <row r="1304" spans="2:43" x14ac:dyDescent="0.25">
      <c r="B1304" t="s">
        <v>2502</v>
      </c>
      <c r="C1304">
        <v>67384</v>
      </c>
      <c r="D1304" t="s">
        <v>2645</v>
      </c>
      <c r="E1304" t="s">
        <v>164</v>
      </c>
      <c r="F1304" t="s">
        <v>305</v>
      </c>
      <c r="G1304" t="s">
        <v>304</v>
      </c>
      <c r="H1304" t="s">
        <v>30</v>
      </c>
      <c r="I1304" t="s">
        <v>31</v>
      </c>
      <c r="J1304" t="s">
        <v>32</v>
      </c>
      <c r="K1304" t="s">
        <v>51</v>
      </c>
      <c r="L1304" t="s">
        <v>34</v>
      </c>
      <c r="M1304" t="s">
        <v>278</v>
      </c>
      <c r="N1304" t="s">
        <v>46</v>
      </c>
      <c r="P1304" t="s">
        <v>369</v>
      </c>
      <c r="R1304" s="5">
        <v>42235.91201388889</v>
      </c>
      <c r="S1304" s="5">
        <v>42797.696018518516</v>
      </c>
      <c r="T1304" t="s">
        <v>53</v>
      </c>
      <c r="U1304" t="s">
        <v>35</v>
      </c>
      <c r="V1304" s="3" t="s">
        <v>35</v>
      </c>
      <c r="W1304" s="3" t="s">
        <v>133</v>
      </c>
      <c r="AM1304" s="5"/>
      <c r="AN1304" s="5"/>
      <c r="AQ1304" s="6"/>
    </row>
    <row r="1305" spans="2:43" x14ac:dyDescent="0.25">
      <c r="B1305" t="s">
        <v>2634</v>
      </c>
      <c r="C1305">
        <v>67256</v>
      </c>
      <c r="D1305" t="s">
        <v>2643</v>
      </c>
      <c r="E1305" t="s">
        <v>131</v>
      </c>
      <c r="F1305" t="s">
        <v>305</v>
      </c>
      <c r="G1305" t="s">
        <v>310</v>
      </c>
      <c r="H1305" t="s">
        <v>30</v>
      </c>
      <c r="I1305" t="s">
        <v>31</v>
      </c>
      <c r="J1305" t="s">
        <v>32</v>
      </c>
      <c r="K1305" t="s">
        <v>33</v>
      </c>
      <c r="L1305" t="s">
        <v>73</v>
      </c>
      <c r="M1305" t="s">
        <v>273</v>
      </c>
      <c r="N1305" t="s">
        <v>46</v>
      </c>
      <c r="O1305" t="s">
        <v>2644</v>
      </c>
      <c r="P1305" t="s">
        <v>2552</v>
      </c>
      <c r="R1305" s="5">
        <v>42234.269699074073</v>
      </c>
      <c r="S1305" s="5">
        <v>43007.38685185185</v>
      </c>
      <c r="T1305" t="s">
        <v>317</v>
      </c>
      <c r="U1305" t="s">
        <v>35</v>
      </c>
      <c r="V1305" s="3" t="s">
        <v>321</v>
      </c>
      <c r="W1305" s="3" t="s">
        <v>4145</v>
      </c>
      <c r="AM1305" s="5"/>
      <c r="AN1305" s="5"/>
      <c r="AQ1305" s="6"/>
    </row>
    <row r="1306" spans="2:43" x14ac:dyDescent="0.25">
      <c r="B1306" t="s">
        <v>2634</v>
      </c>
      <c r="C1306">
        <v>67254</v>
      </c>
      <c r="D1306" t="s">
        <v>2642</v>
      </c>
      <c r="E1306" t="s">
        <v>2194</v>
      </c>
      <c r="F1306" t="s">
        <v>305</v>
      </c>
      <c r="G1306" t="s">
        <v>337</v>
      </c>
      <c r="H1306" t="s">
        <v>30</v>
      </c>
      <c r="I1306" t="s">
        <v>31</v>
      </c>
      <c r="J1306" t="s">
        <v>32</v>
      </c>
      <c r="K1306" t="s">
        <v>33</v>
      </c>
      <c r="L1306" t="s">
        <v>73</v>
      </c>
      <c r="M1306" t="s">
        <v>273</v>
      </c>
      <c r="N1306" t="s">
        <v>46</v>
      </c>
      <c r="P1306" t="s">
        <v>2552</v>
      </c>
      <c r="R1306" s="5">
        <v>42234.269652777781</v>
      </c>
      <c r="S1306" s="5">
        <v>43007.38685185185</v>
      </c>
      <c r="T1306" t="s">
        <v>317</v>
      </c>
      <c r="U1306" t="s">
        <v>35</v>
      </c>
      <c r="V1306" s="3" t="s">
        <v>321</v>
      </c>
      <c r="W1306" s="3" t="s">
        <v>4144</v>
      </c>
      <c r="AM1306" s="5"/>
      <c r="AN1306" s="5"/>
      <c r="AQ1306" s="6"/>
    </row>
    <row r="1307" spans="2:43" x14ac:dyDescent="0.25">
      <c r="B1307" t="s">
        <v>2634</v>
      </c>
      <c r="C1307">
        <v>67253</v>
      </c>
      <c r="D1307" t="s">
        <v>2641</v>
      </c>
      <c r="E1307" t="s">
        <v>131</v>
      </c>
      <c r="F1307" t="s">
        <v>305</v>
      </c>
      <c r="G1307" t="s">
        <v>337</v>
      </c>
      <c r="H1307" t="s">
        <v>30</v>
      </c>
      <c r="I1307" t="s">
        <v>31</v>
      </c>
      <c r="J1307" t="s">
        <v>32</v>
      </c>
      <c r="K1307" t="s">
        <v>33</v>
      </c>
      <c r="L1307" t="s">
        <v>73</v>
      </c>
      <c r="M1307" t="s">
        <v>273</v>
      </c>
      <c r="N1307" t="s">
        <v>46</v>
      </c>
      <c r="P1307" t="s">
        <v>2552</v>
      </c>
      <c r="R1307" s="5">
        <v>42234.269594907404</v>
      </c>
      <c r="S1307" s="5">
        <v>43007.38685185185</v>
      </c>
      <c r="T1307" t="s">
        <v>317</v>
      </c>
      <c r="U1307" t="s">
        <v>35</v>
      </c>
      <c r="V1307" s="3" t="s">
        <v>321</v>
      </c>
      <c r="W1307" s="3" t="s">
        <v>491</v>
      </c>
      <c r="AM1307" s="5"/>
      <c r="AN1307" s="5"/>
      <c r="AQ1307" s="6"/>
    </row>
    <row r="1308" spans="2:43" x14ac:dyDescent="0.25">
      <c r="B1308" t="s">
        <v>2634</v>
      </c>
      <c r="C1308">
        <v>67251</v>
      </c>
      <c r="D1308" t="s">
        <v>2640</v>
      </c>
      <c r="E1308" t="s">
        <v>131</v>
      </c>
      <c r="F1308" t="s">
        <v>305</v>
      </c>
      <c r="G1308" t="s">
        <v>310</v>
      </c>
      <c r="H1308" t="s">
        <v>30</v>
      </c>
      <c r="I1308" t="s">
        <v>31</v>
      </c>
      <c r="J1308" t="s">
        <v>32</v>
      </c>
      <c r="K1308" t="s">
        <v>33</v>
      </c>
      <c r="L1308" t="s">
        <v>73</v>
      </c>
      <c r="M1308" t="s">
        <v>263</v>
      </c>
      <c r="N1308" t="s">
        <v>518</v>
      </c>
      <c r="P1308" t="s">
        <v>2552</v>
      </c>
      <c r="R1308" s="5">
        <v>42234.269525462965</v>
      </c>
      <c r="S1308" s="5">
        <v>42678.636608796296</v>
      </c>
      <c r="T1308" t="s">
        <v>317</v>
      </c>
      <c r="U1308" t="s">
        <v>35</v>
      </c>
      <c r="V1308" s="3" t="s">
        <v>321</v>
      </c>
      <c r="W1308" s="3" t="s">
        <v>65</v>
      </c>
      <c r="AM1308" s="5"/>
      <c r="AN1308" s="5"/>
      <c r="AQ1308" s="6"/>
    </row>
    <row r="1309" spans="2:43" x14ac:dyDescent="0.25">
      <c r="B1309" t="s">
        <v>2634</v>
      </c>
      <c r="C1309">
        <v>67250</v>
      </c>
      <c r="D1309" t="s">
        <v>2639</v>
      </c>
      <c r="E1309" t="s">
        <v>131</v>
      </c>
      <c r="F1309" t="s">
        <v>305</v>
      </c>
      <c r="G1309" t="s">
        <v>310</v>
      </c>
      <c r="H1309" t="s">
        <v>30</v>
      </c>
      <c r="I1309" t="s">
        <v>31</v>
      </c>
      <c r="J1309" t="s">
        <v>32</v>
      </c>
      <c r="K1309" t="s">
        <v>33</v>
      </c>
      <c r="L1309" t="s">
        <v>73</v>
      </c>
      <c r="M1309" t="s">
        <v>273</v>
      </c>
      <c r="N1309" t="s">
        <v>46</v>
      </c>
      <c r="P1309" t="s">
        <v>2552</v>
      </c>
      <c r="R1309" s="5">
        <v>42234.269467592596</v>
      </c>
      <c r="S1309" s="5">
        <v>42717.707824074074</v>
      </c>
      <c r="T1309" t="s">
        <v>317</v>
      </c>
      <c r="U1309" t="s">
        <v>35</v>
      </c>
      <c r="V1309" s="3" t="s">
        <v>321</v>
      </c>
      <c r="W1309" s="3" t="s">
        <v>61</v>
      </c>
      <c r="AM1309" s="5"/>
      <c r="AN1309" s="5"/>
      <c r="AQ1309" s="6"/>
    </row>
    <row r="1310" spans="2:43" x14ac:dyDescent="0.25">
      <c r="B1310" t="s">
        <v>2634</v>
      </c>
      <c r="C1310">
        <v>67249</v>
      </c>
      <c r="D1310" t="s">
        <v>2638</v>
      </c>
      <c r="E1310" t="s">
        <v>131</v>
      </c>
      <c r="F1310" t="s">
        <v>305</v>
      </c>
      <c r="G1310" t="s">
        <v>337</v>
      </c>
      <c r="H1310" t="s">
        <v>30</v>
      </c>
      <c r="I1310" t="s">
        <v>31</v>
      </c>
      <c r="J1310" t="s">
        <v>32</v>
      </c>
      <c r="K1310" t="s">
        <v>33</v>
      </c>
      <c r="L1310" t="s">
        <v>73</v>
      </c>
      <c r="M1310" t="s">
        <v>273</v>
      </c>
      <c r="N1310" t="s">
        <v>46</v>
      </c>
      <c r="P1310" t="s">
        <v>2552</v>
      </c>
      <c r="R1310" s="5">
        <v>42234.269409722219</v>
      </c>
      <c r="S1310" s="5">
        <v>42678.636076388888</v>
      </c>
      <c r="T1310" t="s">
        <v>317</v>
      </c>
      <c r="U1310" t="s">
        <v>35</v>
      </c>
      <c r="V1310" s="3" t="s">
        <v>321</v>
      </c>
      <c r="W1310" s="3" t="s">
        <v>4147</v>
      </c>
      <c r="AM1310" s="5"/>
      <c r="AN1310" s="5"/>
      <c r="AQ1310" s="6"/>
    </row>
    <row r="1311" spans="2:43" x14ac:dyDescent="0.25">
      <c r="B1311" t="s">
        <v>2634</v>
      </c>
      <c r="C1311">
        <v>67248</v>
      </c>
      <c r="D1311" t="s">
        <v>2637</v>
      </c>
      <c r="E1311" t="s">
        <v>131</v>
      </c>
      <c r="F1311" t="s">
        <v>305</v>
      </c>
      <c r="G1311" t="s">
        <v>328</v>
      </c>
      <c r="H1311" t="s">
        <v>30</v>
      </c>
      <c r="I1311" t="s">
        <v>31</v>
      </c>
      <c r="J1311" t="s">
        <v>32</v>
      </c>
      <c r="K1311" t="s">
        <v>33</v>
      </c>
      <c r="L1311" t="s">
        <v>73</v>
      </c>
      <c r="M1311" t="s">
        <v>273</v>
      </c>
      <c r="N1311" t="s">
        <v>46</v>
      </c>
      <c r="P1311" t="s">
        <v>2552</v>
      </c>
      <c r="R1311" s="5">
        <v>42234.269259259258</v>
      </c>
      <c r="S1311" s="5">
        <v>42678.637384259258</v>
      </c>
      <c r="T1311" t="s">
        <v>317</v>
      </c>
      <c r="U1311" t="s">
        <v>35</v>
      </c>
      <c r="V1311" s="3" t="s">
        <v>321</v>
      </c>
      <c r="W1311" s="3" t="s">
        <v>3028</v>
      </c>
      <c r="AM1311" s="5"/>
      <c r="AN1311" s="5"/>
      <c r="AQ1311" s="6"/>
    </row>
    <row r="1312" spans="2:43" x14ac:dyDescent="0.25">
      <c r="B1312" t="s">
        <v>2634</v>
      </c>
      <c r="C1312">
        <v>67247</v>
      </c>
      <c r="D1312" t="s">
        <v>2636</v>
      </c>
      <c r="E1312" t="s">
        <v>131</v>
      </c>
      <c r="F1312" t="s">
        <v>305</v>
      </c>
      <c r="G1312" t="s">
        <v>328</v>
      </c>
      <c r="H1312" t="s">
        <v>30</v>
      </c>
      <c r="I1312" t="s">
        <v>31</v>
      </c>
      <c r="J1312" t="s">
        <v>32</v>
      </c>
      <c r="K1312" t="s">
        <v>33</v>
      </c>
      <c r="L1312" t="s">
        <v>73</v>
      </c>
      <c r="M1312" t="s">
        <v>273</v>
      </c>
      <c r="N1312" t="s">
        <v>46</v>
      </c>
      <c r="P1312" t="s">
        <v>2552</v>
      </c>
      <c r="R1312" s="5">
        <v>42234.269178240742</v>
      </c>
      <c r="S1312" s="5">
        <v>42678.637604166666</v>
      </c>
      <c r="T1312" t="s">
        <v>317</v>
      </c>
      <c r="U1312" t="s">
        <v>35</v>
      </c>
      <c r="V1312" s="3" t="s">
        <v>321</v>
      </c>
      <c r="W1312" s="3" t="s">
        <v>3039</v>
      </c>
      <c r="AM1312" s="5"/>
      <c r="AN1312" s="5"/>
      <c r="AQ1312" s="6"/>
    </row>
    <row r="1313" spans="2:43" x14ac:dyDescent="0.25">
      <c r="B1313" t="s">
        <v>2634</v>
      </c>
      <c r="C1313">
        <v>67242</v>
      </c>
      <c r="D1313" t="s">
        <v>2635</v>
      </c>
      <c r="E1313" t="s">
        <v>131</v>
      </c>
      <c r="F1313" t="s">
        <v>305</v>
      </c>
      <c r="G1313" t="s">
        <v>337</v>
      </c>
      <c r="H1313" t="s">
        <v>30</v>
      </c>
      <c r="I1313" t="s">
        <v>31</v>
      </c>
      <c r="J1313" t="s">
        <v>32</v>
      </c>
      <c r="K1313" t="s">
        <v>33</v>
      </c>
      <c r="L1313" t="s">
        <v>73</v>
      </c>
      <c r="M1313" t="s">
        <v>273</v>
      </c>
      <c r="N1313" t="s">
        <v>46</v>
      </c>
      <c r="P1313" t="s">
        <v>2552</v>
      </c>
      <c r="R1313" s="5">
        <v>42234.091956018521</v>
      </c>
      <c r="S1313" s="5">
        <v>42503.869386574072</v>
      </c>
      <c r="T1313" t="s">
        <v>3</v>
      </c>
      <c r="U1313" t="s">
        <v>35</v>
      </c>
      <c r="V1313" s="3" t="s">
        <v>321</v>
      </c>
      <c r="W1313" s="3" t="s">
        <v>4098</v>
      </c>
      <c r="AM1313" s="5"/>
      <c r="AN1313" s="5"/>
      <c r="AQ1313" s="6"/>
    </row>
    <row r="1314" spans="2:43" x14ac:dyDescent="0.25">
      <c r="B1314" t="s">
        <v>2624</v>
      </c>
      <c r="C1314">
        <v>67218</v>
      </c>
      <c r="D1314" t="s">
        <v>2633</v>
      </c>
      <c r="E1314" t="s">
        <v>387</v>
      </c>
      <c r="F1314" t="s">
        <v>305</v>
      </c>
      <c r="G1314" t="s">
        <v>310</v>
      </c>
      <c r="H1314" t="s">
        <v>30</v>
      </c>
      <c r="I1314" t="s">
        <v>31</v>
      </c>
      <c r="J1314" t="s">
        <v>32</v>
      </c>
      <c r="K1314" t="s">
        <v>33</v>
      </c>
      <c r="L1314" t="s">
        <v>73</v>
      </c>
      <c r="M1314" t="s">
        <v>263</v>
      </c>
      <c r="N1314" t="s">
        <v>46</v>
      </c>
      <c r="P1314" t="s">
        <v>47</v>
      </c>
      <c r="R1314" s="5">
        <v>42233.769629629627</v>
      </c>
      <c r="S1314" s="5">
        <v>42473.52753472222</v>
      </c>
      <c r="T1314" t="s">
        <v>317</v>
      </c>
      <c r="U1314" t="s">
        <v>35</v>
      </c>
      <c r="V1314" s="3" t="s">
        <v>321</v>
      </c>
      <c r="W1314" s="3" t="s">
        <v>4145</v>
      </c>
      <c r="AM1314" s="5"/>
      <c r="AN1314" s="5"/>
      <c r="AQ1314" s="6"/>
    </row>
    <row r="1315" spans="2:43" x14ac:dyDescent="0.25">
      <c r="B1315" t="s">
        <v>2624</v>
      </c>
      <c r="C1315">
        <v>67217</v>
      </c>
      <c r="D1315" t="s">
        <v>2632</v>
      </c>
      <c r="E1315" t="s">
        <v>387</v>
      </c>
      <c r="F1315" t="s">
        <v>305</v>
      </c>
      <c r="G1315" t="s">
        <v>310</v>
      </c>
      <c r="H1315" t="s">
        <v>30</v>
      </c>
      <c r="I1315" t="s">
        <v>31</v>
      </c>
      <c r="J1315" t="s">
        <v>32</v>
      </c>
      <c r="K1315" t="s">
        <v>33</v>
      </c>
      <c r="L1315" t="s">
        <v>73</v>
      </c>
      <c r="M1315" t="s">
        <v>263</v>
      </c>
      <c r="N1315" t="s">
        <v>46</v>
      </c>
      <c r="P1315" t="s">
        <v>47</v>
      </c>
      <c r="R1315" s="5">
        <v>42233.769560185188</v>
      </c>
      <c r="S1315" s="5">
        <v>42473.527453703704</v>
      </c>
      <c r="T1315" t="s">
        <v>317</v>
      </c>
      <c r="U1315" t="s">
        <v>35</v>
      </c>
      <c r="V1315" s="3" t="s">
        <v>321</v>
      </c>
      <c r="W1315" s="3" t="s">
        <v>2708</v>
      </c>
      <c r="AM1315" s="5"/>
      <c r="AN1315" s="5"/>
      <c r="AQ1315" s="6"/>
    </row>
    <row r="1316" spans="2:43" x14ac:dyDescent="0.25">
      <c r="B1316" t="s">
        <v>2624</v>
      </c>
      <c r="C1316">
        <v>67216</v>
      </c>
      <c r="D1316" t="s">
        <v>2631</v>
      </c>
      <c r="E1316" t="s">
        <v>387</v>
      </c>
      <c r="F1316" t="s">
        <v>305</v>
      </c>
      <c r="G1316" t="s">
        <v>310</v>
      </c>
      <c r="H1316" t="s">
        <v>30</v>
      </c>
      <c r="I1316" t="s">
        <v>31</v>
      </c>
      <c r="J1316" t="s">
        <v>32</v>
      </c>
      <c r="K1316" t="s">
        <v>33</v>
      </c>
      <c r="L1316" t="s">
        <v>73</v>
      </c>
      <c r="M1316" t="s">
        <v>263</v>
      </c>
      <c r="N1316" t="s">
        <v>46</v>
      </c>
      <c r="P1316" t="s">
        <v>47</v>
      </c>
      <c r="R1316" s="5">
        <v>42233.769502314812</v>
      </c>
      <c r="S1316" s="5">
        <v>42473.527349537035</v>
      </c>
      <c r="T1316" t="s">
        <v>317</v>
      </c>
      <c r="U1316" t="s">
        <v>35</v>
      </c>
      <c r="V1316" s="3" t="s">
        <v>321</v>
      </c>
      <c r="W1316" s="3" t="s">
        <v>491</v>
      </c>
      <c r="AM1316" s="5"/>
      <c r="AN1316" s="5"/>
      <c r="AQ1316" s="6"/>
    </row>
    <row r="1317" spans="2:43" x14ac:dyDescent="0.25">
      <c r="B1317" t="s">
        <v>2624</v>
      </c>
      <c r="C1317">
        <v>67215</v>
      </c>
      <c r="D1317" t="s">
        <v>2630</v>
      </c>
      <c r="E1317" t="s">
        <v>387</v>
      </c>
      <c r="F1317" t="s">
        <v>305</v>
      </c>
      <c r="G1317" t="s">
        <v>337</v>
      </c>
      <c r="H1317" t="s">
        <v>30</v>
      </c>
      <c r="I1317" t="s">
        <v>31</v>
      </c>
      <c r="J1317" t="s">
        <v>32</v>
      </c>
      <c r="K1317" t="s">
        <v>33</v>
      </c>
      <c r="L1317" t="s">
        <v>73</v>
      </c>
      <c r="M1317" t="s">
        <v>263</v>
      </c>
      <c r="N1317" t="s">
        <v>60</v>
      </c>
      <c r="P1317" t="s">
        <v>47</v>
      </c>
      <c r="Q1317" t="s">
        <v>394</v>
      </c>
      <c r="R1317" s="5">
        <v>42233.769444444442</v>
      </c>
      <c r="S1317" s="5">
        <v>42678.651412037034</v>
      </c>
      <c r="T1317" t="s">
        <v>317</v>
      </c>
      <c r="U1317" t="s">
        <v>35</v>
      </c>
      <c r="V1317" s="3" t="s">
        <v>321</v>
      </c>
      <c r="W1317" s="3" t="s">
        <v>65</v>
      </c>
      <c r="AM1317" s="5"/>
      <c r="AN1317" s="5"/>
      <c r="AQ1317" s="6"/>
    </row>
    <row r="1318" spans="2:43" x14ac:dyDescent="0.25">
      <c r="B1318" t="s">
        <v>2624</v>
      </c>
      <c r="C1318">
        <v>67214</v>
      </c>
      <c r="D1318" t="s">
        <v>2629</v>
      </c>
      <c r="E1318" t="s">
        <v>94</v>
      </c>
      <c r="F1318" t="s">
        <v>305</v>
      </c>
      <c r="G1318" t="s">
        <v>304</v>
      </c>
      <c r="H1318" t="s">
        <v>30</v>
      </c>
      <c r="I1318" t="s">
        <v>31</v>
      </c>
      <c r="J1318" t="s">
        <v>32</v>
      </c>
      <c r="K1318" t="s">
        <v>33</v>
      </c>
      <c r="L1318" t="s">
        <v>73</v>
      </c>
      <c r="M1318" t="s">
        <v>263</v>
      </c>
      <c r="N1318" t="s">
        <v>46</v>
      </c>
      <c r="P1318" t="s">
        <v>47</v>
      </c>
      <c r="R1318" s="5">
        <v>42233.769375000003</v>
      </c>
      <c r="S1318" s="5">
        <v>42648.762638888889</v>
      </c>
      <c r="T1318" t="s">
        <v>317</v>
      </c>
      <c r="U1318" t="s">
        <v>3946</v>
      </c>
      <c r="V1318" s="3" t="s">
        <v>321</v>
      </c>
      <c r="W1318" s="3" t="s">
        <v>61</v>
      </c>
      <c r="AM1318" s="5"/>
      <c r="AN1318" s="5"/>
      <c r="AQ1318" s="6"/>
    </row>
    <row r="1319" spans="2:43" x14ac:dyDescent="0.25">
      <c r="B1319" t="s">
        <v>2624</v>
      </c>
      <c r="C1319">
        <v>67213</v>
      </c>
      <c r="D1319" t="s">
        <v>2628</v>
      </c>
      <c r="E1319" t="s">
        <v>387</v>
      </c>
      <c r="F1319" t="s">
        <v>305</v>
      </c>
      <c r="G1319" t="s">
        <v>337</v>
      </c>
      <c r="H1319" t="s">
        <v>30</v>
      </c>
      <c r="I1319" t="s">
        <v>31</v>
      </c>
      <c r="J1319" t="s">
        <v>32</v>
      </c>
      <c r="K1319" t="s">
        <v>33</v>
      </c>
      <c r="L1319" t="s">
        <v>73</v>
      </c>
      <c r="M1319" t="s">
        <v>263</v>
      </c>
      <c r="N1319" t="s">
        <v>46</v>
      </c>
      <c r="P1319" t="s">
        <v>47</v>
      </c>
      <c r="R1319" s="5">
        <v>42233.769317129627</v>
      </c>
      <c r="S1319" s="5">
        <v>42678.65185185185</v>
      </c>
      <c r="T1319" t="s">
        <v>317</v>
      </c>
      <c r="U1319" t="s">
        <v>35</v>
      </c>
      <c r="V1319" s="3" t="s">
        <v>321</v>
      </c>
      <c r="W1319" s="3" t="s">
        <v>4147</v>
      </c>
      <c r="AM1319" s="5"/>
      <c r="AN1319" s="5"/>
      <c r="AQ1319" s="6"/>
    </row>
    <row r="1320" spans="2:43" x14ac:dyDescent="0.25">
      <c r="B1320" t="s">
        <v>2626</v>
      </c>
      <c r="C1320">
        <v>67212</v>
      </c>
      <c r="D1320" t="s">
        <v>2627</v>
      </c>
      <c r="E1320" t="s">
        <v>72</v>
      </c>
      <c r="F1320" t="s">
        <v>305</v>
      </c>
      <c r="G1320" t="s">
        <v>337</v>
      </c>
      <c r="H1320" t="s">
        <v>30</v>
      </c>
      <c r="I1320" t="s">
        <v>31</v>
      </c>
      <c r="J1320" t="s">
        <v>32</v>
      </c>
      <c r="K1320" t="s">
        <v>33</v>
      </c>
      <c r="L1320" t="s">
        <v>73</v>
      </c>
      <c r="M1320" t="s">
        <v>263</v>
      </c>
      <c r="N1320" t="s">
        <v>46</v>
      </c>
      <c r="P1320" t="s">
        <v>47</v>
      </c>
      <c r="Q1320" t="s">
        <v>47</v>
      </c>
      <c r="R1320" s="5">
        <v>42233.769247685188</v>
      </c>
      <c r="S1320" s="5">
        <v>42759.723240740743</v>
      </c>
      <c r="T1320" t="s">
        <v>317</v>
      </c>
      <c r="U1320" t="s">
        <v>35</v>
      </c>
      <c r="V1320" s="3" t="s">
        <v>321</v>
      </c>
      <c r="W1320" s="3" t="s">
        <v>3028</v>
      </c>
      <c r="AM1320" s="5"/>
      <c r="AN1320" s="5"/>
      <c r="AQ1320" s="6"/>
    </row>
    <row r="1321" spans="2:43" x14ac:dyDescent="0.25">
      <c r="B1321" t="s">
        <v>2624</v>
      </c>
      <c r="C1321">
        <v>67211</v>
      </c>
      <c r="D1321" t="s">
        <v>2625</v>
      </c>
      <c r="E1321" t="s">
        <v>387</v>
      </c>
      <c r="F1321" t="s">
        <v>305</v>
      </c>
      <c r="G1321" t="s">
        <v>310</v>
      </c>
      <c r="H1321" t="s">
        <v>30</v>
      </c>
      <c r="I1321" t="s">
        <v>31</v>
      </c>
      <c r="J1321" t="s">
        <v>32</v>
      </c>
      <c r="K1321" t="s">
        <v>33</v>
      </c>
      <c r="L1321" t="s">
        <v>73</v>
      </c>
      <c r="M1321" t="s">
        <v>263</v>
      </c>
      <c r="N1321" t="s">
        <v>46</v>
      </c>
      <c r="P1321" t="s">
        <v>47</v>
      </c>
      <c r="R1321" s="5">
        <v>42233.769189814811</v>
      </c>
      <c r="S1321" s="5">
        <v>42473.525902777779</v>
      </c>
      <c r="T1321" t="s">
        <v>317</v>
      </c>
      <c r="U1321" t="s">
        <v>35</v>
      </c>
      <c r="V1321" s="3" t="s">
        <v>321</v>
      </c>
      <c r="W1321" s="3" t="s">
        <v>3039</v>
      </c>
      <c r="AM1321" s="5"/>
      <c r="AN1321" s="5"/>
      <c r="AQ1321" s="6"/>
    </row>
    <row r="1322" spans="2:43" x14ac:dyDescent="0.25">
      <c r="B1322" t="s">
        <v>506</v>
      </c>
      <c r="C1322">
        <v>67205</v>
      </c>
      <c r="D1322" t="s">
        <v>507</v>
      </c>
      <c r="E1322" t="s">
        <v>91</v>
      </c>
      <c r="F1322" t="s">
        <v>29</v>
      </c>
      <c r="H1322" t="s">
        <v>30</v>
      </c>
      <c r="I1322" t="s">
        <v>31</v>
      </c>
      <c r="J1322" t="s">
        <v>32</v>
      </c>
      <c r="K1322" t="s">
        <v>51</v>
      </c>
      <c r="L1322" t="s">
        <v>73</v>
      </c>
      <c r="M1322" t="s">
        <v>263</v>
      </c>
      <c r="N1322" t="s">
        <v>60</v>
      </c>
      <c r="O1322" t="s">
        <v>132</v>
      </c>
      <c r="P1322" t="s">
        <v>47</v>
      </c>
      <c r="Q1322" t="s">
        <v>159</v>
      </c>
      <c r="R1322" s="5">
        <v>42233.738043981481</v>
      </c>
      <c r="S1322" s="5">
        <v>43382.661238425928</v>
      </c>
      <c r="T1322" t="s">
        <v>1</v>
      </c>
      <c r="U1322" t="s">
        <v>35</v>
      </c>
      <c r="V1322" s="3" t="s">
        <v>321</v>
      </c>
      <c r="W1322" s="3" t="s">
        <v>4098</v>
      </c>
      <c r="AM1322" s="5"/>
      <c r="AN1322" s="5"/>
      <c r="AQ1322" s="6"/>
    </row>
    <row r="1323" spans="2:43" x14ac:dyDescent="0.25">
      <c r="B1323" t="s">
        <v>2253</v>
      </c>
      <c r="C1323">
        <v>66894</v>
      </c>
      <c r="D1323" t="s">
        <v>2623</v>
      </c>
      <c r="E1323" t="s">
        <v>387</v>
      </c>
      <c r="F1323" t="s">
        <v>305</v>
      </c>
      <c r="G1323" t="s">
        <v>353</v>
      </c>
      <c r="H1323" t="s">
        <v>30</v>
      </c>
      <c r="I1323" t="s">
        <v>31</v>
      </c>
      <c r="J1323" t="s">
        <v>32</v>
      </c>
      <c r="K1323" t="s">
        <v>44</v>
      </c>
      <c r="L1323" t="s">
        <v>73</v>
      </c>
      <c r="M1323" t="s">
        <v>263</v>
      </c>
      <c r="N1323" t="s">
        <v>46</v>
      </c>
      <c r="P1323" t="s">
        <v>394</v>
      </c>
      <c r="R1323" s="5">
        <v>42227.716458333336</v>
      </c>
      <c r="S1323" s="5">
        <v>42678.634710648148</v>
      </c>
      <c r="T1323" t="s">
        <v>317</v>
      </c>
      <c r="U1323" t="s">
        <v>35</v>
      </c>
      <c r="V1323" s="3" t="s">
        <v>321</v>
      </c>
      <c r="W1323" s="3" t="s">
        <v>65</v>
      </c>
      <c r="AM1323" s="5"/>
      <c r="AN1323" s="5"/>
      <c r="AQ1323" s="6"/>
    </row>
    <row r="1324" spans="2:43" x14ac:dyDescent="0.25">
      <c r="B1324" t="s">
        <v>2253</v>
      </c>
      <c r="C1324">
        <v>66893</v>
      </c>
      <c r="D1324" t="s">
        <v>2622</v>
      </c>
      <c r="E1324" t="s">
        <v>387</v>
      </c>
      <c r="F1324" t="s">
        <v>305</v>
      </c>
      <c r="G1324" t="s">
        <v>353</v>
      </c>
      <c r="H1324" t="s">
        <v>30</v>
      </c>
      <c r="I1324" t="s">
        <v>31</v>
      </c>
      <c r="J1324" t="s">
        <v>32</v>
      </c>
      <c r="K1324" t="s">
        <v>44</v>
      </c>
      <c r="L1324" t="s">
        <v>73</v>
      </c>
      <c r="M1324" t="s">
        <v>263</v>
      </c>
      <c r="N1324" t="s">
        <v>46</v>
      </c>
      <c r="P1324" t="s">
        <v>394</v>
      </c>
      <c r="R1324" s="5">
        <v>42227.716377314813</v>
      </c>
      <c r="S1324" s="5">
        <v>42717.709733796299</v>
      </c>
      <c r="T1324" t="s">
        <v>317</v>
      </c>
      <c r="U1324" t="s">
        <v>35</v>
      </c>
      <c r="V1324" s="3" t="s">
        <v>321</v>
      </c>
      <c r="W1324" s="3" t="s">
        <v>61</v>
      </c>
      <c r="AM1324" s="5"/>
      <c r="AN1324" s="5"/>
      <c r="AQ1324" s="6"/>
    </row>
    <row r="1325" spans="2:43" x14ac:dyDescent="0.25">
      <c r="B1325" t="s">
        <v>2253</v>
      </c>
      <c r="C1325">
        <v>66891</v>
      </c>
      <c r="D1325" t="s">
        <v>2621</v>
      </c>
      <c r="E1325" t="s">
        <v>387</v>
      </c>
      <c r="F1325" t="s">
        <v>305</v>
      </c>
      <c r="G1325" t="s">
        <v>353</v>
      </c>
      <c r="H1325" t="s">
        <v>30</v>
      </c>
      <c r="I1325" t="s">
        <v>31</v>
      </c>
      <c r="J1325" t="s">
        <v>32</v>
      </c>
      <c r="K1325" t="s">
        <v>44</v>
      </c>
      <c r="L1325" t="s">
        <v>73</v>
      </c>
      <c r="M1325" t="s">
        <v>263</v>
      </c>
      <c r="N1325" t="s">
        <v>46</v>
      </c>
      <c r="P1325" t="s">
        <v>394</v>
      </c>
      <c r="R1325" s="5">
        <v>42227.684872685182</v>
      </c>
      <c r="S1325" s="5">
        <v>42678.634386574071</v>
      </c>
      <c r="T1325" t="s">
        <v>1</v>
      </c>
      <c r="U1325" t="s">
        <v>35</v>
      </c>
      <c r="V1325" s="3" t="s">
        <v>321</v>
      </c>
      <c r="W1325" s="3" t="s">
        <v>4098</v>
      </c>
      <c r="AM1325" s="5"/>
      <c r="AN1325" s="5"/>
      <c r="AQ1325" s="6"/>
    </row>
    <row r="1326" spans="2:43" x14ac:dyDescent="0.25">
      <c r="B1326" t="s">
        <v>2618</v>
      </c>
      <c r="C1326">
        <v>66819</v>
      </c>
      <c r="D1326" t="s">
        <v>2619</v>
      </c>
      <c r="E1326" t="s">
        <v>39</v>
      </c>
      <c r="F1326" t="s">
        <v>305</v>
      </c>
      <c r="G1326" t="s">
        <v>353</v>
      </c>
      <c r="H1326" t="s">
        <v>30</v>
      </c>
      <c r="I1326" t="s">
        <v>2156</v>
      </c>
      <c r="J1326" t="s">
        <v>32</v>
      </c>
      <c r="K1326" t="s">
        <v>2156</v>
      </c>
      <c r="L1326" t="s">
        <v>34</v>
      </c>
      <c r="M1326" t="s">
        <v>258</v>
      </c>
      <c r="N1326" t="s">
        <v>2508</v>
      </c>
      <c r="O1326" t="s">
        <v>2620</v>
      </c>
      <c r="P1326" t="s">
        <v>2216</v>
      </c>
      <c r="R1326" s="5">
        <v>42226.486342592594</v>
      </c>
      <c r="S1326" s="5">
        <v>42678.642002314817</v>
      </c>
      <c r="T1326" t="s">
        <v>2509</v>
      </c>
      <c r="U1326" t="s">
        <v>35</v>
      </c>
      <c r="V1326" s="3" t="s">
        <v>321</v>
      </c>
      <c r="W1326" s="3" t="s">
        <v>4126</v>
      </c>
      <c r="AM1326" s="5"/>
      <c r="AN1326" s="5"/>
      <c r="AQ1326" s="6"/>
    </row>
    <row r="1327" spans="2:43" x14ac:dyDescent="0.25">
      <c r="B1327" t="s">
        <v>2608</v>
      </c>
      <c r="C1327">
        <v>66731</v>
      </c>
      <c r="D1327" t="s">
        <v>2617</v>
      </c>
      <c r="E1327" t="s">
        <v>94</v>
      </c>
      <c r="F1327" t="s">
        <v>305</v>
      </c>
      <c r="G1327" t="s">
        <v>310</v>
      </c>
      <c r="H1327" t="s">
        <v>30</v>
      </c>
      <c r="I1327" t="s">
        <v>68</v>
      </c>
      <c r="J1327" t="s">
        <v>43</v>
      </c>
      <c r="K1327" t="s">
        <v>33</v>
      </c>
      <c r="L1327" t="s">
        <v>73</v>
      </c>
      <c r="M1327" t="s">
        <v>273</v>
      </c>
      <c r="N1327" t="s">
        <v>46</v>
      </c>
      <c r="P1327" t="s">
        <v>47</v>
      </c>
      <c r="R1327" s="5">
        <v>42223.269131944442</v>
      </c>
      <c r="S1327" s="5">
        <v>43007.403877314813</v>
      </c>
      <c r="T1327" t="s">
        <v>317</v>
      </c>
      <c r="U1327" t="s">
        <v>35</v>
      </c>
      <c r="V1327" s="3" t="s">
        <v>35</v>
      </c>
      <c r="W1327" s="3" t="s">
        <v>4145</v>
      </c>
      <c r="AM1327" s="5"/>
      <c r="AN1327" s="5"/>
      <c r="AQ1327" s="6"/>
    </row>
    <row r="1328" spans="2:43" x14ac:dyDescent="0.25">
      <c r="B1328" t="s">
        <v>2608</v>
      </c>
      <c r="C1328">
        <v>66730</v>
      </c>
      <c r="D1328" t="s">
        <v>2616</v>
      </c>
      <c r="E1328" t="s">
        <v>94</v>
      </c>
      <c r="F1328" t="s">
        <v>305</v>
      </c>
      <c r="G1328" t="s">
        <v>310</v>
      </c>
      <c r="H1328" t="s">
        <v>30</v>
      </c>
      <c r="I1328" t="s">
        <v>68</v>
      </c>
      <c r="J1328" t="s">
        <v>43</v>
      </c>
      <c r="K1328" t="s">
        <v>33</v>
      </c>
      <c r="L1328" t="s">
        <v>73</v>
      </c>
      <c r="M1328" t="s">
        <v>273</v>
      </c>
      <c r="N1328" t="s">
        <v>46</v>
      </c>
      <c r="P1328" t="s">
        <v>47</v>
      </c>
      <c r="R1328" s="5">
        <v>42223.269085648149</v>
      </c>
      <c r="S1328" s="5">
        <v>42255.850104166668</v>
      </c>
      <c r="T1328" t="s">
        <v>317</v>
      </c>
      <c r="U1328" t="s">
        <v>35</v>
      </c>
      <c r="V1328" s="3" t="s">
        <v>35</v>
      </c>
      <c r="W1328" s="3" t="s">
        <v>3120</v>
      </c>
      <c r="AM1328" s="5"/>
      <c r="AN1328" s="5"/>
      <c r="AQ1328" s="6"/>
    </row>
    <row r="1329" spans="2:43" x14ac:dyDescent="0.25">
      <c r="B1329" t="s">
        <v>2608</v>
      </c>
      <c r="C1329">
        <v>66729</v>
      </c>
      <c r="D1329" t="s">
        <v>2615</v>
      </c>
      <c r="E1329" t="s">
        <v>94</v>
      </c>
      <c r="F1329" t="s">
        <v>305</v>
      </c>
      <c r="G1329" t="s">
        <v>310</v>
      </c>
      <c r="H1329" t="s">
        <v>30</v>
      </c>
      <c r="I1329" t="s">
        <v>68</v>
      </c>
      <c r="J1329" t="s">
        <v>43</v>
      </c>
      <c r="K1329" t="s">
        <v>33</v>
      </c>
      <c r="L1329" t="s">
        <v>73</v>
      </c>
      <c r="M1329" t="s">
        <v>273</v>
      </c>
      <c r="N1329" t="s">
        <v>46</v>
      </c>
      <c r="P1329" t="s">
        <v>47</v>
      </c>
      <c r="R1329" s="5">
        <v>42223.26903935185</v>
      </c>
      <c r="S1329" s="5">
        <v>42255.850138888891</v>
      </c>
      <c r="T1329" t="s">
        <v>317</v>
      </c>
      <c r="U1329" t="s">
        <v>35</v>
      </c>
      <c r="V1329" s="3" t="s">
        <v>35</v>
      </c>
      <c r="W1329" s="3" t="s">
        <v>491</v>
      </c>
      <c r="AM1329" s="5"/>
      <c r="AN1329" s="5"/>
      <c r="AQ1329" s="6"/>
    </row>
    <row r="1330" spans="2:43" x14ac:dyDescent="0.25">
      <c r="B1330" t="s">
        <v>2608</v>
      </c>
      <c r="C1330">
        <v>66728</v>
      </c>
      <c r="D1330" t="s">
        <v>2614</v>
      </c>
      <c r="E1330" t="s">
        <v>94</v>
      </c>
      <c r="F1330" t="s">
        <v>305</v>
      </c>
      <c r="G1330" t="s">
        <v>328</v>
      </c>
      <c r="H1330" t="s">
        <v>30</v>
      </c>
      <c r="I1330" t="s">
        <v>31</v>
      </c>
      <c r="J1330" t="s">
        <v>43</v>
      </c>
      <c r="K1330" t="s">
        <v>44</v>
      </c>
      <c r="L1330" t="s">
        <v>73</v>
      </c>
      <c r="M1330" t="s">
        <v>273</v>
      </c>
      <c r="N1330" t="s">
        <v>518</v>
      </c>
      <c r="P1330" t="s">
        <v>47</v>
      </c>
      <c r="R1330" s="5">
        <v>42223.26898148148</v>
      </c>
      <c r="S1330" s="5">
        <v>42678.639363425929</v>
      </c>
      <c r="T1330" t="s">
        <v>317</v>
      </c>
      <c r="U1330" t="s">
        <v>35</v>
      </c>
      <c r="V1330" s="3" t="s">
        <v>35</v>
      </c>
      <c r="W1330" s="3" t="s">
        <v>65</v>
      </c>
      <c r="AM1330" s="5"/>
      <c r="AN1330" s="5"/>
      <c r="AQ1330" s="6"/>
    </row>
    <row r="1331" spans="2:43" x14ac:dyDescent="0.25">
      <c r="B1331" t="s">
        <v>2608</v>
      </c>
      <c r="C1331">
        <v>66727</v>
      </c>
      <c r="D1331" t="s">
        <v>2613</v>
      </c>
      <c r="E1331" t="s">
        <v>94</v>
      </c>
      <c r="F1331" t="s">
        <v>305</v>
      </c>
      <c r="G1331" t="s">
        <v>337</v>
      </c>
      <c r="H1331" t="s">
        <v>30</v>
      </c>
      <c r="I1331" t="s">
        <v>31</v>
      </c>
      <c r="J1331" t="s">
        <v>32</v>
      </c>
      <c r="K1331" t="s">
        <v>44</v>
      </c>
      <c r="L1331" t="s">
        <v>73</v>
      </c>
      <c r="M1331" t="s">
        <v>263</v>
      </c>
      <c r="N1331" t="s">
        <v>46</v>
      </c>
      <c r="P1331" t="s">
        <v>47</v>
      </c>
      <c r="R1331" s="5">
        <v>42223.268923611111</v>
      </c>
      <c r="S1331" s="5">
        <v>42709.809803240743</v>
      </c>
      <c r="T1331" t="s">
        <v>317</v>
      </c>
      <c r="U1331" t="s">
        <v>35</v>
      </c>
      <c r="V1331" s="3" t="s">
        <v>321</v>
      </c>
      <c r="W1331" s="3" t="s">
        <v>61</v>
      </c>
      <c r="AM1331" s="5"/>
      <c r="AN1331" s="5"/>
      <c r="AQ1331" s="6"/>
    </row>
    <row r="1332" spans="2:43" x14ac:dyDescent="0.25">
      <c r="B1332" t="s">
        <v>2608</v>
      </c>
      <c r="C1332">
        <v>66726</v>
      </c>
      <c r="D1332" t="s">
        <v>2612</v>
      </c>
      <c r="E1332" t="s">
        <v>94</v>
      </c>
      <c r="F1332" t="s">
        <v>305</v>
      </c>
      <c r="G1332" t="s">
        <v>337</v>
      </c>
      <c r="H1332" t="s">
        <v>30</v>
      </c>
      <c r="I1332" t="s">
        <v>31</v>
      </c>
      <c r="J1332" t="s">
        <v>43</v>
      </c>
      <c r="K1332" t="s">
        <v>44</v>
      </c>
      <c r="L1332" t="s">
        <v>73</v>
      </c>
      <c r="M1332" t="s">
        <v>273</v>
      </c>
      <c r="N1332" t="s">
        <v>46</v>
      </c>
      <c r="P1332" t="s">
        <v>47</v>
      </c>
      <c r="R1332" s="5">
        <v>42223.268877314818</v>
      </c>
      <c r="S1332" s="5">
        <v>42678.635937500003</v>
      </c>
      <c r="T1332" t="s">
        <v>317</v>
      </c>
      <c r="U1332" t="s">
        <v>35</v>
      </c>
      <c r="V1332" s="3" t="s">
        <v>35</v>
      </c>
      <c r="W1332" s="3" t="s">
        <v>4147</v>
      </c>
      <c r="AM1332" s="5"/>
      <c r="AN1332" s="5"/>
      <c r="AQ1332" s="6"/>
    </row>
    <row r="1333" spans="2:43" x14ac:dyDescent="0.25">
      <c r="B1333" t="s">
        <v>2608</v>
      </c>
      <c r="C1333">
        <v>66725</v>
      </c>
      <c r="D1333" t="s">
        <v>2611</v>
      </c>
      <c r="E1333" t="s">
        <v>3</v>
      </c>
      <c r="F1333" t="s">
        <v>305</v>
      </c>
      <c r="G1333" t="s">
        <v>310</v>
      </c>
      <c r="H1333" t="s">
        <v>30</v>
      </c>
      <c r="I1333" t="s">
        <v>31</v>
      </c>
      <c r="J1333" t="s">
        <v>43</v>
      </c>
      <c r="K1333" t="s">
        <v>44</v>
      </c>
      <c r="L1333" t="s">
        <v>73</v>
      </c>
      <c r="M1333" t="s">
        <v>273</v>
      </c>
      <c r="N1333" t="s">
        <v>46</v>
      </c>
      <c r="P1333" t="s">
        <v>47</v>
      </c>
      <c r="R1333" s="5">
        <v>42223.268831018519</v>
      </c>
      <c r="S1333" s="5">
        <v>42255.850127314814</v>
      </c>
      <c r="T1333" t="s">
        <v>317</v>
      </c>
      <c r="U1333" t="s">
        <v>35</v>
      </c>
      <c r="V1333" s="3" t="s">
        <v>35</v>
      </c>
      <c r="W1333" s="3" t="s">
        <v>3028</v>
      </c>
      <c r="AM1333" s="5"/>
      <c r="AN1333" s="5"/>
      <c r="AQ1333" s="6"/>
    </row>
    <row r="1334" spans="2:43" x14ac:dyDescent="0.25">
      <c r="B1334" t="s">
        <v>2608</v>
      </c>
      <c r="C1334">
        <v>66724</v>
      </c>
      <c r="D1334" t="s">
        <v>2610</v>
      </c>
      <c r="E1334" t="s">
        <v>94</v>
      </c>
      <c r="F1334" t="s">
        <v>305</v>
      </c>
      <c r="G1334" t="s">
        <v>337</v>
      </c>
      <c r="H1334" t="s">
        <v>30</v>
      </c>
      <c r="I1334" t="s">
        <v>31</v>
      </c>
      <c r="J1334" t="s">
        <v>43</v>
      </c>
      <c r="K1334" t="s">
        <v>44</v>
      </c>
      <c r="L1334" t="s">
        <v>73</v>
      </c>
      <c r="M1334" t="s">
        <v>273</v>
      </c>
      <c r="N1334" t="s">
        <v>46</v>
      </c>
      <c r="P1334" t="s">
        <v>47</v>
      </c>
      <c r="R1334" s="5">
        <v>42223.268784722219</v>
      </c>
      <c r="S1334" s="5">
        <v>42678.634421296294</v>
      </c>
      <c r="T1334" t="s">
        <v>317</v>
      </c>
      <c r="U1334" t="s">
        <v>35</v>
      </c>
      <c r="V1334" s="3" t="s">
        <v>35</v>
      </c>
      <c r="W1334" s="3" t="s">
        <v>3039</v>
      </c>
      <c r="AM1334" s="5"/>
      <c r="AN1334" s="5"/>
      <c r="AQ1334" s="6"/>
    </row>
    <row r="1335" spans="2:43" x14ac:dyDescent="0.25">
      <c r="B1335" t="s">
        <v>2608</v>
      </c>
      <c r="C1335">
        <v>66713</v>
      </c>
      <c r="D1335" t="s">
        <v>2609</v>
      </c>
      <c r="E1335" t="s">
        <v>94</v>
      </c>
      <c r="F1335" t="s">
        <v>305</v>
      </c>
      <c r="G1335" t="s">
        <v>328</v>
      </c>
      <c r="H1335" t="s">
        <v>30</v>
      </c>
      <c r="I1335" t="s">
        <v>31</v>
      </c>
      <c r="J1335" t="s">
        <v>43</v>
      </c>
      <c r="K1335" t="s">
        <v>44</v>
      </c>
      <c r="L1335" t="s">
        <v>73</v>
      </c>
      <c r="M1335" t="s">
        <v>273</v>
      </c>
      <c r="N1335" t="s">
        <v>46</v>
      </c>
      <c r="P1335" t="s">
        <v>394</v>
      </c>
      <c r="R1335" s="5">
        <v>42222.782071759262</v>
      </c>
      <c r="S1335" s="5">
        <v>42678.639502314814</v>
      </c>
      <c r="T1335" t="s">
        <v>3</v>
      </c>
      <c r="U1335" t="s">
        <v>35</v>
      </c>
      <c r="V1335" s="3" t="s">
        <v>35</v>
      </c>
      <c r="W1335" s="3" t="s">
        <v>4098</v>
      </c>
      <c r="AM1335" s="5"/>
      <c r="AN1335" s="5"/>
      <c r="AQ1335" s="6"/>
    </row>
    <row r="1336" spans="2:43" x14ac:dyDescent="0.25">
      <c r="B1336" t="s">
        <v>2605</v>
      </c>
      <c r="C1336">
        <v>66418</v>
      </c>
      <c r="D1336" t="s">
        <v>2606</v>
      </c>
      <c r="E1336" t="s">
        <v>387</v>
      </c>
      <c r="F1336" t="s">
        <v>305</v>
      </c>
      <c r="G1336" t="s">
        <v>304</v>
      </c>
      <c r="H1336" t="s">
        <v>30</v>
      </c>
      <c r="I1336" t="s">
        <v>68</v>
      </c>
      <c r="J1336" t="s">
        <v>43</v>
      </c>
      <c r="K1336" t="s">
        <v>33</v>
      </c>
      <c r="L1336" t="s">
        <v>73</v>
      </c>
      <c r="M1336" t="s">
        <v>263</v>
      </c>
      <c r="N1336" t="s">
        <v>46</v>
      </c>
      <c r="O1336" t="s">
        <v>2607</v>
      </c>
      <c r="P1336" t="s">
        <v>394</v>
      </c>
      <c r="R1336" s="5">
        <v>42216.911608796298</v>
      </c>
      <c r="S1336" s="5">
        <v>42759.712997685187</v>
      </c>
      <c r="T1336" t="s">
        <v>1</v>
      </c>
      <c r="U1336" t="s">
        <v>35</v>
      </c>
      <c r="V1336" s="3" t="s">
        <v>35</v>
      </c>
      <c r="W1336" s="3" t="s">
        <v>4098</v>
      </c>
      <c r="AM1336" s="5"/>
      <c r="AN1336" s="5"/>
      <c r="AQ1336" s="6"/>
    </row>
    <row r="1337" spans="2:43" x14ac:dyDescent="0.25">
      <c r="B1337" t="s">
        <v>3864</v>
      </c>
      <c r="C1337">
        <v>66339</v>
      </c>
      <c r="D1337" t="s">
        <v>3865</v>
      </c>
      <c r="E1337" t="s">
        <v>3866</v>
      </c>
      <c r="F1337" t="s">
        <v>305</v>
      </c>
      <c r="G1337" t="s">
        <v>304</v>
      </c>
      <c r="H1337" t="s">
        <v>30</v>
      </c>
      <c r="I1337" t="s">
        <v>31</v>
      </c>
      <c r="J1337" t="s">
        <v>32</v>
      </c>
      <c r="K1337" t="s">
        <v>51</v>
      </c>
      <c r="L1337" t="s">
        <v>34</v>
      </c>
      <c r="M1337" t="s">
        <v>368</v>
      </c>
      <c r="N1337" t="s">
        <v>46</v>
      </c>
      <c r="P1337" t="s">
        <v>2180</v>
      </c>
      <c r="Q1337" t="s">
        <v>3867</v>
      </c>
      <c r="R1337" s="5">
        <v>42215.644629629627</v>
      </c>
      <c r="S1337" s="5">
        <v>43007.432997685188</v>
      </c>
      <c r="T1337" t="s">
        <v>1</v>
      </c>
      <c r="U1337" t="s">
        <v>35</v>
      </c>
      <c r="V1337" s="3" t="s">
        <v>321</v>
      </c>
      <c r="W1337" s="3" t="s">
        <v>4141</v>
      </c>
      <c r="AM1337" s="5"/>
      <c r="AN1337" s="5"/>
      <c r="AQ1337" s="6"/>
    </row>
    <row r="1338" spans="2:43" x14ac:dyDescent="0.25">
      <c r="B1338" t="s">
        <v>2490</v>
      </c>
      <c r="C1338">
        <v>66326</v>
      </c>
      <c r="D1338" t="s">
        <v>2604</v>
      </c>
      <c r="E1338" t="s">
        <v>80</v>
      </c>
      <c r="F1338" t="s">
        <v>305</v>
      </c>
      <c r="G1338" t="s">
        <v>353</v>
      </c>
      <c r="H1338" t="s">
        <v>30</v>
      </c>
      <c r="I1338" t="s">
        <v>31</v>
      </c>
      <c r="J1338" t="s">
        <v>32</v>
      </c>
      <c r="K1338" t="s">
        <v>44</v>
      </c>
      <c r="L1338" t="s">
        <v>45</v>
      </c>
      <c r="M1338" t="s">
        <v>106</v>
      </c>
      <c r="N1338" t="s">
        <v>46</v>
      </c>
      <c r="P1338" t="s">
        <v>61</v>
      </c>
      <c r="R1338" s="5">
        <v>42215.524097222224</v>
      </c>
      <c r="S1338" s="5">
        <v>42678.641597222224</v>
      </c>
      <c r="T1338" t="s">
        <v>64</v>
      </c>
      <c r="U1338" t="s">
        <v>35</v>
      </c>
      <c r="V1338" s="3" t="s">
        <v>35</v>
      </c>
      <c r="W1338" s="3" t="s">
        <v>61</v>
      </c>
      <c r="AM1338" s="5"/>
      <c r="AN1338" s="5"/>
      <c r="AQ1338" s="6"/>
    </row>
    <row r="1339" spans="2:43" x14ac:dyDescent="0.25">
      <c r="B1339" t="s">
        <v>2601</v>
      </c>
      <c r="C1339">
        <v>66294</v>
      </c>
      <c r="D1339" t="s">
        <v>2602</v>
      </c>
      <c r="E1339" t="s">
        <v>2603</v>
      </c>
      <c r="F1339" t="s">
        <v>305</v>
      </c>
      <c r="G1339" t="s">
        <v>304</v>
      </c>
      <c r="H1339" t="s">
        <v>30</v>
      </c>
      <c r="I1339" t="s">
        <v>31</v>
      </c>
      <c r="J1339" t="s">
        <v>32</v>
      </c>
      <c r="K1339" t="s">
        <v>44</v>
      </c>
      <c r="L1339" t="s">
        <v>45</v>
      </c>
      <c r="M1339" t="s">
        <v>265</v>
      </c>
      <c r="N1339" t="s">
        <v>46</v>
      </c>
      <c r="P1339" t="s">
        <v>428</v>
      </c>
      <c r="R1339" s="5">
        <v>42214.890555555554</v>
      </c>
      <c r="S1339" s="5">
        <v>43332.661400462966</v>
      </c>
      <c r="T1339" t="s">
        <v>383</v>
      </c>
      <c r="U1339" t="s">
        <v>35</v>
      </c>
      <c r="V1339" s="3" t="s">
        <v>35</v>
      </c>
      <c r="W1339" s="3" t="s">
        <v>428</v>
      </c>
      <c r="AM1339" s="5"/>
      <c r="AN1339" s="5"/>
      <c r="AQ1339" s="6"/>
    </row>
    <row r="1340" spans="2:43" x14ac:dyDescent="0.25">
      <c r="B1340" t="s">
        <v>2586</v>
      </c>
      <c r="C1340">
        <v>66283</v>
      </c>
      <c r="D1340" t="s">
        <v>2600</v>
      </c>
      <c r="E1340" t="s">
        <v>435</v>
      </c>
      <c r="F1340" t="s">
        <v>305</v>
      </c>
      <c r="G1340" t="s">
        <v>337</v>
      </c>
      <c r="H1340" t="s">
        <v>30</v>
      </c>
      <c r="I1340" t="s">
        <v>68</v>
      </c>
      <c r="J1340" t="s">
        <v>43</v>
      </c>
      <c r="K1340" t="s">
        <v>33</v>
      </c>
      <c r="L1340" t="s">
        <v>380</v>
      </c>
      <c r="M1340" t="s">
        <v>2588</v>
      </c>
      <c r="N1340" t="s">
        <v>46</v>
      </c>
      <c r="P1340" t="s">
        <v>61</v>
      </c>
      <c r="R1340" s="5">
        <v>42214.769375000003</v>
      </c>
      <c r="S1340" s="5">
        <v>42759.734178240738</v>
      </c>
      <c r="T1340" t="s">
        <v>317</v>
      </c>
      <c r="U1340" t="s">
        <v>35</v>
      </c>
      <c r="V1340" s="3" t="s">
        <v>35</v>
      </c>
      <c r="W1340" s="3" t="s">
        <v>4147</v>
      </c>
      <c r="AM1340" s="5"/>
      <c r="AN1340" s="5"/>
      <c r="AQ1340" s="6"/>
    </row>
    <row r="1341" spans="2:43" x14ac:dyDescent="0.25">
      <c r="B1341" t="s">
        <v>2549</v>
      </c>
      <c r="C1341">
        <v>66282</v>
      </c>
      <c r="D1341" t="s">
        <v>2599</v>
      </c>
      <c r="E1341" t="s">
        <v>445</v>
      </c>
      <c r="F1341" t="s">
        <v>305</v>
      </c>
      <c r="G1341" t="s">
        <v>328</v>
      </c>
      <c r="H1341" t="s">
        <v>30</v>
      </c>
      <c r="I1341" t="s">
        <v>68</v>
      </c>
      <c r="J1341" t="s">
        <v>43</v>
      </c>
      <c r="K1341" t="s">
        <v>33</v>
      </c>
      <c r="L1341" t="s">
        <v>73</v>
      </c>
      <c r="M1341" t="s">
        <v>263</v>
      </c>
      <c r="N1341" t="s">
        <v>46</v>
      </c>
      <c r="P1341" t="s">
        <v>2552</v>
      </c>
      <c r="R1341" s="5">
        <v>42214.769050925926</v>
      </c>
      <c r="S1341" s="5">
        <v>42275.411666666667</v>
      </c>
      <c r="T1341" t="s">
        <v>317</v>
      </c>
      <c r="U1341" t="s">
        <v>35</v>
      </c>
      <c r="V1341" s="3" t="s">
        <v>35</v>
      </c>
      <c r="W1341" s="3" t="s">
        <v>4145</v>
      </c>
      <c r="AM1341" s="5"/>
      <c r="AN1341" s="5"/>
      <c r="AQ1341" s="6"/>
    </row>
    <row r="1342" spans="2:43" x14ac:dyDescent="0.25">
      <c r="B1342" t="s">
        <v>2549</v>
      </c>
      <c r="C1342">
        <v>66281</v>
      </c>
      <c r="D1342" t="s">
        <v>2598</v>
      </c>
      <c r="E1342" t="s">
        <v>445</v>
      </c>
      <c r="F1342" t="s">
        <v>305</v>
      </c>
      <c r="G1342" t="s">
        <v>328</v>
      </c>
      <c r="H1342" t="s">
        <v>30</v>
      </c>
      <c r="I1342" t="s">
        <v>68</v>
      </c>
      <c r="J1342" t="s">
        <v>43</v>
      </c>
      <c r="K1342" t="s">
        <v>33</v>
      </c>
      <c r="L1342" t="s">
        <v>73</v>
      </c>
      <c r="M1342" t="s">
        <v>263</v>
      </c>
      <c r="N1342" t="s">
        <v>46</v>
      </c>
      <c r="P1342" t="s">
        <v>2552</v>
      </c>
      <c r="R1342" s="5">
        <v>42214.768993055557</v>
      </c>
      <c r="S1342" s="5">
        <v>42296.662418981483</v>
      </c>
      <c r="T1342" t="s">
        <v>317</v>
      </c>
      <c r="U1342" t="s">
        <v>35</v>
      </c>
      <c r="V1342" s="3" t="s">
        <v>35</v>
      </c>
      <c r="W1342" s="3" t="s">
        <v>3120</v>
      </c>
      <c r="AM1342" s="5"/>
      <c r="AN1342" s="5"/>
      <c r="AQ1342" s="6"/>
    </row>
    <row r="1343" spans="2:43" x14ac:dyDescent="0.25">
      <c r="B1343" t="s">
        <v>2549</v>
      </c>
      <c r="C1343">
        <v>66280</v>
      </c>
      <c r="D1343" t="s">
        <v>2597</v>
      </c>
      <c r="E1343" t="s">
        <v>445</v>
      </c>
      <c r="F1343" t="s">
        <v>305</v>
      </c>
      <c r="G1343" t="s">
        <v>328</v>
      </c>
      <c r="H1343" t="s">
        <v>30</v>
      </c>
      <c r="I1343" t="s">
        <v>68</v>
      </c>
      <c r="J1343" t="s">
        <v>43</v>
      </c>
      <c r="K1343" t="s">
        <v>33</v>
      </c>
      <c r="L1343" t="s">
        <v>73</v>
      </c>
      <c r="M1343" t="s">
        <v>263</v>
      </c>
      <c r="N1343" t="s">
        <v>46</v>
      </c>
      <c r="P1343" t="s">
        <v>2552</v>
      </c>
      <c r="R1343" s="5">
        <v>42214.768923611111</v>
      </c>
      <c r="S1343" s="5">
        <v>42678.634432870371</v>
      </c>
      <c r="T1343" t="s">
        <v>317</v>
      </c>
      <c r="U1343" t="s">
        <v>35</v>
      </c>
      <c r="V1343" s="3" t="s">
        <v>35</v>
      </c>
      <c r="W1343" s="3" t="s">
        <v>491</v>
      </c>
      <c r="AM1343" s="5"/>
      <c r="AN1343" s="5"/>
      <c r="AQ1343" s="6"/>
    </row>
    <row r="1344" spans="2:43" x14ac:dyDescent="0.25">
      <c r="B1344" t="s">
        <v>2549</v>
      </c>
      <c r="C1344">
        <v>66279</v>
      </c>
      <c r="D1344" t="s">
        <v>2596</v>
      </c>
      <c r="E1344" t="s">
        <v>445</v>
      </c>
      <c r="F1344" t="s">
        <v>305</v>
      </c>
      <c r="G1344" t="s">
        <v>328</v>
      </c>
      <c r="H1344" t="s">
        <v>30</v>
      </c>
      <c r="I1344" t="s">
        <v>68</v>
      </c>
      <c r="J1344" t="s">
        <v>43</v>
      </c>
      <c r="K1344" t="s">
        <v>33</v>
      </c>
      <c r="L1344" t="s">
        <v>73</v>
      </c>
      <c r="M1344" t="s">
        <v>263</v>
      </c>
      <c r="N1344" t="s">
        <v>46</v>
      </c>
      <c r="P1344" t="s">
        <v>2552</v>
      </c>
      <c r="R1344" s="5">
        <v>42214.768865740742</v>
      </c>
      <c r="S1344" s="5">
        <v>42678.634456018517</v>
      </c>
      <c r="T1344" t="s">
        <v>317</v>
      </c>
      <c r="U1344" t="s">
        <v>35</v>
      </c>
      <c r="V1344" s="3" t="s">
        <v>35</v>
      </c>
      <c r="W1344" s="3" t="s">
        <v>65</v>
      </c>
      <c r="AM1344" s="5"/>
      <c r="AN1344" s="5"/>
      <c r="AQ1344" s="6"/>
    </row>
    <row r="1345" spans="2:43" x14ac:dyDescent="0.25">
      <c r="B1345" t="s">
        <v>2549</v>
      </c>
      <c r="C1345">
        <v>66278</v>
      </c>
      <c r="D1345" t="s">
        <v>2595</v>
      </c>
      <c r="E1345" t="s">
        <v>445</v>
      </c>
      <c r="F1345" t="s">
        <v>305</v>
      </c>
      <c r="G1345" t="s">
        <v>328</v>
      </c>
      <c r="H1345" t="s">
        <v>30</v>
      </c>
      <c r="I1345" t="s">
        <v>68</v>
      </c>
      <c r="J1345" t="s">
        <v>43</v>
      </c>
      <c r="K1345" t="s">
        <v>33</v>
      </c>
      <c r="L1345" t="s">
        <v>73</v>
      </c>
      <c r="M1345" t="s">
        <v>263</v>
      </c>
      <c r="N1345" t="s">
        <v>46</v>
      </c>
      <c r="P1345" t="s">
        <v>2552</v>
      </c>
      <c r="R1345" s="5">
        <v>42214.768784722219</v>
      </c>
      <c r="S1345" s="5">
        <v>42678.634467592594</v>
      </c>
      <c r="T1345" t="s">
        <v>317</v>
      </c>
      <c r="U1345" t="s">
        <v>35</v>
      </c>
      <c r="V1345" s="3" t="s">
        <v>35</v>
      </c>
      <c r="W1345" s="3" t="s">
        <v>61</v>
      </c>
      <c r="AM1345" s="5"/>
      <c r="AN1345" s="5"/>
      <c r="AQ1345" s="6"/>
    </row>
    <row r="1346" spans="2:43" x14ac:dyDescent="0.25">
      <c r="B1346" t="s">
        <v>2549</v>
      </c>
      <c r="C1346">
        <v>66277</v>
      </c>
      <c r="D1346" t="s">
        <v>2594</v>
      </c>
      <c r="E1346" t="s">
        <v>445</v>
      </c>
      <c r="F1346" t="s">
        <v>305</v>
      </c>
      <c r="G1346" t="s">
        <v>328</v>
      </c>
      <c r="H1346" t="s">
        <v>30</v>
      </c>
      <c r="I1346" t="s">
        <v>68</v>
      </c>
      <c r="J1346" t="s">
        <v>43</v>
      </c>
      <c r="K1346" t="s">
        <v>33</v>
      </c>
      <c r="L1346" t="s">
        <v>73</v>
      </c>
      <c r="M1346" t="s">
        <v>263</v>
      </c>
      <c r="N1346" t="s">
        <v>46</v>
      </c>
      <c r="P1346" t="s">
        <v>2552</v>
      </c>
      <c r="R1346" s="5">
        <v>42214.76871527778</v>
      </c>
      <c r="S1346" s="5">
        <v>42678.634733796294</v>
      </c>
      <c r="T1346" t="s">
        <v>317</v>
      </c>
      <c r="U1346" t="s">
        <v>35</v>
      </c>
      <c r="V1346" s="3" t="s">
        <v>35</v>
      </c>
      <c r="W1346" s="3" t="s">
        <v>4147</v>
      </c>
      <c r="AM1346" s="5"/>
      <c r="AN1346" s="5"/>
      <c r="AQ1346" s="6"/>
    </row>
    <row r="1347" spans="2:43" x14ac:dyDescent="0.25">
      <c r="B1347" t="s">
        <v>2549</v>
      </c>
      <c r="C1347">
        <v>66276</v>
      </c>
      <c r="D1347" t="s">
        <v>2593</v>
      </c>
      <c r="E1347" t="s">
        <v>445</v>
      </c>
      <c r="F1347" t="s">
        <v>305</v>
      </c>
      <c r="G1347" t="s">
        <v>328</v>
      </c>
      <c r="H1347" t="s">
        <v>30</v>
      </c>
      <c r="I1347" t="s">
        <v>68</v>
      </c>
      <c r="J1347" t="s">
        <v>43</v>
      </c>
      <c r="K1347" t="s">
        <v>33</v>
      </c>
      <c r="L1347" t="s">
        <v>73</v>
      </c>
      <c r="M1347" t="s">
        <v>263</v>
      </c>
      <c r="N1347" t="s">
        <v>46</v>
      </c>
      <c r="P1347" t="s">
        <v>2552</v>
      </c>
      <c r="R1347" s="5">
        <v>42214.768645833334</v>
      </c>
      <c r="S1347" s="5">
        <v>42678.634386574071</v>
      </c>
      <c r="T1347" t="s">
        <v>317</v>
      </c>
      <c r="U1347" t="s">
        <v>35</v>
      </c>
      <c r="V1347" s="3" t="s">
        <v>35</v>
      </c>
      <c r="W1347" s="3" t="s">
        <v>3028</v>
      </c>
      <c r="AM1347" s="5"/>
      <c r="AN1347" s="5"/>
      <c r="AQ1347" s="6"/>
    </row>
    <row r="1348" spans="2:43" x14ac:dyDescent="0.25">
      <c r="B1348" t="s">
        <v>2549</v>
      </c>
      <c r="C1348">
        <v>66275</v>
      </c>
      <c r="D1348" t="s">
        <v>2592</v>
      </c>
      <c r="E1348" t="s">
        <v>445</v>
      </c>
      <c r="F1348" t="s">
        <v>305</v>
      </c>
      <c r="G1348" t="s">
        <v>328</v>
      </c>
      <c r="H1348" t="s">
        <v>30</v>
      </c>
      <c r="I1348" t="s">
        <v>68</v>
      </c>
      <c r="J1348" t="s">
        <v>43</v>
      </c>
      <c r="K1348" t="s">
        <v>33</v>
      </c>
      <c r="L1348" t="s">
        <v>73</v>
      </c>
      <c r="M1348" t="s">
        <v>263</v>
      </c>
      <c r="N1348" t="s">
        <v>46</v>
      </c>
      <c r="P1348" t="s">
        <v>2552</v>
      </c>
      <c r="R1348" s="5">
        <v>42214.768564814818</v>
      </c>
      <c r="S1348" s="5">
        <v>42678.634710648148</v>
      </c>
      <c r="T1348" t="s">
        <v>317</v>
      </c>
      <c r="U1348" t="s">
        <v>35</v>
      </c>
      <c r="V1348" s="3" t="s">
        <v>35</v>
      </c>
      <c r="W1348" s="3" t="s">
        <v>3039</v>
      </c>
      <c r="AM1348" s="5"/>
      <c r="AN1348" s="5"/>
      <c r="AQ1348" s="6"/>
    </row>
    <row r="1349" spans="2:43" x14ac:dyDescent="0.25">
      <c r="B1349" t="s">
        <v>2490</v>
      </c>
      <c r="C1349">
        <v>66265</v>
      </c>
      <c r="D1349" t="s">
        <v>2591</v>
      </c>
      <c r="E1349" t="s">
        <v>405</v>
      </c>
      <c r="F1349" t="s">
        <v>305</v>
      </c>
      <c r="G1349" t="s">
        <v>304</v>
      </c>
      <c r="H1349" t="s">
        <v>30</v>
      </c>
      <c r="I1349" t="s">
        <v>31</v>
      </c>
      <c r="J1349" t="s">
        <v>32</v>
      </c>
      <c r="K1349" t="s">
        <v>44</v>
      </c>
      <c r="L1349" t="s">
        <v>34</v>
      </c>
      <c r="M1349" t="s">
        <v>373</v>
      </c>
      <c r="N1349" t="s">
        <v>518</v>
      </c>
      <c r="P1349" t="s">
        <v>377</v>
      </c>
      <c r="R1349" s="5">
        <v>42214.589178240742</v>
      </c>
      <c r="S1349" s="5">
        <v>42478.699548611112</v>
      </c>
      <c r="T1349" t="s">
        <v>53</v>
      </c>
      <c r="U1349" t="s">
        <v>3953</v>
      </c>
      <c r="V1349" s="3" t="s">
        <v>35</v>
      </c>
      <c r="W1349" s="3" t="s">
        <v>118</v>
      </c>
      <c r="AM1349" s="5"/>
      <c r="AN1349" s="5"/>
      <c r="AQ1349" s="6"/>
    </row>
    <row r="1350" spans="2:43" x14ac:dyDescent="0.25">
      <c r="B1350" t="s">
        <v>2490</v>
      </c>
      <c r="C1350">
        <v>66264</v>
      </c>
      <c r="D1350" t="s">
        <v>2590</v>
      </c>
      <c r="E1350" t="s">
        <v>80</v>
      </c>
      <c r="F1350" t="s">
        <v>305</v>
      </c>
      <c r="G1350" t="s">
        <v>337</v>
      </c>
      <c r="H1350" t="s">
        <v>30</v>
      </c>
      <c r="I1350" t="s">
        <v>31</v>
      </c>
      <c r="J1350" t="s">
        <v>32</v>
      </c>
      <c r="K1350" t="s">
        <v>44</v>
      </c>
      <c r="L1350" t="s">
        <v>45</v>
      </c>
      <c r="M1350" t="s">
        <v>106</v>
      </c>
      <c r="N1350" t="s">
        <v>46</v>
      </c>
      <c r="P1350" t="s">
        <v>61</v>
      </c>
      <c r="R1350" s="5">
        <v>42214.589085648149</v>
      </c>
      <c r="S1350" s="5">
        <v>43007.403877314813</v>
      </c>
      <c r="T1350" t="s">
        <v>53</v>
      </c>
      <c r="U1350" t="s">
        <v>35</v>
      </c>
      <c r="V1350" s="3" t="s">
        <v>35</v>
      </c>
      <c r="W1350" s="3" t="s">
        <v>4147</v>
      </c>
      <c r="AM1350" s="5"/>
      <c r="AN1350" s="5"/>
      <c r="AQ1350" s="6"/>
    </row>
    <row r="1351" spans="2:43" x14ac:dyDescent="0.25">
      <c r="B1351" t="s">
        <v>2586</v>
      </c>
      <c r="C1351">
        <v>66235</v>
      </c>
      <c r="D1351" t="s">
        <v>2587</v>
      </c>
      <c r="E1351" t="s">
        <v>435</v>
      </c>
      <c r="F1351" t="s">
        <v>305</v>
      </c>
      <c r="G1351" t="s">
        <v>304</v>
      </c>
      <c r="H1351" t="s">
        <v>30</v>
      </c>
      <c r="I1351" t="s">
        <v>31</v>
      </c>
      <c r="J1351" t="s">
        <v>43</v>
      </c>
      <c r="K1351" t="s">
        <v>44</v>
      </c>
      <c r="L1351" t="s">
        <v>380</v>
      </c>
      <c r="M1351" t="s">
        <v>2588</v>
      </c>
      <c r="N1351" t="s">
        <v>46</v>
      </c>
      <c r="P1351" t="s">
        <v>61</v>
      </c>
      <c r="Q1351" t="s">
        <v>2481</v>
      </c>
      <c r="R1351" s="5">
        <v>42214.308749999997</v>
      </c>
      <c r="S1351" s="5">
        <v>43187.155231481483</v>
      </c>
      <c r="T1351" t="s">
        <v>2589</v>
      </c>
      <c r="U1351" t="s">
        <v>35</v>
      </c>
      <c r="V1351" s="3" t="s">
        <v>35</v>
      </c>
      <c r="W1351" s="3" t="s">
        <v>4098</v>
      </c>
      <c r="AM1351" s="5"/>
      <c r="AN1351" s="5"/>
      <c r="AQ1351" s="6"/>
    </row>
    <row r="1352" spans="2:43" x14ac:dyDescent="0.25">
      <c r="B1352" t="s">
        <v>2490</v>
      </c>
      <c r="C1352">
        <v>66189</v>
      </c>
      <c r="D1352" t="s">
        <v>2584</v>
      </c>
      <c r="E1352" t="s">
        <v>80</v>
      </c>
      <c r="F1352" t="s">
        <v>305</v>
      </c>
      <c r="G1352" t="s">
        <v>337</v>
      </c>
      <c r="H1352" t="s">
        <v>30</v>
      </c>
      <c r="I1352" t="s">
        <v>31</v>
      </c>
      <c r="J1352" t="s">
        <v>32</v>
      </c>
      <c r="K1352" t="s">
        <v>44</v>
      </c>
      <c r="L1352" t="s">
        <v>52</v>
      </c>
      <c r="M1352" t="s">
        <v>106</v>
      </c>
      <c r="N1352" t="s">
        <v>46</v>
      </c>
      <c r="P1352" t="s">
        <v>61</v>
      </c>
      <c r="R1352" s="5">
        <v>42213.605104166665</v>
      </c>
      <c r="S1352" s="5">
        <v>42709.80972222222</v>
      </c>
      <c r="T1352" t="s">
        <v>2585</v>
      </c>
      <c r="U1352" t="s">
        <v>35</v>
      </c>
      <c r="V1352" s="3" t="s">
        <v>35</v>
      </c>
      <c r="W1352" s="3" t="s">
        <v>61</v>
      </c>
      <c r="AM1352" s="5"/>
      <c r="AN1352" s="5"/>
      <c r="AQ1352" s="6"/>
    </row>
    <row r="1353" spans="2:43" x14ac:dyDescent="0.25">
      <c r="B1353" t="s">
        <v>2562</v>
      </c>
      <c r="C1353">
        <v>65916</v>
      </c>
      <c r="D1353" t="s">
        <v>2583</v>
      </c>
      <c r="E1353" t="s">
        <v>2027</v>
      </c>
      <c r="F1353" t="s">
        <v>305</v>
      </c>
      <c r="G1353" t="s">
        <v>337</v>
      </c>
      <c r="H1353" t="s">
        <v>30</v>
      </c>
      <c r="I1353" t="s">
        <v>31</v>
      </c>
      <c r="J1353" t="s">
        <v>32</v>
      </c>
      <c r="K1353" t="s">
        <v>44</v>
      </c>
      <c r="L1353" t="s">
        <v>73</v>
      </c>
      <c r="M1353" t="s">
        <v>263</v>
      </c>
      <c r="N1353" t="s">
        <v>46</v>
      </c>
      <c r="P1353" t="s">
        <v>47</v>
      </c>
      <c r="R1353" s="5">
        <v>42207.69394675926</v>
      </c>
      <c r="S1353" s="5">
        <v>42678.632847222223</v>
      </c>
      <c r="T1353" t="s">
        <v>317</v>
      </c>
      <c r="U1353" t="s">
        <v>35</v>
      </c>
      <c r="V1353" s="3" t="s">
        <v>321</v>
      </c>
      <c r="W1353" s="3" t="s">
        <v>3039</v>
      </c>
      <c r="AM1353" s="5"/>
      <c r="AN1353" s="5"/>
      <c r="AQ1353" s="6"/>
    </row>
    <row r="1354" spans="2:43" x14ac:dyDescent="0.25">
      <c r="B1354" t="s">
        <v>2501</v>
      </c>
      <c r="C1354">
        <v>65914</v>
      </c>
      <c r="D1354" t="s">
        <v>2582</v>
      </c>
      <c r="E1354" t="s">
        <v>84</v>
      </c>
      <c r="F1354" t="s">
        <v>305</v>
      </c>
      <c r="G1354" t="s">
        <v>304</v>
      </c>
      <c r="H1354" t="s">
        <v>30</v>
      </c>
      <c r="I1354" t="s">
        <v>68</v>
      </c>
      <c r="J1354" t="s">
        <v>43</v>
      </c>
      <c r="K1354" t="s">
        <v>33</v>
      </c>
      <c r="L1354" t="s">
        <v>73</v>
      </c>
      <c r="M1354" t="s">
        <v>263</v>
      </c>
      <c r="N1354" t="s">
        <v>46</v>
      </c>
      <c r="P1354" t="s">
        <v>394</v>
      </c>
      <c r="R1354" s="5">
        <v>42207.690057870372</v>
      </c>
      <c r="S1354" s="5">
        <v>42648.768379629626</v>
      </c>
      <c r="T1354" t="s">
        <v>317</v>
      </c>
      <c r="U1354" t="s">
        <v>35</v>
      </c>
      <c r="V1354" s="3" t="s">
        <v>35</v>
      </c>
      <c r="W1354" s="3" t="s">
        <v>4141</v>
      </c>
      <c r="AM1354" s="5"/>
      <c r="AN1354" s="5"/>
      <c r="AQ1354" s="6"/>
    </row>
    <row r="1355" spans="2:43" x14ac:dyDescent="0.25">
      <c r="B1355" t="s">
        <v>2579</v>
      </c>
      <c r="C1355">
        <v>65849</v>
      </c>
      <c r="D1355" t="s">
        <v>2580</v>
      </c>
      <c r="E1355" t="s">
        <v>39</v>
      </c>
      <c r="F1355" t="s">
        <v>305</v>
      </c>
      <c r="G1355" t="s">
        <v>304</v>
      </c>
      <c r="H1355" t="s">
        <v>30</v>
      </c>
      <c r="I1355" t="s">
        <v>57</v>
      </c>
      <c r="J1355" t="s">
        <v>58</v>
      </c>
      <c r="K1355" t="s">
        <v>33</v>
      </c>
      <c r="L1355" t="s">
        <v>34</v>
      </c>
      <c r="M1355" t="s">
        <v>1734</v>
      </c>
      <c r="N1355" t="s">
        <v>46</v>
      </c>
      <c r="O1355" t="s">
        <v>2581</v>
      </c>
      <c r="P1355" t="s">
        <v>2216</v>
      </c>
      <c r="R1355" s="5">
        <v>42206.812337962961</v>
      </c>
      <c r="S1355" s="5">
        <v>42930.290335648147</v>
      </c>
      <c r="T1355" t="s">
        <v>39</v>
      </c>
      <c r="U1355" t="s">
        <v>35</v>
      </c>
      <c r="V1355" s="3" t="s">
        <v>35</v>
      </c>
      <c r="W1355" s="3" t="s">
        <v>4152</v>
      </c>
      <c r="AM1355" s="5"/>
      <c r="AN1355" s="5"/>
      <c r="AQ1355" s="6"/>
    </row>
    <row r="1356" spans="2:43" x14ac:dyDescent="0.25">
      <c r="B1356" t="s">
        <v>2573</v>
      </c>
      <c r="C1356">
        <v>65761</v>
      </c>
      <c r="D1356" t="s">
        <v>2578</v>
      </c>
      <c r="E1356" t="s">
        <v>139</v>
      </c>
      <c r="F1356" t="s">
        <v>305</v>
      </c>
      <c r="G1356" t="s">
        <v>328</v>
      </c>
      <c r="H1356" t="s">
        <v>54</v>
      </c>
      <c r="I1356" t="s">
        <v>68</v>
      </c>
      <c r="J1356" t="s">
        <v>43</v>
      </c>
      <c r="K1356" t="s">
        <v>33</v>
      </c>
      <c r="L1356" t="s">
        <v>73</v>
      </c>
      <c r="M1356" t="s">
        <v>263</v>
      </c>
      <c r="N1356" t="s">
        <v>46</v>
      </c>
      <c r="P1356" t="s">
        <v>1749</v>
      </c>
      <c r="R1356" s="5">
        <v>42205.575810185182</v>
      </c>
      <c r="S1356" s="5">
        <v>43007.403877314813</v>
      </c>
      <c r="T1356" t="s">
        <v>317</v>
      </c>
      <c r="U1356" t="s">
        <v>35</v>
      </c>
      <c r="V1356" s="3" t="s">
        <v>35</v>
      </c>
      <c r="W1356" s="3" t="s">
        <v>85</v>
      </c>
      <c r="AM1356" s="5"/>
      <c r="AN1356" s="5"/>
      <c r="AQ1356" s="6"/>
    </row>
    <row r="1357" spans="2:43" x14ac:dyDescent="0.25">
      <c r="B1357" t="s">
        <v>2573</v>
      </c>
      <c r="C1357">
        <v>65760</v>
      </c>
      <c r="D1357" t="s">
        <v>2577</v>
      </c>
      <c r="E1357" t="s">
        <v>139</v>
      </c>
      <c r="F1357" t="s">
        <v>305</v>
      </c>
      <c r="G1357" t="s">
        <v>328</v>
      </c>
      <c r="H1357" t="s">
        <v>54</v>
      </c>
      <c r="I1357" t="s">
        <v>68</v>
      </c>
      <c r="J1357" t="s">
        <v>43</v>
      </c>
      <c r="K1357" t="s">
        <v>33</v>
      </c>
      <c r="L1357" t="s">
        <v>73</v>
      </c>
      <c r="M1357" t="s">
        <v>263</v>
      </c>
      <c r="N1357" t="s">
        <v>46</v>
      </c>
      <c r="P1357" t="s">
        <v>1749</v>
      </c>
      <c r="R1357" s="5">
        <v>42205.575706018521</v>
      </c>
      <c r="S1357" s="5">
        <v>42292.781458333331</v>
      </c>
      <c r="T1357" t="s">
        <v>317</v>
      </c>
      <c r="U1357" t="s">
        <v>35</v>
      </c>
      <c r="V1357" s="3" t="s">
        <v>35</v>
      </c>
      <c r="W1357" s="3" t="s">
        <v>3120</v>
      </c>
      <c r="AM1357" s="5"/>
      <c r="AN1357" s="5"/>
      <c r="AQ1357" s="6"/>
    </row>
    <row r="1358" spans="2:43" x14ac:dyDescent="0.25">
      <c r="B1358" t="s">
        <v>2573</v>
      </c>
      <c r="C1358">
        <v>65759</v>
      </c>
      <c r="D1358" t="s">
        <v>2576</v>
      </c>
      <c r="E1358" t="s">
        <v>139</v>
      </c>
      <c r="F1358" t="s">
        <v>305</v>
      </c>
      <c r="G1358" t="s">
        <v>328</v>
      </c>
      <c r="H1358" t="s">
        <v>54</v>
      </c>
      <c r="I1358" t="s">
        <v>31</v>
      </c>
      <c r="J1358" t="s">
        <v>43</v>
      </c>
      <c r="K1358" t="s">
        <v>44</v>
      </c>
      <c r="L1358" t="s">
        <v>73</v>
      </c>
      <c r="M1358" t="s">
        <v>263</v>
      </c>
      <c r="N1358" t="s">
        <v>46</v>
      </c>
      <c r="P1358" t="s">
        <v>1749</v>
      </c>
      <c r="R1358" s="5">
        <v>42205.575590277775</v>
      </c>
      <c r="S1358" s="5">
        <v>42678.639247685183</v>
      </c>
      <c r="T1358" t="s">
        <v>317</v>
      </c>
      <c r="U1358" t="s">
        <v>35</v>
      </c>
      <c r="V1358" s="3" t="s">
        <v>35</v>
      </c>
      <c r="W1358" s="3" t="s">
        <v>491</v>
      </c>
      <c r="AM1358" s="5"/>
      <c r="AN1358" s="5"/>
      <c r="AQ1358" s="6"/>
    </row>
    <row r="1359" spans="2:43" x14ac:dyDescent="0.25">
      <c r="B1359" t="s">
        <v>2573</v>
      </c>
      <c r="C1359">
        <v>65758</v>
      </c>
      <c r="D1359" t="s">
        <v>2575</v>
      </c>
      <c r="E1359" t="s">
        <v>139</v>
      </c>
      <c r="F1359" t="s">
        <v>305</v>
      </c>
      <c r="G1359" t="s">
        <v>328</v>
      </c>
      <c r="H1359" t="s">
        <v>54</v>
      </c>
      <c r="I1359" t="s">
        <v>31</v>
      </c>
      <c r="J1359" t="s">
        <v>43</v>
      </c>
      <c r="K1359" t="s">
        <v>44</v>
      </c>
      <c r="L1359" t="s">
        <v>73</v>
      </c>
      <c r="M1359" t="s">
        <v>263</v>
      </c>
      <c r="N1359" t="s">
        <v>46</v>
      </c>
      <c r="P1359" t="s">
        <v>1749</v>
      </c>
      <c r="R1359" s="5">
        <v>42205.575462962966</v>
      </c>
      <c r="S1359" s="5">
        <v>42678.639317129629</v>
      </c>
      <c r="T1359" t="s">
        <v>317</v>
      </c>
      <c r="U1359" t="s">
        <v>35</v>
      </c>
      <c r="V1359" s="3" t="s">
        <v>35</v>
      </c>
      <c r="W1359" s="3" t="s">
        <v>3028</v>
      </c>
      <c r="AM1359" s="5"/>
      <c r="AN1359" s="5"/>
      <c r="AQ1359" s="6"/>
    </row>
    <row r="1360" spans="2:43" x14ac:dyDescent="0.25">
      <c r="B1360" t="s">
        <v>2573</v>
      </c>
      <c r="C1360">
        <v>65377</v>
      </c>
      <c r="D1360" t="s">
        <v>2574</v>
      </c>
      <c r="E1360" t="s">
        <v>139</v>
      </c>
      <c r="F1360" t="s">
        <v>305</v>
      </c>
      <c r="G1360" t="s">
        <v>328</v>
      </c>
      <c r="H1360" t="s">
        <v>54</v>
      </c>
      <c r="I1360" t="s">
        <v>31</v>
      </c>
      <c r="J1360" t="s">
        <v>32</v>
      </c>
      <c r="K1360" t="s">
        <v>44</v>
      </c>
      <c r="L1360" t="s">
        <v>73</v>
      </c>
      <c r="M1360" t="s">
        <v>263</v>
      </c>
      <c r="N1360" t="s">
        <v>46</v>
      </c>
      <c r="P1360" t="s">
        <v>1749</v>
      </c>
      <c r="R1360" s="5">
        <v>42198.160277777781</v>
      </c>
      <c r="S1360" s="5">
        <v>42301.206064814818</v>
      </c>
      <c r="T1360" t="s">
        <v>450</v>
      </c>
      <c r="U1360" t="s">
        <v>35</v>
      </c>
      <c r="V1360" s="3" t="s">
        <v>35</v>
      </c>
      <c r="W1360" s="3" t="s">
        <v>4098</v>
      </c>
      <c r="AM1360" s="5"/>
      <c r="AN1360" s="5"/>
      <c r="AQ1360" s="6"/>
    </row>
    <row r="1361" spans="2:43" x14ac:dyDescent="0.25">
      <c r="B1361" t="s">
        <v>2562</v>
      </c>
      <c r="C1361">
        <v>65358</v>
      </c>
      <c r="D1361" t="s">
        <v>2571</v>
      </c>
      <c r="E1361" t="s">
        <v>387</v>
      </c>
      <c r="F1361" t="s">
        <v>305</v>
      </c>
      <c r="G1361" t="s">
        <v>337</v>
      </c>
      <c r="H1361" t="s">
        <v>30</v>
      </c>
      <c r="I1361" t="s">
        <v>68</v>
      </c>
      <c r="J1361" t="s">
        <v>43</v>
      </c>
      <c r="K1361" t="s">
        <v>33</v>
      </c>
      <c r="L1361" t="s">
        <v>73</v>
      </c>
      <c r="M1361" t="s">
        <v>263</v>
      </c>
      <c r="N1361" t="s">
        <v>46</v>
      </c>
      <c r="O1361" t="s">
        <v>2572</v>
      </c>
      <c r="P1361" t="s">
        <v>47</v>
      </c>
      <c r="R1361" s="5">
        <v>42195.797939814816</v>
      </c>
      <c r="S1361" s="5">
        <v>43007.403877314813</v>
      </c>
      <c r="T1361" t="s">
        <v>317</v>
      </c>
      <c r="U1361" t="s">
        <v>35</v>
      </c>
      <c r="V1361" s="3" t="s">
        <v>321</v>
      </c>
      <c r="W1361" s="3" t="s">
        <v>4145</v>
      </c>
      <c r="AM1361" s="5"/>
      <c r="AN1361" s="5"/>
      <c r="AQ1361" s="6"/>
    </row>
    <row r="1362" spans="2:43" x14ac:dyDescent="0.25">
      <c r="B1362" t="s">
        <v>2562</v>
      </c>
      <c r="C1362">
        <v>65357</v>
      </c>
      <c r="D1362" t="s">
        <v>2568</v>
      </c>
      <c r="E1362" t="s">
        <v>2569</v>
      </c>
      <c r="F1362" t="s">
        <v>305</v>
      </c>
      <c r="G1362" t="s">
        <v>310</v>
      </c>
      <c r="H1362" t="s">
        <v>30</v>
      </c>
      <c r="I1362" t="s">
        <v>68</v>
      </c>
      <c r="J1362" t="s">
        <v>43</v>
      </c>
      <c r="K1362" t="s">
        <v>33</v>
      </c>
      <c r="L1362" t="s">
        <v>73</v>
      </c>
      <c r="M1362" t="s">
        <v>263</v>
      </c>
      <c r="N1362" t="s">
        <v>46</v>
      </c>
      <c r="O1362" t="s">
        <v>2570</v>
      </c>
      <c r="P1362" t="s">
        <v>47</v>
      </c>
      <c r="R1362" s="5">
        <v>42195.797824074078</v>
      </c>
      <c r="S1362" s="5">
        <v>42269.810104166667</v>
      </c>
      <c r="T1362" t="s">
        <v>317</v>
      </c>
      <c r="U1362" t="s">
        <v>35</v>
      </c>
      <c r="V1362" s="3" t="s">
        <v>321</v>
      </c>
      <c r="W1362" s="3" t="s">
        <v>3120</v>
      </c>
      <c r="AM1362" s="5"/>
      <c r="AN1362" s="5"/>
      <c r="AQ1362" s="6"/>
    </row>
    <row r="1363" spans="2:43" x14ac:dyDescent="0.25">
      <c r="B1363" t="s">
        <v>2562</v>
      </c>
      <c r="C1363">
        <v>65356</v>
      </c>
      <c r="D1363" t="s">
        <v>2567</v>
      </c>
      <c r="E1363" t="s">
        <v>387</v>
      </c>
      <c r="F1363" t="s">
        <v>305</v>
      </c>
      <c r="G1363" t="s">
        <v>310</v>
      </c>
      <c r="H1363" t="s">
        <v>30</v>
      </c>
      <c r="I1363" t="s">
        <v>68</v>
      </c>
      <c r="J1363" t="s">
        <v>43</v>
      </c>
      <c r="K1363" t="s">
        <v>33</v>
      </c>
      <c r="L1363" t="s">
        <v>73</v>
      </c>
      <c r="M1363" t="s">
        <v>263</v>
      </c>
      <c r="N1363" t="s">
        <v>46</v>
      </c>
      <c r="P1363" t="s">
        <v>47</v>
      </c>
      <c r="R1363" s="5">
        <v>42195.797731481478</v>
      </c>
      <c r="S1363" s="5">
        <v>42269.810150462959</v>
      </c>
      <c r="T1363" t="s">
        <v>317</v>
      </c>
      <c r="U1363" t="s">
        <v>35</v>
      </c>
      <c r="V1363" s="3" t="s">
        <v>321</v>
      </c>
      <c r="W1363" s="3" t="s">
        <v>491</v>
      </c>
      <c r="AM1363" s="5"/>
      <c r="AN1363" s="5"/>
      <c r="AQ1363" s="6"/>
    </row>
    <row r="1364" spans="2:43" x14ac:dyDescent="0.25">
      <c r="B1364" t="s">
        <v>2562</v>
      </c>
      <c r="C1364">
        <v>65355</v>
      </c>
      <c r="D1364" t="s">
        <v>2566</v>
      </c>
      <c r="E1364" t="s">
        <v>387</v>
      </c>
      <c r="F1364" t="s">
        <v>305</v>
      </c>
      <c r="G1364" t="s">
        <v>337</v>
      </c>
      <c r="H1364" t="s">
        <v>30</v>
      </c>
      <c r="I1364" t="s">
        <v>31</v>
      </c>
      <c r="J1364" t="s">
        <v>32</v>
      </c>
      <c r="K1364" t="s">
        <v>33</v>
      </c>
      <c r="L1364" t="s">
        <v>73</v>
      </c>
      <c r="M1364" t="s">
        <v>263</v>
      </c>
      <c r="N1364" t="s">
        <v>518</v>
      </c>
      <c r="P1364" t="s">
        <v>47</v>
      </c>
      <c r="Q1364" t="s">
        <v>394</v>
      </c>
      <c r="R1364" s="5">
        <v>42195.797615740739</v>
      </c>
      <c r="S1364" s="5">
        <v>42716.783854166664</v>
      </c>
      <c r="T1364" t="s">
        <v>317</v>
      </c>
      <c r="U1364" t="s">
        <v>35</v>
      </c>
      <c r="V1364" s="3" t="s">
        <v>321</v>
      </c>
      <c r="W1364" s="3" t="s">
        <v>65</v>
      </c>
      <c r="AM1364" s="5"/>
      <c r="AN1364" s="5"/>
      <c r="AQ1364" s="6"/>
    </row>
    <row r="1365" spans="2:43" x14ac:dyDescent="0.25">
      <c r="B1365" t="s">
        <v>2562</v>
      </c>
      <c r="C1365">
        <v>65354</v>
      </c>
      <c r="D1365" t="s">
        <v>2565</v>
      </c>
      <c r="E1365" t="s">
        <v>445</v>
      </c>
      <c r="F1365" t="s">
        <v>305</v>
      </c>
      <c r="G1365" t="s">
        <v>337</v>
      </c>
      <c r="H1365" t="s">
        <v>30</v>
      </c>
      <c r="I1365" t="s">
        <v>31</v>
      </c>
      <c r="J1365" t="s">
        <v>32</v>
      </c>
      <c r="K1365" t="s">
        <v>44</v>
      </c>
      <c r="L1365" t="s">
        <v>73</v>
      </c>
      <c r="M1365" t="s">
        <v>263</v>
      </c>
      <c r="N1365" t="s">
        <v>46</v>
      </c>
      <c r="P1365" t="s">
        <v>47</v>
      </c>
      <c r="R1365" s="5">
        <v>42195.797500000001</v>
      </c>
      <c r="S1365" s="5">
        <v>42709.810601851852</v>
      </c>
      <c r="T1365" t="s">
        <v>317</v>
      </c>
      <c r="U1365" t="s">
        <v>35</v>
      </c>
      <c r="V1365" s="3" t="s">
        <v>321</v>
      </c>
      <c r="W1365" s="3" t="s">
        <v>61</v>
      </c>
      <c r="AM1365" s="5"/>
      <c r="AN1365" s="5"/>
      <c r="AQ1365" s="6"/>
    </row>
    <row r="1366" spans="2:43" x14ac:dyDescent="0.25">
      <c r="B1366" t="s">
        <v>2562</v>
      </c>
      <c r="C1366">
        <v>65353</v>
      </c>
      <c r="D1366" t="s">
        <v>2564</v>
      </c>
      <c r="E1366" t="s">
        <v>387</v>
      </c>
      <c r="F1366" t="s">
        <v>305</v>
      </c>
      <c r="G1366" t="s">
        <v>337</v>
      </c>
      <c r="H1366" t="s">
        <v>30</v>
      </c>
      <c r="I1366" t="s">
        <v>31</v>
      </c>
      <c r="J1366" t="s">
        <v>32</v>
      </c>
      <c r="K1366" t="s">
        <v>44</v>
      </c>
      <c r="L1366" t="s">
        <v>73</v>
      </c>
      <c r="M1366" t="s">
        <v>263</v>
      </c>
      <c r="N1366" t="s">
        <v>46</v>
      </c>
      <c r="P1366" t="s">
        <v>47</v>
      </c>
      <c r="R1366" s="5">
        <v>42195.797407407408</v>
      </c>
      <c r="S1366" s="5">
        <v>42678.635787037034</v>
      </c>
      <c r="T1366" t="s">
        <v>317</v>
      </c>
      <c r="U1366" t="s">
        <v>35</v>
      </c>
      <c r="V1366" s="3" t="s">
        <v>321</v>
      </c>
      <c r="W1366" s="3" t="s">
        <v>4147</v>
      </c>
      <c r="AM1366" s="5"/>
      <c r="AN1366" s="5"/>
      <c r="AQ1366" s="6"/>
    </row>
    <row r="1367" spans="2:43" x14ac:dyDescent="0.25">
      <c r="B1367" t="s">
        <v>2562</v>
      </c>
      <c r="C1367">
        <v>65352</v>
      </c>
      <c r="D1367" t="s">
        <v>2563</v>
      </c>
      <c r="E1367" t="s">
        <v>387</v>
      </c>
      <c r="F1367" t="s">
        <v>305</v>
      </c>
      <c r="G1367" t="s">
        <v>337</v>
      </c>
      <c r="H1367" t="s">
        <v>30</v>
      </c>
      <c r="I1367" t="s">
        <v>31</v>
      </c>
      <c r="J1367" t="s">
        <v>32</v>
      </c>
      <c r="K1367" t="s">
        <v>44</v>
      </c>
      <c r="L1367" t="s">
        <v>73</v>
      </c>
      <c r="M1367" t="s">
        <v>263</v>
      </c>
      <c r="N1367" t="s">
        <v>46</v>
      </c>
      <c r="P1367" t="s">
        <v>47</v>
      </c>
      <c r="R1367" s="5">
        <v>42195.797314814816</v>
      </c>
      <c r="S1367" s="5">
        <v>42678.6328125</v>
      </c>
      <c r="T1367" t="s">
        <v>317</v>
      </c>
      <c r="U1367" t="s">
        <v>35</v>
      </c>
      <c r="V1367" s="3" t="s">
        <v>321</v>
      </c>
      <c r="W1367" s="3" t="s">
        <v>3028</v>
      </c>
      <c r="AM1367" s="5"/>
      <c r="AN1367" s="5"/>
      <c r="AQ1367" s="6"/>
    </row>
    <row r="1368" spans="2:43" x14ac:dyDescent="0.25">
      <c r="B1368" t="s">
        <v>2562</v>
      </c>
      <c r="C1368">
        <v>65346</v>
      </c>
      <c r="D1368" t="s">
        <v>396</v>
      </c>
      <c r="E1368" t="s">
        <v>387</v>
      </c>
      <c r="F1368" t="s">
        <v>305</v>
      </c>
      <c r="G1368" t="s">
        <v>395</v>
      </c>
      <c r="H1368" t="s">
        <v>30</v>
      </c>
      <c r="I1368" t="s">
        <v>31</v>
      </c>
      <c r="J1368" t="s">
        <v>32</v>
      </c>
      <c r="K1368" t="s">
        <v>33</v>
      </c>
      <c r="L1368" t="s">
        <v>73</v>
      </c>
      <c r="M1368" t="s">
        <v>263</v>
      </c>
      <c r="N1368" t="s">
        <v>46</v>
      </c>
      <c r="P1368" t="s">
        <v>394</v>
      </c>
      <c r="Q1368" t="s">
        <v>159</v>
      </c>
      <c r="R1368" s="5">
        <v>42195.69153935185</v>
      </c>
      <c r="S1368" s="5">
        <v>42759.637777777774</v>
      </c>
      <c r="T1368" t="s">
        <v>1</v>
      </c>
      <c r="U1368" t="s">
        <v>35</v>
      </c>
      <c r="V1368" s="3" t="s">
        <v>321</v>
      </c>
      <c r="W1368" s="3" t="s">
        <v>4098</v>
      </c>
      <c r="AM1368" s="5"/>
      <c r="AN1368" s="5"/>
      <c r="AQ1368" s="6"/>
    </row>
    <row r="1369" spans="2:43" x14ac:dyDescent="0.25">
      <c r="B1369" t="s">
        <v>2501</v>
      </c>
      <c r="C1369">
        <v>65287</v>
      </c>
      <c r="D1369" t="s">
        <v>2561</v>
      </c>
      <c r="E1369" t="s">
        <v>72</v>
      </c>
      <c r="F1369" t="s">
        <v>305</v>
      </c>
      <c r="G1369" t="s">
        <v>304</v>
      </c>
      <c r="H1369" t="s">
        <v>30</v>
      </c>
      <c r="I1369" t="s">
        <v>31</v>
      </c>
      <c r="J1369" t="s">
        <v>43</v>
      </c>
      <c r="K1369" t="s">
        <v>44</v>
      </c>
      <c r="L1369" t="s">
        <v>73</v>
      </c>
      <c r="M1369" t="s">
        <v>263</v>
      </c>
      <c r="N1369" t="s">
        <v>46</v>
      </c>
      <c r="P1369" t="s">
        <v>394</v>
      </c>
      <c r="R1369" s="5">
        <v>42194.617025462961</v>
      </c>
      <c r="S1369" s="5">
        <v>42296.914722222224</v>
      </c>
      <c r="T1369" t="s">
        <v>317</v>
      </c>
      <c r="U1369" t="s">
        <v>35</v>
      </c>
      <c r="V1369" s="3" t="s">
        <v>35</v>
      </c>
      <c r="W1369" s="3" t="s">
        <v>4145</v>
      </c>
      <c r="AM1369" s="5"/>
      <c r="AN1369" s="5"/>
      <c r="AQ1369" s="6"/>
    </row>
    <row r="1370" spans="2:43" x14ac:dyDescent="0.25">
      <c r="B1370" t="s">
        <v>2501</v>
      </c>
      <c r="C1370">
        <v>65286</v>
      </c>
      <c r="D1370" t="s">
        <v>2560</v>
      </c>
      <c r="E1370" t="s">
        <v>84</v>
      </c>
      <c r="F1370" t="s">
        <v>305</v>
      </c>
      <c r="G1370" t="s">
        <v>304</v>
      </c>
      <c r="H1370" t="s">
        <v>30</v>
      </c>
      <c r="I1370" t="s">
        <v>31</v>
      </c>
      <c r="J1370" t="s">
        <v>43</v>
      </c>
      <c r="K1370" t="s">
        <v>44</v>
      </c>
      <c r="L1370" t="s">
        <v>73</v>
      </c>
      <c r="M1370" t="s">
        <v>263</v>
      </c>
      <c r="N1370" t="s">
        <v>46</v>
      </c>
      <c r="P1370" t="s">
        <v>394</v>
      </c>
      <c r="R1370" s="5">
        <v>42194.616909722223</v>
      </c>
      <c r="S1370" s="5">
        <v>42296.914618055554</v>
      </c>
      <c r="T1370" t="s">
        <v>317</v>
      </c>
      <c r="U1370" t="s">
        <v>35</v>
      </c>
      <c r="V1370" s="3" t="s">
        <v>35</v>
      </c>
      <c r="W1370" s="3" t="s">
        <v>4144</v>
      </c>
      <c r="AM1370" s="5"/>
      <c r="AN1370" s="5"/>
      <c r="AQ1370" s="6"/>
    </row>
    <row r="1371" spans="2:43" x14ac:dyDescent="0.25">
      <c r="B1371" t="s">
        <v>2501</v>
      </c>
      <c r="C1371">
        <v>65285</v>
      </c>
      <c r="D1371" t="s">
        <v>2558</v>
      </c>
      <c r="E1371" t="s">
        <v>387</v>
      </c>
      <c r="F1371" t="s">
        <v>305</v>
      </c>
      <c r="G1371" t="s">
        <v>304</v>
      </c>
      <c r="H1371" t="s">
        <v>30</v>
      </c>
      <c r="I1371" t="s">
        <v>31</v>
      </c>
      <c r="J1371" t="s">
        <v>43</v>
      </c>
      <c r="K1371" t="s">
        <v>44</v>
      </c>
      <c r="L1371" t="s">
        <v>73</v>
      </c>
      <c r="M1371" t="s">
        <v>263</v>
      </c>
      <c r="N1371" t="s">
        <v>46</v>
      </c>
      <c r="O1371" t="s">
        <v>2559</v>
      </c>
      <c r="P1371" t="s">
        <v>394</v>
      </c>
      <c r="R1371" s="5">
        <v>42194.616782407407</v>
      </c>
      <c r="S1371" s="5">
        <v>42759.712627314817</v>
      </c>
      <c r="T1371" t="s">
        <v>317</v>
      </c>
      <c r="U1371" t="s">
        <v>35</v>
      </c>
      <c r="V1371" s="3" t="s">
        <v>35</v>
      </c>
      <c r="W1371" s="3" t="s">
        <v>491</v>
      </c>
      <c r="AM1371" s="5"/>
      <c r="AN1371" s="5"/>
      <c r="AQ1371" s="6"/>
    </row>
    <row r="1372" spans="2:43" x14ac:dyDescent="0.25">
      <c r="B1372" t="s">
        <v>2501</v>
      </c>
      <c r="C1372">
        <v>65284</v>
      </c>
      <c r="D1372" t="s">
        <v>2557</v>
      </c>
      <c r="E1372" t="s">
        <v>387</v>
      </c>
      <c r="F1372" t="s">
        <v>305</v>
      </c>
      <c r="G1372" t="s">
        <v>304</v>
      </c>
      <c r="H1372" t="s">
        <v>30</v>
      </c>
      <c r="I1372" t="s">
        <v>31</v>
      </c>
      <c r="J1372" t="s">
        <v>43</v>
      </c>
      <c r="K1372" t="s">
        <v>44</v>
      </c>
      <c r="L1372" t="s">
        <v>73</v>
      </c>
      <c r="M1372" t="s">
        <v>263</v>
      </c>
      <c r="N1372" t="s">
        <v>46</v>
      </c>
      <c r="P1372" t="s">
        <v>394</v>
      </c>
      <c r="R1372" s="5">
        <v>42194.616631944446</v>
      </c>
      <c r="S1372" s="5">
        <v>42648.849328703705</v>
      </c>
      <c r="T1372" t="s">
        <v>317</v>
      </c>
      <c r="U1372" t="s">
        <v>35</v>
      </c>
      <c r="V1372" s="3" t="s">
        <v>35</v>
      </c>
      <c r="W1372" s="3" t="s">
        <v>65</v>
      </c>
      <c r="AM1372" s="5"/>
      <c r="AN1372" s="5"/>
      <c r="AQ1372" s="6"/>
    </row>
    <row r="1373" spans="2:43" x14ac:dyDescent="0.25">
      <c r="B1373" t="s">
        <v>2501</v>
      </c>
      <c r="C1373">
        <v>65283</v>
      </c>
      <c r="D1373" t="s">
        <v>2556</v>
      </c>
      <c r="E1373" t="s">
        <v>72</v>
      </c>
      <c r="F1373" t="s">
        <v>305</v>
      </c>
      <c r="G1373" t="s">
        <v>304</v>
      </c>
      <c r="H1373" t="s">
        <v>30</v>
      </c>
      <c r="I1373" t="s">
        <v>31</v>
      </c>
      <c r="J1373" t="s">
        <v>43</v>
      </c>
      <c r="K1373" t="s">
        <v>44</v>
      </c>
      <c r="L1373" t="s">
        <v>73</v>
      </c>
      <c r="M1373" t="s">
        <v>263</v>
      </c>
      <c r="N1373" t="s">
        <v>46</v>
      </c>
      <c r="P1373" t="s">
        <v>394</v>
      </c>
      <c r="R1373" s="5">
        <v>42194.616423611114</v>
      </c>
      <c r="S1373" s="5">
        <v>42648.849178240744</v>
      </c>
      <c r="T1373" t="s">
        <v>317</v>
      </c>
      <c r="U1373" t="s">
        <v>3947</v>
      </c>
      <c r="V1373" s="3" t="s">
        <v>35</v>
      </c>
      <c r="W1373" s="3" t="s">
        <v>61</v>
      </c>
      <c r="AM1373" s="5"/>
      <c r="AN1373" s="5"/>
      <c r="AQ1373" s="6"/>
    </row>
    <row r="1374" spans="2:43" x14ac:dyDescent="0.25">
      <c r="B1374" t="s">
        <v>2501</v>
      </c>
      <c r="C1374">
        <v>65282</v>
      </c>
      <c r="D1374" t="s">
        <v>2555</v>
      </c>
      <c r="E1374" t="s">
        <v>72</v>
      </c>
      <c r="F1374" t="s">
        <v>305</v>
      </c>
      <c r="G1374" t="s">
        <v>304</v>
      </c>
      <c r="H1374" t="s">
        <v>30</v>
      </c>
      <c r="I1374" t="s">
        <v>31</v>
      </c>
      <c r="J1374" t="s">
        <v>43</v>
      </c>
      <c r="K1374" t="s">
        <v>44</v>
      </c>
      <c r="L1374" t="s">
        <v>73</v>
      </c>
      <c r="M1374" t="s">
        <v>263</v>
      </c>
      <c r="N1374" t="s">
        <v>46</v>
      </c>
      <c r="O1374" t="s">
        <v>2430</v>
      </c>
      <c r="P1374" t="s">
        <v>394</v>
      </c>
      <c r="R1374" s="5">
        <v>42194.616284722222</v>
      </c>
      <c r="S1374" s="5">
        <v>42396.68241898148</v>
      </c>
      <c r="T1374" t="s">
        <v>317</v>
      </c>
      <c r="U1374" t="s">
        <v>3950</v>
      </c>
      <c r="V1374" s="3" t="s">
        <v>35</v>
      </c>
      <c r="W1374" s="3" t="s">
        <v>4149</v>
      </c>
      <c r="AM1374" s="5"/>
      <c r="AN1374" s="5"/>
      <c r="AQ1374" s="6"/>
    </row>
    <row r="1375" spans="2:43" x14ac:dyDescent="0.25">
      <c r="B1375" t="s">
        <v>2501</v>
      </c>
      <c r="C1375">
        <v>65281</v>
      </c>
      <c r="D1375" t="s">
        <v>2554</v>
      </c>
      <c r="E1375" t="s">
        <v>72</v>
      </c>
      <c r="F1375" t="s">
        <v>305</v>
      </c>
      <c r="G1375" t="s">
        <v>304</v>
      </c>
      <c r="H1375" t="s">
        <v>30</v>
      </c>
      <c r="I1375" t="s">
        <v>68</v>
      </c>
      <c r="J1375" t="s">
        <v>43</v>
      </c>
      <c r="K1375" t="s">
        <v>33</v>
      </c>
      <c r="L1375" t="s">
        <v>73</v>
      </c>
      <c r="M1375" t="s">
        <v>263</v>
      </c>
      <c r="N1375" t="s">
        <v>46</v>
      </c>
      <c r="P1375" t="s">
        <v>394</v>
      </c>
      <c r="R1375" s="5">
        <v>42194.616157407407</v>
      </c>
      <c r="S1375" s="5">
        <v>42648.849120370367</v>
      </c>
      <c r="T1375" t="s">
        <v>317</v>
      </c>
      <c r="U1375" t="s">
        <v>35</v>
      </c>
      <c r="V1375" s="3" t="s">
        <v>35</v>
      </c>
      <c r="W1375" s="3" t="s">
        <v>4148</v>
      </c>
      <c r="AM1375" s="5"/>
      <c r="AN1375" s="5"/>
      <c r="AQ1375" s="6"/>
    </row>
    <row r="1376" spans="2:43" x14ac:dyDescent="0.25">
      <c r="B1376" t="s">
        <v>2501</v>
      </c>
      <c r="C1376">
        <v>65259</v>
      </c>
      <c r="D1376" t="s">
        <v>2553</v>
      </c>
      <c r="E1376" t="s">
        <v>387</v>
      </c>
      <c r="F1376" t="s">
        <v>305</v>
      </c>
      <c r="G1376" t="s">
        <v>304</v>
      </c>
      <c r="H1376" t="s">
        <v>30</v>
      </c>
      <c r="I1376" t="s">
        <v>31</v>
      </c>
      <c r="J1376" t="s">
        <v>43</v>
      </c>
      <c r="K1376" t="s">
        <v>44</v>
      </c>
      <c r="L1376" t="s">
        <v>73</v>
      </c>
      <c r="M1376" t="s">
        <v>263</v>
      </c>
      <c r="N1376" t="s">
        <v>46</v>
      </c>
      <c r="P1376" t="s">
        <v>394</v>
      </c>
      <c r="R1376" s="5">
        <v>42194.462847222225</v>
      </c>
      <c r="S1376" s="5">
        <v>42759.713564814818</v>
      </c>
      <c r="T1376" t="s">
        <v>72</v>
      </c>
      <c r="U1376" t="s">
        <v>35</v>
      </c>
      <c r="V1376" s="3" t="s">
        <v>35</v>
      </c>
      <c r="W1376" s="3" t="s">
        <v>4098</v>
      </c>
      <c r="AM1376" s="5"/>
      <c r="AN1376" s="5"/>
      <c r="AQ1376" s="6"/>
    </row>
    <row r="1377" spans="2:43" x14ac:dyDescent="0.25">
      <c r="B1377" t="s">
        <v>2549</v>
      </c>
      <c r="C1377">
        <v>65209</v>
      </c>
      <c r="D1377" t="s">
        <v>2550</v>
      </c>
      <c r="E1377" t="s">
        <v>445</v>
      </c>
      <c r="F1377" t="s">
        <v>305</v>
      </c>
      <c r="G1377" t="s">
        <v>328</v>
      </c>
      <c r="H1377" t="s">
        <v>30</v>
      </c>
      <c r="I1377" t="s">
        <v>68</v>
      </c>
      <c r="J1377" t="s">
        <v>43</v>
      </c>
      <c r="K1377" t="s">
        <v>33</v>
      </c>
      <c r="L1377" t="s">
        <v>73</v>
      </c>
      <c r="M1377" t="s">
        <v>263</v>
      </c>
      <c r="N1377" t="s">
        <v>46</v>
      </c>
      <c r="O1377" t="s">
        <v>2551</v>
      </c>
      <c r="P1377" t="s">
        <v>2552</v>
      </c>
      <c r="R1377" s="5">
        <v>42193.638101851851</v>
      </c>
      <c r="S1377" s="5">
        <v>42678.643043981479</v>
      </c>
      <c r="T1377" t="s">
        <v>2</v>
      </c>
      <c r="U1377" t="s">
        <v>35</v>
      </c>
      <c r="V1377" s="3" t="s">
        <v>35</v>
      </c>
      <c r="W1377" s="3" t="s">
        <v>4098</v>
      </c>
      <c r="AM1377" s="5"/>
      <c r="AN1377" s="5"/>
      <c r="AQ1377" s="6"/>
    </row>
    <row r="1378" spans="2:43" x14ac:dyDescent="0.25">
      <c r="B1378" t="s">
        <v>2109</v>
      </c>
      <c r="C1378">
        <v>65141</v>
      </c>
      <c r="D1378" t="s">
        <v>2548</v>
      </c>
      <c r="E1378" t="s">
        <v>139</v>
      </c>
      <c r="F1378" t="s">
        <v>305</v>
      </c>
      <c r="G1378" t="s">
        <v>328</v>
      </c>
      <c r="H1378" t="s">
        <v>54</v>
      </c>
      <c r="I1378" t="s">
        <v>31</v>
      </c>
      <c r="J1378" t="s">
        <v>43</v>
      </c>
      <c r="K1378" t="s">
        <v>44</v>
      </c>
      <c r="L1378" t="s">
        <v>73</v>
      </c>
      <c r="M1378" t="s">
        <v>263</v>
      </c>
      <c r="N1378" t="s">
        <v>518</v>
      </c>
      <c r="P1378" t="s">
        <v>1749</v>
      </c>
      <c r="Q1378" t="s">
        <v>2112</v>
      </c>
      <c r="R1378" s="5">
        <v>42192.674791666665</v>
      </c>
      <c r="S1378" s="5">
        <v>43007.419953703706</v>
      </c>
      <c r="T1378" t="s">
        <v>317</v>
      </c>
      <c r="U1378" t="s">
        <v>35</v>
      </c>
      <c r="V1378" s="3" t="s">
        <v>35</v>
      </c>
      <c r="W1378" s="3" t="s">
        <v>65</v>
      </c>
      <c r="AM1378" s="5"/>
      <c r="AN1378" s="5"/>
      <c r="AQ1378" s="6"/>
    </row>
    <row r="1379" spans="2:43" x14ac:dyDescent="0.25">
      <c r="B1379" t="s">
        <v>2545</v>
      </c>
      <c r="C1379">
        <v>65136</v>
      </c>
      <c r="D1379" t="s">
        <v>2546</v>
      </c>
      <c r="E1379" t="s">
        <v>62</v>
      </c>
      <c r="F1379" t="s">
        <v>305</v>
      </c>
      <c r="G1379" t="s">
        <v>310</v>
      </c>
      <c r="H1379" t="s">
        <v>30</v>
      </c>
      <c r="I1379" t="s">
        <v>31</v>
      </c>
      <c r="J1379" t="s">
        <v>43</v>
      </c>
      <c r="K1379" t="s">
        <v>51</v>
      </c>
      <c r="L1379" t="s">
        <v>45</v>
      </c>
      <c r="M1379" t="s">
        <v>2547</v>
      </c>
      <c r="N1379" t="s">
        <v>46</v>
      </c>
      <c r="P1379" t="s">
        <v>394</v>
      </c>
      <c r="R1379" s="5">
        <v>42192.651631944442</v>
      </c>
      <c r="S1379" s="5">
        <v>42678.632280092592</v>
      </c>
      <c r="T1379" t="s">
        <v>2</v>
      </c>
      <c r="U1379" t="s">
        <v>35</v>
      </c>
      <c r="V1379" s="3" t="s">
        <v>35</v>
      </c>
      <c r="W1379" s="3" t="s">
        <v>4126</v>
      </c>
      <c r="AM1379" s="5"/>
      <c r="AN1379" s="5"/>
      <c r="AQ1379" s="6"/>
    </row>
    <row r="1380" spans="2:43" x14ac:dyDescent="0.25">
      <c r="B1380" t="s">
        <v>2541</v>
      </c>
      <c r="C1380">
        <v>65110</v>
      </c>
      <c r="D1380" t="s">
        <v>2542</v>
      </c>
      <c r="E1380" t="s">
        <v>2543</v>
      </c>
      <c r="F1380" t="s">
        <v>305</v>
      </c>
      <c r="G1380" t="s">
        <v>328</v>
      </c>
      <c r="H1380" t="s">
        <v>30</v>
      </c>
      <c r="I1380" t="s">
        <v>31</v>
      </c>
      <c r="J1380" t="s">
        <v>32</v>
      </c>
      <c r="K1380" t="s">
        <v>33</v>
      </c>
      <c r="L1380" t="s">
        <v>34</v>
      </c>
      <c r="M1380" t="s">
        <v>258</v>
      </c>
      <c r="N1380" t="s">
        <v>46</v>
      </c>
      <c r="O1380" t="s">
        <v>2544</v>
      </c>
      <c r="P1380" t="s">
        <v>56</v>
      </c>
      <c r="R1380" s="5">
        <v>42192.484444444446</v>
      </c>
      <c r="S1380" s="5">
        <v>42678.643750000003</v>
      </c>
      <c r="T1380" t="s">
        <v>2509</v>
      </c>
      <c r="U1380" t="s">
        <v>35</v>
      </c>
      <c r="V1380" s="3" t="s">
        <v>321</v>
      </c>
      <c r="W1380" s="3" t="s">
        <v>4126</v>
      </c>
      <c r="AM1380" s="5"/>
      <c r="AN1380" s="5"/>
      <c r="AQ1380" s="6"/>
    </row>
    <row r="1381" spans="2:43" x14ac:dyDescent="0.25">
      <c r="B1381" t="s">
        <v>2480</v>
      </c>
      <c r="C1381">
        <v>64892</v>
      </c>
      <c r="D1381" t="s">
        <v>2539</v>
      </c>
      <c r="E1381" t="s">
        <v>41</v>
      </c>
      <c r="F1381" t="s">
        <v>305</v>
      </c>
      <c r="G1381" t="s">
        <v>337</v>
      </c>
      <c r="H1381" t="s">
        <v>30</v>
      </c>
      <c r="I1381" t="s">
        <v>31</v>
      </c>
      <c r="J1381" t="s">
        <v>43</v>
      </c>
      <c r="K1381" t="s">
        <v>44</v>
      </c>
      <c r="L1381" t="s">
        <v>45</v>
      </c>
      <c r="M1381" t="s">
        <v>106</v>
      </c>
      <c r="N1381" t="s">
        <v>46</v>
      </c>
      <c r="O1381" t="s">
        <v>2272</v>
      </c>
      <c r="P1381" t="s">
        <v>47</v>
      </c>
      <c r="R1381" s="5">
        <v>42187.315046296295</v>
      </c>
      <c r="S1381" s="5">
        <v>42678.639930555553</v>
      </c>
      <c r="T1381" t="s">
        <v>2540</v>
      </c>
      <c r="U1381" t="s">
        <v>35</v>
      </c>
      <c r="V1381" s="3" t="s">
        <v>35</v>
      </c>
      <c r="W1381" s="3" t="s">
        <v>4147</v>
      </c>
      <c r="AM1381" s="5"/>
      <c r="AN1381" s="5"/>
      <c r="AQ1381" s="6"/>
    </row>
    <row r="1382" spans="2:43" x14ac:dyDescent="0.25">
      <c r="B1382" t="s">
        <v>2480</v>
      </c>
      <c r="C1382">
        <v>64891</v>
      </c>
      <c r="D1382" t="s">
        <v>2536</v>
      </c>
      <c r="E1382" t="s">
        <v>2537</v>
      </c>
      <c r="F1382" t="s">
        <v>305</v>
      </c>
      <c r="G1382" t="s">
        <v>328</v>
      </c>
      <c r="H1382" t="s">
        <v>116</v>
      </c>
      <c r="I1382" t="s">
        <v>31</v>
      </c>
      <c r="J1382" t="s">
        <v>43</v>
      </c>
      <c r="K1382" t="s">
        <v>44</v>
      </c>
      <c r="L1382" t="s">
        <v>45</v>
      </c>
      <c r="M1382" t="s">
        <v>106</v>
      </c>
      <c r="N1382" t="s">
        <v>512</v>
      </c>
      <c r="O1382" t="s">
        <v>2538</v>
      </c>
      <c r="P1382" t="s">
        <v>47</v>
      </c>
      <c r="Q1382" t="s">
        <v>47</v>
      </c>
      <c r="R1382" s="5">
        <v>42187.301111111112</v>
      </c>
      <c r="S1382" s="5">
        <v>43016.125150462962</v>
      </c>
      <c r="T1382" t="s">
        <v>341</v>
      </c>
      <c r="U1382" t="s">
        <v>35</v>
      </c>
      <c r="V1382" s="3" t="s">
        <v>35</v>
      </c>
      <c r="W1382" s="3" t="s">
        <v>4151</v>
      </c>
      <c r="AM1382" s="5"/>
      <c r="AN1382" s="5"/>
      <c r="AQ1382" s="6"/>
    </row>
    <row r="1383" spans="2:43" x14ac:dyDescent="0.25">
      <c r="B1383" t="s">
        <v>2480</v>
      </c>
      <c r="C1383">
        <v>64890</v>
      </c>
      <c r="D1383" t="s">
        <v>2535</v>
      </c>
      <c r="E1383" t="s">
        <v>41</v>
      </c>
      <c r="F1383" t="s">
        <v>305</v>
      </c>
      <c r="G1383" t="s">
        <v>304</v>
      </c>
      <c r="H1383" t="s">
        <v>30</v>
      </c>
      <c r="I1383" t="s">
        <v>31</v>
      </c>
      <c r="J1383" t="s">
        <v>43</v>
      </c>
      <c r="K1383" t="s">
        <v>44</v>
      </c>
      <c r="L1383" t="s">
        <v>45</v>
      </c>
      <c r="M1383" t="s">
        <v>106</v>
      </c>
      <c r="N1383" t="s">
        <v>46</v>
      </c>
      <c r="P1383" t="s">
        <v>47</v>
      </c>
      <c r="R1383" s="5">
        <v>42187.297939814816</v>
      </c>
      <c r="S1383" s="5">
        <v>42304.23609953704</v>
      </c>
      <c r="T1383" t="s">
        <v>341</v>
      </c>
      <c r="U1383" t="s">
        <v>3934</v>
      </c>
      <c r="V1383" s="3" t="s">
        <v>35</v>
      </c>
      <c r="W1383" s="3" t="s">
        <v>65</v>
      </c>
      <c r="AM1383" s="5"/>
      <c r="AN1383" s="5"/>
      <c r="AQ1383" s="6"/>
    </row>
    <row r="1384" spans="2:43" x14ac:dyDescent="0.25">
      <c r="B1384" t="s">
        <v>3861</v>
      </c>
      <c r="C1384">
        <v>64880</v>
      </c>
      <c r="D1384" t="s">
        <v>3862</v>
      </c>
      <c r="E1384" t="s">
        <v>3863</v>
      </c>
      <c r="F1384" t="s">
        <v>305</v>
      </c>
      <c r="G1384" t="s">
        <v>310</v>
      </c>
      <c r="H1384" t="s">
        <v>30</v>
      </c>
      <c r="I1384" t="s">
        <v>31</v>
      </c>
      <c r="J1384" t="s">
        <v>43</v>
      </c>
      <c r="K1384" t="s">
        <v>44</v>
      </c>
      <c r="L1384" t="s">
        <v>34</v>
      </c>
      <c r="M1384" t="s">
        <v>3780</v>
      </c>
      <c r="N1384" t="s">
        <v>46</v>
      </c>
      <c r="P1384" t="s">
        <v>2121</v>
      </c>
      <c r="R1384" s="5">
        <v>42187.237384259257</v>
      </c>
      <c r="S1384" s="5">
        <v>42646.729687500003</v>
      </c>
      <c r="T1384" t="s">
        <v>299</v>
      </c>
      <c r="U1384" t="s">
        <v>35</v>
      </c>
      <c r="V1384" s="3" t="s">
        <v>35</v>
      </c>
      <c r="W1384" s="3" t="s">
        <v>4126</v>
      </c>
      <c r="AM1384" s="5"/>
      <c r="AN1384" s="5"/>
      <c r="AQ1384" s="6"/>
    </row>
    <row r="1385" spans="2:43" x14ac:dyDescent="0.25">
      <c r="B1385" t="s">
        <v>2506</v>
      </c>
      <c r="C1385">
        <v>64697</v>
      </c>
      <c r="D1385" t="s">
        <v>2533</v>
      </c>
      <c r="E1385" t="s">
        <v>2354</v>
      </c>
      <c r="F1385" t="s">
        <v>305</v>
      </c>
      <c r="G1385" t="s">
        <v>304</v>
      </c>
      <c r="H1385" t="s">
        <v>54</v>
      </c>
      <c r="I1385" t="s">
        <v>31</v>
      </c>
      <c r="J1385" t="s">
        <v>32</v>
      </c>
      <c r="K1385" t="s">
        <v>51</v>
      </c>
      <c r="L1385" t="s">
        <v>34</v>
      </c>
      <c r="M1385" t="s">
        <v>1853</v>
      </c>
      <c r="N1385" t="s">
        <v>2508</v>
      </c>
      <c r="O1385" t="s">
        <v>2534</v>
      </c>
      <c r="P1385" t="s">
        <v>2475</v>
      </c>
      <c r="R1385" s="5">
        <v>42184.296678240738</v>
      </c>
      <c r="S1385" s="5">
        <v>42487.361770833333</v>
      </c>
      <c r="T1385" t="s">
        <v>359</v>
      </c>
      <c r="U1385" t="s">
        <v>35</v>
      </c>
      <c r="V1385" s="3" t="s">
        <v>35</v>
      </c>
      <c r="W1385" s="3" t="s">
        <v>4098</v>
      </c>
      <c r="AM1385" s="5"/>
      <c r="AN1385" s="5"/>
      <c r="AQ1385" s="6"/>
    </row>
    <row r="1386" spans="2:43" x14ac:dyDescent="0.25">
      <c r="B1386" t="s">
        <v>2527</v>
      </c>
      <c r="C1386">
        <v>64584</v>
      </c>
      <c r="D1386" t="s">
        <v>2532</v>
      </c>
      <c r="E1386" t="s">
        <v>53</v>
      </c>
      <c r="F1386" t="s">
        <v>305</v>
      </c>
      <c r="G1386" t="s">
        <v>310</v>
      </c>
      <c r="H1386" t="s">
        <v>30</v>
      </c>
      <c r="I1386" t="s">
        <v>68</v>
      </c>
      <c r="J1386" t="s">
        <v>58</v>
      </c>
      <c r="K1386" t="s">
        <v>51</v>
      </c>
      <c r="L1386" t="s">
        <v>34</v>
      </c>
      <c r="M1386" t="s">
        <v>258</v>
      </c>
      <c r="N1386" t="s">
        <v>46</v>
      </c>
      <c r="P1386" t="s">
        <v>369</v>
      </c>
      <c r="R1386" s="5">
        <v>42180.540810185186</v>
      </c>
      <c r="S1386" s="5">
        <v>42678.631898148145</v>
      </c>
      <c r="T1386" t="s">
        <v>288</v>
      </c>
      <c r="U1386" t="s">
        <v>35</v>
      </c>
      <c r="V1386" s="3" t="s">
        <v>35</v>
      </c>
      <c r="W1386" s="3" t="s">
        <v>4147</v>
      </c>
      <c r="AM1386" s="5"/>
      <c r="AN1386" s="5"/>
      <c r="AQ1386" s="6"/>
    </row>
    <row r="1387" spans="2:43" x14ac:dyDescent="0.25">
      <c r="B1387" t="s">
        <v>2527</v>
      </c>
      <c r="C1387">
        <v>64582</v>
      </c>
      <c r="D1387" t="s">
        <v>2531</v>
      </c>
      <c r="E1387" t="s">
        <v>88</v>
      </c>
      <c r="F1387" t="s">
        <v>305</v>
      </c>
      <c r="G1387" t="s">
        <v>310</v>
      </c>
      <c r="H1387" t="s">
        <v>30</v>
      </c>
      <c r="I1387" t="s">
        <v>68</v>
      </c>
      <c r="J1387" t="s">
        <v>58</v>
      </c>
      <c r="K1387" t="s">
        <v>51</v>
      </c>
      <c r="L1387" t="s">
        <v>2529</v>
      </c>
      <c r="M1387" t="s">
        <v>266</v>
      </c>
      <c r="N1387" t="s">
        <v>46</v>
      </c>
      <c r="P1387" t="s">
        <v>47</v>
      </c>
      <c r="R1387" s="5">
        <v>42180.538356481484</v>
      </c>
      <c r="S1387" s="5">
        <v>42678.640208333331</v>
      </c>
      <c r="T1387" t="s">
        <v>288</v>
      </c>
      <c r="U1387" t="s">
        <v>35</v>
      </c>
      <c r="V1387" s="3" t="s">
        <v>35</v>
      </c>
      <c r="W1387" s="3" t="s">
        <v>61</v>
      </c>
      <c r="AM1387" s="5"/>
      <c r="AN1387" s="5"/>
      <c r="AQ1387" s="6"/>
    </row>
    <row r="1388" spans="2:43" x14ac:dyDescent="0.25">
      <c r="B1388" t="s">
        <v>2527</v>
      </c>
      <c r="C1388">
        <v>64581</v>
      </c>
      <c r="D1388" t="s">
        <v>2530</v>
      </c>
      <c r="E1388" t="s">
        <v>88</v>
      </c>
      <c r="F1388" t="s">
        <v>305</v>
      </c>
      <c r="G1388" t="s">
        <v>310</v>
      </c>
      <c r="H1388" t="s">
        <v>30</v>
      </c>
      <c r="I1388" t="s">
        <v>68</v>
      </c>
      <c r="J1388" t="s">
        <v>58</v>
      </c>
      <c r="K1388" t="s">
        <v>51</v>
      </c>
      <c r="L1388" t="s">
        <v>2529</v>
      </c>
      <c r="M1388" t="s">
        <v>266</v>
      </c>
      <c r="N1388" t="s">
        <v>46</v>
      </c>
      <c r="P1388" t="s">
        <v>47</v>
      </c>
      <c r="R1388" s="5">
        <v>42180.538252314815</v>
      </c>
      <c r="S1388" s="5">
        <v>42678.631631944445</v>
      </c>
      <c r="T1388" t="s">
        <v>288</v>
      </c>
      <c r="U1388" t="s">
        <v>35</v>
      </c>
      <c r="V1388" s="3" t="s">
        <v>35</v>
      </c>
      <c r="W1388" s="3" t="s">
        <v>65</v>
      </c>
      <c r="AM1388" s="5"/>
      <c r="AN1388" s="5"/>
      <c r="AQ1388" s="6"/>
    </row>
    <row r="1389" spans="2:43" x14ac:dyDescent="0.25">
      <c r="B1389" t="s">
        <v>2527</v>
      </c>
      <c r="C1389">
        <v>64578</v>
      </c>
      <c r="D1389" t="s">
        <v>2528</v>
      </c>
      <c r="E1389" t="s">
        <v>88</v>
      </c>
      <c r="F1389" t="s">
        <v>305</v>
      </c>
      <c r="G1389" t="s">
        <v>1621</v>
      </c>
      <c r="H1389" t="s">
        <v>30</v>
      </c>
      <c r="I1389" t="s">
        <v>68</v>
      </c>
      <c r="J1389" t="s">
        <v>58</v>
      </c>
      <c r="K1389" t="s">
        <v>51</v>
      </c>
      <c r="L1389" t="s">
        <v>2529</v>
      </c>
      <c r="M1389" t="s">
        <v>266</v>
      </c>
      <c r="N1389" t="s">
        <v>46</v>
      </c>
      <c r="P1389" t="s">
        <v>47</v>
      </c>
      <c r="R1389" s="5">
        <v>42180.522604166668</v>
      </c>
      <c r="S1389" s="5">
        <v>43171.783402777779</v>
      </c>
      <c r="T1389" t="s">
        <v>1</v>
      </c>
      <c r="U1389" t="s">
        <v>35</v>
      </c>
      <c r="V1389" s="3" t="s">
        <v>35</v>
      </c>
      <c r="W1389" s="3" t="s">
        <v>4098</v>
      </c>
      <c r="AM1389" s="5"/>
      <c r="AN1389" s="5"/>
      <c r="AQ1389" s="6"/>
    </row>
    <row r="1390" spans="2:43" x14ac:dyDescent="0.25">
      <c r="B1390" t="s">
        <v>2449</v>
      </c>
      <c r="C1390">
        <v>64337</v>
      </c>
      <c r="D1390" t="s">
        <v>2524</v>
      </c>
      <c r="E1390" t="s">
        <v>2525</v>
      </c>
      <c r="F1390" t="s">
        <v>305</v>
      </c>
      <c r="G1390" t="s">
        <v>353</v>
      </c>
      <c r="H1390" t="s">
        <v>2213</v>
      </c>
      <c r="I1390" t="s">
        <v>35</v>
      </c>
      <c r="J1390" t="s">
        <v>32</v>
      </c>
      <c r="K1390" t="s">
        <v>33</v>
      </c>
      <c r="L1390" t="s">
        <v>45</v>
      </c>
      <c r="M1390" t="s">
        <v>265</v>
      </c>
      <c r="N1390" t="s">
        <v>46</v>
      </c>
      <c r="P1390" t="s">
        <v>428</v>
      </c>
      <c r="R1390" s="5">
        <v>42174.689953703702</v>
      </c>
      <c r="S1390" s="5">
        <v>42678.631284722222</v>
      </c>
      <c r="T1390" t="s">
        <v>2526</v>
      </c>
      <c r="U1390" t="s">
        <v>35</v>
      </c>
      <c r="V1390" s="3" t="s">
        <v>321</v>
      </c>
      <c r="W1390" s="3" t="s">
        <v>428</v>
      </c>
      <c r="AM1390" s="5"/>
      <c r="AN1390" s="5"/>
      <c r="AQ1390" s="6"/>
    </row>
    <row r="1391" spans="2:43" x14ac:dyDescent="0.25">
      <c r="B1391" t="s">
        <v>2358</v>
      </c>
      <c r="C1391">
        <v>64333</v>
      </c>
      <c r="D1391" t="s">
        <v>2522</v>
      </c>
      <c r="E1391" t="s">
        <v>2523</v>
      </c>
      <c r="F1391" t="s">
        <v>305</v>
      </c>
      <c r="G1391" t="s">
        <v>328</v>
      </c>
      <c r="H1391" t="s">
        <v>30</v>
      </c>
      <c r="I1391" t="s">
        <v>31</v>
      </c>
      <c r="J1391" t="s">
        <v>32</v>
      </c>
      <c r="K1391" t="s">
        <v>33</v>
      </c>
      <c r="L1391" t="s">
        <v>73</v>
      </c>
      <c r="M1391" t="s">
        <v>295</v>
      </c>
      <c r="N1391" t="s">
        <v>46</v>
      </c>
      <c r="P1391" t="s">
        <v>394</v>
      </c>
      <c r="R1391" s="5">
        <v>42174.650312500002</v>
      </c>
      <c r="S1391" s="5">
        <v>42678.637395833335</v>
      </c>
      <c r="T1391" t="s">
        <v>317</v>
      </c>
      <c r="U1391" t="s">
        <v>35</v>
      </c>
      <c r="V1391" s="3" t="s">
        <v>35</v>
      </c>
      <c r="W1391" s="3" t="s">
        <v>61</v>
      </c>
      <c r="AM1391" s="5"/>
      <c r="AN1391" s="5"/>
      <c r="AQ1391" s="6"/>
    </row>
    <row r="1392" spans="2:43" x14ac:dyDescent="0.25">
      <c r="B1392" t="s">
        <v>2391</v>
      </c>
      <c r="C1392">
        <v>64084</v>
      </c>
      <c r="D1392" t="s">
        <v>2521</v>
      </c>
      <c r="E1392" t="s">
        <v>417</v>
      </c>
      <c r="F1392" t="s">
        <v>305</v>
      </c>
      <c r="G1392" t="s">
        <v>353</v>
      </c>
      <c r="H1392" t="s">
        <v>30</v>
      </c>
      <c r="I1392" t="s">
        <v>31</v>
      </c>
      <c r="J1392" t="s">
        <v>32</v>
      </c>
      <c r="K1392" t="s">
        <v>44</v>
      </c>
      <c r="L1392" t="s">
        <v>45</v>
      </c>
      <c r="M1392" t="s">
        <v>261</v>
      </c>
      <c r="N1392" t="s">
        <v>46</v>
      </c>
      <c r="P1392" t="s">
        <v>47</v>
      </c>
      <c r="R1392" s="5">
        <v>42170.866481481484</v>
      </c>
      <c r="S1392" s="5">
        <v>42678.631782407407</v>
      </c>
      <c r="T1392" t="s">
        <v>317</v>
      </c>
      <c r="U1392" t="s">
        <v>35</v>
      </c>
      <c r="V1392" s="3" t="s">
        <v>35</v>
      </c>
      <c r="W1392" s="3" t="s">
        <v>65</v>
      </c>
      <c r="AM1392" s="5"/>
      <c r="AN1392" s="5"/>
      <c r="AQ1392" s="6"/>
    </row>
    <row r="1393" spans="2:43" x14ac:dyDescent="0.25">
      <c r="B1393" t="s">
        <v>2391</v>
      </c>
      <c r="C1393">
        <v>64083</v>
      </c>
      <c r="D1393" t="s">
        <v>2520</v>
      </c>
      <c r="E1393" t="s">
        <v>417</v>
      </c>
      <c r="F1393" t="s">
        <v>305</v>
      </c>
      <c r="G1393" t="s">
        <v>353</v>
      </c>
      <c r="H1393" t="s">
        <v>30</v>
      </c>
      <c r="I1393" t="s">
        <v>31</v>
      </c>
      <c r="J1393" t="s">
        <v>32</v>
      </c>
      <c r="K1393" t="s">
        <v>44</v>
      </c>
      <c r="L1393" t="s">
        <v>45</v>
      </c>
      <c r="M1393" t="s">
        <v>260</v>
      </c>
      <c r="N1393" t="s">
        <v>46</v>
      </c>
      <c r="P1393" t="s">
        <v>47</v>
      </c>
      <c r="R1393" s="5">
        <v>42170.866354166668</v>
      </c>
      <c r="S1393" s="5">
        <v>42678.63177083333</v>
      </c>
      <c r="T1393" t="s">
        <v>317</v>
      </c>
      <c r="U1393" t="s">
        <v>35</v>
      </c>
      <c r="V1393" s="3" t="s">
        <v>35</v>
      </c>
      <c r="W1393" s="3" t="s">
        <v>61</v>
      </c>
      <c r="AM1393" s="5"/>
      <c r="AN1393" s="5"/>
      <c r="AQ1393" s="6"/>
    </row>
    <row r="1394" spans="2:43" x14ac:dyDescent="0.25">
      <c r="B1394" t="s">
        <v>2391</v>
      </c>
      <c r="C1394">
        <v>64082</v>
      </c>
      <c r="D1394" t="s">
        <v>2519</v>
      </c>
      <c r="E1394" t="s">
        <v>417</v>
      </c>
      <c r="F1394" t="s">
        <v>305</v>
      </c>
      <c r="G1394" t="s">
        <v>353</v>
      </c>
      <c r="H1394" t="s">
        <v>30</v>
      </c>
      <c r="I1394" t="s">
        <v>31</v>
      </c>
      <c r="J1394" t="s">
        <v>32</v>
      </c>
      <c r="K1394" t="s">
        <v>44</v>
      </c>
      <c r="L1394" t="s">
        <v>45</v>
      </c>
      <c r="M1394" t="s">
        <v>261</v>
      </c>
      <c r="N1394" t="s">
        <v>46</v>
      </c>
      <c r="P1394" t="s">
        <v>47</v>
      </c>
      <c r="R1394" s="5">
        <v>42170.866249999999</v>
      </c>
      <c r="S1394" s="5">
        <v>42678.632256944446</v>
      </c>
      <c r="T1394" t="s">
        <v>317</v>
      </c>
      <c r="U1394" t="s">
        <v>35</v>
      </c>
      <c r="V1394" s="3" t="s">
        <v>35</v>
      </c>
      <c r="W1394" s="3" t="s">
        <v>4147</v>
      </c>
      <c r="AM1394" s="5"/>
      <c r="AN1394" s="5"/>
      <c r="AQ1394" s="6"/>
    </row>
    <row r="1395" spans="2:43" x14ac:dyDescent="0.25">
      <c r="B1395" t="s">
        <v>2391</v>
      </c>
      <c r="C1395">
        <v>64081</v>
      </c>
      <c r="D1395" t="s">
        <v>2518</v>
      </c>
      <c r="E1395" t="s">
        <v>417</v>
      </c>
      <c r="F1395" t="s">
        <v>305</v>
      </c>
      <c r="G1395" t="s">
        <v>353</v>
      </c>
      <c r="H1395" t="s">
        <v>30</v>
      </c>
      <c r="I1395" t="s">
        <v>31</v>
      </c>
      <c r="J1395" t="s">
        <v>32</v>
      </c>
      <c r="K1395" t="s">
        <v>44</v>
      </c>
      <c r="L1395" t="s">
        <v>45</v>
      </c>
      <c r="M1395" t="s">
        <v>261</v>
      </c>
      <c r="N1395" t="s">
        <v>46</v>
      </c>
      <c r="P1395" t="s">
        <v>47</v>
      </c>
      <c r="R1395" s="5">
        <v>42170.854629629626</v>
      </c>
      <c r="S1395" s="5">
        <v>42678.631747685184</v>
      </c>
      <c r="T1395" t="s">
        <v>1</v>
      </c>
      <c r="U1395" t="s">
        <v>35</v>
      </c>
      <c r="V1395" s="3" t="s">
        <v>35</v>
      </c>
      <c r="W1395" s="3" t="s">
        <v>4098</v>
      </c>
      <c r="AM1395" s="5"/>
      <c r="AN1395" s="5"/>
      <c r="AQ1395" s="6"/>
    </row>
    <row r="1396" spans="2:43" x14ac:dyDescent="0.25">
      <c r="B1396" t="s">
        <v>2513</v>
      </c>
      <c r="C1396">
        <v>63960</v>
      </c>
      <c r="D1396" t="s">
        <v>2517</v>
      </c>
      <c r="E1396" t="s">
        <v>577</v>
      </c>
      <c r="F1396" t="s">
        <v>305</v>
      </c>
      <c r="G1396" t="s">
        <v>310</v>
      </c>
      <c r="H1396" t="s">
        <v>116</v>
      </c>
      <c r="I1396" t="s">
        <v>31</v>
      </c>
      <c r="J1396" t="s">
        <v>32</v>
      </c>
      <c r="K1396" t="s">
        <v>51</v>
      </c>
      <c r="L1396" t="s">
        <v>52</v>
      </c>
      <c r="M1396" t="s">
        <v>259</v>
      </c>
      <c r="N1396" t="s">
        <v>512</v>
      </c>
      <c r="P1396" t="s">
        <v>47</v>
      </c>
      <c r="Q1396" t="s">
        <v>394</v>
      </c>
      <c r="R1396" s="5">
        <v>42167.260844907411</v>
      </c>
      <c r="S1396" s="5">
        <v>43086.136990740742</v>
      </c>
      <c r="T1396" t="s">
        <v>53</v>
      </c>
      <c r="U1396" t="s">
        <v>35</v>
      </c>
      <c r="V1396" s="3" t="s">
        <v>321</v>
      </c>
      <c r="W1396" s="3" t="s">
        <v>4143</v>
      </c>
      <c r="AM1396" s="5"/>
      <c r="AN1396" s="5"/>
      <c r="AQ1396" s="6"/>
    </row>
    <row r="1397" spans="2:43" x14ac:dyDescent="0.25">
      <c r="B1397" t="s">
        <v>2513</v>
      </c>
      <c r="C1397">
        <v>63959</v>
      </c>
      <c r="D1397" t="s">
        <v>2516</v>
      </c>
      <c r="E1397" t="s">
        <v>50</v>
      </c>
      <c r="F1397" t="s">
        <v>305</v>
      </c>
      <c r="G1397" t="s">
        <v>304</v>
      </c>
      <c r="H1397" t="s">
        <v>30</v>
      </c>
      <c r="I1397" t="s">
        <v>31</v>
      </c>
      <c r="J1397" t="s">
        <v>32</v>
      </c>
      <c r="K1397" t="s">
        <v>51</v>
      </c>
      <c r="L1397" t="s">
        <v>52</v>
      </c>
      <c r="M1397" t="s">
        <v>259</v>
      </c>
      <c r="N1397" t="s">
        <v>60</v>
      </c>
      <c r="P1397" t="s">
        <v>47</v>
      </c>
      <c r="R1397" s="5">
        <v>42167.260740740741</v>
      </c>
      <c r="S1397" s="5">
        <v>42648.937615740739</v>
      </c>
      <c r="T1397" t="s">
        <v>53</v>
      </c>
      <c r="U1397" t="s">
        <v>3952</v>
      </c>
      <c r="V1397" s="3" t="s">
        <v>321</v>
      </c>
      <c r="W1397" s="3" t="s">
        <v>65</v>
      </c>
      <c r="AM1397" s="5"/>
      <c r="AN1397" s="5"/>
      <c r="AQ1397" s="6"/>
    </row>
    <row r="1398" spans="2:43" x14ac:dyDescent="0.25">
      <c r="B1398" t="s">
        <v>2513</v>
      </c>
      <c r="C1398">
        <v>63958</v>
      </c>
      <c r="D1398" t="s">
        <v>2515</v>
      </c>
      <c r="E1398" t="s">
        <v>376</v>
      </c>
      <c r="F1398" t="s">
        <v>305</v>
      </c>
      <c r="G1398" t="s">
        <v>304</v>
      </c>
      <c r="H1398" t="s">
        <v>30</v>
      </c>
      <c r="I1398" t="s">
        <v>31</v>
      </c>
      <c r="J1398" t="s">
        <v>32</v>
      </c>
      <c r="K1398" t="s">
        <v>51</v>
      </c>
      <c r="L1398" t="s">
        <v>34</v>
      </c>
      <c r="M1398" t="s">
        <v>402</v>
      </c>
      <c r="N1398" t="s">
        <v>46</v>
      </c>
      <c r="P1398" t="s">
        <v>369</v>
      </c>
      <c r="R1398" s="5">
        <v>42167.26059027778</v>
      </c>
      <c r="S1398" s="5">
        <v>42251.867997685185</v>
      </c>
      <c r="T1398" t="s">
        <v>53</v>
      </c>
      <c r="U1398" t="s">
        <v>3951</v>
      </c>
      <c r="V1398" s="3" t="s">
        <v>321</v>
      </c>
      <c r="W1398" s="3" t="s">
        <v>377</v>
      </c>
      <c r="AM1398" s="5"/>
      <c r="AN1398" s="5"/>
      <c r="AQ1398" s="6"/>
    </row>
    <row r="1399" spans="2:43" x14ac:dyDescent="0.25">
      <c r="B1399" t="s">
        <v>2513</v>
      </c>
      <c r="C1399">
        <v>63957</v>
      </c>
      <c r="D1399" t="s">
        <v>2514</v>
      </c>
      <c r="E1399" t="s">
        <v>376</v>
      </c>
      <c r="F1399" t="s">
        <v>305</v>
      </c>
      <c r="G1399" t="s">
        <v>304</v>
      </c>
      <c r="H1399" t="s">
        <v>30</v>
      </c>
      <c r="I1399" t="s">
        <v>31</v>
      </c>
      <c r="J1399" t="s">
        <v>32</v>
      </c>
      <c r="K1399" t="s">
        <v>51</v>
      </c>
      <c r="L1399" t="s">
        <v>34</v>
      </c>
      <c r="M1399" t="s">
        <v>402</v>
      </c>
      <c r="N1399" t="s">
        <v>46</v>
      </c>
      <c r="O1399" t="s">
        <v>2430</v>
      </c>
      <c r="P1399" t="s">
        <v>369</v>
      </c>
      <c r="R1399" s="5">
        <v>42167.260416666664</v>
      </c>
      <c r="S1399" s="5">
        <v>42396.683900462966</v>
      </c>
      <c r="T1399" t="s">
        <v>53</v>
      </c>
      <c r="U1399" t="s">
        <v>3950</v>
      </c>
      <c r="V1399" s="3" t="s">
        <v>321</v>
      </c>
      <c r="W1399" s="3" t="s">
        <v>4150</v>
      </c>
      <c r="AM1399" s="5"/>
      <c r="AN1399" s="5"/>
      <c r="AQ1399" s="6"/>
    </row>
    <row r="1400" spans="2:43" x14ac:dyDescent="0.25">
      <c r="B1400" t="s">
        <v>2513</v>
      </c>
      <c r="C1400">
        <v>63811</v>
      </c>
      <c r="D1400" t="s">
        <v>49</v>
      </c>
      <c r="E1400" t="s">
        <v>50</v>
      </c>
      <c r="F1400" t="s">
        <v>305</v>
      </c>
      <c r="G1400" t="s">
        <v>304</v>
      </c>
      <c r="H1400" t="s">
        <v>30</v>
      </c>
      <c r="I1400" t="s">
        <v>31</v>
      </c>
      <c r="J1400" t="s">
        <v>32</v>
      </c>
      <c r="K1400" t="s">
        <v>51</v>
      </c>
      <c r="L1400" t="s">
        <v>52</v>
      </c>
      <c r="M1400" t="s">
        <v>259</v>
      </c>
      <c r="N1400" t="s">
        <v>46</v>
      </c>
      <c r="P1400" t="s">
        <v>47</v>
      </c>
      <c r="Q1400" t="s">
        <v>2481</v>
      </c>
      <c r="R1400" s="5">
        <v>42165.275740740741</v>
      </c>
      <c r="S1400" s="5">
        <v>43187.154988425929</v>
      </c>
      <c r="T1400" t="s">
        <v>53</v>
      </c>
      <c r="U1400" t="s">
        <v>35</v>
      </c>
      <c r="V1400" s="3" t="s">
        <v>321</v>
      </c>
      <c r="W1400" s="3" t="s">
        <v>4098</v>
      </c>
      <c r="AM1400" s="5"/>
      <c r="AN1400" s="5"/>
      <c r="AQ1400" s="6"/>
    </row>
    <row r="1401" spans="2:43" x14ac:dyDescent="0.25">
      <c r="B1401" t="s">
        <v>2502</v>
      </c>
      <c r="C1401">
        <v>63702</v>
      </c>
      <c r="D1401" t="s">
        <v>2512</v>
      </c>
      <c r="E1401" t="s">
        <v>164</v>
      </c>
      <c r="F1401" t="s">
        <v>305</v>
      </c>
      <c r="G1401" t="s">
        <v>304</v>
      </c>
      <c r="H1401" t="s">
        <v>30</v>
      </c>
      <c r="I1401" t="s">
        <v>31</v>
      </c>
      <c r="J1401" t="s">
        <v>32</v>
      </c>
      <c r="K1401" t="s">
        <v>51</v>
      </c>
      <c r="L1401" t="s">
        <v>34</v>
      </c>
      <c r="M1401" t="s">
        <v>278</v>
      </c>
      <c r="N1401" t="s">
        <v>518</v>
      </c>
      <c r="P1401" t="s">
        <v>369</v>
      </c>
      <c r="R1401" s="5">
        <v>42163.797939814816</v>
      </c>
      <c r="S1401" s="5">
        <v>42356.712337962963</v>
      </c>
      <c r="T1401" t="s">
        <v>149</v>
      </c>
      <c r="U1401" t="s">
        <v>3949</v>
      </c>
      <c r="V1401" s="3" t="s">
        <v>35</v>
      </c>
      <c r="W1401" s="3" t="s">
        <v>118</v>
      </c>
      <c r="AM1401" s="5"/>
      <c r="AN1401" s="5"/>
      <c r="AQ1401" s="6"/>
    </row>
    <row r="1402" spans="2:43" x14ac:dyDescent="0.25">
      <c r="B1402" t="s">
        <v>2502</v>
      </c>
      <c r="C1402">
        <v>63701</v>
      </c>
      <c r="D1402" t="s">
        <v>2511</v>
      </c>
      <c r="E1402" t="s">
        <v>2307</v>
      </c>
      <c r="F1402" t="s">
        <v>305</v>
      </c>
      <c r="G1402" t="s">
        <v>304</v>
      </c>
      <c r="H1402" t="s">
        <v>30</v>
      </c>
      <c r="I1402" t="s">
        <v>31</v>
      </c>
      <c r="J1402" t="s">
        <v>32</v>
      </c>
      <c r="K1402" t="s">
        <v>51</v>
      </c>
      <c r="L1402" t="s">
        <v>34</v>
      </c>
      <c r="M1402" t="s">
        <v>336</v>
      </c>
      <c r="N1402" t="s">
        <v>46</v>
      </c>
      <c r="O1402" t="s">
        <v>397</v>
      </c>
      <c r="P1402" t="s">
        <v>369</v>
      </c>
      <c r="R1402" s="5">
        <v>42163.797812500001</v>
      </c>
      <c r="S1402" s="5">
        <v>42478.692604166667</v>
      </c>
      <c r="T1402" t="s">
        <v>149</v>
      </c>
      <c r="U1402" t="s">
        <v>3948</v>
      </c>
      <c r="V1402" s="3" t="s">
        <v>35</v>
      </c>
      <c r="W1402" s="3" t="s">
        <v>377</v>
      </c>
      <c r="AM1402" s="5"/>
      <c r="AN1402" s="5"/>
      <c r="AQ1402" s="6"/>
    </row>
    <row r="1403" spans="2:43" x14ac:dyDescent="0.25">
      <c r="B1403" t="s">
        <v>2502</v>
      </c>
      <c r="C1403">
        <v>63700</v>
      </c>
      <c r="D1403" t="s">
        <v>2510</v>
      </c>
      <c r="E1403" t="s">
        <v>53</v>
      </c>
      <c r="F1403" t="s">
        <v>305</v>
      </c>
      <c r="G1403" t="s">
        <v>337</v>
      </c>
      <c r="H1403" t="s">
        <v>30</v>
      </c>
      <c r="I1403" t="s">
        <v>31</v>
      </c>
      <c r="J1403" t="s">
        <v>32</v>
      </c>
      <c r="K1403" t="s">
        <v>51</v>
      </c>
      <c r="L1403" t="s">
        <v>34</v>
      </c>
      <c r="M1403" t="s">
        <v>336</v>
      </c>
      <c r="N1403" t="s">
        <v>46</v>
      </c>
      <c r="O1403" t="s">
        <v>397</v>
      </c>
      <c r="P1403" t="s">
        <v>369</v>
      </c>
      <c r="R1403" s="5">
        <v>42163.797673611109</v>
      </c>
      <c r="S1403" s="5">
        <v>42678.635983796295</v>
      </c>
      <c r="T1403" t="s">
        <v>149</v>
      </c>
      <c r="U1403" t="s">
        <v>35</v>
      </c>
      <c r="V1403" s="3" t="s">
        <v>35</v>
      </c>
      <c r="W1403" s="3" t="s">
        <v>4147</v>
      </c>
      <c r="AM1403" s="5"/>
      <c r="AN1403" s="5"/>
      <c r="AQ1403" s="6"/>
    </row>
    <row r="1404" spans="2:43" x14ac:dyDescent="0.25">
      <c r="B1404" t="s">
        <v>2506</v>
      </c>
      <c r="C1404">
        <v>63656</v>
      </c>
      <c r="D1404" t="s">
        <v>2507</v>
      </c>
      <c r="E1404" t="s">
        <v>2354</v>
      </c>
      <c r="F1404" t="s">
        <v>305</v>
      </c>
      <c r="G1404" t="s">
        <v>353</v>
      </c>
      <c r="H1404" t="s">
        <v>30</v>
      </c>
      <c r="I1404" t="s">
        <v>2156</v>
      </c>
      <c r="J1404" t="s">
        <v>32</v>
      </c>
      <c r="K1404" t="s">
        <v>2156</v>
      </c>
      <c r="L1404" t="s">
        <v>34</v>
      </c>
      <c r="M1404" t="s">
        <v>1853</v>
      </c>
      <c r="N1404" t="s">
        <v>2508</v>
      </c>
      <c r="P1404" t="s">
        <v>2216</v>
      </c>
      <c r="R1404" s="5">
        <v>42163.472916666666</v>
      </c>
      <c r="S1404" s="5">
        <v>42678.641736111109</v>
      </c>
      <c r="T1404" t="s">
        <v>2509</v>
      </c>
      <c r="U1404" t="s">
        <v>35</v>
      </c>
      <c r="V1404" s="3" t="s">
        <v>321</v>
      </c>
      <c r="W1404" s="3" t="s">
        <v>4126</v>
      </c>
      <c r="AM1404" s="5"/>
      <c r="AN1404" s="5"/>
      <c r="AQ1404" s="6"/>
    </row>
    <row r="1405" spans="2:43" x14ac:dyDescent="0.25">
      <c r="B1405" t="s">
        <v>2501</v>
      </c>
      <c r="C1405">
        <v>63529</v>
      </c>
      <c r="D1405" t="s">
        <v>2505</v>
      </c>
      <c r="E1405" t="s">
        <v>139</v>
      </c>
      <c r="F1405" t="s">
        <v>305</v>
      </c>
      <c r="G1405" t="s">
        <v>304</v>
      </c>
      <c r="H1405" t="s">
        <v>30</v>
      </c>
      <c r="I1405" t="s">
        <v>31</v>
      </c>
      <c r="J1405" t="s">
        <v>43</v>
      </c>
      <c r="K1405" t="s">
        <v>44</v>
      </c>
      <c r="L1405" t="s">
        <v>73</v>
      </c>
      <c r="M1405" t="s">
        <v>263</v>
      </c>
      <c r="N1405" t="s">
        <v>518</v>
      </c>
      <c r="P1405" t="s">
        <v>394</v>
      </c>
      <c r="R1405" s="5">
        <v>42160.65896990741</v>
      </c>
      <c r="S1405" s="5">
        <v>42648.848819444444</v>
      </c>
      <c r="T1405" t="s">
        <v>317</v>
      </c>
      <c r="U1405" t="s">
        <v>35</v>
      </c>
      <c r="V1405" s="3" t="s">
        <v>35</v>
      </c>
      <c r="W1405" s="3" t="s">
        <v>65</v>
      </c>
      <c r="AM1405" s="5"/>
      <c r="AN1405" s="5"/>
      <c r="AQ1405" s="6"/>
    </row>
    <row r="1406" spans="2:43" x14ac:dyDescent="0.25">
      <c r="B1406" t="s">
        <v>2501</v>
      </c>
      <c r="C1406">
        <v>63528</v>
      </c>
      <c r="D1406" t="s">
        <v>2504</v>
      </c>
      <c r="E1406" t="s">
        <v>139</v>
      </c>
      <c r="F1406" t="s">
        <v>305</v>
      </c>
      <c r="G1406" t="s">
        <v>304</v>
      </c>
      <c r="H1406" t="s">
        <v>30</v>
      </c>
      <c r="I1406" t="s">
        <v>31</v>
      </c>
      <c r="J1406" t="s">
        <v>43</v>
      </c>
      <c r="K1406" t="s">
        <v>44</v>
      </c>
      <c r="L1406" t="s">
        <v>73</v>
      </c>
      <c r="M1406" t="s">
        <v>263</v>
      </c>
      <c r="N1406" t="s">
        <v>46</v>
      </c>
      <c r="P1406" t="s">
        <v>394</v>
      </c>
      <c r="R1406" s="5">
        <v>42160.658842592595</v>
      </c>
      <c r="S1406" s="5">
        <v>42648.848738425928</v>
      </c>
      <c r="T1406" t="s">
        <v>317</v>
      </c>
      <c r="U1406" t="s">
        <v>3947</v>
      </c>
      <c r="V1406" s="3" t="s">
        <v>35</v>
      </c>
      <c r="W1406" s="3" t="s">
        <v>61</v>
      </c>
      <c r="AM1406" s="5"/>
      <c r="AN1406" s="5"/>
      <c r="AQ1406" s="6"/>
    </row>
    <row r="1407" spans="2:43" x14ac:dyDescent="0.25">
      <c r="B1407" t="s">
        <v>2501</v>
      </c>
      <c r="C1407">
        <v>63527</v>
      </c>
      <c r="D1407" t="s">
        <v>2503</v>
      </c>
      <c r="E1407" t="s">
        <v>387</v>
      </c>
      <c r="F1407" t="s">
        <v>305</v>
      </c>
      <c r="G1407" t="s">
        <v>337</v>
      </c>
      <c r="H1407" t="s">
        <v>30</v>
      </c>
      <c r="I1407" t="s">
        <v>31</v>
      </c>
      <c r="J1407" t="s">
        <v>43</v>
      </c>
      <c r="K1407" t="s">
        <v>44</v>
      </c>
      <c r="L1407" t="s">
        <v>73</v>
      </c>
      <c r="M1407" t="s">
        <v>263</v>
      </c>
      <c r="N1407" t="s">
        <v>46</v>
      </c>
      <c r="P1407" t="s">
        <v>394</v>
      </c>
      <c r="R1407" s="5">
        <v>42160.658715277779</v>
      </c>
      <c r="S1407" s="5">
        <v>42678.634733796294</v>
      </c>
      <c r="T1407" t="s">
        <v>317</v>
      </c>
      <c r="U1407" t="s">
        <v>35</v>
      </c>
      <c r="V1407" s="3" t="s">
        <v>35</v>
      </c>
      <c r="W1407" s="3" t="s">
        <v>4147</v>
      </c>
      <c r="AM1407" s="5"/>
      <c r="AN1407" s="5"/>
      <c r="AQ1407" s="6"/>
    </row>
    <row r="1408" spans="2:43" x14ac:dyDescent="0.25">
      <c r="B1408" t="s">
        <v>2502</v>
      </c>
      <c r="C1408">
        <v>63488</v>
      </c>
      <c r="D1408" t="s">
        <v>398</v>
      </c>
      <c r="E1408" t="s">
        <v>53</v>
      </c>
      <c r="F1408" t="s">
        <v>305</v>
      </c>
      <c r="G1408" t="s">
        <v>304</v>
      </c>
      <c r="H1408" t="s">
        <v>30</v>
      </c>
      <c r="I1408" t="s">
        <v>31</v>
      </c>
      <c r="J1408" t="s">
        <v>32</v>
      </c>
      <c r="K1408" t="s">
        <v>51</v>
      </c>
      <c r="L1408" t="s">
        <v>34</v>
      </c>
      <c r="M1408" t="s">
        <v>336</v>
      </c>
      <c r="N1408" t="s">
        <v>46</v>
      </c>
      <c r="O1408" t="s">
        <v>397</v>
      </c>
      <c r="P1408" t="s">
        <v>369</v>
      </c>
      <c r="R1408" s="5">
        <v>42159.987175925926</v>
      </c>
      <c r="S1408" s="5">
        <v>42930.307245370372</v>
      </c>
      <c r="T1408" t="s">
        <v>48</v>
      </c>
      <c r="U1408" t="s">
        <v>35</v>
      </c>
      <c r="V1408" s="3" t="s">
        <v>35</v>
      </c>
      <c r="W1408" s="3" t="s">
        <v>4098</v>
      </c>
      <c r="AM1408" s="5"/>
      <c r="AN1408" s="5"/>
      <c r="AQ1408" s="6"/>
    </row>
    <row r="1409" spans="2:43" x14ac:dyDescent="0.25">
      <c r="B1409" t="s">
        <v>2501</v>
      </c>
      <c r="C1409">
        <v>63480</v>
      </c>
      <c r="D1409" t="s">
        <v>399</v>
      </c>
      <c r="E1409" t="s">
        <v>139</v>
      </c>
      <c r="F1409" t="s">
        <v>305</v>
      </c>
      <c r="G1409" t="s">
        <v>304</v>
      </c>
      <c r="H1409" t="s">
        <v>30</v>
      </c>
      <c r="I1409" t="s">
        <v>31</v>
      </c>
      <c r="J1409" t="s">
        <v>43</v>
      </c>
      <c r="K1409" t="s">
        <v>44</v>
      </c>
      <c r="L1409" t="s">
        <v>73</v>
      </c>
      <c r="M1409" t="s">
        <v>263</v>
      </c>
      <c r="N1409" t="s">
        <v>46</v>
      </c>
      <c r="P1409" t="s">
        <v>394</v>
      </c>
      <c r="R1409" s="5">
        <v>42159.818333333336</v>
      </c>
      <c r="S1409" s="5">
        <v>42759.712361111109</v>
      </c>
      <c r="T1409" t="s">
        <v>1</v>
      </c>
      <c r="U1409" t="s">
        <v>35</v>
      </c>
      <c r="V1409" s="3" t="s">
        <v>35</v>
      </c>
      <c r="W1409" s="3" t="s">
        <v>4098</v>
      </c>
      <c r="AM1409" s="5"/>
      <c r="AN1409" s="5"/>
      <c r="AQ1409" s="6"/>
    </row>
    <row r="1410" spans="2:43" x14ac:dyDescent="0.25">
      <c r="B1410" t="s">
        <v>2460</v>
      </c>
      <c r="C1410">
        <v>63352</v>
      </c>
      <c r="D1410" t="s">
        <v>2500</v>
      </c>
      <c r="E1410" t="s">
        <v>411</v>
      </c>
      <c r="F1410" t="s">
        <v>305</v>
      </c>
      <c r="G1410" t="s">
        <v>304</v>
      </c>
      <c r="H1410" t="s">
        <v>30</v>
      </c>
      <c r="I1410" t="s">
        <v>31</v>
      </c>
      <c r="J1410" t="s">
        <v>32</v>
      </c>
      <c r="K1410" t="s">
        <v>33</v>
      </c>
      <c r="L1410" t="s">
        <v>408</v>
      </c>
      <c r="M1410" t="s">
        <v>407</v>
      </c>
      <c r="N1410" t="s">
        <v>46</v>
      </c>
      <c r="P1410" t="s">
        <v>394</v>
      </c>
      <c r="R1410" s="5">
        <v>42158.215405092589</v>
      </c>
      <c r="S1410" s="5">
        <v>42709.804837962962</v>
      </c>
      <c r="T1410" t="s">
        <v>411</v>
      </c>
      <c r="U1410" t="s">
        <v>3946</v>
      </c>
      <c r="V1410" s="3" t="s">
        <v>35</v>
      </c>
      <c r="W1410" s="3" t="s">
        <v>61</v>
      </c>
      <c r="AM1410" s="5"/>
      <c r="AN1410" s="5"/>
      <c r="AQ1410" s="6"/>
    </row>
    <row r="1411" spans="2:43" x14ac:dyDescent="0.25">
      <c r="B1411" t="s">
        <v>2109</v>
      </c>
      <c r="C1411">
        <v>63340</v>
      </c>
      <c r="D1411" t="s">
        <v>2498</v>
      </c>
      <c r="E1411" t="s">
        <v>139</v>
      </c>
      <c r="F1411" t="s">
        <v>305</v>
      </c>
      <c r="G1411" t="s">
        <v>337</v>
      </c>
      <c r="H1411" t="s">
        <v>54</v>
      </c>
      <c r="I1411" t="s">
        <v>68</v>
      </c>
      <c r="J1411" t="s">
        <v>43</v>
      </c>
      <c r="K1411" t="s">
        <v>33</v>
      </c>
      <c r="L1411" t="s">
        <v>73</v>
      </c>
      <c r="M1411" t="s">
        <v>263</v>
      </c>
      <c r="N1411" t="s">
        <v>46</v>
      </c>
      <c r="O1411" t="s">
        <v>2499</v>
      </c>
      <c r="P1411" t="s">
        <v>1749</v>
      </c>
      <c r="Q1411" t="s">
        <v>2112</v>
      </c>
      <c r="R1411" s="5">
        <v>42157.938460648147</v>
      </c>
      <c r="S1411" s="5">
        <v>42200.633148148147</v>
      </c>
      <c r="T1411" t="s">
        <v>317</v>
      </c>
      <c r="U1411" t="s">
        <v>35</v>
      </c>
      <c r="V1411" s="3" t="s">
        <v>35</v>
      </c>
      <c r="W1411" s="3" t="s">
        <v>4144</v>
      </c>
      <c r="AM1411" s="5"/>
      <c r="AN1411" s="5"/>
      <c r="AQ1411" s="6"/>
    </row>
    <row r="1412" spans="2:43" x14ac:dyDescent="0.25">
      <c r="B1412" t="s">
        <v>2370</v>
      </c>
      <c r="C1412">
        <v>63336</v>
      </c>
      <c r="D1412" t="s">
        <v>2496</v>
      </c>
      <c r="E1412" t="s">
        <v>442</v>
      </c>
      <c r="F1412" t="s">
        <v>305</v>
      </c>
      <c r="G1412" t="s">
        <v>395</v>
      </c>
      <c r="H1412" t="s">
        <v>30</v>
      </c>
      <c r="I1412" t="s">
        <v>68</v>
      </c>
      <c r="J1412" t="s">
        <v>43</v>
      </c>
      <c r="K1412" t="s">
        <v>33</v>
      </c>
      <c r="L1412" t="s">
        <v>73</v>
      </c>
      <c r="M1412" t="s">
        <v>264</v>
      </c>
      <c r="N1412" t="s">
        <v>46</v>
      </c>
      <c r="O1412" t="s">
        <v>2497</v>
      </c>
      <c r="P1412" t="s">
        <v>394</v>
      </c>
      <c r="R1412" s="5">
        <v>42157.849398148152</v>
      </c>
      <c r="S1412" s="5">
        <v>42759.723368055558</v>
      </c>
      <c r="T1412" t="s">
        <v>301</v>
      </c>
      <c r="U1412" t="s">
        <v>35</v>
      </c>
      <c r="V1412" s="3" t="s">
        <v>35</v>
      </c>
      <c r="W1412" s="3" t="s">
        <v>61</v>
      </c>
      <c r="AM1412" s="5"/>
      <c r="AN1412" s="5"/>
      <c r="AQ1412" s="6"/>
    </row>
    <row r="1413" spans="2:43" x14ac:dyDescent="0.25">
      <c r="B1413" t="s">
        <v>2491</v>
      </c>
      <c r="C1413">
        <v>63281</v>
      </c>
      <c r="D1413" t="s">
        <v>2495</v>
      </c>
      <c r="E1413" t="s">
        <v>94</v>
      </c>
      <c r="F1413" t="s">
        <v>305</v>
      </c>
      <c r="G1413" t="s">
        <v>304</v>
      </c>
      <c r="H1413" t="s">
        <v>30</v>
      </c>
      <c r="I1413" t="s">
        <v>31</v>
      </c>
      <c r="J1413" t="s">
        <v>32</v>
      </c>
      <c r="K1413" t="s">
        <v>44</v>
      </c>
      <c r="L1413" t="s">
        <v>73</v>
      </c>
      <c r="M1413" t="s">
        <v>263</v>
      </c>
      <c r="N1413" t="s">
        <v>518</v>
      </c>
      <c r="P1413" t="s">
        <v>394</v>
      </c>
      <c r="R1413" s="5">
        <v>42156.787291666667</v>
      </c>
      <c r="S1413" s="5">
        <v>42648.759247685186</v>
      </c>
      <c r="T1413" t="s">
        <v>317</v>
      </c>
      <c r="U1413" t="s">
        <v>35</v>
      </c>
      <c r="V1413" s="3" t="s">
        <v>35</v>
      </c>
      <c r="W1413" s="3" t="s">
        <v>65</v>
      </c>
      <c r="AM1413" s="5"/>
      <c r="AN1413" s="5"/>
      <c r="AQ1413" s="6"/>
    </row>
    <row r="1414" spans="2:43" x14ac:dyDescent="0.25">
      <c r="B1414" t="s">
        <v>2491</v>
      </c>
      <c r="C1414">
        <v>63280</v>
      </c>
      <c r="D1414" t="s">
        <v>2494</v>
      </c>
      <c r="E1414" t="s">
        <v>94</v>
      </c>
      <c r="F1414" t="s">
        <v>305</v>
      </c>
      <c r="G1414" t="s">
        <v>337</v>
      </c>
      <c r="H1414" t="s">
        <v>30</v>
      </c>
      <c r="I1414" t="s">
        <v>31</v>
      </c>
      <c r="J1414" t="s">
        <v>32</v>
      </c>
      <c r="K1414" t="s">
        <v>44</v>
      </c>
      <c r="L1414" t="s">
        <v>73</v>
      </c>
      <c r="M1414" t="s">
        <v>263</v>
      </c>
      <c r="N1414" t="s">
        <v>46</v>
      </c>
      <c r="P1414" t="s">
        <v>394</v>
      </c>
      <c r="R1414" s="5">
        <v>42156.787164351852</v>
      </c>
      <c r="S1414" s="5">
        <v>42709.808483796296</v>
      </c>
      <c r="T1414" t="s">
        <v>317</v>
      </c>
      <c r="U1414" t="s">
        <v>35</v>
      </c>
      <c r="V1414" s="3" t="s">
        <v>35</v>
      </c>
      <c r="W1414" s="3" t="s">
        <v>61</v>
      </c>
      <c r="AM1414" s="5"/>
      <c r="AN1414" s="5"/>
      <c r="AQ1414" s="6"/>
    </row>
    <row r="1415" spans="2:43" x14ac:dyDescent="0.25">
      <c r="B1415" t="s">
        <v>2491</v>
      </c>
      <c r="C1415">
        <v>63279</v>
      </c>
      <c r="D1415" t="s">
        <v>2493</v>
      </c>
      <c r="E1415" t="s">
        <v>94</v>
      </c>
      <c r="F1415" t="s">
        <v>305</v>
      </c>
      <c r="G1415" t="s">
        <v>337</v>
      </c>
      <c r="H1415" t="s">
        <v>30</v>
      </c>
      <c r="I1415" t="s">
        <v>31</v>
      </c>
      <c r="J1415" t="s">
        <v>32</v>
      </c>
      <c r="K1415" t="s">
        <v>44</v>
      </c>
      <c r="L1415" t="s">
        <v>73</v>
      </c>
      <c r="M1415" t="s">
        <v>263</v>
      </c>
      <c r="N1415" t="s">
        <v>46</v>
      </c>
      <c r="P1415" t="s">
        <v>394</v>
      </c>
      <c r="R1415" s="5">
        <v>42156.787048611113</v>
      </c>
      <c r="S1415" s="5">
        <v>42678.635625000003</v>
      </c>
      <c r="T1415" t="s">
        <v>317</v>
      </c>
      <c r="U1415" t="s">
        <v>35</v>
      </c>
      <c r="V1415" s="3" t="s">
        <v>35</v>
      </c>
      <c r="W1415" s="3" t="s">
        <v>4147</v>
      </c>
      <c r="AM1415" s="5"/>
      <c r="AN1415" s="5"/>
      <c r="AQ1415" s="6"/>
    </row>
    <row r="1416" spans="2:43" x14ac:dyDescent="0.25">
      <c r="B1416" t="s">
        <v>2491</v>
      </c>
      <c r="C1416">
        <v>63278</v>
      </c>
      <c r="D1416" t="s">
        <v>2492</v>
      </c>
      <c r="E1416" t="s">
        <v>94</v>
      </c>
      <c r="F1416" t="s">
        <v>305</v>
      </c>
      <c r="G1416" t="s">
        <v>304</v>
      </c>
      <c r="H1416" t="s">
        <v>30</v>
      </c>
      <c r="I1416" t="s">
        <v>31</v>
      </c>
      <c r="J1416" t="s">
        <v>32</v>
      </c>
      <c r="K1416" t="s">
        <v>44</v>
      </c>
      <c r="L1416" t="s">
        <v>73</v>
      </c>
      <c r="M1416" t="s">
        <v>263</v>
      </c>
      <c r="N1416" t="s">
        <v>46</v>
      </c>
      <c r="P1416" t="s">
        <v>394</v>
      </c>
      <c r="R1416" s="5">
        <v>42156.775219907409</v>
      </c>
      <c r="S1416" s="5">
        <v>42871.689247685186</v>
      </c>
      <c r="T1416" t="s">
        <v>1</v>
      </c>
      <c r="U1416" t="s">
        <v>35</v>
      </c>
      <c r="V1416" s="3" t="s">
        <v>35</v>
      </c>
      <c r="W1416" s="3" t="s">
        <v>4098</v>
      </c>
      <c r="AM1416" s="5"/>
      <c r="AN1416" s="5"/>
      <c r="AQ1416" s="6"/>
    </row>
    <row r="1417" spans="2:43" x14ac:dyDescent="0.25">
      <c r="B1417" t="s">
        <v>2490</v>
      </c>
      <c r="C1417">
        <v>63140</v>
      </c>
      <c r="D1417" t="s">
        <v>401</v>
      </c>
      <c r="E1417" t="s">
        <v>80</v>
      </c>
      <c r="F1417" t="s">
        <v>305</v>
      </c>
      <c r="G1417" t="s">
        <v>304</v>
      </c>
      <c r="H1417" t="s">
        <v>30</v>
      </c>
      <c r="I1417" t="s">
        <v>31</v>
      </c>
      <c r="J1417" t="s">
        <v>32</v>
      </c>
      <c r="K1417" t="s">
        <v>44</v>
      </c>
      <c r="L1417" t="s">
        <v>45</v>
      </c>
      <c r="M1417" t="s">
        <v>106</v>
      </c>
      <c r="N1417" t="s">
        <v>46</v>
      </c>
      <c r="P1417" t="s">
        <v>61</v>
      </c>
      <c r="R1417" s="5">
        <v>42153.40960648148</v>
      </c>
      <c r="S1417" s="5">
        <v>42930.506168981483</v>
      </c>
      <c r="T1417" t="s">
        <v>400</v>
      </c>
      <c r="U1417" t="s">
        <v>35</v>
      </c>
      <c r="V1417" s="3" t="s">
        <v>35</v>
      </c>
      <c r="W1417" s="3" t="s">
        <v>4098</v>
      </c>
      <c r="AM1417" s="5"/>
      <c r="AN1417" s="5"/>
      <c r="AQ1417" s="6"/>
    </row>
    <row r="1418" spans="2:43" x14ac:dyDescent="0.25">
      <c r="B1418" t="s">
        <v>2484</v>
      </c>
      <c r="C1418">
        <v>63053</v>
      </c>
      <c r="D1418" t="s">
        <v>2489</v>
      </c>
      <c r="E1418" t="s">
        <v>164</v>
      </c>
      <c r="F1418" t="s">
        <v>305</v>
      </c>
      <c r="G1418" t="s">
        <v>304</v>
      </c>
      <c r="H1418" t="s">
        <v>30</v>
      </c>
      <c r="I1418" t="s">
        <v>31</v>
      </c>
      <c r="J1418" t="s">
        <v>32</v>
      </c>
      <c r="K1418" t="s">
        <v>44</v>
      </c>
      <c r="L1418" t="s">
        <v>34</v>
      </c>
      <c r="M1418" t="s">
        <v>278</v>
      </c>
      <c r="N1418" t="s">
        <v>46</v>
      </c>
      <c r="P1418" t="s">
        <v>377</v>
      </c>
      <c r="R1418" s="5">
        <v>42151.823321759257</v>
      </c>
      <c r="S1418" s="5">
        <v>42478.692893518521</v>
      </c>
      <c r="T1418" t="s">
        <v>149</v>
      </c>
      <c r="U1418" t="s">
        <v>35</v>
      </c>
      <c r="V1418" s="3" t="s">
        <v>35</v>
      </c>
      <c r="W1418" s="3" t="s">
        <v>118</v>
      </c>
      <c r="AM1418" s="5"/>
      <c r="AN1418" s="5"/>
      <c r="AQ1418" s="6"/>
    </row>
    <row r="1419" spans="2:43" x14ac:dyDescent="0.25">
      <c r="B1419" t="s">
        <v>2484</v>
      </c>
      <c r="C1419">
        <v>63052</v>
      </c>
      <c r="D1419" t="s">
        <v>2488</v>
      </c>
      <c r="E1419" t="s">
        <v>164</v>
      </c>
      <c r="F1419" t="s">
        <v>305</v>
      </c>
      <c r="G1419" t="s">
        <v>304</v>
      </c>
      <c r="H1419" t="s">
        <v>30</v>
      </c>
      <c r="I1419" t="s">
        <v>31</v>
      </c>
      <c r="J1419" t="s">
        <v>32</v>
      </c>
      <c r="K1419" t="s">
        <v>44</v>
      </c>
      <c r="L1419" t="s">
        <v>34</v>
      </c>
      <c r="M1419" t="s">
        <v>278</v>
      </c>
      <c r="N1419" t="s">
        <v>46</v>
      </c>
      <c r="P1419" t="s">
        <v>377</v>
      </c>
      <c r="R1419" s="5">
        <v>42151.823194444441</v>
      </c>
      <c r="S1419" s="5">
        <v>42202.648043981484</v>
      </c>
      <c r="T1419" t="s">
        <v>149</v>
      </c>
      <c r="U1419" t="s">
        <v>3945</v>
      </c>
      <c r="V1419" s="3" t="s">
        <v>35</v>
      </c>
      <c r="W1419" s="3" t="s">
        <v>377</v>
      </c>
      <c r="AM1419" s="5"/>
      <c r="AN1419" s="5"/>
      <c r="AQ1419" s="6"/>
    </row>
    <row r="1420" spans="2:43" x14ac:dyDescent="0.25">
      <c r="B1420" t="s">
        <v>2484</v>
      </c>
      <c r="C1420">
        <v>63051</v>
      </c>
      <c r="D1420" t="s">
        <v>2487</v>
      </c>
      <c r="E1420" t="s">
        <v>164</v>
      </c>
      <c r="F1420" t="s">
        <v>305</v>
      </c>
      <c r="G1420" t="s">
        <v>337</v>
      </c>
      <c r="H1420" t="s">
        <v>30</v>
      </c>
      <c r="I1420" t="s">
        <v>31</v>
      </c>
      <c r="J1420" t="s">
        <v>32</v>
      </c>
      <c r="K1420" t="s">
        <v>44</v>
      </c>
      <c r="L1420" t="s">
        <v>34</v>
      </c>
      <c r="M1420" t="s">
        <v>278</v>
      </c>
      <c r="N1420" t="s">
        <v>46</v>
      </c>
      <c r="P1420" t="s">
        <v>377</v>
      </c>
      <c r="R1420" s="5">
        <v>42151.823055555556</v>
      </c>
      <c r="S1420" s="5">
        <v>42171.736168981479</v>
      </c>
      <c r="T1420" t="s">
        <v>149</v>
      </c>
      <c r="U1420" t="s">
        <v>35</v>
      </c>
      <c r="V1420" s="3" t="s">
        <v>35</v>
      </c>
      <c r="W1420" s="3" t="s">
        <v>4147</v>
      </c>
      <c r="AM1420" s="5"/>
      <c r="AN1420" s="5"/>
      <c r="AQ1420" s="6"/>
    </row>
    <row r="1421" spans="2:43" x14ac:dyDescent="0.25">
      <c r="B1421" t="s">
        <v>2484</v>
      </c>
      <c r="C1421">
        <v>62982</v>
      </c>
      <c r="D1421" t="s">
        <v>2485</v>
      </c>
      <c r="E1421" t="s">
        <v>164</v>
      </c>
      <c r="F1421" t="s">
        <v>305</v>
      </c>
      <c r="G1421" t="s">
        <v>304</v>
      </c>
      <c r="H1421" t="s">
        <v>30</v>
      </c>
      <c r="I1421" t="s">
        <v>31</v>
      </c>
      <c r="J1421" t="s">
        <v>32</v>
      </c>
      <c r="K1421" t="s">
        <v>44</v>
      </c>
      <c r="L1421" t="s">
        <v>34</v>
      </c>
      <c r="M1421" t="s">
        <v>278</v>
      </c>
      <c r="N1421" t="s">
        <v>46</v>
      </c>
      <c r="P1421" t="s">
        <v>377</v>
      </c>
      <c r="R1421" s="5">
        <v>42150.759930555556</v>
      </c>
      <c r="S1421" s="5">
        <v>42916.686377314814</v>
      </c>
      <c r="T1421" t="s">
        <v>2486</v>
      </c>
      <c r="U1421" t="s">
        <v>35</v>
      </c>
      <c r="V1421" s="3" t="s">
        <v>35</v>
      </c>
      <c r="W1421" s="3" t="s">
        <v>4098</v>
      </c>
      <c r="AM1421" s="5"/>
      <c r="AN1421" s="5"/>
      <c r="AQ1421" s="6"/>
    </row>
    <row r="1422" spans="2:43" x14ac:dyDescent="0.25">
      <c r="B1422" t="s">
        <v>2472</v>
      </c>
      <c r="C1422">
        <v>62869</v>
      </c>
      <c r="D1422" t="s">
        <v>2483</v>
      </c>
      <c r="E1422" t="s">
        <v>405</v>
      </c>
      <c r="F1422" t="s">
        <v>305</v>
      </c>
      <c r="G1422" t="s">
        <v>304</v>
      </c>
      <c r="H1422" t="s">
        <v>30</v>
      </c>
      <c r="I1422" t="s">
        <v>31</v>
      </c>
      <c r="J1422" t="s">
        <v>43</v>
      </c>
      <c r="K1422" t="s">
        <v>51</v>
      </c>
      <c r="L1422" t="s">
        <v>34</v>
      </c>
      <c r="M1422" t="s">
        <v>402</v>
      </c>
      <c r="N1422" t="s">
        <v>46</v>
      </c>
      <c r="P1422" t="s">
        <v>374</v>
      </c>
      <c r="R1422" s="5">
        <v>42146.89947916667</v>
      </c>
      <c r="S1422" s="5">
        <v>42251.8669212963</v>
      </c>
      <c r="T1422" t="s">
        <v>53</v>
      </c>
      <c r="U1422" t="s">
        <v>3944</v>
      </c>
      <c r="V1422" s="3" t="s">
        <v>35</v>
      </c>
      <c r="W1422" s="3" t="s">
        <v>377</v>
      </c>
      <c r="AM1422" s="5"/>
      <c r="AN1422" s="5"/>
      <c r="AQ1422" s="6"/>
    </row>
    <row r="1423" spans="2:43" x14ac:dyDescent="0.25">
      <c r="B1423" t="s">
        <v>2480</v>
      </c>
      <c r="C1423">
        <v>62821</v>
      </c>
      <c r="D1423" t="s">
        <v>2482</v>
      </c>
      <c r="E1423" t="s">
        <v>41</v>
      </c>
      <c r="F1423" t="s">
        <v>305</v>
      </c>
      <c r="G1423" t="s">
        <v>304</v>
      </c>
      <c r="H1423" t="s">
        <v>30</v>
      </c>
      <c r="I1423" t="s">
        <v>31</v>
      </c>
      <c r="J1423" t="s">
        <v>43</v>
      </c>
      <c r="K1423" t="s">
        <v>44</v>
      </c>
      <c r="L1423" t="s">
        <v>45</v>
      </c>
      <c r="M1423" t="s">
        <v>106</v>
      </c>
      <c r="N1423" t="s">
        <v>46</v>
      </c>
      <c r="P1423" t="s">
        <v>47</v>
      </c>
      <c r="R1423" s="5">
        <v>42146.401006944441</v>
      </c>
      <c r="S1423" s="5">
        <v>42648.936956018515</v>
      </c>
      <c r="T1423" t="s">
        <v>41</v>
      </c>
      <c r="U1423" t="s">
        <v>3943</v>
      </c>
      <c r="V1423" s="3" t="s">
        <v>35</v>
      </c>
      <c r="W1423" s="3" t="s">
        <v>61</v>
      </c>
      <c r="AM1423" s="5"/>
      <c r="AN1423" s="5"/>
      <c r="AQ1423" s="6"/>
    </row>
    <row r="1424" spans="2:43" x14ac:dyDescent="0.25">
      <c r="B1424" t="s">
        <v>2480</v>
      </c>
      <c r="C1424">
        <v>62808</v>
      </c>
      <c r="D1424" t="s">
        <v>40</v>
      </c>
      <c r="E1424" t="s">
        <v>41</v>
      </c>
      <c r="F1424" t="s">
        <v>305</v>
      </c>
      <c r="G1424" t="s">
        <v>304</v>
      </c>
      <c r="H1424" t="s">
        <v>30</v>
      </c>
      <c r="I1424" t="s">
        <v>31</v>
      </c>
      <c r="J1424" t="s">
        <v>43</v>
      </c>
      <c r="K1424" t="s">
        <v>44</v>
      </c>
      <c r="L1424" t="s">
        <v>45</v>
      </c>
      <c r="M1424" t="s">
        <v>106</v>
      </c>
      <c r="N1424" t="s">
        <v>46</v>
      </c>
      <c r="O1424" t="s">
        <v>487</v>
      </c>
      <c r="P1424" t="s">
        <v>47</v>
      </c>
      <c r="Q1424" t="s">
        <v>2481</v>
      </c>
      <c r="R1424" s="5">
        <v>42145.953506944446</v>
      </c>
      <c r="S1424" s="5">
        <v>43187.154918981483</v>
      </c>
      <c r="T1424" t="s">
        <v>48</v>
      </c>
      <c r="U1424" t="s">
        <v>35</v>
      </c>
      <c r="V1424" s="3" t="s">
        <v>35</v>
      </c>
      <c r="W1424" s="3" t="s">
        <v>4098</v>
      </c>
      <c r="AM1424" s="5"/>
      <c r="AN1424" s="5"/>
      <c r="AQ1424" s="6"/>
    </row>
    <row r="1425" spans="2:43" x14ac:dyDescent="0.25">
      <c r="B1425" t="s">
        <v>2477</v>
      </c>
      <c r="C1425">
        <v>62801</v>
      </c>
      <c r="D1425" t="s">
        <v>2478</v>
      </c>
      <c r="E1425" t="s">
        <v>2479</v>
      </c>
      <c r="F1425" t="s">
        <v>305</v>
      </c>
      <c r="G1425" t="s">
        <v>304</v>
      </c>
      <c r="H1425" t="s">
        <v>30</v>
      </c>
      <c r="I1425" t="s">
        <v>68</v>
      </c>
      <c r="J1425" t="s">
        <v>58</v>
      </c>
      <c r="K1425" t="s">
        <v>51</v>
      </c>
      <c r="L1425" t="s">
        <v>73</v>
      </c>
      <c r="M1425" t="s">
        <v>263</v>
      </c>
      <c r="N1425" t="s">
        <v>46</v>
      </c>
      <c r="P1425" t="s">
        <v>47</v>
      </c>
      <c r="R1425" s="5">
        <v>42145.7887962963</v>
      </c>
      <c r="S1425" s="5">
        <v>42759.712881944448</v>
      </c>
      <c r="T1425" t="s">
        <v>1</v>
      </c>
      <c r="U1425" t="s">
        <v>35</v>
      </c>
      <c r="V1425" s="3" t="s">
        <v>35</v>
      </c>
      <c r="W1425" s="3" t="s">
        <v>4098</v>
      </c>
      <c r="AM1425" s="5"/>
      <c r="AN1425" s="5"/>
      <c r="AQ1425" s="6"/>
    </row>
    <row r="1426" spans="2:43" x14ac:dyDescent="0.25">
      <c r="B1426" t="s">
        <v>2476</v>
      </c>
      <c r="C1426">
        <v>62726</v>
      </c>
      <c r="D1426" t="s">
        <v>404</v>
      </c>
      <c r="E1426" t="s">
        <v>405</v>
      </c>
      <c r="F1426" t="s">
        <v>305</v>
      </c>
      <c r="G1426" t="s">
        <v>304</v>
      </c>
      <c r="H1426" t="s">
        <v>30</v>
      </c>
      <c r="I1426" t="s">
        <v>31</v>
      </c>
      <c r="J1426" t="s">
        <v>43</v>
      </c>
      <c r="K1426" t="s">
        <v>44</v>
      </c>
      <c r="L1426" t="s">
        <v>34</v>
      </c>
      <c r="M1426" t="s">
        <v>402</v>
      </c>
      <c r="N1426" t="s">
        <v>46</v>
      </c>
      <c r="O1426" t="s">
        <v>403</v>
      </c>
      <c r="P1426" t="s">
        <v>369</v>
      </c>
      <c r="Q1426" t="s">
        <v>61</v>
      </c>
      <c r="R1426" s="5">
        <v>42144.885034722225</v>
      </c>
      <c r="S1426" s="5">
        <v>43020.934247685182</v>
      </c>
      <c r="T1426" t="s">
        <v>1</v>
      </c>
      <c r="U1426" t="s">
        <v>35</v>
      </c>
      <c r="V1426" s="3" t="s">
        <v>35</v>
      </c>
      <c r="W1426" s="3" t="s">
        <v>4098</v>
      </c>
      <c r="AM1426" s="5"/>
      <c r="AN1426" s="5"/>
      <c r="AQ1426" s="6"/>
    </row>
    <row r="1427" spans="2:43" x14ac:dyDescent="0.25">
      <c r="B1427" t="s">
        <v>3856</v>
      </c>
      <c r="C1427">
        <v>62672</v>
      </c>
      <c r="D1427" t="s">
        <v>3860</v>
      </c>
      <c r="E1427" t="s">
        <v>371</v>
      </c>
      <c r="F1427" t="s">
        <v>305</v>
      </c>
      <c r="G1427" t="s">
        <v>304</v>
      </c>
      <c r="H1427" t="s">
        <v>30</v>
      </c>
      <c r="I1427" t="s">
        <v>31</v>
      </c>
      <c r="J1427" t="s">
        <v>43</v>
      </c>
      <c r="K1427" t="s">
        <v>44</v>
      </c>
      <c r="L1427" t="s">
        <v>34</v>
      </c>
      <c r="M1427" t="s">
        <v>368</v>
      </c>
      <c r="N1427" t="s">
        <v>46</v>
      </c>
      <c r="P1427" t="s">
        <v>2121</v>
      </c>
      <c r="R1427" s="5">
        <v>42144.439317129632</v>
      </c>
      <c r="S1427" s="5">
        <v>42660.386770833335</v>
      </c>
      <c r="T1427" t="s">
        <v>387</v>
      </c>
      <c r="U1427" t="s">
        <v>35</v>
      </c>
      <c r="V1427" s="3" t="s">
        <v>35</v>
      </c>
      <c r="W1427" s="3" t="s">
        <v>2475</v>
      </c>
      <c r="AM1427" s="5"/>
      <c r="AN1427" s="5"/>
      <c r="AQ1427" s="6"/>
    </row>
    <row r="1428" spans="2:43" x14ac:dyDescent="0.25">
      <c r="B1428" t="s">
        <v>2473</v>
      </c>
      <c r="C1428">
        <v>62669</v>
      </c>
      <c r="D1428" t="s">
        <v>2474</v>
      </c>
      <c r="E1428" t="s">
        <v>2354</v>
      </c>
      <c r="F1428" t="s">
        <v>305</v>
      </c>
      <c r="G1428" t="s">
        <v>304</v>
      </c>
      <c r="H1428" t="s">
        <v>30</v>
      </c>
      <c r="I1428" t="s">
        <v>68</v>
      </c>
      <c r="J1428" t="s">
        <v>43</v>
      </c>
      <c r="K1428" t="s">
        <v>33</v>
      </c>
      <c r="L1428" t="s">
        <v>34</v>
      </c>
      <c r="M1428" t="s">
        <v>1853</v>
      </c>
      <c r="N1428" t="s">
        <v>46</v>
      </c>
      <c r="P1428" t="s">
        <v>2475</v>
      </c>
      <c r="R1428" s="5">
        <v>42144.411458333336</v>
      </c>
      <c r="S1428" s="5">
        <v>42306.703611111108</v>
      </c>
      <c r="T1428" t="s">
        <v>2350</v>
      </c>
      <c r="U1428" t="s">
        <v>35</v>
      </c>
      <c r="V1428" s="3" t="s">
        <v>35</v>
      </c>
      <c r="W1428" s="3" t="s">
        <v>2475</v>
      </c>
      <c r="AM1428" s="5"/>
      <c r="AN1428" s="5"/>
      <c r="AQ1428" s="6"/>
    </row>
    <row r="1429" spans="2:43" x14ac:dyDescent="0.25">
      <c r="B1429" t="s">
        <v>2472</v>
      </c>
      <c r="C1429">
        <v>62645</v>
      </c>
      <c r="D1429" t="s">
        <v>406</v>
      </c>
      <c r="E1429" t="s">
        <v>405</v>
      </c>
      <c r="F1429" t="s">
        <v>305</v>
      </c>
      <c r="G1429" t="s">
        <v>304</v>
      </c>
      <c r="H1429" t="s">
        <v>30</v>
      </c>
      <c r="I1429" t="s">
        <v>31</v>
      </c>
      <c r="J1429" t="s">
        <v>43</v>
      </c>
      <c r="K1429" t="s">
        <v>51</v>
      </c>
      <c r="L1429" t="s">
        <v>34</v>
      </c>
      <c r="M1429" t="s">
        <v>402</v>
      </c>
      <c r="N1429" t="s">
        <v>46</v>
      </c>
      <c r="P1429" t="s">
        <v>374</v>
      </c>
      <c r="R1429" s="5">
        <v>42143.890370370369</v>
      </c>
      <c r="S1429" s="5">
        <v>42930.309328703705</v>
      </c>
      <c r="T1429" t="s">
        <v>1</v>
      </c>
      <c r="U1429" t="s">
        <v>35</v>
      </c>
      <c r="V1429" s="3" t="s">
        <v>35</v>
      </c>
      <c r="W1429" s="3" t="s">
        <v>4098</v>
      </c>
      <c r="AM1429" s="5"/>
      <c r="AN1429" s="5"/>
      <c r="AQ1429" s="6"/>
    </row>
    <row r="1430" spans="2:43" x14ac:dyDescent="0.25">
      <c r="B1430" t="s">
        <v>2444</v>
      </c>
      <c r="C1430">
        <v>62330</v>
      </c>
      <c r="D1430" t="s">
        <v>2471</v>
      </c>
      <c r="E1430" t="s">
        <v>387</v>
      </c>
      <c r="F1430" t="s">
        <v>305</v>
      </c>
      <c r="G1430" t="s">
        <v>304</v>
      </c>
      <c r="H1430" t="s">
        <v>30</v>
      </c>
      <c r="I1430" t="s">
        <v>31</v>
      </c>
      <c r="J1430" t="s">
        <v>43</v>
      </c>
      <c r="K1430" t="s">
        <v>44</v>
      </c>
      <c r="L1430" t="s">
        <v>73</v>
      </c>
      <c r="M1430" t="s">
        <v>412</v>
      </c>
      <c r="N1430" t="s">
        <v>46</v>
      </c>
      <c r="P1430" t="s">
        <v>394</v>
      </c>
      <c r="R1430" s="5">
        <v>42137.464143518519</v>
      </c>
      <c r="S1430" s="5">
        <v>43256.13008101852</v>
      </c>
      <c r="T1430" t="s">
        <v>317</v>
      </c>
      <c r="U1430" t="s">
        <v>35</v>
      </c>
      <c r="V1430" s="3" t="s">
        <v>35</v>
      </c>
      <c r="W1430" s="3" t="s">
        <v>47</v>
      </c>
      <c r="AM1430" s="5"/>
      <c r="AN1430" s="5"/>
      <c r="AQ1430" s="6"/>
    </row>
    <row r="1431" spans="2:43" x14ac:dyDescent="0.25">
      <c r="B1431" t="s">
        <v>2460</v>
      </c>
      <c r="C1431">
        <v>62319</v>
      </c>
      <c r="D1431" t="s">
        <v>2470</v>
      </c>
      <c r="E1431" t="s">
        <v>411</v>
      </c>
      <c r="F1431" t="s">
        <v>305</v>
      </c>
      <c r="G1431" t="s">
        <v>304</v>
      </c>
      <c r="H1431" t="s">
        <v>30</v>
      </c>
      <c r="I1431" t="s">
        <v>68</v>
      </c>
      <c r="J1431" t="s">
        <v>43</v>
      </c>
      <c r="K1431" t="s">
        <v>33</v>
      </c>
      <c r="L1431" t="s">
        <v>408</v>
      </c>
      <c r="M1431" t="s">
        <v>407</v>
      </c>
      <c r="N1431" t="s">
        <v>46</v>
      </c>
      <c r="P1431" t="s">
        <v>394</v>
      </c>
      <c r="R1431" s="5">
        <v>42137.402337962965</v>
      </c>
      <c r="S1431" s="5">
        <v>42648.936377314814</v>
      </c>
      <c r="T1431" t="s">
        <v>411</v>
      </c>
      <c r="U1431" t="s">
        <v>35</v>
      </c>
      <c r="V1431" s="3" t="s">
        <v>35</v>
      </c>
      <c r="W1431" s="3" t="s">
        <v>65</v>
      </c>
      <c r="AM1431" s="5"/>
      <c r="AN1431" s="5"/>
      <c r="AQ1431" s="6"/>
    </row>
    <row r="1432" spans="2:43" x14ac:dyDescent="0.25">
      <c r="B1432" t="s">
        <v>2460</v>
      </c>
      <c r="C1432">
        <v>62318</v>
      </c>
      <c r="D1432" t="s">
        <v>2469</v>
      </c>
      <c r="E1432" t="s">
        <v>411</v>
      </c>
      <c r="F1432" t="s">
        <v>305</v>
      </c>
      <c r="G1432" t="s">
        <v>337</v>
      </c>
      <c r="H1432" t="s">
        <v>30</v>
      </c>
      <c r="I1432" t="s">
        <v>68</v>
      </c>
      <c r="J1432" t="s">
        <v>43</v>
      </c>
      <c r="K1432" t="s">
        <v>33</v>
      </c>
      <c r="L1432" t="s">
        <v>408</v>
      </c>
      <c r="M1432" t="s">
        <v>407</v>
      </c>
      <c r="N1432" t="s">
        <v>46</v>
      </c>
      <c r="P1432" t="s">
        <v>394</v>
      </c>
      <c r="R1432" s="5">
        <v>42137.368472222224</v>
      </c>
      <c r="S1432" s="5">
        <v>42277.748113425929</v>
      </c>
      <c r="T1432" t="s">
        <v>411</v>
      </c>
      <c r="U1432" t="s">
        <v>35</v>
      </c>
      <c r="V1432" s="3" t="s">
        <v>35</v>
      </c>
      <c r="W1432" s="3" t="s">
        <v>4147</v>
      </c>
      <c r="AM1432" s="5"/>
      <c r="AN1432" s="5"/>
      <c r="AQ1432" s="6"/>
    </row>
    <row r="1433" spans="2:43" x14ac:dyDescent="0.25">
      <c r="B1433" t="s">
        <v>2461</v>
      </c>
      <c r="C1433">
        <v>62265</v>
      </c>
      <c r="D1433" t="s">
        <v>2468</v>
      </c>
      <c r="E1433" t="s">
        <v>2410</v>
      </c>
      <c r="F1433" t="s">
        <v>305</v>
      </c>
      <c r="G1433" t="s">
        <v>304</v>
      </c>
      <c r="H1433" t="s">
        <v>30</v>
      </c>
      <c r="I1433" t="s">
        <v>31</v>
      </c>
      <c r="J1433" t="s">
        <v>43</v>
      </c>
      <c r="K1433" t="s">
        <v>44</v>
      </c>
      <c r="L1433" t="s">
        <v>73</v>
      </c>
      <c r="M1433" t="s">
        <v>263</v>
      </c>
      <c r="N1433" t="s">
        <v>46</v>
      </c>
      <c r="P1433" t="s">
        <v>491</v>
      </c>
      <c r="R1433" s="5">
        <v>42136.825752314813</v>
      </c>
      <c r="S1433" s="5">
        <v>42296.950648148151</v>
      </c>
      <c r="T1433" t="s">
        <v>317</v>
      </c>
      <c r="U1433" t="s">
        <v>35</v>
      </c>
      <c r="V1433" s="3" t="s">
        <v>35</v>
      </c>
      <c r="W1433" s="3" t="s">
        <v>4145</v>
      </c>
      <c r="AM1433" s="5"/>
      <c r="AN1433" s="5"/>
      <c r="AQ1433" s="6"/>
    </row>
    <row r="1434" spans="2:43" x14ac:dyDescent="0.25">
      <c r="B1434" t="s">
        <v>2461</v>
      </c>
      <c r="C1434">
        <v>62264</v>
      </c>
      <c r="D1434" t="s">
        <v>2466</v>
      </c>
      <c r="E1434" t="s">
        <v>84</v>
      </c>
      <c r="F1434" t="s">
        <v>305</v>
      </c>
      <c r="G1434" t="s">
        <v>304</v>
      </c>
      <c r="H1434" t="s">
        <v>30</v>
      </c>
      <c r="I1434" t="s">
        <v>31</v>
      </c>
      <c r="J1434" t="s">
        <v>43</v>
      </c>
      <c r="K1434" t="s">
        <v>44</v>
      </c>
      <c r="L1434" t="s">
        <v>73</v>
      </c>
      <c r="M1434" t="s">
        <v>263</v>
      </c>
      <c r="N1434" t="s">
        <v>46</v>
      </c>
      <c r="O1434" t="s">
        <v>2467</v>
      </c>
      <c r="P1434" t="s">
        <v>491</v>
      </c>
      <c r="R1434" s="5">
        <v>42136.825671296298</v>
      </c>
      <c r="S1434" s="5">
        <v>42296.950671296298</v>
      </c>
      <c r="T1434" t="s">
        <v>317</v>
      </c>
      <c r="U1434" t="s">
        <v>35</v>
      </c>
      <c r="V1434" s="3" t="s">
        <v>35</v>
      </c>
      <c r="W1434" s="3" t="s">
        <v>2708</v>
      </c>
      <c r="AM1434" s="5"/>
      <c r="AN1434" s="5"/>
      <c r="AQ1434" s="6"/>
    </row>
    <row r="1435" spans="2:43" x14ac:dyDescent="0.25">
      <c r="B1435" t="s">
        <v>2461</v>
      </c>
      <c r="C1435">
        <v>62263</v>
      </c>
      <c r="D1435" t="s">
        <v>2465</v>
      </c>
      <c r="E1435" t="s">
        <v>84</v>
      </c>
      <c r="F1435" t="s">
        <v>305</v>
      </c>
      <c r="G1435" t="s">
        <v>304</v>
      </c>
      <c r="H1435" t="s">
        <v>30</v>
      </c>
      <c r="I1435" t="s">
        <v>31</v>
      </c>
      <c r="J1435" t="s">
        <v>43</v>
      </c>
      <c r="K1435" t="s">
        <v>44</v>
      </c>
      <c r="L1435" t="s">
        <v>73</v>
      </c>
      <c r="M1435" t="s">
        <v>263</v>
      </c>
      <c r="N1435" t="s">
        <v>46</v>
      </c>
      <c r="P1435" t="s">
        <v>491</v>
      </c>
      <c r="R1435" s="5">
        <v>42136.825578703705</v>
      </c>
      <c r="S1435" s="5">
        <v>42759.712453703702</v>
      </c>
      <c r="T1435" t="s">
        <v>317</v>
      </c>
      <c r="U1435" t="s">
        <v>35</v>
      </c>
      <c r="V1435" s="3" t="s">
        <v>35</v>
      </c>
      <c r="W1435" s="3" t="s">
        <v>491</v>
      </c>
      <c r="AM1435" s="5"/>
      <c r="AN1435" s="5"/>
      <c r="AQ1435" s="6"/>
    </row>
    <row r="1436" spans="2:43" x14ac:dyDescent="0.25">
      <c r="B1436" t="s">
        <v>2461</v>
      </c>
      <c r="C1436">
        <v>62262</v>
      </c>
      <c r="D1436" t="s">
        <v>2464</v>
      </c>
      <c r="E1436" t="s">
        <v>387</v>
      </c>
      <c r="F1436" t="s">
        <v>305</v>
      </c>
      <c r="G1436" t="s">
        <v>337</v>
      </c>
      <c r="H1436" t="s">
        <v>30</v>
      </c>
      <c r="I1436" t="s">
        <v>68</v>
      </c>
      <c r="J1436" t="s">
        <v>58</v>
      </c>
      <c r="K1436" t="s">
        <v>44</v>
      </c>
      <c r="L1436" t="s">
        <v>73</v>
      </c>
      <c r="M1436" t="s">
        <v>263</v>
      </c>
      <c r="N1436" t="s">
        <v>46</v>
      </c>
      <c r="P1436" t="s">
        <v>491</v>
      </c>
      <c r="R1436" s="5">
        <v>42136.825509259259</v>
      </c>
      <c r="S1436" s="5">
        <v>42759.723263888889</v>
      </c>
      <c r="T1436" t="s">
        <v>317</v>
      </c>
      <c r="U1436" t="s">
        <v>35</v>
      </c>
      <c r="V1436" s="3" t="s">
        <v>35</v>
      </c>
      <c r="W1436" s="3" t="s">
        <v>4097</v>
      </c>
      <c r="AM1436" s="5"/>
      <c r="AN1436" s="5"/>
      <c r="AQ1436" s="6"/>
    </row>
    <row r="1437" spans="2:43" x14ac:dyDescent="0.25">
      <c r="B1437" t="s">
        <v>2461</v>
      </c>
      <c r="C1437">
        <v>62261</v>
      </c>
      <c r="D1437" t="s">
        <v>2463</v>
      </c>
      <c r="E1437" t="s">
        <v>387</v>
      </c>
      <c r="F1437" t="s">
        <v>305</v>
      </c>
      <c r="G1437" t="s">
        <v>337</v>
      </c>
      <c r="H1437" t="s">
        <v>30</v>
      </c>
      <c r="I1437" t="s">
        <v>68</v>
      </c>
      <c r="J1437" t="s">
        <v>58</v>
      </c>
      <c r="K1437" t="s">
        <v>44</v>
      </c>
      <c r="L1437" t="s">
        <v>73</v>
      </c>
      <c r="M1437" t="s">
        <v>263</v>
      </c>
      <c r="N1437" t="s">
        <v>46</v>
      </c>
      <c r="P1437" t="s">
        <v>491</v>
      </c>
      <c r="R1437" s="5">
        <v>42136.825428240743</v>
      </c>
      <c r="S1437" s="5">
        <v>42678.626828703702</v>
      </c>
      <c r="T1437" t="s">
        <v>317</v>
      </c>
      <c r="U1437" t="s">
        <v>35</v>
      </c>
      <c r="V1437" s="3" t="s">
        <v>35</v>
      </c>
      <c r="W1437" s="3" t="s">
        <v>3028</v>
      </c>
      <c r="AM1437" s="5"/>
      <c r="AN1437" s="5"/>
      <c r="AQ1437" s="6"/>
    </row>
    <row r="1438" spans="2:43" x14ac:dyDescent="0.25">
      <c r="B1438" t="s">
        <v>2461</v>
      </c>
      <c r="C1438">
        <v>62222</v>
      </c>
      <c r="D1438" t="s">
        <v>2462</v>
      </c>
      <c r="E1438" t="s">
        <v>84</v>
      </c>
      <c r="F1438" t="s">
        <v>305</v>
      </c>
      <c r="G1438" t="s">
        <v>304</v>
      </c>
      <c r="H1438" t="s">
        <v>30</v>
      </c>
      <c r="I1438" t="s">
        <v>31</v>
      </c>
      <c r="J1438" t="s">
        <v>43</v>
      </c>
      <c r="K1438" t="s">
        <v>44</v>
      </c>
      <c r="L1438" t="s">
        <v>73</v>
      </c>
      <c r="M1438" t="s">
        <v>263</v>
      </c>
      <c r="N1438" t="s">
        <v>46</v>
      </c>
      <c r="P1438" t="s">
        <v>491</v>
      </c>
      <c r="R1438" s="5">
        <v>42136.573078703703</v>
      </c>
      <c r="S1438" s="5">
        <v>42853.162499999999</v>
      </c>
      <c r="T1438" t="s">
        <v>86</v>
      </c>
      <c r="U1438" t="s">
        <v>35</v>
      </c>
      <c r="V1438" s="3" t="s">
        <v>35</v>
      </c>
      <c r="W1438" s="3" t="s">
        <v>4098</v>
      </c>
      <c r="AM1438" s="5"/>
      <c r="AN1438" s="5"/>
      <c r="AQ1438" s="6"/>
    </row>
    <row r="1439" spans="2:43" x14ac:dyDescent="0.25">
      <c r="B1439" t="s">
        <v>2460</v>
      </c>
      <c r="C1439">
        <v>62176</v>
      </c>
      <c r="D1439" t="s">
        <v>410</v>
      </c>
      <c r="E1439" t="s">
        <v>411</v>
      </c>
      <c r="F1439" t="s">
        <v>305</v>
      </c>
      <c r="G1439" t="s">
        <v>304</v>
      </c>
      <c r="H1439" t="s">
        <v>30</v>
      </c>
      <c r="I1439" t="s">
        <v>31</v>
      </c>
      <c r="J1439" t="s">
        <v>32</v>
      </c>
      <c r="K1439" t="s">
        <v>33</v>
      </c>
      <c r="L1439" t="s">
        <v>408</v>
      </c>
      <c r="M1439" t="s">
        <v>407</v>
      </c>
      <c r="N1439" t="s">
        <v>46</v>
      </c>
      <c r="P1439" t="s">
        <v>394</v>
      </c>
      <c r="R1439" s="5">
        <v>42135.823298611111</v>
      </c>
      <c r="S1439" s="5">
        <v>42648.936516203707</v>
      </c>
      <c r="T1439" t="s">
        <v>409</v>
      </c>
      <c r="U1439" t="s">
        <v>35</v>
      </c>
      <c r="V1439" s="3" t="s">
        <v>35</v>
      </c>
      <c r="W1439" s="3" t="s">
        <v>4098</v>
      </c>
      <c r="AM1439" s="5"/>
      <c r="AN1439" s="5"/>
      <c r="AQ1439" s="6"/>
    </row>
    <row r="1440" spans="2:43" x14ac:dyDescent="0.25">
      <c r="B1440" t="s">
        <v>3856</v>
      </c>
      <c r="C1440">
        <v>61990</v>
      </c>
      <c r="D1440" t="s">
        <v>3857</v>
      </c>
      <c r="E1440" t="s">
        <v>1727</v>
      </c>
      <c r="F1440" t="s">
        <v>305</v>
      </c>
      <c r="G1440" t="s">
        <v>304</v>
      </c>
      <c r="H1440" t="s">
        <v>30</v>
      </c>
      <c r="I1440" t="s">
        <v>31</v>
      </c>
      <c r="J1440" t="s">
        <v>32</v>
      </c>
      <c r="K1440" t="s">
        <v>44</v>
      </c>
      <c r="L1440" t="s">
        <v>34</v>
      </c>
      <c r="M1440" t="s">
        <v>368</v>
      </c>
      <c r="N1440" t="s">
        <v>46</v>
      </c>
      <c r="O1440" t="s">
        <v>3858</v>
      </c>
      <c r="P1440" t="s">
        <v>2121</v>
      </c>
      <c r="Q1440" t="s">
        <v>3859</v>
      </c>
      <c r="R1440" s="5">
        <v>42131.45585648148</v>
      </c>
      <c r="S1440" s="5">
        <v>43007.432997685188</v>
      </c>
      <c r="T1440" t="s">
        <v>299</v>
      </c>
      <c r="U1440" t="s">
        <v>35</v>
      </c>
      <c r="V1440" s="3" t="s">
        <v>321</v>
      </c>
      <c r="W1440" s="3" t="s">
        <v>3028</v>
      </c>
      <c r="AM1440" s="5"/>
      <c r="AN1440" s="5"/>
      <c r="AQ1440" s="6"/>
    </row>
    <row r="1441" spans="2:43" x14ac:dyDescent="0.25">
      <c r="B1441" t="s">
        <v>2456</v>
      </c>
      <c r="C1441">
        <v>61892</v>
      </c>
      <c r="D1441" t="s">
        <v>2459</v>
      </c>
      <c r="E1441" t="s">
        <v>72</v>
      </c>
      <c r="F1441" t="s">
        <v>305</v>
      </c>
      <c r="G1441" t="s">
        <v>304</v>
      </c>
      <c r="H1441" t="s">
        <v>30</v>
      </c>
      <c r="I1441" t="s">
        <v>68</v>
      </c>
      <c r="J1441" t="s">
        <v>58</v>
      </c>
      <c r="K1441" t="s">
        <v>44</v>
      </c>
      <c r="L1441" t="s">
        <v>96</v>
      </c>
      <c r="M1441" t="s">
        <v>2458</v>
      </c>
      <c r="N1441" t="s">
        <v>46</v>
      </c>
      <c r="P1441" t="s">
        <v>394</v>
      </c>
      <c r="R1441" s="5">
        <v>42130.580891203703</v>
      </c>
      <c r="S1441" s="5">
        <v>42648.773287037038</v>
      </c>
      <c r="T1441" t="s">
        <v>317</v>
      </c>
      <c r="U1441" t="s">
        <v>35</v>
      </c>
      <c r="V1441" s="3" t="s">
        <v>35</v>
      </c>
      <c r="W1441" s="3" t="s">
        <v>65</v>
      </c>
      <c r="AM1441" s="5"/>
      <c r="AN1441" s="5"/>
      <c r="AQ1441" s="6"/>
    </row>
    <row r="1442" spans="2:43" x14ac:dyDescent="0.25">
      <c r="B1442" t="s">
        <v>2456</v>
      </c>
      <c r="C1442">
        <v>61875</v>
      </c>
      <c r="D1442" t="s">
        <v>2457</v>
      </c>
      <c r="E1442" t="s">
        <v>72</v>
      </c>
      <c r="F1442" t="s">
        <v>305</v>
      </c>
      <c r="G1442" t="s">
        <v>304</v>
      </c>
      <c r="H1442" t="s">
        <v>30</v>
      </c>
      <c r="I1442" t="s">
        <v>68</v>
      </c>
      <c r="J1442" t="s">
        <v>58</v>
      </c>
      <c r="K1442" t="s">
        <v>44</v>
      </c>
      <c r="L1442" t="s">
        <v>96</v>
      </c>
      <c r="M1442" t="s">
        <v>2458</v>
      </c>
      <c r="N1442" t="s">
        <v>46</v>
      </c>
      <c r="P1442" t="s">
        <v>394</v>
      </c>
      <c r="R1442" s="5">
        <v>42130.421030092592</v>
      </c>
      <c r="S1442" s="5">
        <v>42759.713263888887</v>
      </c>
      <c r="T1442" t="s">
        <v>98</v>
      </c>
      <c r="U1442" t="s">
        <v>35</v>
      </c>
      <c r="V1442" s="3" t="s">
        <v>35</v>
      </c>
      <c r="W1442" s="3" t="s">
        <v>4098</v>
      </c>
      <c r="AM1442" s="5"/>
      <c r="AN1442" s="5"/>
      <c r="AQ1442" s="6"/>
    </row>
    <row r="1443" spans="2:43" x14ac:dyDescent="0.25">
      <c r="B1443" t="s">
        <v>2449</v>
      </c>
      <c r="C1443">
        <v>61849</v>
      </c>
      <c r="D1443" t="s">
        <v>2455</v>
      </c>
      <c r="E1443" t="s">
        <v>2451</v>
      </c>
      <c r="F1443" t="s">
        <v>305</v>
      </c>
      <c r="G1443" t="s">
        <v>310</v>
      </c>
      <c r="H1443" t="s">
        <v>2213</v>
      </c>
      <c r="I1443" t="s">
        <v>35</v>
      </c>
      <c r="J1443" t="s">
        <v>32</v>
      </c>
      <c r="K1443" t="s">
        <v>33</v>
      </c>
      <c r="L1443" t="s">
        <v>45</v>
      </c>
      <c r="M1443" t="s">
        <v>265</v>
      </c>
      <c r="N1443" t="s">
        <v>46</v>
      </c>
      <c r="P1443" t="s">
        <v>61</v>
      </c>
      <c r="R1443" s="5">
        <v>42129.809525462966</v>
      </c>
      <c r="S1443" s="5">
        <v>42678.661122685182</v>
      </c>
      <c r="T1443" t="s">
        <v>53</v>
      </c>
      <c r="U1443" t="s">
        <v>3943</v>
      </c>
      <c r="V1443" s="3" t="s">
        <v>321</v>
      </c>
      <c r="W1443" s="3" t="s">
        <v>61</v>
      </c>
      <c r="AM1443" s="5"/>
      <c r="AN1443" s="5"/>
      <c r="AQ1443" s="6"/>
    </row>
    <row r="1444" spans="2:43" x14ac:dyDescent="0.25">
      <c r="B1444" t="s">
        <v>2449</v>
      </c>
      <c r="C1444">
        <v>61643</v>
      </c>
      <c r="D1444" t="s">
        <v>2454</v>
      </c>
      <c r="E1444" t="s">
        <v>2451</v>
      </c>
      <c r="F1444" t="s">
        <v>305</v>
      </c>
      <c r="G1444" t="s">
        <v>304</v>
      </c>
      <c r="H1444" t="s">
        <v>2213</v>
      </c>
      <c r="I1444" t="s">
        <v>31</v>
      </c>
      <c r="J1444" t="s">
        <v>32</v>
      </c>
      <c r="K1444" t="s">
        <v>33</v>
      </c>
      <c r="L1444" t="s">
        <v>45</v>
      </c>
      <c r="M1444" t="s">
        <v>265</v>
      </c>
      <c r="N1444" t="s">
        <v>46</v>
      </c>
      <c r="P1444" t="s">
        <v>394</v>
      </c>
      <c r="R1444" s="5">
        <v>42124.630914351852</v>
      </c>
      <c r="S1444" s="5">
        <v>42648.936273148145</v>
      </c>
      <c r="T1444" t="s">
        <v>383</v>
      </c>
      <c r="U1444" t="s">
        <v>3943</v>
      </c>
      <c r="V1444" s="3" t="s">
        <v>321</v>
      </c>
      <c r="W1444" s="3" t="s">
        <v>61</v>
      </c>
      <c r="AM1444" s="5"/>
      <c r="AN1444" s="5"/>
      <c r="AQ1444" s="6"/>
    </row>
    <row r="1445" spans="2:43" x14ac:dyDescent="0.25">
      <c r="B1445" t="s">
        <v>2449</v>
      </c>
      <c r="C1445">
        <v>61641</v>
      </c>
      <c r="D1445" t="s">
        <v>2453</v>
      </c>
      <c r="E1445" t="s">
        <v>2451</v>
      </c>
      <c r="F1445" t="s">
        <v>305</v>
      </c>
      <c r="G1445" t="s">
        <v>304</v>
      </c>
      <c r="H1445" t="s">
        <v>2213</v>
      </c>
      <c r="I1445" t="s">
        <v>31</v>
      </c>
      <c r="J1445" t="s">
        <v>32</v>
      </c>
      <c r="K1445" t="s">
        <v>33</v>
      </c>
      <c r="L1445" t="s">
        <v>45</v>
      </c>
      <c r="M1445" t="s">
        <v>265</v>
      </c>
      <c r="N1445" t="s">
        <v>46</v>
      </c>
      <c r="P1445" t="s">
        <v>394</v>
      </c>
      <c r="R1445" s="5">
        <v>42124.625127314815</v>
      </c>
      <c r="S1445" s="5">
        <v>43007.436412037037</v>
      </c>
      <c r="T1445" t="s">
        <v>383</v>
      </c>
      <c r="U1445" t="s">
        <v>3934</v>
      </c>
      <c r="V1445" s="3" t="s">
        <v>321</v>
      </c>
      <c r="W1445" s="3" t="s">
        <v>65</v>
      </c>
      <c r="AM1445" s="5"/>
      <c r="AN1445" s="5"/>
      <c r="AQ1445" s="6"/>
    </row>
    <row r="1446" spans="2:43" x14ac:dyDescent="0.25">
      <c r="B1446" t="s">
        <v>2449</v>
      </c>
      <c r="C1446">
        <v>61640</v>
      </c>
      <c r="D1446" t="s">
        <v>2450</v>
      </c>
      <c r="E1446" t="s">
        <v>2451</v>
      </c>
      <c r="F1446" t="s">
        <v>305</v>
      </c>
      <c r="G1446" t="s">
        <v>337</v>
      </c>
      <c r="H1446" t="s">
        <v>2213</v>
      </c>
      <c r="I1446" t="s">
        <v>31</v>
      </c>
      <c r="J1446" t="s">
        <v>32</v>
      </c>
      <c r="K1446" t="s">
        <v>33</v>
      </c>
      <c r="L1446" t="s">
        <v>45</v>
      </c>
      <c r="M1446" t="s">
        <v>265</v>
      </c>
      <c r="N1446" t="s">
        <v>46</v>
      </c>
      <c r="O1446" t="s">
        <v>2452</v>
      </c>
      <c r="P1446" t="s">
        <v>394</v>
      </c>
      <c r="R1446" s="5">
        <v>42124.62327546296</v>
      </c>
      <c r="S1446" s="5">
        <v>42678.631342592591</v>
      </c>
      <c r="T1446" t="s">
        <v>383</v>
      </c>
      <c r="U1446" t="s">
        <v>35</v>
      </c>
      <c r="V1446" s="3" t="s">
        <v>321</v>
      </c>
      <c r="W1446" s="3" t="s">
        <v>4147</v>
      </c>
      <c r="AM1446" s="5"/>
      <c r="AN1446" s="5"/>
      <c r="AQ1446" s="6"/>
    </row>
    <row r="1447" spans="2:43" x14ac:dyDescent="0.25">
      <c r="B1447" t="s">
        <v>2444</v>
      </c>
      <c r="C1447">
        <v>61548</v>
      </c>
      <c r="D1447" t="s">
        <v>2448</v>
      </c>
      <c r="E1447" t="s">
        <v>70</v>
      </c>
      <c r="F1447" t="s">
        <v>305</v>
      </c>
      <c r="G1447" t="s">
        <v>310</v>
      </c>
      <c r="H1447" t="s">
        <v>30</v>
      </c>
      <c r="I1447" t="s">
        <v>31</v>
      </c>
      <c r="J1447" t="s">
        <v>43</v>
      </c>
      <c r="K1447" t="s">
        <v>44</v>
      </c>
      <c r="L1447" t="s">
        <v>73</v>
      </c>
      <c r="M1447" t="s">
        <v>412</v>
      </c>
      <c r="N1447" t="s">
        <v>46</v>
      </c>
      <c r="P1447" t="s">
        <v>394</v>
      </c>
      <c r="R1447" s="5">
        <v>42123.715590277781</v>
      </c>
      <c r="S1447" s="5">
        <v>42678.628819444442</v>
      </c>
      <c r="T1447" t="s">
        <v>317</v>
      </c>
      <c r="U1447" t="s">
        <v>35</v>
      </c>
      <c r="V1447" s="3" t="s">
        <v>35</v>
      </c>
      <c r="W1447" s="3" t="s">
        <v>4097</v>
      </c>
      <c r="AM1447" s="5"/>
      <c r="AN1447" s="5"/>
      <c r="AQ1447" s="6"/>
    </row>
    <row r="1448" spans="2:43" x14ac:dyDescent="0.25">
      <c r="B1448" t="s">
        <v>2444</v>
      </c>
      <c r="C1448">
        <v>61547</v>
      </c>
      <c r="D1448" t="s">
        <v>2447</v>
      </c>
      <c r="E1448" t="s">
        <v>70</v>
      </c>
      <c r="F1448" t="s">
        <v>305</v>
      </c>
      <c r="G1448" t="s">
        <v>304</v>
      </c>
      <c r="H1448" t="s">
        <v>30</v>
      </c>
      <c r="I1448" t="s">
        <v>31</v>
      </c>
      <c r="J1448" t="s">
        <v>43</v>
      </c>
      <c r="K1448" t="s">
        <v>44</v>
      </c>
      <c r="L1448" t="s">
        <v>73</v>
      </c>
      <c r="M1448" t="s">
        <v>412</v>
      </c>
      <c r="N1448" t="s">
        <v>46</v>
      </c>
      <c r="P1448" t="s">
        <v>394</v>
      </c>
      <c r="R1448" s="5">
        <v>42123.715532407405</v>
      </c>
      <c r="S1448" s="5">
        <v>42648.844918981478</v>
      </c>
      <c r="T1448" t="s">
        <v>317</v>
      </c>
      <c r="U1448" t="s">
        <v>35</v>
      </c>
      <c r="V1448" s="3" t="s">
        <v>35</v>
      </c>
      <c r="W1448" s="3" t="s">
        <v>65</v>
      </c>
      <c r="AM1448" s="5"/>
      <c r="AN1448" s="5"/>
      <c r="AQ1448" s="6"/>
    </row>
    <row r="1449" spans="2:43" x14ac:dyDescent="0.25">
      <c r="B1449" t="s">
        <v>2444</v>
      </c>
      <c r="C1449">
        <v>61546</v>
      </c>
      <c r="D1449" t="s">
        <v>2445</v>
      </c>
      <c r="E1449" t="s">
        <v>2446</v>
      </c>
      <c r="F1449" t="s">
        <v>305</v>
      </c>
      <c r="G1449" t="s">
        <v>304</v>
      </c>
      <c r="H1449" t="s">
        <v>30</v>
      </c>
      <c r="I1449" t="s">
        <v>31</v>
      </c>
      <c r="J1449" t="s">
        <v>43</v>
      </c>
      <c r="K1449" t="s">
        <v>44</v>
      </c>
      <c r="L1449" t="s">
        <v>73</v>
      </c>
      <c r="M1449" t="s">
        <v>412</v>
      </c>
      <c r="N1449" t="s">
        <v>46</v>
      </c>
      <c r="P1449" t="s">
        <v>394</v>
      </c>
      <c r="R1449" s="5">
        <v>42123.715462962966</v>
      </c>
      <c r="S1449" s="5">
        <v>42648.84479166667</v>
      </c>
      <c r="T1449" t="s">
        <v>317</v>
      </c>
      <c r="U1449" t="s">
        <v>3942</v>
      </c>
      <c r="V1449" s="3" t="s">
        <v>35</v>
      </c>
      <c r="W1449" s="3" t="s">
        <v>61</v>
      </c>
      <c r="AM1449" s="5"/>
      <c r="AN1449" s="5"/>
      <c r="AQ1449" s="6"/>
    </row>
    <row r="1450" spans="2:43" x14ac:dyDescent="0.25">
      <c r="B1450" t="s">
        <v>2444</v>
      </c>
      <c r="C1450">
        <v>61543</v>
      </c>
      <c r="D1450" t="s">
        <v>413</v>
      </c>
      <c r="E1450" t="s">
        <v>414</v>
      </c>
      <c r="F1450" t="s">
        <v>305</v>
      </c>
      <c r="G1450" t="s">
        <v>304</v>
      </c>
      <c r="H1450" t="s">
        <v>30</v>
      </c>
      <c r="I1450" t="s">
        <v>31</v>
      </c>
      <c r="J1450" t="s">
        <v>43</v>
      </c>
      <c r="K1450" t="s">
        <v>44</v>
      </c>
      <c r="L1450" t="s">
        <v>73</v>
      </c>
      <c r="M1450" t="s">
        <v>412</v>
      </c>
      <c r="N1450" t="s">
        <v>46</v>
      </c>
      <c r="P1450" t="s">
        <v>394</v>
      </c>
      <c r="R1450" s="5">
        <v>42123.699548611112</v>
      </c>
      <c r="S1450" s="5">
        <v>42759.712800925925</v>
      </c>
      <c r="T1450" t="s">
        <v>98</v>
      </c>
      <c r="U1450" t="s">
        <v>35</v>
      </c>
      <c r="V1450" s="3" t="s">
        <v>35</v>
      </c>
      <c r="W1450" s="3" t="s">
        <v>4098</v>
      </c>
      <c r="AM1450" s="5"/>
      <c r="AN1450" s="5"/>
      <c r="AQ1450" s="6"/>
    </row>
    <row r="1451" spans="2:43" x14ac:dyDescent="0.25">
      <c r="B1451" t="s">
        <v>2434</v>
      </c>
      <c r="C1451">
        <v>61452</v>
      </c>
      <c r="D1451" t="s">
        <v>2442</v>
      </c>
      <c r="E1451" t="s">
        <v>1563</v>
      </c>
      <c r="F1451" t="s">
        <v>305</v>
      </c>
      <c r="G1451" t="s">
        <v>304</v>
      </c>
      <c r="H1451" t="s">
        <v>30</v>
      </c>
      <c r="I1451" t="s">
        <v>31</v>
      </c>
      <c r="J1451" t="s">
        <v>43</v>
      </c>
      <c r="K1451" t="s">
        <v>44</v>
      </c>
      <c r="L1451" t="s">
        <v>73</v>
      </c>
      <c r="M1451" t="s">
        <v>263</v>
      </c>
      <c r="N1451" t="s">
        <v>46</v>
      </c>
      <c r="O1451" t="s">
        <v>2443</v>
      </c>
      <c r="P1451" t="s">
        <v>491</v>
      </c>
      <c r="R1451" s="5">
        <v>42122.627685185187</v>
      </c>
      <c r="S1451" s="5">
        <v>42297.891805555555</v>
      </c>
      <c r="T1451" t="s">
        <v>317</v>
      </c>
      <c r="U1451" t="s">
        <v>35</v>
      </c>
      <c r="V1451" s="3" t="s">
        <v>35</v>
      </c>
      <c r="W1451" s="3" t="s">
        <v>2708</v>
      </c>
      <c r="AM1451" s="5"/>
      <c r="AN1451" s="5"/>
      <c r="AQ1451" s="6"/>
    </row>
    <row r="1452" spans="2:43" x14ac:dyDescent="0.25">
      <c r="B1452" t="s">
        <v>2337</v>
      </c>
      <c r="C1452">
        <v>61387</v>
      </c>
      <c r="D1452" t="s">
        <v>2441</v>
      </c>
      <c r="E1452" t="s">
        <v>445</v>
      </c>
      <c r="F1452" t="s">
        <v>305</v>
      </c>
      <c r="G1452" t="s">
        <v>337</v>
      </c>
      <c r="H1452" t="s">
        <v>30</v>
      </c>
      <c r="I1452" t="s">
        <v>68</v>
      </c>
      <c r="J1452" t="s">
        <v>43</v>
      </c>
      <c r="K1452" t="s">
        <v>33</v>
      </c>
      <c r="L1452" t="s">
        <v>73</v>
      </c>
      <c r="M1452" t="s">
        <v>263</v>
      </c>
      <c r="N1452" t="s">
        <v>46</v>
      </c>
      <c r="P1452" t="s">
        <v>491</v>
      </c>
      <c r="R1452" s="5">
        <v>42121.765555555554</v>
      </c>
      <c r="S1452" s="5">
        <v>43007.403877314813</v>
      </c>
      <c r="T1452" t="s">
        <v>317</v>
      </c>
      <c r="U1452" t="s">
        <v>35</v>
      </c>
      <c r="V1452" s="3" t="s">
        <v>35</v>
      </c>
      <c r="W1452" s="3" t="s">
        <v>85</v>
      </c>
      <c r="AM1452" s="5"/>
      <c r="AN1452" s="5"/>
      <c r="AQ1452" s="6"/>
    </row>
    <row r="1453" spans="2:43" x14ac:dyDescent="0.25">
      <c r="B1453" t="s">
        <v>2337</v>
      </c>
      <c r="C1453">
        <v>61386</v>
      </c>
      <c r="D1453" t="s">
        <v>2439</v>
      </c>
      <c r="E1453" t="s">
        <v>387</v>
      </c>
      <c r="F1453" t="s">
        <v>305</v>
      </c>
      <c r="G1453" t="s">
        <v>337</v>
      </c>
      <c r="H1453" t="s">
        <v>30</v>
      </c>
      <c r="I1453" t="s">
        <v>68</v>
      </c>
      <c r="J1453" t="s">
        <v>43</v>
      </c>
      <c r="K1453" t="s">
        <v>33</v>
      </c>
      <c r="L1453" t="s">
        <v>73</v>
      </c>
      <c r="M1453" t="s">
        <v>263</v>
      </c>
      <c r="N1453" t="s">
        <v>46</v>
      </c>
      <c r="O1453" t="s">
        <v>2440</v>
      </c>
      <c r="P1453" t="s">
        <v>491</v>
      </c>
      <c r="R1453" s="5">
        <v>42121.765486111108</v>
      </c>
      <c r="S1453" s="5">
        <v>42577.550798611112</v>
      </c>
      <c r="T1453" t="s">
        <v>317</v>
      </c>
      <c r="U1453" t="s">
        <v>35</v>
      </c>
      <c r="V1453" s="3" t="s">
        <v>35</v>
      </c>
      <c r="W1453" s="3" t="s">
        <v>4144</v>
      </c>
      <c r="AM1453" s="5"/>
      <c r="AN1453" s="5"/>
      <c r="AQ1453" s="6"/>
    </row>
    <row r="1454" spans="2:43" x14ac:dyDescent="0.25">
      <c r="B1454" t="s">
        <v>2337</v>
      </c>
      <c r="C1454">
        <v>61385</v>
      </c>
      <c r="D1454" t="s">
        <v>2438</v>
      </c>
      <c r="E1454" t="s">
        <v>445</v>
      </c>
      <c r="F1454" t="s">
        <v>305</v>
      </c>
      <c r="G1454" t="s">
        <v>328</v>
      </c>
      <c r="H1454" t="s">
        <v>30</v>
      </c>
      <c r="I1454" t="s">
        <v>31</v>
      </c>
      <c r="J1454" t="s">
        <v>43</v>
      </c>
      <c r="K1454" t="s">
        <v>44</v>
      </c>
      <c r="L1454" t="s">
        <v>73</v>
      </c>
      <c r="M1454" t="s">
        <v>263</v>
      </c>
      <c r="N1454" t="s">
        <v>46</v>
      </c>
      <c r="P1454" t="s">
        <v>491</v>
      </c>
      <c r="R1454" s="5">
        <v>42121.765428240738</v>
      </c>
      <c r="S1454" s="5">
        <v>42678.633113425924</v>
      </c>
      <c r="T1454" t="s">
        <v>317</v>
      </c>
      <c r="U1454" t="s">
        <v>35</v>
      </c>
      <c r="V1454" s="3" t="s">
        <v>35</v>
      </c>
      <c r="W1454" s="3" t="s">
        <v>3028</v>
      </c>
      <c r="AM1454" s="5"/>
      <c r="AN1454" s="5"/>
      <c r="AQ1454" s="6"/>
    </row>
    <row r="1455" spans="2:43" x14ac:dyDescent="0.25">
      <c r="B1455" t="s">
        <v>2436</v>
      </c>
      <c r="C1455">
        <v>61336</v>
      </c>
      <c r="D1455" t="s">
        <v>2437</v>
      </c>
      <c r="E1455" t="s">
        <v>139</v>
      </c>
      <c r="F1455" t="s">
        <v>305</v>
      </c>
      <c r="G1455" t="s">
        <v>304</v>
      </c>
      <c r="H1455" t="s">
        <v>30</v>
      </c>
      <c r="I1455" t="s">
        <v>68</v>
      </c>
      <c r="J1455" t="s">
        <v>43</v>
      </c>
      <c r="K1455" t="s">
        <v>33</v>
      </c>
      <c r="L1455" t="s">
        <v>73</v>
      </c>
      <c r="M1455" t="s">
        <v>263</v>
      </c>
      <c r="N1455" t="s">
        <v>46</v>
      </c>
      <c r="P1455" t="s">
        <v>491</v>
      </c>
      <c r="Q1455" t="s">
        <v>491</v>
      </c>
      <c r="R1455" s="5">
        <v>42121.375509259262</v>
      </c>
      <c r="S1455" s="5">
        <v>42871.662812499999</v>
      </c>
      <c r="T1455" t="s">
        <v>86</v>
      </c>
      <c r="U1455" t="s">
        <v>35</v>
      </c>
      <c r="V1455" s="3" t="s">
        <v>35</v>
      </c>
      <c r="W1455" s="3" t="s">
        <v>4098</v>
      </c>
      <c r="AM1455" s="5"/>
      <c r="AN1455" s="5"/>
      <c r="AQ1455" s="6"/>
    </row>
    <row r="1456" spans="2:43" x14ac:dyDescent="0.25">
      <c r="B1456" t="s">
        <v>2434</v>
      </c>
      <c r="C1456">
        <v>61232</v>
      </c>
      <c r="D1456" t="s">
        <v>2435</v>
      </c>
      <c r="E1456" t="s">
        <v>139</v>
      </c>
      <c r="F1456" t="s">
        <v>305</v>
      </c>
      <c r="G1456" t="s">
        <v>304</v>
      </c>
      <c r="H1456" t="s">
        <v>30</v>
      </c>
      <c r="I1456" t="s">
        <v>31</v>
      </c>
      <c r="J1456" t="s">
        <v>43</v>
      </c>
      <c r="K1456" t="s">
        <v>44</v>
      </c>
      <c r="L1456" t="s">
        <v>73</v>
      </c>
      <c r="M1456" t="s">
        <v>263</v>
      </c>
      <c r="N1456" t="s">
        <v>46</v>
      </c>
      <c r="P1456" t="s">
        <v>491</v>
      </c>
      <c r="R1456" s="5">
        <v>42118.546412037038</v>
      </c>
      <c r="S1456" s="5">
        <v>42759.713067129633</v>
      </c>
      <c r="T1456" t="s">
        <v>86</v>
      </c>
      <c r="U1456" t="s">
        <v>35</v>
      </c>
      <c r="V1456" s="3" t="s">
        <v>35</v>
      </c>
      <c r="W1456" s="3" t="s">
        <v>4098</v>
      </c>
      <c r="AM1456" s="5"/>
      <c r="AN1456" s="5"/>
      <c r="AQ1456" s="6"/>
    </row>
    <row r="1457" spans="2:43" x14ac:dyDescent="0.25">
      <c r="B1457" t="s">
        <v>2391</v>
      </c>
      <c r="C1457">
        <v>61176</v>
      </c>
      <c r="D1457" t="s">
        <v>2433</v>
      </c>
      <c r="E1457" t="s">
        <v>417</v>
      </c>
      <c r="F1457" t="s">
        <v>305</v>
      </c>
      <c r="G1457" t="s">
        <v>304</v>
      </c>
      <c r="H1457" t="s">
        <v>30</v>
      </c>
      <c r="I1457" t="s">
        <v>31</v>
      </c>
      <c r="J1457" t="s">
        <v>32</v>
      </c>
      <c r="K1457" t="s">
        <v>33</v>
      </c>
      <c r="L1457" t="s">
        <v>45</v>
      </c>
      <c r="M1457" t="s">
        <v>261</v>
      </c>
      <c r="N1457" t="s">
        <v>46</v>
      </c>
      <c r="P1457" t="s">
        <v>394</v>
      </c>
      <c r="Q1457" t="s">
        <v>2392</v>
      </c>
      <c r="R1457" s="5">
        <v>42117.589074074072</v>
      </c>
      <c r="S1457" s="5">
        <v>42269.290081018517</v>
      </c>
      <c r="T1457" t="s">
        <v>53</v>
      </c>
      <c r="U1457" t="s">
        <v>35</v>
      </c>
      <c r="V1457" s="3" t="s">
        <v>35</v>
      </c>
      <c r="W1457" s="3" t="s">
        <v>428</v>
      </c>
      <c r="AM1457" s="5"/>
      <c r="AN1457" s="5"/>
      <c r="AQ1457" s="6"/>
    </row>
    <row r="1458" spans="2:43" x14ac:dyDescent="0.25">
      <c r="B1458" t="s">
        <v>2391</v>
      </c>
      <c r="C1458">
        <v>61175</v>
      </c>
      <c r="D1458" t="s">
        <v>2432</v>
      </c>
      <c r="E1458" t="s">
        <v>417</v>
      </c>
      <c r="F1458" t="s">
        <v>305</v>
      </c>
      <c r="G1458" t="s">
        <v>304</v>
      </c>
      <c r="H1458" t="s">
        <v>30</v>
      </c>
      <c r="I1458" t="s">
        <v>31</v>
      </c>
      <c r="J1458" t="s">
        <v>32</v>
      </c>
      <c r="K1458" t="s">
        <v>33</v>
      </c>
      <c r="L1458" t="s">
        <v>45</v>
      </c>
      <c r="M1458" t="s">
        <v>261</v>
      </c>
      <c r="N1458" t="s">
        <v>46</v>
      </c>
      <c r="P1458" t="s">
        <v>394</v>
      </c>
      <c r="Q1458" t="s">
        <v>2392</v>
      </c>
      <c r="R1458" s="5">
        <v>42117.588969907411</v>
      </c>
      <c r="S1458" s="5">
        <v>42648.93608796296</v>
      </c>
      <c r="T1458" t="s">
        <v>53</v>
      </c>
      <c r="U1458" t="s">
        <v>3941</v>
      </c>
      <c r="V1458" s="3" t="s">
        <v>35</v>
      </c>
      <c r="W1458" s="3" t="s">
        <v>65</v>
      </c>
      <c r="AM1458" s="5"/>
      <c r="AN1458" s="5"/>
      <c r="AQ1458" s="6"/>
    </row>
    <row r="1459" spans="2:43" x14ac:dyDescent="0.25">
      <c r="B1459" t="s">
        <v>2391</v>
      </c>
      <c r="C1459">
        <v>61174</v>
      </c>
      <c r="D1459" t="s">
        <v>2431</v>
      </c>
      <c r="E1459" t="s">
        <v>417</v>
      </c>
      <c r="F1459" t="s">
        <v>305</v>
      </c>
      <c r="G1459" t="s">
        <v>304</v>
      </c>
      <c r="H1459" t="s">
        <v>30</v>
      </c>
      <c r="I1459" t="s">
        <v>31</v>
      </c>
      <c r="J1459" t="s">
        <v>32</v>
      </c>
      <c r="K1459" t="s">
        <v>33</v>
      </c>
      <c r="L1459" t="s">
        <v>45</v>
      </c>
      <c r="M1459" t="s">
        <v>261</v>
      </c>
      <c r="N1459" t="s">
        <v>46</v>
      </c>
      <c r="P1459" t="s">
        <v>394</v>
      </c>
      <c r="Q1459" t="s">
        <v>2392</v>
      </c>
      <c r="R1459" s="5">
        <v>42117.588865740741</v>
      </c>
      <c r="S1459" s="5">
        <v>42648.936365740738</v>
      </c>
      <c r="T1459" t="s">
        <v>53</v>
      </c>
      <c r="U1459" t="s">
        <v>3938</v>
      </c>
      <c r="V1459" s="3" t="s">
        <v>35</v>
      </c>
      <c r="W1459" s="3" t="s">
        <v>61</v>
      </c>
      <c r="AM1459" s="5"/>
      <c r="AN1459" s="5"/>
      <c r="AQ1459" s="6"/>
    </row>
    <row r="1460" spans="2:43" x14ac:dyDescent="0.25">
      <c r="B1460" t="s">
        <v>2391</v>
      </c>
      <c r="C1460">
        <v>61173</v>
      </c>
      <c r="D1460" t="s">
        <v>2429</v>
      </c>
      <c r="E1460" t="s">
        <v>417</v>
      </c>
      <c r="F1460" t="s">
        <v>305</v>
      </c>
      <c r="G1460" t="s">
        <v>304</v>
      </c>
      <c r="H1460" t="s">
        <v>30</v>
      </c>
      <c r="I1460" t="s">
        <v>31</v>
      </c>
      <c r="J1460" t="s">
        <v>32</v>
      </c>
      <c r="K1460" t="s">
        <v>33</v>
      </c>
      <c r="L1460" t="s">
        <v>45</v>
      </c>
      <c r="M1460" t="s">
        <v>261</v>
      </c>
      <c r="N1460" t="s">
        <v>46</v>
      </c>
      <c r="O1460" t="s">
        <v>2430</v>
      </c>
      <c r="P1460" t="s">
        <v>394</v>
      </c>
      <c r="Q1460" t="s">
        <v>2392</v>
      </c>
      <c r="R1460" s="5">
        <v>42117.587418981479</v>
      </c>
      <c r="S1460" s="5">
        <v>42709.804988425924</v>
      </c>
      <c r="T1460" t="s">
        <v>53</v>
      </c>
      <c r="U1460" t="s">
        <v>3940</v>
      </c>
      <c r="V1460" s="3" t="s">
        <v>35</v>
      </c>
      <c r="W1460" s="3" t="s">
        <v>4149</v>
      </c>
      <c r="AM1460" s="5"/>
      <c r="AN1460" s="5"/>
      <c r="AQ1460" s="6"/>
    </row>
    <row r="1461" spans="2:43" x14ac:dyDescent="0.25">
      <c r="B1461" t="s">
        <v>2253</v>
      </c>
      <c r="C1461">
        <v>61078</v>
      </c>
      <c r="D1461" t="s">
        <v>2428</v>
      </c>
      <c r="E1461" t="s">
        <v>291</v>
      </c>
      <c r="F1461" t="s">
        <v>305</v>
      </c>
      <c r="G1461" t="s">
        <v>304</v>
      </c>
      <c r="H1461" t="s">
        <v>30</v>
      </c>
      <c r="I1461" t="s">
        <v>31</v>
      </c>
      <c r="J1461" t="s">
        <v>32</v>
      </c>
      <c r="K1461" t="s">
        <v>44</v>
      </c>
      <c r="L1461" t="s">
        <v>96</v>
      </c>
      <c r="M1461" t="s">
        <v>269</v>
      </c>
      <c r="N1461" t="s">
        <v>46</v>
      </c>
      <c r="P1461" t="s">
        <v>394</v>
      </c>
      <c r="R1461" s="5">
        <v>42116.703553240739</v>
      </c>
      <c r="S1461" s="5">
        <v>42648.844837962963</v>
      </c>
      <c r="T1461" t="s">
        <v>317</v>
      </c>
      <c r="U1461" t="s">
        <v>3939</v>
      </c>
      <c r="V1461" s="3" t="s">
        <v>321</v>
      </c>
      <c r="W1461" s="3" t="s">
        <v>61</v>
      </c>
      <c r="AM1461" s="5"/>
      <c r="AN1461" s="5"/>
      <c r="AQ1461" s="6"/>
    </row>
    <row r="1462" spans="2:43" x14ac:dyDescent="0.25">
      <c r="B1462" t="s">
        <v>2388</v>
      </c>
      <c r="C1462">
        <v>60988</v>
      </c>
      <c r="D1462" t="s">
        <v>2427</v>
      </c>
      <c r="E1462" t="s">
        <v>425</v>
      </c>
      <c r="F1462" t="s">
        <v>305</v>
      </c>
      <c r="G1462" t="s">
        <v>304</v>
      </c>
      <c r="H1462" t="s">
        <v>30</v>
      </c>
      <c r="I1462" t="s">
        <v>68</v>
      </c>
      <c r="J1462" t="s">
        <v>58</v>
      </c>
      <c r="K1462" t="s">
        <v>44</v>
      </c>
      <c r="L1462" t="s">
        <v>34</v>
      </c>
      <c r="M1462" t="s">
        <v>422</v>
      </c>
      <c r="N1462" t="s">
        <v>46</v>
      </c>
      <c r="P1462" t="s">
        <v>374</v>
      </c>
      <c r="R1462" s="5">
        <v>42115.966990740744</v>
      </c>
      <c r="S1462" s="5">
        <v>42356.710648148146</v>
      </c>
      <c r="T1462" t="s">
        <v>53</v>
      </c>
      <c r="U1462" t="s">
        <v>35</v>
      </c>
      <c r="V1462" s="3" t="s">
        <v>35</v>
      </c>
      <c r="W1462" s="3" t="s">
        <v>118</v>
      </c>
      <c r="AM1462" s="5"/>
      <c r="AN1462" s="5"/>
      <c r="AQ1462" s="6"/>
    </row>
    <row r="1463" spans="2:43" x14ac:dyDescent="0.25">
      <c r="B1463" t="s">
        <v>2388</v>
      </c>
      <c r="C1463">
        <v>60987</v>
      </c>
      <c r="D1463" t="s">
        <v>2426</v>
      </c>
      <c r="E1463" t="s">
        <v>425</v>
      </c>
      <c r="F1463" t="s">
        <v>305</v>
      </c>
      <c r="G1463" t="s">
        <v>304</v>
      </c>
      <c r="H1463" t="s">
        <v>30</v>
      </c>
      <c r="I1463" t="s">
        <v>68</v>
      </c>
      <c r="J1463" t="s">
        <v>58</v>
      </c>
      <c r="K1463" t="s">
        <v>44</v>
      </c>
      <c r="L1463" t="s">
        <v>34</v>
      </c>
      <c r="M1463" t="s">
        <v>422</v>
      </c>
      <c r="N1463" t="s">
        <v>46</v>
      </c>
      <c r="P1463" t="s">
        <v>374</v>
      </c>
      <c r="R1463" s="5">
        <v>42115.966168981482</v>
      </c>
      <c r="S1463" s="5">
        <v>42251.866886574076</v>
      </c>
      <c r="T1463" t="s">
        <v>53</v>
      </c>
      <c r="U1463" t="s">
        <v>3938</v>
      </c>
      <c r="V1463" s="3" t="s">
        <v>35</v>
      </c>
      <c r="W1463" s="3" t="s">
        <v>377</v>
      </c>
      <c r="AM1463" s="5"/>
      <c r="AN1463" s="5"/>
      <c r="AQ1463" s="6"/>
    </row>
    <row r="1464" spans="2:43" x14ac:dyDescent="0.25">
      <c r="B1464" t="s">
        <v>2281</v>
      </c>
      <c r="C1464">
        <v>60559</v>
      </c>
      <c r="D1464" t="s">
        <v>2425</v>
      </c>
      <c r="E1464" t="s">
        <v>435</v>
      </c>
      <c r="F1464" t="s">
        <v>305</v>
      </c>
      <c r="G1464" t="s">
        <v>337</v>
      </c>
      <c r="H1464" t="s">
        <v>30</v>
      </c>
      <c r="I1464" t="s">
        <v>31</v>
      </c>
      <c r="J1464" t="s">
        <v>32</v>
      </c>
      <c r="K1464" t="s">
        <v>44</v>
      </c>
      <c r="L1464" t="s">
        <v>380</v>
      </c>
      <c r="M1464" t="s">
        <v>434</v>
      </c>
      <c r="N1464" t="s">
        <v>46</v>
      </c>
      <c r="P1464" t="s">
        <v>394</v>
      </c>
      <c r="R1464" s="5">
        <v>42109.994675925926</v>
      </c>
      <c r="S1464" s="5">
        <v>42709.810520833336</v>
      </c>
      <c r="T1464" t="s">
        <v>317</v>
      </c>
      <c r="U1464" t="s">
        <v>35</v>
      </c>
      <c r="V1464" s="3" t="s">
        <v>321</v>
      </c>
      <c r="W1464" s="3" t="s">
        <v>61</v>
      </c>
      <c r="AM1464" s="5"/>
      <c r="AN1464" s="5"/>
      <c r="AQ1464" s="6"/>
    </row>
    <row r="1465" spans="2:43" x14ac:dyDescent="0.25">
      <c r="B1465" t="s">
        <v>2109</v>
      </c>
      <c r="C1465">
        <v>60557</v>
      </c>
      <c r="D1465" t="s">
        <v>2424</v>
      </c>
      <c r="E1465" t="s">
        <v>139</v>
      </c>
      <c r="F1465" t="s">
        <v>305</v>
      </c>
      <c r="G1465" t="s">
        <v>337</v>
      </c>
      <c r="H1465" t="s">
        <v>54</v>
      </c>
      <c r="I1465" t="s">
        <v>31</v>
      </c>
      <c r="J1465" t="s">
        <v>43</v>
      </c>
      <c r="K1465" t="s">
        <v>44</v>
      </c>
      <c r="L1465" t="s">
        <v>73</v>
      </c>
      <c r="M1465" t="s">
        <v>263</v>
      </c>
      <c r="N1465" t="s">
        <v>46</v>
      </c>
      <c r="P1465" t="s">
        <v>1749</v>
      </c>
      <c r="Q1465" t="s">
        <v>2112</v>
      </c>
      <c r="R1465" s="5">
        <v>42109.990752314814</v>
      </c>
      <c r="S1465" s="5">
        <v>43007.38685185185</v>
      </c>
      <c r="T1465" t="s">
        <v>317</v>
      </c>
      <c r="U1465" t="s">
        <v>35</v>
      </c>
      <c r="V1465" s="3" t="s">
        <v>35</v>
      </c>
      <c r="W1465" s="3" t="s">
        <v>61</v>
      </c>
      <c r="AM1465" s="5"/>
      <c r="AN1465" s="5"/>
      <c r="AQ1465" s="6"/>
    </row>
    <row r="1466" spans="2:43" x14ac:dyDescent="0.25">
      <c r="B1466" t="s">
        <v>2317</v>
      </c>
      <c r="C1466">
        <v>60524</v>
      </c>
      <c r="D1466" t="s">
        <v>2423</v>
      </c>
      <c r="E1466" t="s">
        <v>2325</v>
      </c>
      <c r="F1466" t="s">
        <v>305</v>
      </c>
      <c r="G1466" t="s">
        <v>304</v>
      </c>
      <c r="H1466" t="s">
        <v>30</v>
      </c>
      <c r="I1466" t="s">
        <v>31</v>
      </c>
      <c r="J1466" t="s">
        <v>43</v>
      </c>
      <c r="K1466" t="s">
        <v>44</v>
      </c>
      <c r="L1466" t="s">
        <v>73</v>
      </c>
      <c r="M1466" t="s">
        <v>277</v>
      </c>
      <c r="N1466" t="s">
        <v>46</v>
      </c>
      <c r="P1466" t="s">
        <v>47</v>
      </c>
      <c r="R1466" s="5">
        <v>42109.561261574076</v>
      </c>
      <c r="S1466" s="5">
        <v>42648.843506944446</v>
      </c>
      <c r="T1466" t="s">
        <v>288</v>
      </c>
      <c r="U1466" t="s">
        <v>3937</v>
      </c>
      <c r="V1466" s="3" t="s">
        <v>35</v>
      </c>
      <c r="W1466" s="3" t="s">
        <v>61</v>
      </c>
      <c r="AM1466" s="5"/>
      <c r="AN1466" s="5"/>
      <c r="AQ1466" s="6"/>
    </row>
    <row r="1467" spans="2:43" x14ac:dyDescent="0.25">
      <c r="B1467" t="s">
        <v>2418</v>
      </c>
      <c r="C1467">
        <v>60387</v>
      </c>
      <c r="D1467" t="s">
        <v>2422</v>
      </c>
      <c r="E1467" t="s">
        <v>2280</v>
      </c>
      <c r="F1467" t="s">
        <v>305</v>
      </c>
      <c r="G1467" t="s">
        <v>337</v>
      </c>
      <c r="H1467" t="s">
        <v>30</v>
      </c>
      <c r="I1467" t="s">
        <v>57</v>
      </c>
      <c r="J1467" t="s">
        <v>58</v>
      </c>
      <c r="K1467" t="s">
        <v>33</v>
      </c>
      <c r="L1467" t="s">
        <v>73</v>
      </c>
      <c r="M1467" t="s">
        <v>263</v>
      </c>
      <c r="N1467" t="s">
        <v>46</v>
      </c>
      <c r="P1467" t="s">
        <v>2121</v>
      </c>
      <c r="R1467" s="5">
        <v>42107.852893518517</v>
      </c>
      <c r="S1467" s="5">
        <v>42678.626967592594</v>
      </c>
      <c r="T1467" t="s">
        <v>317</v>
      </c>
      <c r="U1467" t="s">
        <v>35</v>
      </c>
      <c r="V1467" s="3" t="s">
        <v>35</v>
      </c>
      <c r="W1467" s="3" t="s">
        <v>3028</v>
      </c>
      <c r="AM1467" s="5"/>
      <c r="AN1467" s="5"/>
      <c r="AQ1467" s="6"/>
    </row>
    <row r="1468" spans="2:43" x14ac:dyDescent="0.25">
      <c r="B1468" t="s">
        <v>2254</v>
      </c>
      <c r="C1468">
        <v>60386</v>
      </c>
      <c r="D1468" t="s">
        <v>2421</v>
      </c>
      <c r="E1468" t="s">
        <v>194</v>
      </c>
      <c r="F1468" t="s">
        <v>305</v>
      </c>
      <c r="G1468" t="s">
        <v>304</v>
      </c>
      <c r="H1468" t="s">
        <v>30</v>
      </c>
      <c r="I1468" t="s">
        <v>31</v>
      </c>
      <c r="J1468" t="s">
        <v>43</v>
      </c>
      <c r="K1468" t="s">
        <v>51</v>
      </c>
      <c r="L1468" t="s">
        <v>195</v>
      </c>
      <c r="M1468" t="s">
        <v>324</v>
      </c>
      <c r="N1468" t="s">
        <v>46</v>
      </c>
      <c r="P1468" t="s">
        <v>394</v>
      </c>
      <c r="R1468" s="5">
        <v>42107.842175925929</v>
      </c>
      <c r="S1468" s="5">
        <v>42648.935868055552</v>
      </c>
      <c r="T1468" t="s">
        <v>53</v>
      </c>
      <c r="U1468" t="s">
        <v>3937</v>
      </c>
      <c r="V1468" s="3" t="s">
        <v>321</v>
      </c>
      <c r="W1468" s="3" t="s">
        <v>61</v>
      </c>
      <c r="AM1468" s="5"/>
      <c r="AN1468" s="5"/>
      <c r="AQ1468" s="6"/>
    </row>
    <row r="1469" spans="2:43" x14ac:dyDescent="0.25">
      <c r="B1469" t="s">
        <v>2418</v>
      </c>
      <c r="C1469">
        <v>60384</v>
      </c>
      <c r="D1469" t="s">
        <v>2419</v>
      </c>
      <c r="E1469" t="s">
        <v>1518</v>
      </c>
      <c r="F1469" t="s">
        <v>305</v>
      </c>
      <c r="G1469" t="s">
        <v>337</v>
      </c>
      <c r="H1469" t="s">
        <v>30</v>
      </c>
      <c r="I1469" t="s">
        <v>57</v>
      </c>
      <c r="J1469" t="s">
        <v>58</v>
      </c>
      <c r="K1469" t="s">
        <v>33</v>
      </c>
      <c r="L1469" t="s">
        <v>73</v>
      </c>
      <c r="M1469" t="s">
        <v>263</v>
      </c>
      <c r="N1469" t="s">
        <v>46</v>
      </c>
      <c r="O1469" t="s">
        <v>2420</v>
      </c>
      <c r="P1469" t="s">
        <v>2121</v>
      </c>
      <c r="R1469" s="5">
        <v>42107.828136574077</v>
      </c>
      <c r="S1469" s="5">
        <v>42678.632384259261</v>
      </c>
      <c r="T1469" t="s">
        <v>409</v>
      </c>
      <c r="U1469" t="s">
        <v>35</v>
      </c>
      <c r="V1469" s="3" t="s">
        <v>35</v>
      </c>
      <c r="W1469" s="3" t="s">
        <v>4098</v>
      </c>
      <c r="AM1469" s="5"/>
      <c r="AN1469" s="5"/>
      <c r="AQ1469" s="6"/>
    </row>
    <row r="1470" spans="2:43" x14ac:dyDescent="0.25">
      <c r="B1470" t="s">
        <v>2413</v>
      </c>
      <c r="C1470">
        <v>59656</v>
      </c>
      <c r="D1470" t="s">
        <v>2414</v>
      </c>
      <c r="E1470" t="s">
        <v>125</v>
      </c>
      <c r="F1470" t="s">
        <v>319</v>
      </c>
      <c r="G1470" t="s">
        <v>304</v>
      </c>
      <c r="H1470" t="s">
        <v>30</v>
      </c>
      <c r="I1470" t="s">
        <v>68</v>
      </c>
      <c r="J1470" t="s">
        <v>43</v>
      </c>
      <c r="K1470" t="s">
        <v>33</v>
      </c>
      <c r="L1470" t="s">
        <v>34</v>
      </c>
      <c r="M1470" t="s">
        <v>402</v>
      </c>
      <c r="N1470" t="s">
        <v>46</v>
      </c>
      <c r="O1470" t="s">
        <v>2415</v>
      </c>
      <c r="P1470" t="s">
        <v>369</v>
      </c>
      <c r="Q1470" t="s">
        <v>2416</v>
      </c>
      <c r="R1470" s="5">
        <v>42094.888344907406</v>
      </c>
      <c r="S1470" s="5">
        <v>43153.646898148145</v>
      </c>
      <c r="T1470" t="s">
        <v>2417</v>
      </c>
      <c r="U1470" t="s">
        <v>35</v>
      </c>
      <c r="V1470" s="3" t="s">
        <v>35</v>
      </c>
      <c r="W1470" s="3" t="s">
        <v>4098</v>
      </c>
      <c r="AM1470" s="5"/>
      <c r="AN1470" s="5"/>
      <c r="AQ1470" s="6"/>
    </row>
    <row r="1471" spans="2:43" x14ac:dyDescent="0.25">
      <c r="B1471" t="s">
        <v>2403</v>
      </c>
      <c r="C1471">
        <v>59334</v>
      </c>
      <c r="D1471" t="s">
        <v>2412</v>
      </c>
      <c r="E1471" t="s">
        <v>2410</v>
      </c>
      <c r="F1471" t="s">
        <v>305</v>
      </c>
      <c r="G1471" t="s">
        <v>304</v>
      </c>
      <c r="H1471" t="s">
        <v>30</v>
      </c>
      <c r="I1471" t="s">
        <v>31</v>
      </c>
      <c r="J1471" t="s">
        <v>32</v>
      </c>
      <c r="K1471" t="s">
        <v>44</v>
      </c>
      <c r="L1471" t="s">
        <v>96</v>
      </c>
      <c r="M1471" t="s">
        <v>269</v>
      </c>
      <c r="N1471" t="s">
        <v>46</v>
      </c>
      <c r="P1471" t="s">
        <v>491</v>
      </c>
      <c r="R1471" s="5">
        <v>42088.722766203704</v>
      </c>
      <c r="S1471" s="5">
        <v>42297.863171296296</v>
      </c>
      <c r="T1471" t="s">
        <v>317</v>
      </c>
      <c r="U1471" t="s">
        <v>35</v>
      </c>
      <c r="V1471" s="3" t="s">
        <v>35</v>
      </c>
      <c r="W1471" s="3" t="s">
        <v>4145</v>
      </c>
      <c r="AM1471" s="5"/>
      <c r="AN1471" s="5"/>
      <c r="AQ1471" s="6"/>
    </row>
    <row r="1472" spans="2:43" x14ac:dyDescent="0.25">
      <c r="B1472" t="s">
        <v>2403</v>
      </c>
      <c r="C1472">
        <v>59333</v>
      </c>
      <c r="D1472" t="s">
        <v>2409</v>
      </c>
      <c r="E1472" t="s">
        <v>2410</v>
      </c>
      <c r="F1472" t="s">
        <v>305</v>
      </c>
      <c r="G1472" t="s">
        <v>304</v>
      </c>
      <c r="H1472" t="s">
        <v>30</v>
      </c>
      <c r="I1472" t="s">
        <v>31</v>
      </c>
      <c r="J1472" t="s">
        <v>32</v>
      </c>
      <c r="K1472" t="s">
        <v>44</v>
      </c>
      <c r="L1472" t="s">
        <v>96</v>
      </c>
      <c r="M1472" t="s">
        <v>269</v>
      </c>
      <c r="N1472" t="s">
        <v>46</v>
      </c>
      <c r="O1472" t="s">
        <v>2411</v>
      </c>
      <c r="P1472" t="s">
        <v>491</v>
      </c>
      <c r="R1472" s="5">
        <v>42088.722662037035</v>
      </c>
      <c r="S1472" s="5">
        <v>42318.562245370369</v>
      </c>
      <c r="T1472" t="s">
        <v>317</v>
      </c>
      <c r="U1472" t="s">
        <v>35</v>
      </c>
      <c r="V1472" s="3" t="s">
        <v>35</v>
      </c>
      <c r="W1472" s="3" t="s">
        <v>2708</v>
      </c>
      <c r="AM1472" s="5"/>
      <c r="AN1472" s="5"/>
      <c r="AQ1472" s="6"/>
    </row>
    <row r="1473" spans="2:43" x14ac:dyDescent="0.25">
      <c r="B1473" t="s">
        <v>2403</v>
      </c>
      <c r="C1473">
        <v>59332</v>
      </c>
      <c r="D1473" t="s">
        <v>2408</v>
      </c>
      <c r="E1473" t="s">
        <v>72</v>
      </c>
      <c r="F1473" t="s">
        <v>305</v>
      </c>
      <c r="G1473" t="s">
        <v>304</v>
      </c>
      <c r="H1473" t="s">
        <v>30</v>
      </c>
      <c r="I1473" t="s">
        <v>31</v>
      </c>
      <c r="J1473" t="s">
        <v>32</v>
      </c>
      <c r="K1473" t="s">
        <v>44</v>
      </c>
      <c r="L1473" t="s">
        <v>96</v>
      </c>
      <c r="M1473" t="s">
        <v>269</v>
      </c>
      <c r="N1473" t="s">
        <v>46</v>
      </c>
      <c r="P1473" t="s">
        <v>491</v>
      </c>
      <c r="R1473" s="5">
        <v>42088.722581018519</v>
      </c>
      <c r="S1473" s="5">
        <v>42759.713449074072</v>
      </c>
      <c r="T1473" t="s">
        <v>317</v>
      </c>
      <c r="U1473" t="s">
        <v>35</v>
      </c>
      <c r="V1473" s="3" t="s">
        <v>35</v>
      </c>
      <c r="W1473" s="3" t="s">
        <v>491</v>
      </c>
      <c r="AM1473" s="5"/>
      <c r="AN1473" s="5"/>
      <c r="AQ1473" s="6"/>
    </row>
    <row r="1474" spans="2:43" x14ac:dyDescent="0.25">
      <c r="B1474" t="s">
        <v>2403</v>
      </c>
      <c r="C1474">
        <v>59329</v>
      </c>
      <c r="D1474" t="s">
        <v>2407</v>
      </c>
      <c r="E1474" t="s">
        <v>291</v>
      </c>
      <c r="F1474" t="s">
        <v>305</v>
      </c>
      <c r="G1474" t="s">
        <v>337</v>
      </c>
      <c r="H1474" t="s">
        <v>30</v>
      </c>
      <c r="I1474" t="s">
        <v>31</v>
      </c>
      <c r="J1474" t="s">
        <v>32</v>
      </c>
      <c r="K1474" t="s">
        <v>44</v>
      </c>
      <c r="L1474" t="s">
        <v>96</v>
      </c>
      <c r="M1474" t="s">
        <v>269</v>
      </c>
      <c r="N1474" t="s">
        <v>46</v>
      </c>
      <c r="O1474" t="s">
        <v>2117</v>
      </c>
      <c r="P1474" t="s">
        <v>491</v>
      </c>
      <c r="R1474" s="5">
        <v>42088.722314814811</v>
      </c>
      <c r="S1474" s="5">
        <v>42678.625914351855</v>
      </c>
      <c r="T1474" t="s">
        <v>317</v>
      </c>
      <c r="U1474" t="s">
        <v>35</v>
      </c>
      <c r="V1474" s="3" t="s">
        <v>321</v>
      </c>
      <c r="W1474" s="3" t="s">
        <v>2552</v>
      </c>
      <c r="AM1474" s="5"/>
      <c r="AN1474" s="5"/>
      <c r="AQ1474" s="6"/>
    </row>
    <row r="1475" spans="2:43" x14ac:dyDescent="0.25">
      <c r="B1475" t="s">
        <v>2403</v>
      </c>
      <c r="C1475">
        <v>59328</v>
      </c>
      <c r="D1475" t="s">
        <v>2406</v>
      </c>
      <c r="E1475" t="s">
        <v>72</v>
      </c>
      <c r="F1475" t="s">
        <v>305</v>
      </c>
      <c r="G1475" t="s">
        <v>304</v>
      </c>
      <c r="H1475" t="s">
        <v>30</v>
      </c>
      <c r="I1475" t="s">
        <v>31</v>
      </c>
      <c r="J1475" t="s">
        <v>32</v>
      </c>
      <c r="K1475" t="s">
        <v>44</v>
      </c>
      <c r="L1475" t="s">
        <v>96</v>
      </c>
      <c r="M1475" t="s">
        <v>269</v>
      </c>
      <c r="N1475" t="s">
        <v>46</v>
      </c>
      <c r="P1475" t="s">
        <v>491</v>
      </c>
      <c r="R1475" s="5">
        <v>42088.722222222219</v>
      </c>
      <c r="S1475" s="5">
        <v>42648.843356481484</v>
      </c>
      <c r="T1475" t="s">
        <v>317</v>
      </c>
      <c r="U1475" t="s">
        <v>35</v>
      </c>
      <c r="V1475" s="3" t="s">
        <v>35</v>
      </c>
      <c r="W1475" s="3" t="s">
        <v>4148</v>
      </c>
      <c r="AM1475" s="5"/>
      <c r="AN1475" s="5"/>
      <c r="AQ1475" s="6"/>
    </row>
    <row r="1476" spans="2:43" x14ac:dyDescent="0.25">
      <c r="B1476" t="s">
        <v>2403</v>
      </c>
      <c r="C1476">
        <v>59294</v>
      </c>
      <c r="D1476" t="s">
        <v>2404</v>
      </c>
      <c r="E1476" t="s">
        <v>72</v>
      </c>
      <c r="F1476" t="s">
        <v>305</v>
      </c>
      <c r="G1476" t="s">
        <v>304</v>
      </c>
      <c r="H1476" t="s">
        <v>30</v>
      </c>
      <c r="I1476" t="s">
        <v>31</v>
      </c>
      <c r="J1476" t="s">
        <v>32</v>
      </c>
      <c r="K1476" t="s">
        <v>44</v>
      </c>
      <c r="L1476" t="s">
        <v>96</v>
      </c>
      <c r="M1476" t="s">
        <v>269</v>
      </c>
      <c r="N1476" t="s">
        <v>46</v>
      </c>
      <c r="P1476" t="s">
        <v>491</v>
      </c>
      <c r="R1476" s="5">
        <v>42088.404444444444</v>
      </c>
      <c r="S1476" s="5">
        <v>42853.156087962961</v>
      </c>
      <c r="T1476" t="s">
        <v>2405</v>
      </c>
      <c r="U1476" t="s">
        <v>35</v>
      </c>
      <c r="V1476" s="3" t="s">
        <v>35</v>
      </c>
      <c r="W1476" s="3" t="s">
        <v>4098</v>
      </c>
      <c r="AM1476" s="5"/>
      <c r="AN1476" s="5"/>
      <c r="AQ1476" s="6"/>
    </row>
    <row r="1477" spans="2:43" x14ac:dyDescent="0.25">
      <c r="B1477" t="s">
        <v>2389</v>
      </c>
      <c r="C1477">
        <v>59213</v>
      </c>
      <c r="D1477" t="s">
        <v>2402</v>
      </c>
      <c r="E1477" t="s">
        <v>2399</v>
      </c>
      <c r="F1477" t="s">
        <v>305</v>
      </c>
      <c r="G1477" t="s">
        <v>310</v>
      </c>
      <c r="H1477" t="s">
        <v>30</v>
      </c>
      <c r="I1477" t="s">
        <v>68</v>
      </c>
      <c r="J1477" t="s">
        <v>58</v>
      </c>
      <c r="K1477" t="s">
        <v>44</v>
      </c>
      <c r="L1477" t="s">
        <v>52</v>
      </c>
      <c r="M1477" t="s">
        <v>408</v>
      </c>
      <c r="N1477" t="s">
        <v>46</v>
      </c>
      <c r="P1477" t="s">
        <v>394</v>
      </c>
      <c r="R1477" s="5">
        <v>42087.2966087963</v>
      </c>
      <c r="S1477" s="5">
        <v>42678.624537037038</v>
      </c>
      <c r="T1477" t="s">
        <v>2394</v>
      </c>
      <c r="U1477" t="s">
        <v>35</v>
      </c>
      <c r="V1477" s="3" t="s">
        <v>35</v>
      </c>
      <c r="W1477" s="3" t="s">
        <v>65</v>
      </c>
      <c r="AM1477" s="5"/>
      <c r="AN1477" s="5"/>
      <c r="AQ1477" s="6"/>
    </row>
    <row r="1478" spans="2:43" x14ac:dyDescent="0.25">
      <c r="B1478" t="s">
        <v>2389</v>
      </c>
      <c r="C1478">
        <v>59212</v>
      </c>
      <c r="D1478" t="s">
        <v>2400</v>
      </c>
      <c r="E1478" t="s">
        <v>2399</v>
      </c>
      <c r="F1478" t="s">
        <v>305</v>
      </c>
      <c r="G1478" t="s">
        <v>310</v>
      </c>
      <c r="H1478" t="s">
        <v>30</v>
      </c>
      <c r="I1478" t="s">
        <v>68</v>
      </c>
      <c r="J1478" t="s">
        <v>58</v>
      </c>
      <c r="K1478" t="s">
        <v>44</v>
      </c>
      <c r="L1478" t="s">
        <v>52</v>
      </c>
      <c r="M1478" t="s">
        <v>408</v>
      </c>
      <c r="N1478" t="s">
        <v>46</v>
      </c>
      <c r="O1478" t="s">
        <v>2401</v>
      </c>
      <c r="P1478" t="s">
        <v>394</v>
      </c>
      <c r="R1478" s="5">
        <v>42087.296516203707</v>
      </c>
      <c r="S1478" s="5">
        <v>42678.624490740738</v>
      </c>
      <c r="T1478" t="s">
        <v>2394</v>
      </c>
      <c r="U1478" t="s">
        <v>35</v>
      </c>
      <c r="V1478" s="3" t="s">
        <v>35</v>
      </c>
      <c r="W1478" s="3" t="s">
        <v>4147</v>
      </c>
      <c r="AM1478" s="5"/>
      <c r="AN1478" s="5"/>
      <c r="AQ1478" s="6"/>
    </row>
    <row r="1479" spans="2:43" x14ac:dyDescent="0.25">
      <c r="B1479" t="s">
        <v>2389</v>
      </c>
      <c r="C1479">
        <v>59211</v>
      </c>
      <c r="D1479" t="s">
        <v>2398</v>
      </c>
      <c r="E1479" t="s">
        <v>2399</v>
      </c>
      <c r="F1479" t="s">
        <v>305</v>
      </c>
      <c r="G1479" t="s">
        <v>310</v>
      </c>
      <c r="H1479" t="s">
        <v>30</v>
      </c>
      <c r="I1479" t="s">
        <v>68</v>
      </c>
      <c r="J1479" t="s">
        <v>58</v>
      </c>
      <c r="K1479" t="s">
        <v>44</v>
      </c>
      <c r="L1479" t="s">
        <v>52</v>
      </c>
      <c r="M1479" t="s">
        <v>408</v>
      </c>
      <c r="N1479" t="s">
        <v>46</v>
      </c>
      <c r="P1479" t="s">
        <v>394</v>
      </c>
      <c r="R1479" s="5">
        <v>42087.296412037038</v>
      </c>
      <c r="S1479" s="5">
        <v>42678.6246875</v>
      </c>
      <c r="T1479" t="s">
        <v>2394</v>
      </c>
      <c r="U1479" t="s">
        <v>35</v>
      </c>
      <c r="V1479" s="3" t="s">
        <v>35</v>
      </c>
      <c r="W1479" s="3" t="s">
        <v>61</v>
      </c>
      <c r="AM1479" s="5"/>
      <c r="AN1479" s="5"/>
      <c r="AQ1479" s="6"/>
    </row>
    <row r="1480" spans="2:43" x14ac:dyDescent="0.25">
      <c r="B1480" t="s">
        <v>2390</v>
      </c>
      <c r="C1480">
        <v>59210</v>
      </c>
      <c r="D1480" t="s">
        <v>2397</v>
      </c>
      <c r="E1480" t="s">
        <v>131</v>
      </c>
      <c r="F1480" t="s">
        <v>305</v>
      </c>
      <c r="G1480" t="s">
        <v>310</v>
      </c>
      <c r="H1480" t="s">
        <v>30</v>
      </c>
      <c r="I1480" t="s">
        <v>68</v>
      </c>
      <c r="J1480" t="s">
        <v>43</v>
      </c>
      <c r="K1480" t="s">
        <v>33</v>
      </c>
      <c r="L1480" t="s">
        <v>96</v>
      </c>
      <c r="M1480" t="s">
        <v>269</v>
      </c>
      <c r="N1480" t="s">
        <v>46</v>
      </c>
      <c r="P1480" t="s">
        <v>394</v>
      </c>
      <c r="R1480" s="5">
        <v>42087.276250000003</v>
      </c>
      <c r="S1480" s="5">
        <v>42678.639016203706</v>
      </c>
      <c r="T1480" t="s">
        <v>2394</v>
      </c>
      <c r="U1480" t="s">
        <v>35</v>
      </c>
      <c r="V1480" s="3" t="s">
        <v>35</v>
      </c>
      <c r="W1480" s="3" t="s">
        <v>65</v>
      </c>
      <c r="AM1480" s="5"/>
      <c r="AN1480" s="5"/>
      <c r="AQ1480" s="6"/>
    </row>
    <row r="1481" spans="2:43" x14ac:dyDescent="0.25">
      <c r="B1481" t="s">
        <v>2390</v>
      </c>
      <c r="C1481">
        <v>59209</v>
      </c>
      <c r="D1481" t="s">
        <v>2395</v>
      </c>
      <c r="E1481" t="s">
        <v>131</v>
      </c>
      <c r="F1481" t="s">
        <v>305</v>
      </c>
      <c r="G1481" t="s">
        <v>337</v>
      </c>
      <c r="H1481" t="s">
        <v>30</v>
      </c>
      <c r="I1481" t="s">
        <v>68</v>
      </c>
      <c r="J1481" t="s">
        <v>43</v>
      </c>
      <c r="K1481" t="s">
        <v>33</v>
      </c>
      <c r="L1481" t="s">
        <v>96</v>
      </c>
      <c r="M1481" t="s">
        <v>269</v>
      </c>
      <c r="N1481" t="s">
        <v>46</v>
      </c>
      <c r="O1481" t="s">
        <v>2396</v>
      </c>
      <c r="P1481" t="s">
        <v>394</v>
      </c>
      <c r="R1481" s="5">
        <v>42087.276145833333</v>
      </c>
      <c r="S1481" s="5">
        <v>42678.630972222221</v>
      </c>
      <c r="T1481" t="s">
        <v>2394</v>
      </c>
      <c r="U1481" t="s">
        <v>35</v>
      </c>
      <c r="V1481" s="3" t="s">
        <v>35</v>
      </c>
      <c r="W1481" s="3" t="s">
        <v>4147</v>
      </c>
      <c r="AM1481" s="5"/>
      <c r="AN1481" s="5"/>
      <c r="AQ1481" s="6"/>
    </row>
    <row r="1482" spans="2:43" x14ac:dyDescent="0.25">
      <c r="B1482" t="s">
        <v>2390</v>
      </c>
      <c r="C1482">
        <v>59208</v>
      </c>
      <c r="D1482" t="s">
        <v>2393</v>
      </c>
      <c r="E1482" t="s">
        <v>131</v>
      </c>
      <c r="F1482" t="s">
        <v>305</v>
      </c>
      <c r="G1482" t="s">
        <v>337</v>
      </c>
      <c r="H1482" t="s">
        <v>30</v>
      </c>
      <c r="I1482" t="s">
        <v>68</v>
      </c>
      <c r="J1482" t="s">
        <v>43</v>
      </c>
      <c r="K1482" t="s">
        <v>33</v>
      </c>
      <c r="L1482" t="s">
        <v>96</v>
      </c>
      <c r="M1482" t="s">
        <v>269</v>
      </c>
      <c r="N1482" t="s">
        <v>46</v>
      </c>
      <c r="P1482" t="s">
        <v>394</v>
      </c>
      <c r="R1482" s="5">
        <v>42087.276030092595</v>
      </c>
      <c r="S1482" s="5">
        <v>42709.806226851855</v>
      </c>
      <c r="T1482" t="s">
        <v>2394</v>
      </c>
      <c r="U1482" t="s">
        <v>35</v>
      </c>
      <c r="V1482" s="3" t="s">
        <v>35</v>
      </c>
      <c r="W1482" s="3" t="s">
        <v>61</v>
      </c>
      <c r="AM1482" s="5"/>
      <c r="AN1482" s="5"/>
      <c r="AQ1482" s="6"/>
    </row>
    <row r="1483" spans="2:43" x14ac:dyDescent="0.25">
      <c r="B1483" t="s">
        <v>2391</v>
      </c>
      <c r="C1483">
        <v>59193</v>
      </c>
      <c r="D1483" t="s">
        <v>416</v>
      </c>
      <c r="E1483" t="s">
        <v>417</v>
      </c>
      <c r="F1483" t="s">
        <v>305</v>
      </c>
      <c r="G1483" t="s">
        <v>304</v>
      </c>
      <c r="H1483" t="s">
        <v>30</v>
      </c>
      <c r="I1483" t="s">
        <v>31</v>
      </c>
      <c r="J1483" t="s">
        <v>32</v>
      </c>
      <c r="K1483" t="s">
        <v>33</v>
      </c>
      <c r="L1483" t="s">
        <v>45</v>
      </c>
      <c r="M1483" t="s">
        <v>261</v>
      </c>
      <c r="N1483" t="s">
        <v>46</v>
      </c>
      <c r="P1483" t="s">
        <v>394</v>
      </c>
      <c r="Q1483" t="s">
        <v>2392</v>
      </c>
      <c r="R1483" s="5">
        <v>42087.018275462964</v>
      </c>
      <c r="S1483" s="5">
        <v>42298.910393518519</v>
      </c>
      <c r="T1483" t="s">
        <v>415</v>
      </c>
      <c r="U1483" t="s">
        <v>35</v>
      </c>
      <c r="V1483" s="3" t="s">
        <v>35</v>
      </c>
      <c r="W1483" s="3" t="s">
        <v>4098</v>
      </c>
      <c r="AM1483" s="5"/>
      <c r="AN1483" s="5"/>
      <c r="AQ1483" s="6"/>
    </row>
    <row r="1484" spans="2:43" x14ac:dyDescent="0.25">
      <c r="B1484" t="s">
        <v>2390</v>
      </c>
      <c r="C1484">
        <v>59164</v>
      </c>
      <c r="D1484" t="s">
        <v>419</v>
      </c>
      <c r="E1484" t="s">
        <v>131</v>
      </c>
      <c r="F1484" t="s">
        <v>305</v>
      </c>
      <c r="G1484" t="s">
        <v>310</v>
      </c>
      <c r="H1484" t="s">
        <v>30</v>
      </c>
      <c r="I1484" t="s">
        <v>68</v>
      </c>
      <c r="J1484" t="s">
        <v>43</v>
      </c>
      <c r="K1484" t="s">
        <v>33</v>
      </c>
      <c r="L1484" t="s">
        <v>96</v>
      </c>
      <c r="M1484" t="s">
        <v>269</v>
      </c>
      <c r="N1484" t="s">
        <v>46</v>
      </c>
      <c r="P1484" t="s">
        <v>394</v>
      </c>
      <c r="R1484" s="5">
        <v>42086.490844907406</v>
      </c>
      <c r="S1484" s="5">
        <v>42678.668530092589</v>
      </c>
      <c r="T1484" t="s">
        <v>418</v>
      </c>
      <c r="U1484" t="s">
        <v>35</v>
      </c>
      <c r="V1484" s="3" t="s">
        <v>35</v>
      </c>
      <c r="W1484" s="3" t="s">
        <v>4098</v>
      </c>
      <c r="AM1484" s="5"/>
      <c r="AN1484" s="5"/>
      <c r="AQ1484" s="6"/>
    </row>
    <row r="1485" spans="2:43" x14ac:dyDescent="0.25">
      <c r="B1485" t="s">
        <v>2389</v>
      </c>
      <c r="C1485">
        <v>59129</v>
      </c>
      <c r="D1485" t="s">
        <v>421</v>
      </c>
      <c r="E1485" t="s">
        <v>139</v>
      </c>
      <c r="F1485" t="s">
        <v>305</v>
      </c>
      <c r="G1485" t="s">
        <v>310</v>
      </c>
      <c r="H1485" t="s">
        <v>30</v>
      </c>
      <c r="I1485" t="s">
        <v>68</v>
      </c>
      <c r="J1485" t="s">
        <v>58</v>
      </c>
      <c r="K1485" t="s">
        <v>44</v>
      </c>
      <c r="L1485" t="s">
        <v>73</v>
      </c>
      <c r="M1485" t="s">
        <v>263</v>
      </c>
      <c r="N1485" t="s">
        <v>46</v>
      </c>
      <c r="P1485" t="s">
        <v>394</v>
      </c>
      <c r="R1485" s="5">
        <v>42084.765497685185</v>
      </c>
      <c r="S1485" s="5">
        <v>42648.843009259261</v>
      </c>
      <c r="T1485" t="s">
        <v>420</v>
      </c>
      <c r="U1485" t="s">
        <v>35</v>
      </c>
      <c r="V1485" s="3" t="s">
        <v>35</v>
      </c>
      <c r="W1485" s="3" t="s">
        <v>4098</v>
      </c>
      <c r="AM1485" s="5"/>
      <c r="AN1485" s="5"/>
      <c r="AQ1485" s="6"/>
    </row>
    <row r="1486" spans="2:43" x14ac:dyDescent="0.25">
      <c r="B1486" t="s">
        <v>2388</v>
      </c>
      <c r="C1486">
        <v>59048</v>
      </c>
      <c r="D1486" t="s">
        <v>424</v>
      </c>
      <c r="E1486" t="s">
        <v>425</v>
      </c>
      <c r="F1486" t="s">
        <v>305</v>
      </c>
      <c r="G1486" t="s">
        <v>304</v>
      </c>
      <c r="H1486" t="s">
        <v>30</v>
      </c>
      <c r="I1486" t="s">
        <v>68</v>
      </c>
      <c r="J1486" t="s">
        <v>58</v>
      </c>
      <c r="K1486" t="s">
        <v>44</v>
      </c>
      <c r="L1486" t="s">
        <v>34</v>
      </c>
      <c r="M1486" t="s">
        <v>422</v>
      </c>
      <c r="N1486" t="s">
        <v>46</v>
      </c>
      <c r="P1486" t="s">
        <v>423</v>
      </c>
      <c r="R1486" s="5">
        <v>42082.713599537034</v>
      </c>
      <c r="S1486" s="5">
        <v>42930.307673611111</v>
      </c>
      <c r="T1486" t="s">
        <v>1</v>
      </c>
      <c r="U1486" t="s">
        <v>35</v>
      </c>
      <c r="V1486" s="3" t="s">
        <v>35</v>
      </c>
      <c r="W1486" s="3" t="s">
        <v>4098</v>
      </c>
      <c r="AM1486" s="5"/>
      <c r="AN1486" s="5"/>
      <c r="AQ1486" s="6"/>
    </row>
    <row r="1487" spans="2:43" x14ac:dyDescent="0.25">
      <c r="B1487" t="s">
        <v>2384</v>
      </c>
      <c r="C1487">
        <v>58991</v>
      </c>
      <c r="D1487" t="s">
        <v>2385</v>
      </c>
      <c r="E1487" t="s">
        <v>1727</v>
      </c>
      <c r="F1487" t="s">
        <v>305</v>
      </c>
      <c r="G1487" t="s">
        <v>337</v>
      </c>
      <c r="H1487" t="s">
        <v>2169</v>
      </c>
      <c r="I1487" t="s">
        <v>57</v>
      </c>
      <c r="J1487" t="s">
        <v>58</v>
      </c>
      <c r="K1487" t="s">
        <v>33</v>
      </c>
      <c r="L1487" t="s">
        <v>34</v>
      </c>
      <c r="M1487" t="s">
        <v>258</v>
      </c>
      <c r="N1487" t="s">
        <v>46</v>
      </c>
      <c r="O1487" t="s">
        <v>2386</v>
      </c>
      <c r="P1487" t="s">
        <v>56</v>
      </c>
      <c r="R1487" s="5">
        <v>42081.649861111109</v>
      </c>
      <c r="S1487" s="5">
        <v>43145.43309027778</v>
      </c>
      <c r="T1487" t="s">
        <v>2387</v>
      </c>
      <c r="U1487" t="s">
        <v>35</v>
      </c>
      <c r="V1487" s="3" t="s">
        <v>35</v>
      </c>
      <c r="W1487" s="3" t="s">
        <v>3120</v>
      </c>
      <c r="AM1487" s="5"/>
      <c r="AN1487" s="5"/>
      <c r="AQ1487" s="6"/>
    </row>
    <row r="1488" spans="2:43" x14ac:dyDescent="0.25">
      <c r="B1488" t="s">
        <v>3853</v>
      </c>
      <c r="C1488">
        <v>58809</v>
      </c>
      <c r="D1488" t="s">
        <v>3854</v>
      </c>
      <c r="E1488" t="s">
        <v>2047</v>
      </c>
      <c r="F1488" t="s">
        <v>305</v>
      </c>
      <c r="G1488" t="s">
        <v>304</v>
      </c>
      <c r="H1488" t="s">
        <v>30</v>
      </c>
      <c r="I1488" t="s">
        <v>31</v>
      </c>
      <c r="J1488" t="s">
        <v>32</v>
      </c>
      <c r="K1488" t="s">
        <v>44</v>
      </c>
      <c r="L1488" t="s">
        <v>34</v>
      </c>
      <c r="M1488" t="s">
        <v>3780</v>
      </c>
      <c r="N1488" t="s">
        <v>46</v>
      </c>
      <c r="O1488" t="s">
        <v>3855</v>
      </c>
      <c r="P1488" t="s">
        <v>1854</v>
      </c>
      <c r="R1488" s="5">
        <v>42079.765405092592</v>
      </c>
      <c r="S1488" s="5">
        <v>43007.432997685188</v>
      </c>
      <c r="T1488" t="s">
        <v>2047</v>
      </c>
      <c r="U1488" t="s">
        <v>35</v>
      </c>
      <c r="V1488" s="3" t="s">
        <v>35</v>
      </c>
      <c r="W1488" s="3" t="s">
        <v>4148</v>
      </c>
      <c r="AM1488" s="5"/>
      <c r="AN1488" s="5"/>
      <c r="AQ1488" s="6"/>
    </row>
    <row r="1489" spans="2:43" x14ac:dyDescent="0.25">
      <c r="B1489" t="s">
        <v>2382</v>
      </c>
      <c r="C1489">
        <v>58798</v>
      </c>
      <c r="D1489" t="s">
        <v>429</v>
      </c>
      <c r="E1489" t="s">
        <v>64</v>
      </c>
      <c r="F1489" t="s">
        <v>305</v>
      </c>
      <c r="G1489" t="s">
        <v>304</v>
      </c>
      <c r="H1489" t="s">
        <v>426</v>
      </c>
      <c r="I1489" t="s">
        <v>57</v>
      </c>
      <c r="J1489" t="s">
        <v>58</v>
      </c>
      <c r="K1489" t="s">
        <v>33</v>
      </c>
      <c r="L1489" t="s">
        <v>45</v>
      </c>
      <c r="M1489" t="s">
        <v>408</v>
      </c>
      <c r="N1489" t="s">
        <v>46</v>
      </c>
      <c r="P1489" t="s">
        <v>427</v>
      </c>
      <c r="Q1489" t="s">
        <v>2383</v>
      </c>
      <c r="R1489" s="5">
        <v>42079.61990740741</v>
      </c>
      <c r="S1489" s="5">
        <v>42930.291608796295</v>
      </c>
      <c r="T1489" t="s">
        <v>418</v>
      </c>
      <c r="U1489" t="s">
        <v>35</v>
      </c>
      <c r="V1489" s="3" t="s">
        <v>35</v>
      </c>
      <c r="W1489" s="3" t="s">
        <v>428</v>
      </c>
      <c r="AM1489" s="5"/>
      <c r="AN1489" s="5"/>
      <c r="AQ1489" s="6"/>
    </row>
    <row r="1490" spans="2:43" x14ac:dyDescent="0.25">
      <c r="B1490" t="s">
        <v>2380</v>
      </c>
      <c r="C1490">
        <v>58752</v>
      </c>
      <c r="D1490" t="s">
        <v>2381</v>
      </c>
      <c r="E1490" t="s">
        <v>2002</v>
      </c>
      <c r="F1490" t="s">
        <v>305</v>
      </c>
      <c r="G1490" t="s">
        <v>310</v>
      </c>
      <c r="H1490" t="s">
        <v>30</v>
      </c>
      <c r="I1490" t="s">
        <v>57</v>
      </c>
      <c r="J1490" t="s">
        <v>2183</v>
      </c>
      <c r="K1490" t="s">
        <v>33</v>
      </c>
      <c r="L1490" t="s">
        <v>34</v>
      </c>
      <c r="M1490" t="s">
        <v>2024</v>
      </c>
      <c r="N1490" t="s">
        <v>46</v>
      </c>
      <c r="P1490" t="s">
        <v>2121</v>
      </c>
      <c r="R1490" s="5">
        <v>42079.177083333336</v>
      </c>
      <c r="S1490" s="5">
        <v>42678.632164351853</v>
      </c>
      <c r="T1490" t="s">
        <v>299</v>
      </c>
      <c r="U1490" t="s">
        <v>35</v>
      </c>
      <c r="V1490" s="3" t="s">
        <v>35</v>
      </c>
      <c r="W1490" s="3" t="s">
        <v>3028</v>
      </c>
      <c r="AM1490" s="5"/>
      <c r="AN1490" s="5"/>
      <c r="AQ1490" s="6"/>
    </row>
    <row r="1491" spans="2:43" x14ac:dyDescent="0.25">
      <c r="B1491" t="s">
        <v>2376</v>
      </c>
      <c r="C1491">
        <v>58745</v>
      </c>
      <c r="D1491" t="s">
        <v>2377</v>
      </c>
      <c r="E1491" t="s">
        <v>2378</v>
      </c>
      <c r="F1491" t="s">
        <v>305</v>
      </c>
      <c r="G1491" t="s">
        <v>337</v>
      </c>
      <c r="H1491" t="s">
        <v>30</v>
      </c>
      <c r="I1491" t="s">
        <v>31</v>
      </c>
      <c r="J1491" t="s">
        <v>32</v>
      </c>
      <c r="K1491" t="s">
        <v>33</v>
      </c>
      <c r="L1491" t="s">
        <v>34</v>
      </c>
      <c r="M1491" t="s">
        <v>2379</v>
      </c>
      <c r="N1491" t="s">
        <v>46</v>
      </c>
      <c r="P1491" t="s">
        <v>1634</v>
      </c>
      <c r="R1491" s="5">
        <v>42078.859247685185</v>
      </c>
      <c r="S1491" s="5">
        <v>42678.636956018519</v>
      </c>
      <c r="T1491" t="s">
        <v>299</v>
      </c>
      <c r="U1491" t="s">
        <v>35</v>
      </c>
      <c r="V1491" s="3" t="s">
        <v>35</v>
      </c>
      <c r="W1491" s="3" t="s">
        <v>3028</v>
      </c>
      <c r="AM1491" s="5"/>
      <c r="AN1491" s="5"/>
      <c r="AQ1491" s="6"/>
    </row>
    <row r="1492" spans="2:43" x14ac:dyDescent="0.25">
      <c r="B1492" t="s">
        <v>2317</v>
      </c>
      <c r="C1492">
        <v>58469</v>
      </c>
      <c r="D1492" t="s">
        <v>2375</v>
      </c>
      <c r="E1492" t="s">
        <v>296</v>
      </c>
      <c r="F1492" t="s">
        <v>305</v>
      </c>
      <c r="G1492" t="s">
        <v>304</v>
      </c>
      <c r="H1492" t="s">
        <v>30</v>
      </c>
      <c r="I1492" t="s">
        <v>31</v>
      </c>
      <c r="J1492" t="s">
        <v>43</v>
      </c>
      <c r="K1492" t="s">
        <v>44</v>
      </c>
      <c r="L1492" t="s">
        <v>73</v>
      </c>
      <c r="M1492" t="s">
        <v>263</v>
      </c>
      <c r="N1492" t="s">
        <v>46</v>
      </c>
      <c r="P1492" t="s">
        <v>423</v>
      </c>
      <c r="R1492" s="5">
        <v>42073.824224537035</v>
      </c>
      <c r="S1492" s="5">
        <v>42648.842523148145</v>
      </c>
      <c r="T1492" t="s">
        <v>288</v>
      </c>
      <c r="U1492" t="s">
        <v>35</v>
      </c>
      <c r="V1492" s="3" t="s">
        <v>35</v>
      </c>
      <c r="W1492" s="3" t="s">
        <v>65</v>
      </c>
      <c r="AM1492" s="5"/>
      <c r="AN1492" s="5"/>
      <c r="AQ1492" s="6"/>
    </row>
    <row r="1493" spans="2:43" x14ac:dyDescent="0.25">
      <c r="B1493" t="s">
        <v>2317</v>
      </c>
      <c r="C1493">
        <v>58468</v>
      </c>
      <c r="D1493" t="s">
        <v>2374</v>
      </c>
      <c r="E1493" t="s">
        <v>296</v>
      </c>
      <c r="F1493" t="s">
        <v>305</v>
      </c>
      <c r="G1493" t="s">
        <v>337</v>
      </c>
      <c r="H1493" t="s">
        <v>30</v>
      </c>
      <c r="I1493" t="s">
        <v>31</v>
      </c>
      <c r="J1493" t="s">
        <v>43</v>
      </c>
      <c r="K1493" t="s">
        <v>44</v>
      </c>
      <c r="L1493" t="s">
        <v>73</v>
      </c>
      <c r="M1493" t="s">
        <v>277</v>
      </c>
      <c r="N1493" t="s">
        <v>46</v>
      </c>
      <c r="O1493" t="s">
        <v>2272</v>
      </c>
      <c r="P1493" t="s">
        <v>423</v>
      </c>
      <c r="R1493" s="5">
        <v>42073.824074074073</v>
      </c>
      <c r="S1493" s="5">
        <v>42709.80196759259</v>
      </c>
      <c r="T1493" t="s">
        <v>288</v>
      </c>
      <c r="U1493" t="s">
        <v>35</v>
      </c>
      <c r="V1493" s="3" t="s">
        <v>35</v>
      </c>
      <c r="W1493" s="3" t="s">
        <v>4147</v>
      </c>
      <c r="AM1493" s="5"/>
      <c r="AN1493" s="5"/>
      <c r="AQ1493" s="6"/>
    </row>
    <row r="1494" spans="2:43" x14ac:dyDescent="0.25">
      <c r="B1494" t="s">
        <v>2370</v>
      </c>
      <c r="C1494">
        <v>58311</v>
      </c>
      <c r="D1494" t="s">
        <v>2373</v>
      </c>
      <c r="E1494" t="s">
        <v>442</v>
      </c>
      <c r="F1494" t="s">
        <v>305</v>
      </c>
      <c r="G1494" t="s">
        <v>395</v>
      </c>
      <c r="H1494" t="s">
        <v>30</v>
      </c>
      <c r="I1494" t="s">
        <v>68</v>
      </c>
      <c r="J1494" t="s">
        <v>43</v>
      </c>
      <c r="K1494" t="s">
        <v>33</v>
      </c>
      <c r="L1494" t="s">
        <v>73</v>
      </c>
      <c r="M1494" t="s">
        <v>264</v>
      </c>
      <c r="N1494" t="s">
        <v>46</v>
      </c>
      <c r="P1494" t="s">
        <v>423</v>
      </c>
      <c r="R1494" s="5">
        <v>42069.864710648151</v>
      </c>
      <c r="S1494" s="5">
        <v>42759.674328703702</v>
      </c>
      <c r="T1494" t="s">
        <v>317</v>
      </c>
      <c r="U1494" t="s">
        <v>35</v>
      </c>
      <c r="V1494" s="3" t="s">
        <v>35</v>
      </c>
      <c r="W1494" s="3" t="s">
        <v>65</v>
      </c>
      <c r="AM1494" s="5"/>
      <c r="AN1494" s="5"/>
      <c r="AQ1494" s="6"/>
    </row>
    <row r="1495" spans="2:43" x14ac:dyDescent="0.25">
      <c r="B1495" t="s">
        <v>2370</v>
      </c>
      <c r="C1495">
        <v>58310</v>
      </c>
      <c r="D1495" t="s">
        <v>2372</v>
      </c>
      <c r="E1495" t="s">
        <v>442</v>
      </c>
      <c r="F1495" t="s">
        <v>305</v>
      </c>
      <c r="G1495" t="s">
        <v>337</v>
      </c>
      <c r="H1495" t="s">
        <v>30</v>
      </c>
      <c r="I1495" t="s">
        <v>68</v>
      </c>
      <c r="J1495" t="s">
        <v>43</v>
      </c>
      <c r="K1495" t="s">
        <v>33</v>
      </c>
      <c r="L1495" t="s">
        <v>73</v>
      </c>
      <c r="M1495" t="s">
        <v>264</v>
      </c>
      <c r="N1495" t="s">
        <v>46</v>
      </c>
      <c r="O1495" t="s">
        <v>2252</v>
      </c>
      <c r="P1495" t="s">
        <v>423</v>
      </c>
      <c r="R1495" s="5">
        <v>42069.85193287037</v>
      </c>
      <c r="S1495" s="5">
        <v>42678.630995370368</v>
      </c>
      <c r="T1495" t="s">
        <v>317</v>
      </c>
      <c r="U1495" t="s">
        <v>35</v>
      </c>
      <c r="V1495" s="3" t="s">
        <v>35</v>
      </c>
      <c r="W1495" s="3" t="s">
        <v>4147</v>
      </c>
      <c r="AM1495" s="5"/>
      <c r="AN1495" s="5"/>
      <c r="AQ1495" s="6"/>
    </row>
    <row r="1496" spans="2:43" x14ac:dyDescent="0.25">
      <c r="B1496" t="s">
        <v>2370</v>
      </c>
      <c r="C1496">
        <v>58308</v>
      </c>
      <c r="D1496" t="s">
        <v>2371</v>
      </c>
      <c r="E1496" t="s">
        <v>442</v>
      </c>
      <c r="F1496" t="s">
        <v>305</v>
      </c>
      <c r="G1496" t="s">
        <v>395</v>
      </c>
      <c r="H1496" t="s">
        <v>30</v>
      </c>
      <c r="I1496" t="s">
        <v>68</v>
      </c>
      <c r="J1496" t="s">
        <v>43</v>
      </c>
      <c r="K1496" t="s">
        <v>33</v>
      </c>
      <c r="L1496" t="s">
        <v>73</v>
      </c>
      <c r="M1496" t="s">
        <v>264</v>
      </c>
      <c r="N1496" t="s">
        <v>46</v>
      </c>
      <c r="P1496" t="s">
        <v>394</v>
      </c>
      <c r="R1496" s="5">
        <v>42069.806539351855</v>
      </c>
      <c r="S1496" s="5">
        <v>42759.674513888887</v>
      </c>
      <c r="T1496" t="s">
        <v>418</v>
      </c>
      <c r="U1496" t="s">
        <v>35</v>
      </c>
      <c r="V1496" s="3" t="s">
        <v>35</v>
      </c>
      <c r="W1496" s="3" t="s">
        <v>4098</v>
      </c>
      <c r="AM1496" s="5"/>
      <c r="AN1496" s="5"/>
      <c r="AQ1496" s="6"/>
    </row>
    <row r="1497" spans="2:43" x14ac:dyDescent="0.25">
      <c r="B1497" t="s">
        <v>2304</v>
      </c>
      <c r="C1497">
        <v>58093</v>
      </c>
      <c r="D1497" t="s">
        <v>2369</v>
      </c>
      <c r="E1497" t="s">
        <v>387</v>
      </c>
      <c r="F1497" t="s">
        <v>305</v>
      </c>
      <c r="G1497" t="s">
        <v>310</v>
      </c>
      <c r="H1497" t="s">
        <v>30</v>
      </c>
      <c r="I1497" t="s">
        <v>31</v>
      </c>
      <c r="J1497" t="s">
        <v>43</v>
      </c>
      <c r="K1497" t="s">
        <v>44</v>
      </c>
      <c r="L1497" t="s">
        <v>73</v>
      </c>
      <c r="M1497" t="s">
        <v>263</v>
      </c>
      <c r="N1497" t="s">
        <v>46</v>
      </c>
      <c r="P1497" t="s">
        <v>423</v>
      </c>
      <c r="R1497" s="5">
        <v>42067.306967592594</v>
      </c>
      <c r="S1497" s="5">
        <v>42678.62462962963</v>
      </c>
      <c r="T1497" t="s">
        <v>317</v>
      </c>
      <c r="U1497" t="s">
        <v>35</v>
      </c>
      <c r="V1497" s="3" t="s">
        <v>35</v>
      </c>
      <c r="W1497" s="3" t="s">
        <v>4097</v>
      </c>
      <c r="AM1497" s="5"/>
      <c r="AN1497" s="5"/>
      <c r="AQ1497" s="6"/>
    </row>
    <row r="1498" spans="2:43" x14ac:dyDescent="0.25">
      <c r="B1498" t="s">
        <v>2304</v>
      </c>
      <c r="C1498">
        <v>58092</v>
      </c>
      <c r="D1498" t="s">
        <v>2368</v>
      </c>
      <c r="E1498" t="s">
        <v>387</v>
      </c>
      <c r="F1498" t="s">
        <v>305</v>
      </c>
      <c r="G1498" t="s">
        <v>310</v>
      </c>
      <c r="H1498" t="s">
        <v>30</v>
      </c>
      <c r="I1498" t="s">
        <v>31</v>
      </c>
      <c r="J1498" t="s">
        <v>43</v>
      </c>
      <c r="K1498" t="s">
        <v>44</v>
      </c>
      <c r="L1498" t="s">
        <v>73</v>
      </c>
      <c r="M1498" t="s">
        <v>263</v>
      </c>
      <c r="N1498" t="s">
        <v>46</v>
      </c>
      <c r="P1498" t="s">
        <v>423</v>
      </c>
      <c r="R1498" s="5">
        <v>42067.306909722225</v>
      </c>
      <c r="S1498" s="5">
        <v>42678.624328703707</v>
      </c>
      <c r="T1498" t="s">
        <v>317</v>
      </c>
      <c r="U1498" t="s">
        <v>35</v>
      </c>
      <c r="V1498" s="3" t="s">
        <v>35</v>
      </c>
      <c r="W1498" s="3" t="s">
        <v>65</v>
      </c>
      <c r="AM1498" s="5"/>
      <c r="AN1498" s="5"/>
      <c r="AQ1498" s="6"/>
    </row>
    <row r="1499" spans="2:43" x14ac:dyDescent="0.25">
      <c r="B1499" t="s">
        <v>2304</v>
      </c>
      <c r="C1499">
        <v>58091</v>
      </c>
      <c r="D1499" t="s">
        <v>2367</v>
      </c>
      <c r="E1499" t="s">
        <v>387</v>
      </c>
      <c r="F1499" t="s">
        <v>305</v>
      </c>
      <c r="G1499" t="s">
        <v>310</v>
      </c>
      <c r="H1499" t="s">
        <v>30</v>
      </c>
      <c r="I1499" t="s">
        <v>31</v>
      </c>
      <c r="J1499" t="s">
        <v>43</v>
      </c>
      <c r="K1499" t="s">
        <v>44</v>
      </c>
      <c r="L1499" t="s">
        <v>73</v>
      </c>
      <c r="M1499" t="s">
        <v>263</v>
      </c>
      <c r="N1499" t="s">
        <v>46</v>
      </c>
      <c r="P1499" t="s">
        <v>423</v>
      </c>
      <c r="R1499" s="5">
        <v>42067.306851851848</v>
      </c>
      <c r="S1499" s="5">
        <v>42678.624293981484</v>
      </c>
      <c r="T1499" t="s">
        <v>317</v>
      </c>
      <c r="U1499" t="s">
        <v>35</v>
      </c>
      <c r="V1499" s="3" t="s">
        <v>35</v>
      </c>
      <c r="W1499" s="3" t="s">
        <v>4147</v>
      </c>
      <c r="AM1499" s="5"/>
      <c r="AN1499" s="5"/>
      <c r="AQ1499" s="6"/>
    </row>
    <row r="1500" spans="2:43" x14ac:dyDescent="0.25">
      <c r="B1500" t="s">
        <v>2304</v>
      </c>
      <c r="C1500">
        <v>58077</v>
      </c>
      <c r="D1500" t="s">
        <v>2366</v>
      </c>
      <c r="E1500" t="s">
        <v>442</v>
      </c>
      <c r="F1500" t="s">
        <v>305</v>
      </c>
      <c r="G1500" t="s">
        <v>353</v>
      </c>
      <c r="H1500" t="s">
        <v>30</v>
      </c>
      <c r="I1500" t="s">
        <v>31</v>
      </c>
      <c r="J1500" t="s">
        <v>43</v>
      </c>
      <c r="K1500" t="s">
        <v>44</v>
      </c>
      <c r="L1500" t="s">
        <v>73</v>
      </c>
      <c r="M1500" t="s">
        <v>263</v>
      </c>
      <c r="N1500" t="s">
        <v>46</v>
      </c>
      <c r="P1500" t="s">
        <v>423</v>
      </c>
      <c r="R1500" s="5">
        <v>42066.968761574077</v>
      </c>
      <c r="S1500" s="5">
        <v>42678.624479166669</v>
      </c>
      <c r="T1500" t="s">
        <v>418</v>
      </c>
      <c r="U1500" t="s">
        <v>35</v>
      </c>
      <c r="V1500" s="3" t="s">
        <v>35</v>
      </c>
      <c r="W1500" s="3" t="s">
        <v>4098</v>
      </c>
      <c r="AM1500" s="5"/>
      <c r="AN1500" s="5"/>
      <c r="AQ1500" s="6"/>
    </row>
    <row r="1501" spans="2:43" x14ac:dyDescent="0.25">
      <c r="B1501" t="s">
        <v>2364</v>
      </c>
      <c r="C1501">
        <v>57874</v>
      </c>
      <c r="D1501" t="s">
        <v>2365</v>
      </c>
      <c r="E1501" t="s">
        <v>2354</v>
      </c>
      <c r="F1501" t="s">
        <v>305</v>
      </c>
      <c r="G1501" t="s">
        <v>304</v>
      </c>
      <c r="H1501" t="s">
        <v>30</v>
      </c>
      <c r="I1501" t="s">
        <v>31</v>
      </c>
      <c r="J1501" t="s">
        <v>43</v>
      </c>
      <c r="K1501" t="s">
        <v>44</v>
      </c>
      <c r="L1501" t="s">
        <v>34</v>
      </c>
      <c r="M1501" t="s">
        <v>1853</v>
      </c>
      <c r="N1501" t="s">
        <v>2355</v>
      </c>
      <c r="P1501" t="s">
        <v>2216</v>
      </c>
      <c r="R1501" s="5">
        <v>42061.67459490741</v>
      </c>
      <c r="S1501" s="5">
        <v>42216.450775462959</v>
      </c>
      <c r="T1501" t="s">
        <v>1913</v>
      </c>
      <c r="U1501" t="s">
        <v>35</v>
      </c>
      <c r="V1501" s="3" t="s">
        <v>35</v>
      </c>
      <c r="W1501" s="3" t="s">
        <v>2708</v>
      </c>
      <c r="AM1501" s="5"/>
      <c r="AN1501" s="5"/>
      <c r="AQ1501" s="6"/>
    </row>
    <row r="1502" spans="2:43" x14ac:dyDescent="0.25">
      <c r="B1502" t="s">
        <v>2358</v>
      </c>
      <c r="C1502">
        <v>57778</v>
      </c>
      <c r="D1502" t="s">
        <v>2363</v>
      </c>
      <c r="E1502" t="s">
        <v>94</v>
      </c>
      <c r="F1502" t="s">
        <v>305</v>
      </c>
      <c r="G1502" t="s">
        <v>328</v>
      </c>
      <c r="H1502" t="s">
        <v>30</v>
      </c>
      <c r="I1502" t="s">
        <v>31</v>
      </c>
      <c r="J1502" t="s">
        <v>32</v>
      </c>
      <c r="K1502" t="s">
        <v>33</v>
      </c>
      <c r="L1502" t="s">
        <v>73</v>
      </c>
      <c r="M1502" t="s">
        <v>295</v>
      </c>
      <c r="N1502" t="s">
        <v>518</v>
      </c>
      <c r="P1502" t="s">
        <v>2360</v>
      </c>
      <c r="R1502" s="5">
        <v>42060.306134259263</v>
      </c>
      <c r="S1502" s="5">
        <v>42258.65011574074</v>
      </c>
      <c r="T1502" t="s">
        <v>317</v>
      </c>
      <c r="U1502" t="s">
        <v>35</v>
      </c>
      <c r="V1502" s="3" t="s">
        <v>35</v>
      </c>
      <c r="W1502" s="3" t="s">
        <v>65</v>
      </c>
      <c r="AM1502" s="5"/>
      <c r="AN1502" s="5"/>
      <c r="AQ1502" s="6"/>
    </row>
    <row r="1503" spans="2:43" x14ac:dyDescent="0.25">
      <c r="B1503" t="s">
        <v>2358</v>
      </c>
      <c r="C1503">
        <v>57777</v>
      </c>
      <c r="D1503" t="s">
        <v>2361</v>
      </c>
      <c r="E1503" t="s">
        <v>94</v>
      </c>
      <c r="F1503" t="s">
        <v>305</v>
      </c>
      <c r="G1503" t="s">
        <v>328</v>
      </c>
      <c r="H1503" t="s">
        <v>30</v>
      </c>
      <c r="I1503" t="s">
        <v>31</v>
      </c>
      <c r="J1503" t="s">
        <v>32</v>
      </c>
      <c r="K1503" t="s">
        <v>33</v>
      </c>
      <c r="L1503" t="s">
        <v>73</v>
      </c>
      <c r="M1503" t="s">
        <v>295</v>
      </c>
      <c r="N1503" t="s">
        <v>46</v>
      </c>
      <c r="O1503" t="s">
        <v>2362</v>
      </c>
      <c r="P1503" t="s">
        <v>2360</v>
      </c>
      <c r="R1503" s="5">
        <v>42060.30605324074</v>
      </c>
      <c r="S1503" s="5">
        <v>42223.661747685182</v>
      </c>
      <c r="T1503" t="s">
        <v>317</v>
      </c>
      <c r="U1503" t="s">
        <v>35</v>
      </c>
      <c r="V1503" s="3" t="s">
        <v>35</v>
      </c>
      <c r="W1503" s="3" t="s">
        <v>4147</v>
      </c>
      <c r="AM1503" s="5"/>
      <c r="AN1503" s="5"/>
      <c r="AQ1503" s="6"/>
    </row>
    <row r="1504" spans="2:43" x14ac:dyDescent="0.25">
      <c r="B1504" t="s">
        <v>2358</v>
      </c>
      <c r="C1504">
        <v>57761</v>
      </c>
      <c r="D1504" t="s">
        <v>2359</v>
      </c>
      <c r="E1504" t="s">
        <v>94</v>
      </c>
      <c r="F1504" t="s">
        <v>305</v>
      </c>
      <c r="G1504" t="s">
        <v>328</v>
      </c>
      <c r="H1504" t="s">
        <v>30</v>
      </c>
      <c r="I1504" t="s">
        <v>31</v>
      </c>
      <c r="J1504" t="s">
        <v>32</v>
      </c>
      <c r="K1504" t="s">
        <v>33</v>
      </c>
      <c r="L1504" t="s">
        <v>73</v>
      </c>
      <c r="M1504" t="s">
        <v>295</v>
      </c>
      <c r="N1504" t="s">
        <v>46</v>
      </c>
      <c r="P1504" t="s">
        <v>2360</v>
      </c>
      <c r="R1504" s="5">
        <v>42059.985636574071</v>
      </c>
      <c r="S1504" s="5">
        <v>42678.633437500001</v>
      </c>
      <c r="T1504" t="s">
        <v>141</v>
      </c>
      <c r="U1504" t="s">
        <v>35</v>
      </c>
      <c r="V1504" s="3" t="s">
        <v>35</v>
      </c>
      <c r="W1504" s="3" t="s">
        <v>4098</v>
      </c>
      <c r="AM1504" s="5"/>
      <c r="AN1504" s="5"/>
      <c r="AQ1504" s="6"/>
    </row>
    <row r="1505" spans="2:43" x14ac:dyDescent="0.25">
      <c r="B1505" t="s">
        <v>2352</v>
      </c>
      <c r="C1505">
        <v>57666</v>
      </c>
      <c r="D1505" t="s">
        <v>2356</v>
      </c>
      <c r="E1505" t="s">
        <v>2354</v>
      </c>
      <c r="F1505" t="s">
        <v>305</v>
      </c>
      <c r="G1505" t="s">
        <v>304</v>
      </c>
      <c r="H1505" t="s">
        <v>2220</v>
      </c>
      <c r="I1505" t="s">
        <v>31</v>
      </c>
      <c r="J1505" t="s">
        <v>32</v>
      </c>
      <c r="K1505" t="s">
        <v>33</v>
      </c>
      <c r="L1505" t="s">
        <v>34</v>
      </c>
      <c r="M1505" t="s">
        <v>1853</v>
      </c>
      <c r="N1505" t="s">
        <v>46</v>
      </c>
      <c r="O1505" t="s">
        <v>2357</v>
      </c>
      <c r="P1505" t="s">
        <v>56</v>
      </c>
      <c r="R1505" s="5">
        <v>42058.183807870373</v>
      </c>
      <c r="S1505" s="5">
        <v>42116.901678240742</v>
      </c>
      <c r="T1505" t="s">
        <v>1913</v>
      </c>
      <c r="U1505" t="s">
        <v>35</v>
      </c>
      <c r="V1505" s="3" t="s">
        <v>35</v>
      </c>
      <c r="W1505" s="3" t="s">
        <v>2475</v>
      </c>
      <c r="AM1505" s="5"/>
      <c r="AN1505" s="5"/>
      <c r="AQ1505" s="6"/>
    </row>
    <row r="1506" spans="2:43" x14ac:dyDescent="0.25">
      <c r="B1506" t="s">
        <v>2352</v>
      </c>
      <c r="C1506">
        <v>57665</v>
      </c>
      <c r="D1506" t="s">
        <v>2353</v>
      </c>
      <c r="E1506" t="s">
        <v>2354</v>
      </c>
      <c r="F1506" t="s">
        <v>305</v>
      </c>
      <c r="G1506" t="s">
        <v>304</v>
      </c>
      <c r="H1506" t="s">
        <v>2220</v>
      </c>
      <c r="I1506" t="s">
        <v>31</v>
      </c>
      <c r="J1506" t="s">
        <v>32</v>
      </c>
      <c r="K1506" t="s">
        <v>33</v>
      </c>
      <c r="L1506" t="s">
        <v>34</v>
      </c>
      <c r="M1506" t="s">
        <v>1853</v>
      </c>
      <c r="N1506" t="s">
        <v>2355</v>
      </c>
      <c r="P1506" t="s">
        <v>56</v>
      </c>
      <c r="R1506" s="5">
        <v>42058.183738425927</v>
      </c>
      <c r="S1506" s="5">
        <v>42216.448425925926</v>
      </c>
      <c r="T1506" t="s">
        <v>1913</v>
      </c>
      <c r="U1506" t="s">
        <v>35</v>
      </c>
      <c r="V1506" s="3" t="s">
        <v>35</v>
      </c>
      <c r="W1506" s="3" t="s">
        <v>2708</v>
      </c>
      <c r="AM1506" s="5"/>
      <c r="AN1506" s="5"/>
      <c r="AQ1506" s="6"/>
    </row>
    <row r="1507" spans="2:43" x14ac:dyDescent="0.25">
      <c r="B1507" t="s">
        <v>2348</v>
      </c>
      <c r="C1507">
        <v>57664</v>
      </c>
      <c r="D1507" t="s">
        <v>2349</v>
      </c>
      <c r="E1507" t="s">
        <v>2350</v>
      </c>
      <c r="F1507" t="s">
        <v>305</v>
      </c>
      <c r="G1507" t="s">
        <v>304</v>
      </c>
      <c r="H1507" t="s">
        <v>30</v>
      </c>
      <c r="I1507" t="s">
        <v>68</v>
      </c>
      <c r="J1507" t="s">
        <v>58</v>
      </c>
      <c r="K1507" t="s">
        <v>44</v>
      </c>
      <c r="L1507" t="s">
        <v>34</v>
      </c>
      <c r="M1507" t="s">
        <v>2179</v>
      </c>
      <c r="N1507" t="s">
        <v>46</v>
      </c>
      <c r="O1507" t="s">
        <v>2351</v>
      </c>
      <c r="P1507" t="s">
        <v>56</v>
      </c>
      <c r="R1507" s="5">
        <v>42058.176122685189</v>
      </c>
      <c r="S1507" s="5">
        <v>42306.622106481482</v>
      </c>
      <c r="T1507" t="s">
        <v>1913</v>
      </c>
      <c r="U1507" t="s">
        <v>35</v>
      </c>
      <c r="V1507" s="3" t="s">
        <v>35</v>
      </c>
      <c r="W1507" s="3" t="s">
        <v>3120</v>
      </c>
      <c r="AM1507" s="5"/>
      <c r="AN1507" s="5"/>
      <c r="AQ1507" s="6"/>
    </row>
    <row r="1508" spans="2:43" x14ac:dyDescent="0.25">
      <c r="B1508" t="s">
        <v>2337</v>
      </c>
      <c r="C1508">
        <v>57541</v>
      </c>
      <c r="D1508" t="s">
        <v>2346</v>
      </c>
      <c r="E1508" t="s">
        <v>387</v>
      </c>
      <c r="F1508" t="s">
        <v>305</v>
      </c>
      <c r="G1508" t="s">
        <v>337</v>
      </c>
      <c r="H1508" t="s">
        <v>30</v>
      </c>
      <c r="I1508" t="s">
        <v>31</v>
      </c>
      <c r="J1508" t="s">
        <v>32</v>
      </c>
      <c r="K1508" t="s">
        <v>33</v>
      </c>
      <c r="L1508" t="s">
        <v>73</v>
      </c>
      <c r="M1508" t="s">
        <v>263</v>
      </c>
      <c r="N1508" t="s">
        <v>46</v>
      </c>
      <c r="O1508" t="s">
        <v>2347</v>
      </c>
      <c r="P1508" t="s">
        <v>491</v>
      </c>
      <c r="R1508" s="5">
        <v>42055.555069444446</v>
      </c>
      <c r="S1508" s="5">
        <v>42577.550659722219</v>
      </c>
      <c r="T1508" t="s">
        <v>317</v>
      </c>
      <c r="U1508" t="s">
        <v>35</v>
      </c>
      <c r="V1508" s="3" t="s">
        <v>35</v>
      </c>
      <c r="W1508" s="3" t="s">
        <v>4144</v>
      </c>
      <c r="AM1508" s="5"/>
      <c r="AN1508" s="5"/>
      <c r="AQ1508" s="6"/>
    </row>
    <row r="1509" spans="2:43" x14ac:dyDescent="0.25">
      <c r="B1509" t="s">
        <v>2337</v>
      </c>
      <c r="C1509">
        <v>57540</v>
      </c>
      <c r="D1509" t="s">
        <v>2345</v>
      </c>
      <c r="E1509" t="s">
        <v>387</v>
      </c>
      <c r="F1509" t="s">
        <v>305</v>
      </c>
      <c r="G1509" t="s">
        <v>328</v>
      </c>
      <c r="H1509" t="s">
        <v>30</v>
      </c>
      <c r="I1509" t="s">
        <v>31</v>
      </c>
      <c r="J1509" t="s">
        <v>32</v>
      </c>
      <c r="K1509" t="s">
        <v>33</v>
      </c>
      <c r="L1509" t="s">
        <v>73</v>
      </c>
      <c r="M1509" t="s">
        <v>263</v>
      </c>
      <c r="N1509" t="s">
        <v>46</v>
      </c>
      <c r="P1509" t="s">
        <v>491</v>
      </c>
      <c r="R1509" s="5">
        <v>42055.554988425924</v>
      </c>
      <c r="S1509" s="5">
        <v>42678.623020833336</v>
      </c>
      <c r="T1509" t="s">
        <v>317</v>
      </c>
      <c r="U1509" t="s">
        <v>35</v>
      </c>
      <c r="V1509" s="3" t="s">
        <v>35</v>
      </c>
      <c r="W1509" s="3" t="s">
        <v>4097</v>
      </c>
      <c r="AM1509" s="5"/>
      <c r="AN1509" s="5"/>
      <c r="AQ1509" s="6"/>
    </row>
    <row r="1510" spans="2:43" x14ac:dyDescent="0.25">
      <c r="B1510" t="s">
        <v>2337</v>
      </c>
      <c r="C1510">
        <v>57539</v>
      </c>
      <c r="D1510" t="s">
        <v>2344</v>
      </c>
      <c r="E1510" t="s">
        <v>387</v>
      </c>
      <c r="F1510" t="s">
        <v>305</v>
      </c>
      <c r="G1510" t="s">
        <v>328</v>
      </c>
      <c r="H1510" t="s">
        <v>30</v>
      </c>
      <c r="I1510" t="s">
        <v>31</v>
      </c>
      <c r="J1510" t="s">
        <v>32</v>
      </c>
      <c r="K1510" t="s">
        <v>33</v>
      </c>
      <c r="L1510" t="s">
        <v>73</v>
      </c>
      <c r="M1510" t="s">
        <v>263</v>
      </c>
      <c r="N1510" t="s">
        <v>46</v>
      </c>
      <c r="P1510" t="s">
        <v>491</v>
      </c>
      <c r="R1510" s="5">
        <v>42055.554930555554</v>
      </c>
      <c r="S1510" s="5">
        <v>42678.622777777775</v>
      </c>
      <c r="T1510" t="s">
        <v>317</v>
      </c>
      <c r="U1510" t="s">
        <v>35</v>
      </c>
      <c r="V1510" s="3" t="s">
        <v>35</v>
      </c>
      <c r="W1510" s="3" t="s">
        <v>65</v>
      </c>
      <c r="AM1510" s="5"/>
      <c r="AN1510" s="5"/>
      <c r="AQ1510" s="6"/>
    </row>
    <row r="1511" spans="2:43" x14ac:dyDescent="0.25">
      <c r="B1511" t="s">
        <v>2337</v>
      </c>
      <c r="C1511">
        <v>57538</v>
      </c>
      <c r="D1511" t="s">
        <v>2343</v>
      </c>
      <c r="E1511" t="s">
        <v>387</v>
      </c>
      <c r="F1511" t="s">
        <v>305</v>
      </c>
      <c r="G1511" t="s">
        <v>328</v>
      </c>
      <c r="H1511" t="s">
        <v>30</v>
      </c>
      <c r="I1511" t="s">
        <v>31</v>
      </c>
      <c r="J1511" t="s">
        <v>32</v>
      </c>
      <c r="K1511" t="s">
        <v>33</v>
      </c>
      <c r="L1511" t="s">
        <v>73</v>
      </c>
      <c r="M1511" t="s">
        <v>263</v>
      </c>
      <c r="N1511" t="s">
        <v>46</v>
      </c>
      <c r="P1511" t="s">
        <v>491</v>
      </c>
      <c r="R1511" s="5">
        <v>42055.554861111108</v>
      </c>
      <c r="S1511" s="5">
        <v>42678.623067129629</v>
      </c>
      <c r="T1511" t="s">
        <v>317</v>
      </c>
      <c r="U1511" t="s">
        <v>35</v>
      </c>
      <c r="V1511" s="3" t="s">
        <v>35</v>
      </c>
      <c r="W1511" s="3" t="s">
        <v>4147</v>
      </c>
      <c r="AM1511" s="5"/>
      <c r="AN1511" s="5"/>
      <c r="AQ1511" s="6"/>
    </row>
    <row r="1512" spans="2:43" x14ac:dyDescent="0.25">
      <c r="B1512" t="s">
        <v>2337</v>
      </c>
      <c r="C1512">
        <v>57537</v>
      </c>
      <c r="D1512" t="s">
        <v>2342</v>
      </c>
      <c r="E1512" t="s">
        <v>387</v>
      </c>
      <c r="F1512" t="s">
        <v>305</v>
      </c>
      <c r="G1512" t="s">
        <v>328</v>
      </c>
      <c r="H1512" t="s">
        <v>30</v>
      </c>
      <c r="I1512" t="s">
        <v>68</v>
      </c>
      <c r="J1512" t="s">
        <v>43</v>
      </c>
      <c r="K1512" t="s">
        <v>33</v>
      </c>
      <c r="L1512" t="s">
        <v>73</v>
      </c>
      <c r="M1512" t="s">
        <v>263</v>
      </c>
      <c r="N1512" t="s">
        <v>46</v>
      </c>
      <c r="O1512" t="s">
        <v>2117</v>
      </c>
      <c r="P1512" t="s">
        <v>491</v>
      </c>
      <c r="R1512" s="5">
        <v>42055.554780092592</v>
      </c>
      <c r="S1512" s="5">
        <v>42678.621261574073</v>
      </c>
      <c r="T1512" t="s">
        <v>317</v>
      </c>
      <c r="U1512" t="s">
        <v>35</v>
      </c>
      <c r="V1512" s="3" t="s">
        <v>321</v>
      </c>
      <c r="W1512" s="3" t="s">
        <v>2552</v>
      </c>
      <c r="AM1512" s="5"/>
      <c r="AN1512" s="5"/>
      <c r="AQ1512" s="6"/>
    </row>
    <row r="1513" spans="2:43" x14ac:dyDescent="0.25">
      <c r="B1513" t="s">
        <v>2337</v>
      </c>
      <c r="C1513">
        <v>57536</v>
      </c>
      <c r="D1513" t="s">
        <v>2341</v>
      </c>
      <c r="E1513" t="s">
        <v>387</v>
      </c>
      <c r="F1513" t="s">
        <v>305</v>
      </c>
      <c r="G1513" t="s">
        <v>328</v>
      </c>
      <c r="H1513" t="s">
        <v>30</v>
      </c>
      <c r="I1513" t="s">
        <v>31</v>
      </c>
      <c r="J1513" t="s">
        <v>32</v>
      </c>
      <c r="K1513" t="s">
        <v>33</v>
      </c>
      <c r="L1513" t="s">
        <v>73</v>
      </c>
      <c r="M1513" t="s">
        <v>263</v>
      </c>
      <c r="N1513" t="s">
        <v>46</v>
      </c>
      <c r="P1513" t="s">
        <v>491</v>
      </c>
      <c r="R1513" s="5">
        <v>42055.554710648146</v>
      </c>
      <c r="S1513" s="5">
        <v>42678.622939814813</v>
      </c>
      <c r="T1513" t="s">
        <v>317</v>
      </c>
      <c r="U1513" t="s">
        <v>35</v>
      </c>
      <c r="V1513" s="3" t="s">
        <v>35</v>
      </c>
      <c r="W1513" s="3" t="s">
        <v>4132</v>
      </c>
      <c r="AM1513" s="5"/>
      <c r="AN1513" s="5"/>
      <c r="AQ1513" s="6"/>
    </row>
    <row r="1514" spans="2:43" x14ac:dyDescent="0.25">
      <c r="B1514" t="s">
        <v>2337</v>
      </c>
      <c r="C1514">
        <v>57519</v>
      </c>
      <c r="D1514" t="s">
        <v>2338</v>
      </c>
      <c r="E1514" t="s">
        <v>445</v>
      </c>
      <c r="F1514" t="s">
        <v>305</v>
      </c>
      <c r="G1514" t="s">
        <v>328</v>
      </c>
      <c r="H1514" t="s">
        <v>30</v>
      </c>
      <c r="I1514" t="s">
        <v>31</v>
      </c>
      <c r="J1514" t="s">
        <v>32</v>
      </c>
      <c r="K1514" t="s">
        <v>33</v>
      </c>
      <c r="L1514" t="s">
        <v>73</v>
      </c>
      <c r="M1514" t="s">
        <v>263</v>
      </c>
      <c r="N1514" t="s">
        <v>46</v>
      </c>
      <c r="O1514" t="s">
        <v>2339</v>
      </c>
      <c r="P1514" t="s">
        <v>491</v>
      </c>
      <c r="Q1514" t="s">
        <v>2340</v>
      </c>
      <c r="R1514" s="5">
        <v>42055.432152777779</v>
      </c>
      <c r="S1514" s="5">
        <v>42923.406666666669</v>
      </c>
      <c r="T1514" t="s">
        <v>86</v>
      </c>
      <c r="U1514" t="s">
        <v>35</v>
      </c>
      <c r="V1514" s="3" t="s">
        <v>321</v>
      </c>
      <c r="W1514" s="3" t="s">
        <v>4098</v>
      </c>
      <c r="AM1514" s="5"/>
      <c r="AN1514" s="5"/>
      <c r="AQ1514" s="6"/>
    </row>
    <row r="1515" spans="2:43" x14ac:dyDescent="0.25">
      <c r="B1515" t="s">
        <v>2281</v>
      </c>
      <c r="C1515">
        <v>57448</v>
      </c>
      <c r="D1515" t="s">
        <v>2335</v>
      </c>
      <c r="E1515" t="s">
        <v>435</v>
      </c>
      <c r="F1515" t="s">
        <v>305</v>
      </c>
      <c r="G1515" t="s">
        <v>337</v>
      </c>
      <c r="H1515" t="s">
        <v>30</v>
      </c>
      <c r="I1515" t="s">
        <v>31</v>
      </c>
      <c r="J1515" t="s">
        <v>32</v>
      </c>
      <c r="K1515" t="s">
        <v>44</v>
      </c>
      <c r="L1515" t="s">
        <v>380</v>
      </c>
      <c r="M1515" t="s">
        <v>434</v>
      </c>
      <c r="N1515" t="s">
        <v>46</v>
      </c>
      <c r="O1515" t="s">
        <v>2336</v>
      </c>
      <c r="P1515" t="s">
        <v>394</v>
      </c>
      <c r="R1515" s="5">
        <v>42054.688379629632</v>
      </c>
      <c r="S1515" s="5">
        <v>42293.735567129632</v>
      </c>
      <c r="T1515" t="s">
        <v>435</v>
      </c>
      <c r="U1515" t="s">
        <v>35</v>
      </c>
      <c r="V1515" s="3" t="s">
        <v>35</v>
      </c>
      <c r="W1515" s="3" t="s">
        <v>4147</v>
      </c>
      <c r="AM1515" s="5"/>
      <c r="AN1515" s="5"/>
      <c r="AQ1515" s="6"/>
    </row>
    <row r="1516" spans="2:43" x14ac:dyDescent="0.25">
      <c r="B1516" t="s">
        <v>2322</v>
      </c>
      <c r="C1516">
        <v>57384</v>
      </c>
      <c r="D1516" t="s">
        <v>2334</v>
      </c>
      <c r="E1516" t="s">
        <v>387</v>
      </c>
      <c r="F1516" t="s">
        <v>305</v>
      </c>
      <c r="G1516" t="s">
        <v>337</v>
      </c>
      <c r="H1516" t="s">
        <v>30</v>
      </c>
      <c r="I1516" t="s">
        <v>68</v>
      </c>
      <c r="J1516" t="s">
        <v>43</v>
      </c>
      <c r="K1516" t="s">
        <v>33</v>
      </c>
      <c r="L1516" t="s">
        <v>73</v>
      </c>
      <c r="M1516" t="s">
        <v>263</v>
      </c>
      <c r="N1516" t="s">
        <v>46</v>
      </c>
      <c r="P1516" t="s">
        <v>1634</v>
      </c>
      <c r="R1516" s="5">
        <v>42053.69190972222</v>
      </c>
      <c r="S1516" s="5">
        <v>42053.694710648146</v>
      </c>
      <c r="T1516" t="s">
        <v>317</v>
      </c>
      <c r="U1516" t="s">
        <v>35</v>
      </c>
      <c r="V1516" s="3" t="s">
        <v>35</v>
      </c>
      <c r="W1516" s="3" t="s">
        <v>491</v>
      </c>
      <c r="AM1516" s="5"/>
      <c r="AN1516" s="5"/>
      <c r="AQ1516" s="6"/>
    </row>
    <row r="1517" spans="2:43" x14ac:dyDescent="0.25">
      <c r="B1517" t="s">
        <v>2322</v>
      </c>
      <c r="C1517">
        <v>57383</v>
      </c>
      <c r="D1517" t="s">
        <v>2333</v>
      </c>
      <c r="E1517" t="s">
        <v>387</v>
      </c>
      <c r="F1517" t="s">
        <v>305</v>
      </c>
      <c r="G1517" t="s">
        <v>337</v>
      </c>
      <c r="H1517" t="s">
        <v>30</v>
      </c>
      <c r="I1517" t="s">
        <v>68</v>
      </c>
      <c r="J1517" t="s">
        <v>43</v>
      </c>
      <c r="K1517" t="s">
        <v>33</v>
      </c>
      <c r="L1517" t="s">
        <v>73</v>
      </c>
      <c r="M1517" t="s">
        <v>263</v>
      </c>
      <c r="N1517" t="s">
        <v>46</v>
      </c>
      <c r="P1517" t="s">
        <v>1634</v>
      </c>
      <c r="R1517" s="5">
        <v>42053.691817129627</v>
      </c>
      <c r="S1517" s="5">
        <v>42678.623865740738</v>
      </c>
      <c r="T1517" t="s">
        <v>317</v>
      </c>
      <c r="U1517" t="s">
        <v>35</v>
      </c>
      <c r="V1517" s="3" t="s">
        <v>35</v>
      </c>
      <c r="W1517" s="3" t="s">
        <v>4097</v>
      </c>
      <c r="AM1517" s="5"/>
      <c r="AN1517" s="5"/>
      <c r="AQ1517" s="6"/>
    </row>
    <row r="1518" spans="2:43" x14ac:dyDescent="0.25">
      <c r="B1518" t="s">
        <v>2322</v>
      </c>
      <c r="C1518">
        <v>57382</v>
      </c>
      <c r="D1518" t="s">
        <v>2332</v>
      </c>
      <c r="E1518" t="s">
        <v>387</v>
      </c>
      <c r="F1518" t="s">
        <v>305</v>
      </c>
      <c r="G1518" t="s">
        <v>337</v>
      </c>
      <c r="H1518" t="s">
        <v>30</v>
      </c>
      <c r="I1518" t="s">
        <v>68</v>
      </c>
      <c r="J1518" t="s">
        <v>43</v>
      </c>
      <c r="K1518" t="s">
        <v>33</v>
      </c>
      <c r="L1518" t="s">
        <v>73</v>
      </c>
      <c r="M1518" t="s">
        <v>263</v>
      </c>
      <c r="N1518" t="s">
        <v>46</v>
      </c>
      <c r="P1518" t="s">
        <v>1634</v>
      </c>
      <c r="R1518" s="5">
        <v>42053.691736111112</v>
      </c>
      <c r="S1518" s="5">
        <v>42678.624513888892</v>
      </c>
      <c r="T1518" t="s">
        <v>317</v>
      </c>
      <c r="U1518" t="s">
        <v>35</v>
      </c>
      <c r="V1518" s="3" t="s">
        <v>35</v>
      </c>
      <c r="W1518" s="3" t="s">
        <v>65</v>
      </c>
      <c r="AM1518" s="5"/>
      <c r="AN1518" s="5"/>
      <c r="AQ1518" s="6"/>
    </row>
    <row r="1519" spans="2:43" x14ac:dyDescent="0.25">
      <c r="B1519" t="s">
        <v>2322</v>
      </c>
      <c r="C1519">
        <v>57381</v>
      </c>
      <c r="D1519" t="s">
        <v>2331</v>
      </c>
      <c r="E1519" t="s">
        <v>387</v>
      </c>
      <c r="F1519" t="s">
        <v>305</v>
      </c>
      <c r="G1519" t="s">
        <v>337</v>
      </c>
      <c r="H1519" t="s">
        <v>30</v>
      </c>
      <c r="I1519" t="s">
        <v>68</v>
      </c>
      <c r="J1519" t="s">
        <v>43</v>
      </c>
      <c r="K1519" t="s">
        <v>33</v>
      </c>
      <c r="L1519" t="s">
        <v>73</v>
      </c>
      <c r="M1519" t="s">
        <v>263</v>
      </c>
      <c r="N1519" t="s">
        <v>46</v>
      </c>
      <c r="P1519" t="s">
        <v>1634</v>
      </c>
      <c r="R1519" s="5">
        <v>42053.691666666666</v>
      </c>
      <c r="S1519" s="5">
        <v>42053.6953587963</v>
      </c>
      <c r="T1519" t="s">
        <v>317</v>
      </c>
      <c r="U1519" t="s">
        <v>35</v>
      </c>
      <c r="V1519" s="3" t="s">
        <v>35</v>
      </c>
      <c r="W1519" s="3" t="s">
        <v>4147</v>
      </c>
      <c r="AM1519" s="5"/>
      <c r="AN1519" s="5"/>
      <c r="AQ1519" s="6"/>
    </row>
    <row r="1520" spans="2:43" x14ac:dyDescent="0.25">
      <c r="B1520" t="s">
        <v>2322</v>
      </c>
      <c r="C1520">
        <v>57380</v>
      </c>
      <c r="D1520" t="s">
        <v>2330</v>
      </c>
      <c r="E1520" t="s">
        <v>387</v>
      </c>
      <c r="F1520" t="s">
        <v>305</v>
      </c>
      <c r="G1520" t="s">
        <v>337</v>
      </c>
      <c r="H1520" t="s">
        <v>30</v>
      </c>
      <c r="I1520" t="s">
        <v>68</v>
      </c>
      <c r="J1520" t="s">
        <v>43</v>
      </c>
      <c r="K1520" t="s">
        <v>33</v>
      </c>
      <c r="L1520" t="s">
        <v>73</v>
      </c>
      <c r="M1520" t="s">
        <v>263</v>
      </c>
      <c r="N1520" t="s">
        <v>46</v>
      </c>
      <c r="P1520" t="s">
        <v>1634</v>
      </c>
      <c r="R1520" s="5">
        <v>42053.69159722222</v>
      </c>
      <c r="S1520" s="5">
        <v>42053.695439814815</v>
      </c>
      <c r="T1520" t="s">
        <v>317</v>
      </c>
      <c r="U1520" t="s">
        <v>35</v>
      </c>
      <c r="V1520" s="3" t="s">
        <v>35</v>
      </c>
      <c r="W1520" s="3" t="s">
        <v>2552</v>
      </c>
      <c r="AM1520" s="5"/>
      <c r="AN1520" s="5"/>
      <c r="AQ1520" s="6"/>
    </row>
    <row r="1521" spans="2:43" x14ac:dyDescent="0.25">
      <c r="B1521" t="s">
        <v>2322</v>
      </c>
      <c r="C1521">
        <v>57379</v>
      </c>
      <c r="D1521" t="s">
        <v>2329</v>
      </c>
      <c r="E1521" t="s">
        <v>387</v>
      </c>
      <c r="F1521" t="s">
        <v>305</v>
      </c>
      <c r="G1521" t="s">
        <v>310</v>
      </c>
      <c r="H1521" t="s">
        <v>30</v>
      </c>
      <c r="I1521" t="s">
        <v>68</v>
      </c>
      <c r="J1521" t="s">
        <v>43</v>
      </c>
      <c r="K1521" t="s">
        <v>33</v>
      </c>
      <c r="L1521" t="s">
        <v>73</v>
      </c>
      <c r="M1521" t="s">
        <v>263</v>
      </c>
      <c r="N1521" t="s">
        <v>46</v>
      </c>
      <c r="P1521" t="s">
        <v>1634</v>
      </c>
      <c r="R1521" s="5">
        <v>42053.691516203704</v>
      </c>
      <c r="S1521" s="5">
        <v>42053.695543981485</v>
      </c>
      <c r="T1521" t="s">
        <v>317</v>
      </c>
      <c r="U1521" t="s">
        <v>35</v>
      </c>
      <c r="V1521" s="3" t="s">
        <v>35</v>
      </c>
      <c r="W1521" s="3" t="s">
        <v>4132</v>
      </c>
      <c r="AM1521" s="5"/>
      <c r="AN1521" s="5"/>
      <c r="AQ1521" s="6"/>
    </row>
    <row r="1522" spans="2:43" x14ac:dyDescent="0.25">
      <c r="B1522" t="s">
        <v>2253</v>
      </c>
      <c r="C1522">
        <v>56737</v>
      </c>
      <c r="D1522" t="s">
        <v>2327</v>
      </c>
      <c r="E1522" t="s">
        <v>442</v>
      </c>
      <c r="F1522" t="s">
        <v>305</v>
      </c>
      <c r="G1522" t="s">
        <v>337</v>
      </c>
      <c r="H1522" t="s">
        <v>30</v>
      </c>
      <c r="I1522" t="s">
        <v>31</v>
      </c>
      <c r="J1522" t="s">
        <v>32</v>
      </c>
      <c r="K1522" t="s">
        <v>33</v>
      </c>
      <c r="L1522" t="s">
        <v>96</v>
      </c>
      <c r="M1522" t="s">
        <v>269</v>
      </c>
      <c r="N1522" t="s">
        <v>46</v>
      </c>
      <c r="O1522" t="s">
        <v>2328</v>
      </c>
      <c r="P1522" t="s">
        <v>2268</v>
      </c>
      <c r="R1522" s="5">
        <v>42044.802476851852</v>
      </c>
      <c r="S1522" s="5">
        <v>42709.806354166663</v>
      </c>
      <c r="T1522" t="s">
        <v>317</v>
      </c>
      <c r="U1522" t="s">
        <v>35</v>
      </c>
      <c r="V1522" s="3" t="s">
        <v>321</v>
      </c>
      <c r="W1522" s="3" t="s">
        <v>4147</v>
      </c>
      <c r="AM1522" s="5"/>
      <c r="AN1522" s="5"/>
      <c r="AQ1522" s="6"/>
    </row>
    <row r="1523" spans="2:43" x14ac:dyDescent="0.25">
      <c r="B1523" t="s">
        <v>2109</v>
      </c>
      <c r="C1523">
        <v>56687</v>
      </c>
      <c r="D1523" t="s">
        <v>2326</v>
      </c>
      <c r="E1523" t="s">
        <v>2027</v>
      </c>
      <c r="F1523" t="s">
        <v>305</v>
      </c>
      <c r="G1523" t="s">
        <v>337</v>
      </c>
      <c r="H1523" t="s">
        <v>54</v>
      </c>
      <c r="I1523" t="s">
        <v>31</v>
      </c>
      <c r="J1523" t="s">
        <v>43</v>
      </c>
      <c r="K1523" t="s">
        <v>44</v>
      </c>
      <c r="L1523" t="s">
        <v>73</v>
      </c>
      <c r="M1523" t="s">
        <v>263</v>
      </c>
      <c r="N1523" t="s">
        <v>46</v>
      </c>
      <c r="P1523" t="s">
        <v>1749</v>
      </c>
      <c r="Q1523" t="s">
        <v>2112</v>
      </c>
      <c r="R1523" s="5">
        <v>42041.992129629631</v>
      </c>
      <c r="S1523" s="5">
        <v>42678.635000000002</v>
      </c>
      <c r="T1523" t="s">
        <v>53</v>
      </c>
      <c r="U1523" t="s">
        <v>35</v>
      </c>
      <c r="V1523" s="3" t="s">
        <v>35</v>
      </c>
      <c r="W1523" s="3" t="s">
        <v>4147</v>
      </c>
      <c r="AM1523" s="5"/>
      <c r="AN1523" s="5"/>
      <c r="AQ1523" s="6"/>
    </row>
    <row r="1524" spans="2:43" x14ac:dyDescent="0.25">
      <c r="B1524" t="s">
        <v>2254</v>
      </c>
      <c r="C1524">
        <v>56685</v>
      </c>
      <c r="D1524" t="s">
        <v>2324</v>
      </c>
      <c r="E1524" t="s">
        <v>2325</v>
      </c>
      <c r="F1524" t="s">
        <v>305</v>
      </c>
      <c r="G1524" t="s">
        <v>304</v>
      </c>
      <c r="H1524" t="s">
        <v>30</v>
      </c>
      <c r="I1524" t="s">
        <v>31</v>
      </c>
      <c r="J1524" t="s">
        <v>43</v>
      </c>
      <c r="K1524" t="s">
        <v>51</v>
      </c>
      <c r="L1524" t="s">
        <v>195</v>
      </c>
      <c r="M1524" t="s">
        <v>324</v>
      </c>
      <c r="N1524" t="s">
        <v>46</v>
      </c>
      <c r="P1524" t="s">
        <v>437</v>
      </c>
      <c r="R1524" s="5">
        <v>42041.986504629633</v>
      </c>
      <c r="S1524" s="5">
        <v>42709.764143518521</v>
      </c>
      <c r="T1524" t="s">
        <v>53</v>
      </c>
      <c r="U1524" t="s">
        <v>35</v>
      </c>
      <c r="V1524" s="3" t="s">
        <v>35</v>
      </c>
      <c r="W1524" s="3" t="s">
        <v>65</v>
      </c>
      <c r="AM1524" s="5"/>
      <c r="AN1524" s="5"/>
      <c r="AQ1524" s="6"/>
    </row>
    <row r="1525" spans="2:43" x14ac:dyDescent="0.25">
      <c r="B1525" t="s">
        <v>2322</v>
      </c>
      <c r="C1525">
        <v>56663</v>
      </c>
      <c r="D1525" t="s">
        <v>2323</v>
      </c>
      <c r="E1525" t="s">
        <v>387</v>
      </c>
      <c r="F1525" t="s">
        <v>305</v>
      </c>
      <c r="G1525" t="s">
        <v>337</v>
      </c>
      <c r="H1525" t="s">
        <v>30</v>
      </c>
      <c r="I1525" t="s">
        <v>68</v>
      </c>
      <c r="J1525" t="s">
        <v>43</v>
      </c>
      <c r="K1525" t="s">
        <v>33</v>
      </c>
      <c r="L1525" t="s">
        <v>73</v>
      </c>
      <c r="M1525" t="s">
        <v>263</v>
      </c>
      <c r="N1525" t="s">
        <v>46</v>
      </c>
      <c r="P1525" t="s">
        <v>1634</v>
      </c>
      <c r="R1525" s="5">
        <v>42041.73914351852</v>
      </c>
      <c r="S1525" s="5">
        <v>42678.624247685184</v>
      </c>
      <c r="T1525" t="s">
        <v>1</v>
      </c>
      <c r="U1525" t="s">
        <v>35</v>
      </c>
      <c r="V1525" s="3" t="s">
        <v>35</v>
      </c>
      <c r="W1525" s="3" t="s">
        <v>4098</v>
      </c>
      <c r="AM1525" s="5"/>
      <c r="AN1525" s="5"/>
      <c r="AQ1525" s="6"/>
    </row>
    <row r="1526" spans="2:43" x14ac:dyDescent="0.25">
      <c r="B1526" t="s">
        <v>2313</v>
      </c>
      <c r="C1526">
        <v>56415</v>
      </c>
      <c r="D1526" t="s">
        <v>2321</v>
      </c>
      <c r="E1526" t="s">
        <v>450</v>
      </c>
      <c r="F1526" t="s">
        <v>305</v>
      </c>
      <c r="G1526" t="s">
        <v>328</v>
      </c>
      <c r="H1526" t="s">
        <v>54</v>
      </c>
      <c r="I1526" t="s">
        <v>31</v>
      </c>
      <c r="J1526" t="s">
        <v>32</v>
      </c>
      <c r="K1526" t="s">
        <v>44</v>
      </c>
      <c r="L1526" t="s">
        <v>73</v>
      </c>
      <c r="M1526" t="s">
        <v>263</v>
      </c>
      <c r="N1526" t="s">
        <v>46</v>
      </c>
      <c r="O1526" t="s">
        <v>2315</v>
      </c>
      <c r="P1526" t="s">
        <v>1634</v>
      </c>
      <c r="R1526" s="5">
        <v>42038.656238425923</v>
      </c>
      <c r="S1526" s="5">
        <v>42709.810555555552</v>
      </c>
      <c r="T1526" t="s">
        <v>317</v>
      </c>
      <c r="U1526" t="s">
        <v>35</v>
      </c>
      <c r="V1526" s="3" t="s">
        <v>321</v>
      </c>
      <c r="W1526" s="3" t="s">
        <v>4147</v>
      </c>
      <c r="AM1526" s="5"/>
      <c r="AN1526" s="5"/>
      <c r="AQ1526" s="6"/>
    </row>
    <row r="1527" spans="2:43" x14ac:dyDescent="0.25">
      <c r="B1527" t="s">
        <v>2313</v>
      </c>
      <c r="C1527">
        <v>56414</v>
      </c>
      <c r="D1527" t="s">
        <v>2319</v>
      </c>
      <c r="E1527" t="s">
        <v>139</v>
      </c>
      <c r="F1527" t="s">
        <v>305</v>
      </c>
      <c r="G1527" t="s">
        <v>328</v>
      </c>
      <c r="H1527" t="s">
        <v>54</v>
      </c>
      <c r="I1527" t="s">
        <v>31</v>
      </c>
      <c r="J1527" t="s">
        <v>32</v>
      </c>
      <c r="K1527" t="s">
        <v>51</v>
      </c>
      <c r="L1527" t="s">
        <v>73</v>
      </c>
      <c r="M1527" t="s">
        <v>263</v>
      </c>
      <c r="N1527" t="s">
        <v>46</v>
      </c>
      <c r="O1527" t="s">
        <v>2320</v>
      </c>
      <c r="P1527" t="s">
        <v>1634</v>
      </c>
      <c r="R1527" s="5">
        <v>42038.656122685185</v>
      </c>
      <c r="S1527" s="5">
        <v>42678.621041666665</v>
      </c>
      <c r="T1527" t="s">
        <v>317</v>
      </c>
      <c r="U1527" t="s">
        <v>35</v>
      </c>
      <c r="V1527" s="3" t="s">
        <v>321</v>
      </c>
      <c r="W1527" s="3" t="s">
        <v>2552</v>
      </c>
      <c r="AM1527" s="5"/>
      <c r="AN1527" s="5"/>
      <c r="AQ1527" s="6"/>
    </row>
    <row r="1528" spans="2:43" x14ac:dyDescent="0.25">
      <c r="B1528" t="s">
        <v>2313</v>
      </c>
      <c r="C1528">
        <v>56413</v>
      </c>
      <c r="D1528" t="s">
        <v>2318</v>
      </c>
      <c r="E1528" t="s">
        <v>387</v>
      </c>
      <c r="F1528" t="s">
        <v>305</v>
      </c>
      <c r="G1528" t="s">
        <v>328</v>
      </c>
      <c r="H1528" t="s">
        <v>54</v>
      </c>
      <c r="I1528" t="s">
        <v>31</v>
      </c>
      <c r="J1528" t="s">
        <v>32</v>
      </c>
      <c r="K1528" t="s">
        <v>51</v>
      </c>
      <c r="L1528" t="s">
        <v>73</v>
      </c>
      <c r="M1528" t="s">
        <v>263</v>
      </c>
      <c r="N1528" t="s">
        <v>46</v>
      </c>
      <c r="P1528" t="s">
        <v>1634</v>
      </c>
      <c r="R1528" s="5">
        <v>42038.656006944446</v>
      </c>
      <c r="S1528" s="5">
        <v>42678.623159722221</v>
      </c>
      <c r="T1528" t="s">
        <v>317</v>
      </c>
      <c r="U1528" t="s">
        <v>35</v>
      </c>
      <c r="V1528" s="3" t="s">
        <v>321</v>
      </c>
      <c r="W1528" s="3" t="s">
        <v>4132</v>
      </c>
      <c r="AM1528" s="5"/>
      <c r="AN1528" s="5"/>
      <c r="AQ1528" s="6"/>
    </row>
    <row r="1529" spans="2:43" x14ac:dyDescent="0.25">
      <c r="B1529" t="s">
        <v>2317</v>
      </c>
      <c r="C1529">
        <v>56399</v>
      </c>
      <c r="D1529" t="s">
        <v>431</v>
      </c>
      <c r="E1529" t="s">
        <v>296</v>
      </c>
      <c r="F1529" t="s">
        <v>305</v>
      </c>
      <c r="G1529" t="s">
        <v>304</v>
      </c>
      <c r="H1529" t="s">
        <v>30</v>
      </c>
      <c r="I1529" t="s">
        <v>31</v>
      </c>
      <c r="J1529" t="s">
        <v>43</v>
      </c>
      <c r="K1529" t="s">
        <v>44</v>
      </c>
      <c r="L1529" t="s">
        <v>73</v>
      </c>
      <c r="M1529" t="s">
        <v>277</v>
      </c>
      <c r="N1529" t="s">
        <v>46</v>
      </c>
      <c r="P1529" t="s">
        <v>394</v>
      </c>
      <c r="R1529" s="5">
        <v>42037.999432870369</v>
      </c>
      <c r="S1529" s="5">
        <v>42759.712141203701</v>
      </c>
      <c r="T1529" t="s">
        <v>430</v>
      </c>
      <c r="U1529" t="s">
        <v>35</v>
      </c>
      <c r="V1529" s="3" t="s">
        <v>35</v>
      </c>
      <c r="W1529" s="3" t="s">
        <v>4098</v>
      </c>
      <c r="AM1529" s="5"/>
      <c r="AN1529" s="5"/>
      <c r="AQ1529" s="6"/>
    </row>
    <row r="1530" spans="2:43" x14ac:dyDescent="0.25">
      <c r="B1530" t="s">
        <v>2293</v>
      </c>
      <c r="C1530">
        <v>56325</v>
      </c>
      <c r="D1530" t="s">
        <v>2316</v>
      </c>
      <c r="E1530" t="s">
        <v>139</v>
      </c>
      <c r="F1530" t="s">
        <v>305</v>
      </c>
      <c r="G1530" t="s">
        <v>304</v>
      </c>
      <c r="H1530" t="s">
        <v>30</v>
      </c>
      <c r="I1530" t="s">
        <v>68</v>
      </c>
      <c r="J1530" t="s">
        <v>32</v>
      </c>
      <c r="K1530" t="s">
        <v>33</v>
      </c>
      <c r="L1530" t="s">
        <v>73</v>
      </c>
      <c r="M1530" t="s">
        <v>263</v>
      </c>
      <c r="N1530" t="s">
        <v>46</v>
      </c>
      <c r="P1530" t="s">
        <v>2121</v>
      </c>
      <c r="R1530" s="5">
        <v>42034.958692129629</v>
      </c>
      <c r="S1530" s="5">
        <v>42648.841944444444</v>
      </c>
      <c r="T1530" t="s">
        <v>301</v>
      </c>
      <c r="U1530" t="s">
        <v>3936</v>
      </c>
      <c r="V1530" s="3" t="s">
        <v>35</v>
      </c>
      <c r="W1530" s="3" t="s">
        <v>47</v>
      </c>
      <c r="AM1530" s="5"/>
      <c r="AN1530" s="5"/>
      <c r="AQ1530" s="6"/>
    </row>
    <row r="1531" spans="2:43" x14ac:dyDescent="0.25">
      <c r="B1531" t="s">
        <v>2313</v>
      </c>
      <c r="C1531">
        <v>56290</v>
      </c>
      <c r="D1531" t="s">
        <v>2314</v>
      </c>
      <c r="E1531" t="s">
        <v>139</v>
      </c>
      <c r="F1531" t="s">
        <v>305</v>
      </c>
      <c r="G1531" t="s">
        <v>328</v>
      </c>
      <c r="H1531" t="s">
        <v>54</v>
      </c>
      <c r="I1531" t="s">
        <v>31</v>
      </c>
      <c r="J1531" t="s">
        <v>32</v>
      </c>
      <c r="K1531" t="s">
        <v>44</v>
      </c>
      <c r="L1531" t="s">
        <v>73</v>
      </c>
      <c r="M1531" t="s">
        <v>263</v>
      </c>
      <c r="N1531" t="s">
        <v>46</v>
      </c>
      <c r="O1531" t="s">
        <v>2315</v>
      </c>
      <c r="P1531" t="s">
        <v>1634</v>
      </c>
      <c r="R1531" s="5">
        <v>42034.424201388887</v>
      </c>
      <c r="S1531" s="5">
        <v>42678.622858796298</v>
      </c>
      <c r="T1531" t="s">
        <v>450</v>
      </c>
      <c r="U1531" t="s">
        <v>35</v>
      </c>
      <c r="V1531" s="3" t="s">
        <v>321</v>
      </c>
      <c r="W1531" s="3" t="s">
        <v>4098</v>
      </c>
      <c r="AM1531" s="5"/>
      <c r="AN1531" s="5"/>
      <c r="AQ1531" s="6"/>
    </row>
    <row r="1532" spans="2:43" x14ac:dyDescent="0.25">
      <c r="B1532" t="s">
        <v>2274</v>
      </c>
      <c r="C1532">
        <v>56265</v>
      </c>
      <c r="D1532" t="s">
        <v>2311</v>
      </c>
      <c r="E1532" t="s">
        <v>164</v>
      </c>
      <c r="F1532" t="s">
        <v>305</v>
      </c>
      <c r="G1532" t="s">
        <v>304</v>
      </c>
      <c r="H1532" t="s">
        <v>30</v>
      </c>
      <c r="I1532" t="s">
        <v>68</v>
      </c>
      <c r="J1532" t="s">
        <v>43</v>
      </c>
      <c r="K1532" t="s">
        <v>33</v>
      </c>
      <c r="L1532" t="s">
        <v>34</v>
      </c>
      <c r="M1532" t="s">
        <v>278</v>
      </c>
      <c r="N1532" t="s">
        <v>46</v>
      </c>
      <c r="O1532" t="s">
        <v>2312</v>
      </c>
      <c r="P1532" t="s">
        <v>2287</v>
      </c>
      <c r="R1532" s="5">
        <v>42033.944351851853</v>
      </c>
      <c r="S1532" s="5">
        <v>42249.726678240739</v>
      </c>
      <c r="T1532" t="s">
        <v>53</v>
      </c>
      <c r="U1532" t="s">
        <v>3935</v>
      </c>
      <c r="V1532" s="3" t="s">
        <v>35</v>
      </c>
      <c r="W1532" s="3" t="s">
        <v>369</v>
      </c>
      <c r="AM1532" s="5"/>
      <c r="AN1532" s="5"/>
      <c r="AQ1532" s="6"/>
    </row>
    <row r="1533" spans="2:43" x14ac:dyDescent="0.25">
      <c r="B1533" t="s">
        <v>2309</v>
      </c>
      <c r="C1533">
        <v>56192</v>
      </c>
      <c r="D1533" t="s">
        <v>2310</v>
      </c>
      <c r="E1533" t="s">
        <v>139</v>
      </c>
      <c r="F1533" t="s">
        <v>305</v>
      </c>
      <c r="G1533" t="s">
        <v>353</v>
      </c>
      <c r="H1533" t="s">
        <v>30</v>
      </c>
      <c r="I1533" t="s">
        <v>31</v>
      </c>
      <c r="J1533" t="s">
        <v>43</v>
      </c>
      <c r="K1533" t="s">
        <v>44</v>
      </c>
      <c r="L1533" t="s">
        <v>73</v>
      </c>
      <c r="M1533" t="s">
        <v>263</v>
      </c>
      <c r="N1533" t="s">
        <v>46</v>
      </c>
      <c r="P1533" t="s">
        <v>2121</v>
      </c>
      <c r="R1533" s="5">
        <v>42032.830289351848</v>
      </c>
      <c r="S1533" s="5">
        <v>42678.619004629632</v>
      </c>
      <c r="T1533" t="s">
        <v>1</v>
      </c>
      <c r="U1533" t="s">
        <v>35</v>
      </c>
      <c r="V1533" s="3" t="s">
        <v>35</v>
      </c>
      <c r="W1533" s="3" t="s">
        <v>4132</v>
      </c>
      <c r="AM1533" s="5"/>
      <c r="AN1533" s="5"/>
      <c r="AQ1533" s="6"/>
    </row>
    <row r="1534" spans="2:43" x14ac:dyDescent="0.25">
      <c r="B1534" t="s">
        <v>2304</v>
      </c>
      <c r="C1534">
        <v>56102</v>
      </c>
      <c r="D1534" t="s">
        <v>2308</v>
      </c>
      <c r="E1534" t="s">
        <v>387</v>
      </c>
      <c r="F1534" t="s">
        <v>305</v>
      </c>
      <c r="G1534" t="s">
        <v>304</v>
      </c>
      <c r="H1534" t="s">
        <v>30</v>
      </c>
      <c r="I1534" t="s">
        <v>31</v>
      </c>
      <c r="J1534" t="s">
        <v>43</v>
      </c>
      <c r="K1534" t="s">
        <v>44</v>
      </c>
      <c r="L1534" t="s">
        <v>73</v>
      </c>
      <c r="M1534" t="s">
        <v>263</v>
      </c>
      <c r="N1534" t="s">
        <v>46</v>
      </c>
      <c r="P1534" t="s">
        <v>394</v>
      </c>
      <c r="R1534" s="5">
        <v>42031.720266203702</v>
      </c>
      <c r="S1534" s="5">
        <v>42648.841319444444</v>
      </c>
      <c r="T1534" t="s">
        <v>317</v>
      </c>
      <c r="U1534" t="s">
        <v>35</v>
      </c>
      <c r="V1534" s="3" t="s">
        <v>35</v>
      </c>
      <c r="W1534" s="3" t="s">
        <v>65</v>
      </c>
      <c r="AM1534" s="5"/>
      <c r="AN1534" s="5"/>
      <c r="AQ1534" s="6"/>
    </row>
    <row r="1535" spans="2:43" x14ac:dyDescent="0.25">
      <c r="B1535" t="s">
        <v>2304</v>
      </c>
      <c r="C1535">
        <v>56100</v>
      </c>
      <c r="D1535" t="s">
        <v>2306</v>
      </c>
      <c r="E1535" t="s">
        <v>2307</v>
      </c>
      <c r="F1535" t="s">
        <v>305</v>
      </c>
      <c r="G1535" t="s">
        <v>337</v>
      </c>
      <c r="H1535" t="s">
        <v>30</v>
      </c>
      <c r="I1535" t="s">
        <v>31</v>
      </c>
      <c r="J1535" t="s">
        <v>43</v>
      </c>
      <c r="K1535" t="s">
        <v>44</v>
      </c>
      <c r="L1535" t="s">
        <v>73</v>
      </c>
      <c r="M1535" t="s">
        <v>412</v>
      </c>
      <c r="N1535" t="s">
        <v>46</v>
      </c>
      <c r="O1535" t="s">
        <v>2272</v>
      </c>
      <c r="P1535" t="s">
        <v>394</v>
      </c>
      <c r="R1535" s="5">
        <v>42031.716805555552</v>
      </c>
      <c r="S1535" s="5">
        <v>42709.80846064815</v>
      </c>
      <c r="T1535" t="s">
        <v>317</v>
      </c>
      <c r="U1535" t="s">
        <v>35</v>
      </c>
      <c r="V1535" s="3" t="s">
        <v>35</v>
      </c>
      <c r="W1535" s="3" t="s">
        <v>4147</v>
      </c>
      <c r="AM1535" s="5"/>
      <c r="AN1535" s="5"/>
      <c r="AQ1535" s="6"/>
    </row>
    <row r="1536" spans="2:43" x14ac:dyDescent="0.25">
      <c r="B1536" t="s">
        <v>2304</v>
      </c>
      <c r="C1536">
        <v>56087</v>
      </c>
      <c r="D1536" t="s">
        <v>432</v>
      </c>
      <c r="E1536" t="s">
        <v>433</v>
      </c>
      <c r="F1536" t="s">
        <v>305</v>
      </c>
      <c r="G1536" t="s">
        <v>304</v>
      </c>
      <c r="H1536" t="s">
        <v>30</v>
      </c>
      <c r="I1536" t="s">
        <v>31</v>
      </c>
      <c r="J1536" t="s">
        <v>43</v>
      </c>
      <c r="K1536" t="s">
        <v>44</v>
      </c>
      <c r="L1536" t="s">
        <v>73</v>
      </c>
      <c r="M1536" t="s">
        <v>412</v>
      </c>
      <c r="N1536" t="s">
        <v>46</v>
      </c>
      <c r="P1536" t="s">
        <v>394</v>
      </c>
      <c r="Q1536" t="s">
        <v>2305</v>
      </c>
      <c r="R1536" s="5">
        <v>42031.536099537036</v>
      </c>
      <c r="S1536" s="5">
        <v>43013.673587962963</v>
      </c>
      <c r="T1536" t="s">
        <v>391</v>
      </c>
      <c r="U1536" t="s">
        <v>35</v>
      </c>
      <c r="V1536" s="3" t="s">
        <v>35</v>
      </c>
      <c r="W1536" s="3" t="s">
        <v>4098</v>
      </c>
      <c r="AM1536" s="5"/>
      <c r="AN1536" s="5"/>
      <c r="AQ1536" s="6"/>
    </row>
    <row r="1537" spans="2:43" x14ac:dyDescent="0.25">
      <c r="B1537" t="s">
        <v>2300</v>
      </c>
      <c r="C1537">
        <v>56055</v>
      </c>
      <c r="D1537" t="s">
        <v>3850</v>
      </c>
      <c r="E1537" t="s">
        <v>3851</v>
      </c>
      <c r="F1537" t="s">
        <v>305</v>
      </c>
      <c r="G1537" t="s">
        <v>337</v>
      </c>
      <c r="H1537" t="s">
        <v>30</v>
      </c>
      <c r="I1537" t="s">
        <v>57</v>
      </c>
      <c r="J1537" t="s">
        <v>2183</v>
      </c>
      <c r="K1537" t="s">
        <v>33</v>
      </c>
      <c r="L1537" t="s">
        <v>34</v>
      </c>
      <c r="M1537" t="s">
        <v>368</v>
      </c>
      <c r="N1537" t="s">
        <v>46</v>
      </c>
      <c r="P1537" t="s">
        <v>2121</v>
      </c>
      <c r="R1537" s="5">
        <v>42030.760972222219</v>
      </c>
      <c r="S1537" s="5">
        <v>42678.621122685188</v>
      </c>
      <c r="T1537" t="s">
        <v>3852</v>
      </c>
      <c r="U1537" t="s">
        <v>35</v>
      </c>
      <c r="V1537" s="3" t="s">
        <v>35</v>
      </c>
      <c r="W1537" s="3" t="s">
        <v>4132</v>
      </c>
      <c r="AM1537" s="5"/>
      <c r="AN1537" s="5"/>
      <c r="AQ1537" s="6"/>
    </row>
    <row r="1538" spans="2:43" x14ac:dyDescent="0.25">
      <c r="B1538" t="s">
        <v>2300</v>
      </c>
      <c r="C1538">
        <v>56051</v>
      </c>
      <c r="D1538" t="s">
        <v>2301</v>
      </c>
      <c r="E1538" t="s">
        <v>371</v>
      </c>
      <c r="F1538" t="s">
        <v>305</v>
      </c>
      <c r="G1538" t="s">
        <v>353</v>
      </c>
      <c r="H1538" t="s">
        <v>30</v>
      </c>
      <c r="I1538" t="s">
        <v>57</v>
      </c>
      <c r="J1538" t="s">
        <v>58</v>
      </c>
      <c r="K1538" t="s">
        <v>33</v>
      </c>
      <c r="L1538" t="s">
        <v>34</v>
      </c>
      <c r="M1538" t="s">
        <v>2179</v>
      </c>
      <c r="N1538" t="s">
        <v>46</v>
      </c>
      <c r="O1538" t="s">
        <v>2302</v>
      </c>
      <c r="P1538" t="s">
        <v>1634</v>
      </c>
      <c r="Q1538" t="s">
        <v>2303</v>
      </c>
      <c r="R1538" s="5">
        <v>42030.698831018519</v>
      </c>
      <c r="S1538" s="5">
        <v>42102.617986111109</v>
      </c>
      <c r="T1538" t="s">
        <v>300</v>
      </c>
      <c r="U1538" t="s">
        <v>35</v>
      </c>
      <c r="V1538" s="3" t="s">
        <v>35</v>
      </c>
      <c r="W1538" s="3" t="s">
        <v>3028</v>
      </c>
      <c r="AM1538" s="5"/>
      <c r="AN1538" s="5"/>
      <c r="AQ1538" s="6"/>
    </row>
    <row r="1539" spans="2:43" x14ac:dyDescent="0.25">
      <c r="B1539" t="s">
        <v>2293</v>
      </c>
      <c r="C1539">
        <v>56047</v>
      </c>
      <c r="D1539" t="s">
        <v>2299</v>
      </c>
      <c r="E1539" t="s">
        <v>387</v>
      </c>
      <c r="F1539" t="s">
        <v>305</v>
      </c>
      <c r="G1539" t="s">
        <v>337</v>
      </c>
      <c r="H1539" t="s">
        <v>30</v>
      </c>
      <c r="I1539" t="s">
        <v>31</v>
      </c>
      <c r="J1539" t="s">
        <v>32</v>
      </c>
      <c r="K1539" t="s">
        <v>33</v>
      </c>
      <c r="L1539" t="s">
        <v>73</v>
      </c>
      <c r="M1539" t="s">
        <v>263</v>
      </c>
      <c r="N1539" t="s">
        <v>46</v>
      </c>
      <c r="P1539" t="s">
        <v>2121</v>
      </c>
      <c r="R1539" s="5">
        <v>42030.655798611115</v>
      </c>
      <c r="S1539" s="5">
        <v>42678.622557870367</v>
      </c>
      <c r="T1539" t="s">
        <v>72</v>
      </c>
      <c r="U1539" t="s">
        <v>35</v>
      </c>
      <c r="V1539" s="3" t="s">
        <v>35</v>
      </c>
      <c r="W1539" s="3" t="s">
        <v>4132</v>
      </c>
      <c r="AM1539" s="5"/>
      <c r="AN1539" s="5"/>
      <c r="AQ1539" s="6"/>
    </row>
    <row r="1540" spans="2:43" x14ac:dyDescent="0.25">
      <c r="B1540" t="s">
        <v>2293</v>
      </c>
      <c r="C1540">
        <v>55951</v>
      </c>
      <c r="D1540" t="s">
        <v>2297</v>
      </c>
      <c r="E1540" t="s">
        <v>139</v>
      </c>
      <c r="F1540" t="s">
        <v>305</v>
      </c>
      <c r="G1540" t="s">
        <v>304</v>
      </c>
      <c r="H1540" t="s">
        <v>30</v>
      </c>
      <c r="I1540" t="s">
        <v>68</v>
      </c>
      <c r="J1540" t="s">
        <v>32</v>
      </c>
      <c r="K1540" t="s">
        <v>33</v>
      </c>
      <c r="L1540" t="s">
        <v>73</v>
      </c>
      <c r="M1540" t="s">
        <v>263</v>
      </c>
      <c r="N1540" t="s">
        <v>2292</v>
      </c>
      <c r="O1540" t="s">
        <v>2298</v>
      </c>
      <c r="P1540" t="s">
        <v>2121</v>
      </c>
      <c r="R1540" s="5">
        <v>42026.398576388892</v>
      </c>
      <c r="S1540" s="5">
        <v>42648.841504629629</v>
      </c>
      <c r="T1540" t="s">
        <v>139</v>
      </c>
      <c r="U1540" t="s">
        <v>35</v>
      </c>
      <c r="V1540" s="3" t="s">
        <v>35</v>
      </c>
      <c r="W1540" s="3" t="s">
        <v>2552</v>
      </c>
      <c r="AM1540" s="5"/>
      <c r="AN1540" s="5"/>
      <c r="AQ1540" s="6"/>
    </row>
    <row r="1541" spans="2:43" x14ac:dyDescent="0.25">
      <c r="B1541" t="s">
        <v>2293</v>
      </c>
      <c r="C1541">
        <v>55950</v>
      </c>
      <c r="D1541" t="s">
        <v>2296</v>
      </c>
      <c r="E1541" t="s">
        <v>387</v>
      </c>
      <c r="F1541" t="s">
        <v>305</v>
      </c>
      <c r="G1541" t="s">
        <v>337</v>
      </c>
      <c r="H1541" t="s">
        <v>30</v>
      </c>
      <c r="I1541" t="s">
        <v>31</v>
      </c>
      <c r="J1541" t="s">
        <v>32</v>
      </c>
      <c r="K1541" t="s">
        <v>33</v>
      </c>
      <c r="L1541" t="s">
        <v>73</v>
      </c>
      <c r="M1541" t="s">
        <v>263</v>
      </c>
      <c r="N1541" t="s">
        <v>46</v>
      </c>
      <c r="P1541" t="s">
        <v>2121</v>
      </c>
      <c r="R1541" s="5">
        <v>42026.397743055553</v>
      </c>
      <c r="S1541" s="5">
        <v>42678.622743055559</v>
      </c>
      <c r="T1541" t="s">
        <v>139</v>
      </c>
      <c r="U1541" t="s">
        <v>35</v>
      </c>
      <c r="V1541" s="3" t="s">
        <v>35</v>
      </c>
      <c r="W1541" s="3" t="s">
        <v>4137</v>
      </c>
      <c r="AM1541" s="5"/>
      <c r="AN1541" s="5"/>
      <c r="AQ1541" s="6"/>
    </row>
    <row r="1542" spans="2:43" x14ac:dyDescent="0.25">
      <c r="B1542" t="s">
        <v>2293</v>
      </c>
      <c r="C1542">
        <v>55948</v>
      </c>
      <c r="D1542" t="s">
        <v>2295</v>
      </c>
      <c r="E1542" t="s">
        <v>139</v>
      </c>
      <c r="F1542" t="s">
        <v>305</v>
      </c>
      <c r="G1542" t="s">
        <v>304</v>
      </c>
      <c r="H1542" t="s">
        <v>30</v>
      </c>
      <c r="I1542" t="s">
        <v>31</v>
      </c>
      <c r="J1542" t="s">
        <v>32</v>
      </c>
      <c r="K1542" t="s">
        <v>33</v>
      </c>
      <c r="L1542" t="s">
        <v>73</v>
      </c>
      <c r="M1542" t="s">
        <v>263</v>
      </c>
      <c r="N1542" t="s">
        <v>46</v>
      </c>
      <c r="P1542" t="s">
        <v>2121</v>
      </c>
      <c r="R1542" s="5">
        <v>42026.396435185183</v>
      </c>
      <c r="S1542" s="5">
        <v>42648.841458333336</v>
      </c>
      <c r="T1542" t="s">
        <v>139</v>
      </c>
      <c r="U1542" t="s">
        <v>35</v>
      </c>
      <c r="V1542" s="3" t="s">
        <v>35</v>
      </c>
      <c r="W1542" s="3" t="s">
        <v>65</v>
      </c>
      <c r="AM1542" s="5"/>
      <c r="AN1542" s="5"/>
      <c r="AQ1542" s="6"/>
    </row>
    <row r="1543" spans="2:43" x14ac:dyDescent="0.25">
      <c r="B1543" t="s">
        <v>2293</v>
      </c>
      <c r="C1543">
        <v>55944</v>
      </c>
      <c r="D1543" t="s">
        <v>2294</v>
      </c>
      <c r="E1543" t="s">
        <v>139</v>
      </c>
      <c r="F1543" t="s">
        <v>305</v>
      </c>
      <c r="G1543" t="s">
        <v>304</v>
      </c>
      <c r="H1543" t="s">
        <v>30</v>
      </c>
      <c r="I1543" t="s">
        <v>68</v>
      </c>
      <c r="J1543" t="s">
        <v>32</v>
      </c>
      <c r="K1543" t="s">
        <v>33</v>
      </c>
      <c r="L1543" t="s">
        <v>73</v>
      </c>
      <c r="M1543" t="s">
        <v>263</v>
      </c>
      <c r="N1543" t="s">
        <v>2292</v>
      </c>
      <c r="P1543" t="s">
        <v>2121</v>
      </c>
      <c r="R1543" s="5">
        <v>42026.349456018521</v>
      </c>
      <c r="S1543" s="5">
        <v>42759.713287037041</v>
      </c>
      <c r="T1543" t="s">
        <v>139</v>
      </c>
      <c r="U1543" t="s">
        <v>35</v>
      </c>
      <c r="V1543" s="3" t="s">
        <v>35</v>
      </c>
      <c r="W1543" s="3" t="s">
        <v>4098</v>
      </c>
      <c r="AM1543" s="5"/>
      <c r="AN1543" s="5"/>
      <c r="AQ1543" s="6"/>
    </row>
    <row r="1544" spans="2:43" x14ac:dyDescent="0.25">
      <c r="B1544" t="s">
        <v>2288</v>
      </c>
      <c r="C1544">
        <v>55675</v>
      </c>
      <c r="D1544" t="s">
        <v>2291</v>
      </c>
      <c r="E1544" t="s">
        <v>139</v>
      </c>
      <c r="F1544" t="s">
        <v>305</v>
      </c>
      <c r="G1544" t="s">
        <v>304</v>
      </c>
      <c r="H1544" t="s">
        <v>30</v>
      </c>
      <c r="I1544" t="s">
        <v>68</v>
      </c>
      <c r="J1544" t="s">
        <v>43</v>
      </c>
      <c r="K1544" t="s">
        <v>33</v>
      </c>
      <c r="L1544" t="s">
        <v>73</v>
      </c>
      <c r="M1544" t="s">
        <v>263</v>
      </c>
      <c r="N1544" t="s">
        <v>2292</v>
      </c>
      <c r="P1544" t="s">
        <v>2121</v>
      </c>
      <c r="R1544" s="5">
        <v>42019.471782407411</v>
      </c>
      <c r="S1544" s="5">
        <v>42648.841562499998</v>
      </c>
      <c r="T1544" t="s">
        <v>72</v>
      </c>
      <c r="U1544" t="s">
        <v>35</v>
      </c>
      <c r="V1544" s="3" t="s">
        <v>35</v>
      </c>
      <c r="W1544" s="3" t="s">
        <v>2552</v>
      </c>
      <c r="AM1544" s="5"/>
      <c r="AN1544" s="5"/>
      <c r="AQ1544" s="6"/>
    </row>
    <row r="1545" spans="2:43" x14ac:dyDescent="0.25">
      <c r="B1545" t="s">
        <v>2288</v>
      </c>
      <c r="C1545">
        <v>55674</v>
      </c>
      <c r="D1545" t="s">
        <v>2290</v>
      </c>
      <c r="E1545" t="s">
        <v>387</v>
      </c>
      <c r="F1545" t="s">
        <v>305</v>
      </c>
      <c r="G1545" t="s">
        <v>337</v>
      </c>
      <c r="H1545" t="s">
        <v>30</v>
      </c>
      <c r="I1545" t="s">
        <v>68</v>
      </c>
      <c r="J1545" t="s">
        <v>43</v>
      </c>
      <c r="K1545" t="s">
        <v>33</v>
      </c>
      <c r="L1545" t="s">
        <v>73</v>
      </c>
      <c r="M1545" t="s">
        <v>263</v>
      </c>
      <c r="N1545" t="s">
        <v>46</v>
      </c>
      <c r="P1545" t="s">
        <v>2121</v>
      </c>
      <c r="R1545" s="5">
        <v>42019.47148148148</v>
      </c>
      <c r="S1545" s="5">
        <v>42678.62027777778</v>
      </c>
      <c r="T1545" t="s">
        <v>72</v>
      </c>
      <c r="U1545" t="s">
        <v>35</v>
      </c>
      <c r="V1545" s="3" t="s">
        <v>35</v>
      </c>
      <c r="W1545" s="3" t="s">
        <v>4132</v>
      </c>
      <c r="AM1545" s="5"/>
      <c r="AN1545" s="5"/>
      <c r="AQ1545" s="6"/>
    </row>
    <row r="1546" spans="2:43" x14ac:dyDescent="0.25">
      <c r="B1546" t="s">
        <v>2288</v>
      </c>
      <c r="C1546">
        <v>55364</v>
      </c>
      <c r="D1546" t="s">
        <v>2289</v>
      </c>
      <c r="E1546" t="s">
        <v>139</v>
      </c>
      <c r="F1546" t="s">
        <v>305</v>
      </c>
      <c r="G1546" t="s">
        <v>304</v>
      </c>
      <c r="H1546" t="s">
        <v>30</v>
      </c>
      <c r="I1546" t="s">
        <v>68</v>
      </c>
      <c r="J1546" t="s">
        <v>43</v>
      </c>
      <c r="K1546" t="s">
        <v>33</v>
      </c>
      <c r="L1546" t="s">
        <v>73</v>
      </c>
      <c r="M1546" t="s">
        <v>263</v>
      </c>
      <c r="N1546" t="s">
        <v>46</v>
      </c>
      <c r="P1546" t="s">
        <v>2121</v>
      </c>
      <c r="R1546" s="5">
        <v>42013.020474537036</v>
      </c>
      <c r="S1546" s="5">
        <v>42853.16611111111</v>
      </c>
      <c r="T1546" t="s">
        <v>1</v>
      </c>
      <c r="U1546" t="s">
        <v>35</v>
      </c>
      <c r="V1546" s="3" t="s">
        <v>35</v>
      </c>
      <c r="W1546" s="3" t="s">
        <v>4098</v>
      </c>
      <c r="AM1546" s="5"/>
      <c r="AN1546" s="5"/>
      <c r="AQ1546" s="6"/>
    </row>
    <row r="1547" spans="2:43" x14ac:dyDescent="0.25">
      <c r="B1547" t="s">
        <v>2274</v>
      </c>
      <c r="C1547">
        <v>55182</v>
      </c>
      <c r="D1547" t="s">
        <v>2286</v>
      </c>
      <c r="E1547" t="s">
        <v>164</v>
      </c>
      <c r="F1547" t="s">
        <v>305</v>
      </c>
      <c r="G1547" t="s">
        <v>337</v>
      </c>
      <c r="H1547" t="s">
        <v>30</v>
      </c>
      <c r="I1547" t="s">
        <v>68</v>
      </c>
      <c r="J1547" t="s">
        <v>43</v>
      </c>
      <c r="K1547" t="s">
        <v>33</v>
      </c>
      <c r="L1547" t="s">
        <v>34</v>
      </c>
      <c r="M1547" t="s">
        <v>278</v>
      </c>
      <c r="N1547" t="s">
        <v>46</v>
      </c>
      <c r="P1547" t="s">
        <v>2287</v>
      </c>
      <c r="R1547" s="5">
        <v>42009.770509259259</v>
      </c>
      <c r="S1547" s="5">
        <v>42249.726678240739</v>
      </c>
      <c r="T1547" t="s">
        <v>53</v>
      </c>
      <c r="U1547" t="s">
        <v>35</v>
      </c>
      <c r="V1547" s="3" t="s">
        <v>35</v>
      </c>
      <c r="W1547" s="3" t="s">
        <v>374</v>
      </c>
      <c r="AM1547" s="5"/>
      <c r="AN1547" s="5"/>
      <c r="AQ1547" s="6"/>
    </row>
    <row r="1548" spans="2:43" x14ac:dyDescent="0.25">
      <c r="B1548" t="s">
        <v>2281</v>
      </c>
      <c r="C1548">
        <v>55130</v>
      </c>
      <c r="D1548" t="s">
        <v>2285</v>
      </c>
      <c r="E1548" t="s">
        <v>435</v>
      </c>
      <c r="F1548" t="s">
        <v>305</v>
      </c>
      <c r="G1548" t="s">
        <v>304</v>
      </c>
      <c r="H1548" t="s">
        <v>30</v>
      </c>
      <c r="I1548" t="s">
        <v>31</v>
      </c>
      <c r="J1548" t="s">
        <v>32</v>
      </c>
      <c r="K1548" t="s">
        <v>44</v>
      </c>
      <c r="L1548" t="s">
        <v>380</v>
      </c>
      <c r="M1548" t="s">
        <v>434</v>
      </c>
      <c r="N1548" t="s">
        <v>518</v>
      </c>
      <c r="P1548" t="s">
        <v>394</v>
      </c>
      <c r="R1548" s="5">
        <v>41996.825370370374</v>
      </c>
      <c r="S1548" s="5">
        <v>42299.735000000001</v>
      </c>
      <c r="T1548" t="s">
        <v>435</v>
      </c>
      <c r="U1548" t="s">
        <v>3934</v>
      </c>
      <c r="V1548" s="3" t="s">
        <v>35</v>
      </c>
      <c r="W1548" s="3" t="s">
        <v>65</v>
      </c>
      <c r="AM1548" s="5"/>
      <c r="AN1548" s="5"/>
      <c r="AQ1548" s="6"/>
    </row>
    <row r="1549" spans="2:43" x14ac:dyDescent="0.25">
      <c r="B1549" t="s">
        <v>2281</v>
      </c>
      <c r="C1549">
        <v>55129</v>
      </c>
      <c r="D1549" t="s">
        <v>2282</v>
      </c>
      <c r="E1549" t="s">
        <v>2283</v>
      </c>
      <c r="F1549" t="s">
        <v>305</v>
      </c>
      <c r="G1549" t="s">
        <v>337</v>
      </c>
      <c r="H1549" t="s">
        <v>30</v>
      </c>
      <c r="I1549" t="s">
        <v>31</v>
      </c>
      <c r="J1549" t="s">
        <v>32</v>
      </c>
      <c r="K1549" t="s">
        <v>44</v>
      </c>
      <c r="L1549" t="s">
        <v>380</v>
      </c>
      <c r="M1549" t="s">
        <v>2284</v>
      </c>
      <c r="N1549" t="s">
        <v>46</v>
      </c>
      <c r="P1549" t="s">
        <v>394</v>
      </c>
      <c r="R1549" s="5">
        <v>41996.823877314811</v>
      </c>
      <c r="S1549" s="5">
        <v>42293.737083333333</v>
      </c>
      <c r="T1549" t="s">
        <v>435</v>
      </c>
      <c r="U1549" t="s">
        <v>35</v>
      </c>
      <c r="V1549" s="3" t="s">
        <v>35</v>
      </c>
      <c r="W1549" s="3" t="s">
        <v>394</v>
      </c>
      <c r="AM1549" s="5"/>
      <c r="AN1549" s="5"/>
      <c r="AQ1549" s="6"/>
    </row>
    <row r="1550" spans="2:43" x14ac:dyDescent="0.25">
      <c r="B1550" t="s">
        <v>2281</v>
      </c>
      <c r="C1550">
        <v>55128</v>
      </c>
      <c r="D1550" t="s">
        <v>436</v>
      </c>
      <c r="E1550" t="s">
        <v>435</v>
      </c>
      <c r="F1550" t="s">
        <v>305</v>
      </c>
      <c r="G1550" t="s">
        <v>304</v>
      </c>
      <c r="H1550" t="s">
        <v>30</v>
      </c>
      <c r="I1550" t="s">
        <v>31</v>
      </c>
      <c r="J1550" t="s">
        <v>32</v>
      </c>
      <c r="K1550" t="s">
        <v>44</v>
      </c>
      <c r="L1550" t="s">
        <v>380</v>
      </c>
      <c r="M1550" t="s">
        <v>434</v>
      </c>
      <c r="N1550" t="s">
        <v>46</v>
      </c>
      <c r="P1550" t="s">
        <v>394</v>
      </c>
      <c r="R1550" s="5">
        <v>41996.821574074071</v>
      </c>
      <c r="S1550" s="5">
        <v>42320.690046296295</v>
      </c>
      <c r="T1550" t="s">
        <v>435</v>
      </c>
      <c r="U1550" t="s">
        <v>35</v>
      </c>
      <c r="V1550" s="3" t="s">
        <v>35</v>
      </c>
      <c r="W1550" s="3" t="s">
        <v>4098</v>
      </c>
      <c r="AM1550" s="5"/>
      <c r="AN1550" s="5"/>
      <c r="AQ1550" s="6"/>
    </row>
    <row r="1551" spans="2:43" x14ac:dyDescent="0.25">
      <c r="B1551" t="s">
        <v>2278</v>
      </c>
      <c r="C1551">
        <v>54914</v>
      </c>
      <c r="D1551" t="s">
        <v>2279</v>
      </c>
      <c r="E1551" t="s">
        <v>2280</v>
      </c>
      <c r="F1551" t="s">
        <v>305</v>
      </c>
      <c r="G1551" t="s">
        <v>304</v>
      </c>
      <c r="H1551" t="s">
        <v>30</v>
      </c>
      <c r="I1551" t="s">
        <v>31</v>
      </c>
      <c r="J1551" t="s">
        <v>43</v>
      </c>
      <c r="K1551" t="s">
        <v>44</v>
      </c>
      <c r="L1551" t="s">
        <v>73</v>
      </c>
      <c r="M1551" t="s">
        <v>263</v>
      </c>
      <c r="N1551" t="s">
        <v>46</v>
      </c>
      <c r="P1551" t="s">
        <v>394</v>
      </c>
      <c r="R1551" s="5">
        <v>41990.508888888886</v>
      </c>
      <c r="S1551" s="5">
        <v>42871.689143518517</v>
      </c>
      <c r="T1551" t="s">
        <v>98</v>
      </c>
      <c r="U1551" t="s">
        <v>35</v>
      </c>
      <c r="V1551" s="3" t="s">
        <v>35</v>
      </c>
      <c r="W1551" s="3" t="s">
        <v>4098</v>
      </c>
      <c r="AM1551" s="5"/>
      <c r="AN1551" s="5"/>
      <c r="AQ1551" s="6"/>
    </row>
    <row r="1552" spans="2:43" x14ac:dyDescent="0.25">
      <c r="B1552" t="s">
        <v>2274</v>
      </c>
      <c r="C1552">
        <v>54726</v>
      </c>
      <c r="D1552" t="s">
        <v>2275</v>
      </c>
      <c r="E1552" t="s">
        <v>2276</v>
      </c>
      <c r="F1552" t="s">
        <v>305</v>
      </c>
      <c r="G1552" t="s">
        <v>304</v>
      </c>
      <c r="H1552" t="s">
        <v>30</v>
      </c>
      <c r="I1552" t="s">
        <v>68</v>
      </c>
      <c r="J1552" t="s">
        <v>43</v>
      </c>
      <c r="K1552" t="s">
        <v>33</v>
      </c>
      <c r="L1552" t="s">
        <v>34</v>
      </c>
      <c r="M1552" t="s">
        <v>278</v>
      </c>
      <c r="N1552" t="s">
        <v>46</v>
      </c>
      <c r="P1552" t="s">
        <v>369</v>
      </c>
      <c r="R1552" s="5">
        <v>41985.676377314812</v>
      </c>
      <c r="S1552" s="5">
        <v>42930.30878472222</v>
      </c>
      <c r="T1552" t="s">
        <v>2277</v>
      </c>
      <c r="U1552" t="s">
        <v>35</v>
      </c>
      <c r="V1552" s="3" t="s">
        <v>35</v>
      </c>
      <c r="W1552" s="3" t="s">
        <v>4098</v>
      </c>
      <c r="AM1552" s="5"/>
      <c r="AN1552" s="5"/>
      <c r="AQ1552" s="6"/>
    </row>
    <row r="1553" spans="2:43" x14ac:dyDescent="0.25">
      <c r="B1553" t="s">
        <v>2262</v>
      </c>
      <c r="C1553">
        <v>54258</v>
      </c>
      <c r="D1553" t="s">
        <v>2273</v>
      </c>
      <c r="E1553" t="s">
        <v>72</v>
      </c>
      <c r="F1553" t="s">
        <v>305</v>
      </c>
      <c r="G1553" t="s">
        <v>337</v>
      </c>
      <c r="H1553" t="s">
        <v>30</v>
      </c>
      <c r="I1553" t="s">
        <v>35</v>
      </c>
      <c r="J1553" t="s">
        <v>43</v>
      </c>
      <c r="K1553" t="s">
        <v>33</v>
      </c>
      <c r="L1553" t="s">
        <v>73</v>
      </c>
      <c r="M1553" t="s">
        <v>263</v>
      </c>
      <c r="N1553" t="s">
        <v>46</v>
      </c>
      <c r="P1553" t="s">
        <v>1634</v>
      </c>
      <c r="R1553" s="5">
        <v>41976.733576388891</v>
      </c>
      <c r="S1553" s="5">
        <v>42678.622685185182</v>
      </c>
      <c r="T1553" t="s">
        <v>2194</v>
      </c>
      <c r="U1553" t="s">
        <v>35</v>
      </c>
      <c r="V1553" s="3" t="s">
        <v>35</v>
      </c>
      <c r="W1553" s="3" t="s">
        <v>3039</v>
      </c>
      <c r="AM1553" s="5"/>
      <c r="AN1553" s="5"/>
      <c r="AQ1553" s="6"/>
    </row>
    <row r="1554" spans="2:43" x14ac:dyDescent="0.25">
      <c r="B1554" t="s">
        <v>2254</v>
      </c>
      <c r="C1554">
        <v>54092</v>
      </c>
      <c r="D1554" t="s">
        <v>2271</v>
      </c>
      <c r="E1554" t="s">
        <v>194</v>
      </c>
      <c r="F1554" t="s">
        <v>305</v>
      </c>
      <c r="G1554" t="s">
        <v>337</v>
      </c>
      <c r="H1554" t="s">
        <v>30</v>
      </c>
      <c r="I1554" t="s">
        <v>31</v>
      </c>
      <c r="J1554" t="s">
        <v>43</v>
      </c>
      <c r="K1554" t="s">
        <v>44</v>
      </c>
      <c r="L1554" t="s">
        <v>195</v>
      </c>
      <c r="M1554" t="s">
        <v>324</v>
      </c>
      <c r="N1554" t="s">
        <v>46</v>
      </c>
      <c r="O1554" t="s">
        <v>2272</v>
      </c>
      <c r="P1554" t="s">
        <v>437</v>
      </c>
      <c r="R1554" s="5">
        <v>41973.673576388886</v>
      </c>
      <c r="S1554" s="5">
        <v>42678.63490740741</v>
      </c>
      <c r="T1554" t="s">
        <v>53</v>
      </c>
      <c r="U1554" t="s">
        <v>35</v>
      </c>
      <c r="V1554" s="3" t="s">
        <v>321</v>
      </c>
      <c r="W1554" s="3" t="s">
        <v>4147</v>
      </c>
      <c r="AM1554" s="5"/>
      <c r="AN1554" s="5"/>
      <c r="AQ1554" s="6"/>
    </row>
    <row r="1555" spans="2:43" x14ac:dyDescent="0.25">
      <c r="B1555" t="s">
        <v>2253</v>
      </c>
      <c r="C1555">
        <v>53653</v>
      </c>
      <c r="D1555" t="s">
        <v>2270</v>
      </c>
      <c r="E1555" t="s">
        <v>442</v>
      </c>
      <c r="F1555" t="s">
        <v>305</v>
      </c>
      <c r="G1555" t="s">
        <v>310</v>
      </c>
      <c r="H1555" t="s">
        <v>30</v>
      </c>
      <c r="I1555" t="s">
        <v>31</v>
      </c>
      <c r="J1555" t="s">
        <v>32</v>
      </c>
      <c r="K1555" t="s">
        <v>1733</v>
      </c>
      <c r="L1555" t="s">
        <v>96</v>
      </c>
      <c r="M1555" t="s">
        <v>269</v>
      </c>
      <c r="N1555" t="s">
        <v>46</v>
      </c>
      <c r="P1555" t="s">
        <v>2268</v>
      </c>
      <c r="R1555" s="5">
        <v>41963.623576388891</v>
      </c>
      <c r="S1555" s="5">
        <v>42678.634305555555</v>
      </c>
      <c r="T1555" t="s">
        <v>2194</v>
      </c>
      <c r="U1555" t="s">
        <v>35</v>
      </c>
      <c r="V1555" s="3" t="s">
        <v>35</v>
      </c>
      <c r="W1555" s="3" t="s">
        <v>428</v>
      </c>
      <c r="AM1555" s="5"/>
      <c r="AN1555" s="5"/>
      <c r="AQ1555" s="6"/>
    </row>
    <row r="1556" spans="2:43" x14ac:dyDescent="0.25">
      <c r="B1556" t="s">
        <v>2253</v>
      </c>
      <c r="C1556">
        <v>53652</v>
      </c>
      <c r="D1556" t="s">
        <v>2269</v>
      </c>
      <c r="E1556" t="s">
        <v>442</v>
      </c>
      <c r="F1556" t="s">
        <v>305</v>
      </c>
      <c r="G1556" t="s">
        <v>304</v>
      </c>
      <c r="H1556" t="s">
        <v>30</v>
      </c>
      <c r="I1556" t="s">
        <v>31</v>
      </c>
      <c r="J1556" t="s">
        <v>32</v>
      </c>
      <c r="K1556" t="s">
        <v>44</v>
      </c>
      <c r="L1556" t="s">
        <v>96</v>
      </c>
      <c r="M1556" t="s">
        <v>269</v>
      </c>
      <c r="N1556" t="s">
        <v>518</v>
      </c>
      <c r="P1556" t="s">
        <v>394</v>
      </c>
      <c r="R1556" s="5">
        <v>41963.623460648145</v>
      </c>
      <c r="S1556" s="5">
        <v>42648.840428240743</v>
      </c>
      <c r="T1556" t="s">
        <v>2194</v>
      </c>
      <c r="U1556" t="s">
        <v>35</v>
      </c>
      <c r="V1556" s="3" t="s">
        <v>321</v>
      </c>
      <c r="W1556" s="3" t="s">
        <v>65</v>
      </c>
      <c r="AM1556" s="5"/>
      <c r="AN1556" s="5"/>
      <c r="AQ1556" s="6"/>
    </row>
    <row r="1557" spans="2:43" x14ac:dyDescent="0.25">
      <c r="B1557" t="s">
        <v>2253</v>
      </c>
      <c r="C1557">
        <v>53651</v>
      </c>
      <c r="D1557" t="s">
        <v>2267</v>
      </c>
      <c r="E1557" t="s">
        <v>442</v>
      </c>
      <c r="F1557" t="s">
        <v>305</v>
      </c>
      <c r="G1557" t="s">
        <v>337</v>
      </c>
      <c r="H1557" t="s">
        <v>30</v>
      </c>
      <c r="I1557" t="s">
        <v>31</v>
      </c>
      <c r="J1557" t="s">
        <v>32</v>
      </c>
      <c r="K1557" t="s">
        <v>1733</v>
      </c>
      <c r="L1557" t="s">
        <v>96</v>
      </c>
      <c r="M1557" t="s">
        <v>269</v>
      </c>
      <c r="N1557" t="s">
        <v>46</v>
      </c>
      <c r="P1557" t="s">
        <v>2268</v>
      </c>
      <c r="R1557" s="5">
        <v>41963.623368055552</v>
      </c>
      <c r="S1557" s="5">
        <v>42678.63486111111</v>
      </c>
      <c r="T1557" t="s">
        <v>2194</v>
      </c>
      <c r="U1557" t="s">
        <v>35</v>
      </c>
      <c r="V1557" s="3" t="s">
        <v>35</v>
      </c>
      <c r="W1557" s="3" t="s">
        <v>4137</v>
      </c>
      <c r="AM1557" s="5"/>
      <c r="AN1557" s="5"/>
      <c r="AQ1557" s="6"/>
    </row>
    <row r="1558" spans="2:43" x14ac:dyDescent="0.25">
      <c r="B1558" t="s">
        <v>2200</v>
      </c>
      <c r="C1558">
        <v>53553</v>
      </c>
      <c r="D1558" t="s">
        <v>2266</v>
      </c>
      <c r="E1558" t="s">
        <v>387</v>
      </c>
      <c r="F1558" t="s">
        <v>305</v>
      </c>
      <c r="G1558" t="s">
        <v>304</v>
      </c>
      <c r="H1558" t="s">
        <v>56</v>
      </c>
      <c r="I1558" t="s">
        <v>68</v>
      </c>
      <c r="J1558" t="s">
        <v>43</v>
      </c>
      <c r="K1558" t="s">
        <v>33</v>
      </c>
      <c r="L1558" t="s">
        <v>73</v>
      </c>
      <c r="M1558" t="s">
        <v>263</v>
      </c>
      <c r="N1558" t="s">
        <v>46</v>
      </c>
      <c r="P1558" t="s">
        <v>443</v>
      </c>
      <c r="R1558" s="5">
        <v>41963.608680555553</v>
      </c>
      <c r="S1558" s="5">
        <v>42759.713379629633</v>
      </c>
      <c r="T1558" t="s">
        <v>2194</v>
      </c>
      <c r="U1558" t="s">
        <v>35</v>
      </c>
      <c r="V1558" s="3" t="s">
        <v>35</v>
      </c>
      <c r="W1558" s="3" t="s">
        <v>428</v>
      </c>
      <c r="AM1558" s="5"/>
      <c r="AN1558" s="5"/>
      <c r="AQ1558" s="6"/>
    </row>
    <row r="1559" spans="2:43" x14ac:dyDescent="0.25">
      <c r="B1559" t="s">
        <v>2200</v>
      </c>
      <c r="C1559">
        <v>53552</v>
      </c>
      <c r="D1559" t="s">
        <v>2265</v>
      </c>
      <c r="E1559" t="s">
        <v>387</v>
      </c>
      <c r="F1559" t="s">
        <v>305</v>
      </c>
      <c r="G1559" t="s">
        <v>304</v>
      </c>
      <c r="H1559" t="s">
        <v>56</v>
      </c>
      <c r="I1559" t="s">
        <v>68</v>
      </c>
      <c r="J1559" t="s">
        <v>43</v>
      </c>
      <c r="K1559" t="s">
        <v>33</v>
      </c>
      <c r="L1559" t="s">
        <v>73</v>
      </c>
      <c r="M1559" t="s">
        <v>263</v>
      </c>
      <c r="N1559" t="s">
        <v>46</v>
      </c>
      <c r="P1559" t="s">
        <v>443</v>
      </c>
      <c r="R1559" s="5">
        <v>41963.608611111114</v>
      </c>
      <c r="S1559" s="5">
        <v>42648.768425925926</v>
      </c>
      <c r="T1559" t="s">
        <v>2194</v>
      </c>
      <c r="U1559" t="s">
        <v>35</v>
      </c>
      <c r="V1559" s="3" t="s">
        <v>35</v>
      </c>
      <c r="W1559" s="3" t="s">
        <v>65</v>
      </c>
      <c r="AM1559" s="5"/>
      <c r="AN1559" s="5"/>
      <c r="AQ1559" s="6"/>
    </row>
    <row r="1560" spans="2:43" x14ac:dyDescent="0.25">
      <c r="B1560" t="s">
        <v>2200</v>
      </c>
      <c r="C1560">
        <v>53551</v>
      </c>
      <c r="D1560" t="s">
        <v>2264</v>
      </c>
      <c r="E1560" t="s">
        <v>387</v>
      </c>
      <c r="F1560" t="s">
        <v>305</v>
      </c>
      <c r="G1560" t="s">
        <v>337</v>
      </c>
      <c r="H1560" t="s">
        <v>56</v>
      </c>
      <c r="I1560" t="s">
        <v>68</v>
      </c>
      <c r="J1560" t="s">
        <v>43</v>
      </c>
      <c r="K1560" t="s">
        <v>33</v>
      </c>
      <c r="L1560" t="s">
        <v>73</v>
      </c>
      <c r="M1560" t="s">
        <v>263</v>
      </c>
      <c r="N1560" t="s">
        <v>46</v>
      </c>
      <c r="P1560" t="s">
        <v>443</v>
      </c>
      <c r="R1560" s="5">
        <v>41963.608564814815</v>
      </c>
      <c r="S1560" s="5">
        <v>42678.642071759263</v>
      </c>
      <c r="T1560" t="s">
        <v>2194</v>
      </c>
      <c r="U1560" t="s">
        <v>35</v>
      </c>
      <c r="V1560" s="3" t="s">
        <v>35</v>
      </c>
      <c r="W1560" s="3" t="s">
        <v>394</v>
      </c>
      <c r="AM1560" s="5"/>
      <c r="AN1560" s="5"/>
      <c r="AQ1560" s="6"/>
    </row>
    <row r="1561" spans="2:43" x14ac:dyDescent="0.25">
      <c r="B1561" t="s">
        <v>2262</v>
      </c>
      <c r="C1561">
        <v>53462</v>
      </c>
      <c r="D1561" t="s">
        <v>2263</v>
      </c>
      <c r="E1561" t="s">
        <v>72</v>
      </c>
      <c r="F1561" t="s">
        <v>305</v>
      </c>
      <c r="G1561" t="s">
        <v>353</v>
      </c>
      <c r="H1561" t="s">
        <v>30</v>
      </c>
      <c r="I1561" t="s">
        <v>68</v>
      </c>
      <c r="J1561" t="s">
        <v>58</v>
      </c>
      <c r="K1561" t="s">
        <v>44</v>
      </c>
      <c r="L1561" t="s">
        <v>96</v>
      </c>
      <c r="M1561" t="s">
        <v>269</v>
      </c>
      <c r="N1561" t="s">
        <v>46</v>
      </c>
      <c r="P1561" t="s">
        <v>1749</v>
      </c>
      <c r="R1561" s="5">
        <v>41963.315208333333</v>
      </c>
      <c r="S1561" s="5">
        <v>42678.615914351853</v>
      </c>
      <c r="T1561" t="s">
        <v>4</v>
      </c>
      <c r="U1561" t="s">
        <v>35</v>
      </c>
      <c r="V1561" s="3" t="s">
        <v>35</v>
      </c>
      <c r="W1561" s="3" t="s">
        <v>3039</v>
      </c>
      <c r="AM1561" s="5"/>
      <c r="AN1561" s="5"/>
      <c r="AQ1561" s="6"/>
    </row>
    <row r="1562" spans="2:43" x14ac:dyDescent="0.25">
      <c r="B1562" t="s">
        <v>2255</v>
      </c>
      <c r="C1562">
        <v>53031</v>
      </c>
      <c r="D1562" t="s">
        <v>2261</v>
      </c>
      <c r="E1562" t="s">
        <v>2002</v>
      </c>
      <c r="F1562" t="s">
        <v>305</v>
      </c>
      <c r="G1562" t="s">
        <v>337</v>
      </c>
      <c r="H1562" t="s">
        <v>30</v>
      </c>
      <c r="I1562" t="s">
        <v>57</v>
      </c>
      <c r="J1562" t="s">
        <v>58</v>
      </c>
      <c r="K1562" t="s">
        <v>1733</v>
      </c>
      <c r="L1562" t="s">
        <v>73</v>
      </c>
      <c r="M1562" t="s">
        <v>273</v>
      </c>
      <c r="N1562" t="s">
        <v>46</v>
      </c>
      <c r="P1562" t="s">
        <v>2121</v>
      </c>
      <c r="R1562" s="5">
        <v>41955.78800925926</v>
      </c>
      <c r="S1562" s="5">
        <v>42034.498912037037</v>
      </c>
      <c r="T1562" t="s">
        <v>2194</v>
      </c>
      <c r="U1562" t="s">
        <v>35</v>
      </c>
      <c r="V1562" s="3" t="s">
        <v>35</v>
      </c>
      <c r="W1562" s="3" t="s">
        <v>491</v>
      </c>
      <c r="AM1562" s="5"/>
      <c r="AN1562" s="5"/>
      <c r="AQ1562" s="6"/>
    </row>
    <row r="1563" spans="2:43" x14ac:dyDescent="0.25">
      <c r="B1563" t="s">
        <v>2255</v>
      </c>
      <c r="C1563">
        <v>53030</v>
      </c>
      <c r="D1563" t="s">
        <v>2260</v>
      </c>
      <c r="E1563" t="s">
        <v>2194</v>
      </c>
      <c r="F1563" t="s">
        <v>305</v>
      </c>
      <c r="G1563" t="s">
        <v>310</v>
      </c>
      <c r="H1563" t="s">
        <v>30</v>
      </c>
      <c r="I1563" t="s">
        <v>57</v>
      </c>
      <c r="J1563" t="s">
        <v>58</v>
      </c>
      <c r="K1563" t="s">
        <v>1733</v>
      </c>
      <c r="L1563" t="s">
        <v>73</v>
      </c>
      <c r="M1563" t="s">
        <v>273</v>
      </c>
      <c r="N1563" t="s">
        <v>46</v>
      </c>
      <c r="P1563" t="s">
        <v>2121</v>
      </c>
      <c r="R1563" s="5">
        <v>41955.787905092591</v>
      </c>
      <c r="S1563" s="5">
        <v>42678.613182870373</v>
      </c>
      <c r="T1563" t="s">
        <v>2194</v>
      </c>
      <c r="U1563" t="s">
        <v>35</v>
      </c>
      <c r="V1563" s="3" t="s">
        <v>35</v>
      </c>
      <c r="W1563" s="3" t="s">
        <v>65</v>
      </c>
      <c r="AM1563" s="5"/>
      <c r="AN1563" s="5"/>
      <c r="AQ1563" s="6"/>
    </row>
    <row r="1564" spans="2:43" x14ac:dyDescent="0.25">
      <c r="B1564" t="s">
        <v>2255</v>
      </c>
      <c r="C1564">
        <v>53029</v>
      </c>
      <c r="D1564" t="s">
        <v>2259</v>
      </c>
      <c r="E1564" t="s">
        <v>2194</v>
      </c>
      <c r="F1564" t="s">
        <v>305</v>
      </c>
      <c r="G1564" t="s">
        <v>310</v>
      </c>
      <c r="H1564" t="s">
        <v>30</v>
      </c>
      <c r="I1564" t="s">
        <v>57</v>
      </c>
      <c r="J1564" t="s">
        <v>58</v>
      </c>
      <c r="K1564" t="s">
        <v>1733</v>
      </c>
      <c r="L1564" t="s">
        <v>73</v>
      </c>
      <c r="M1564" t="s">
        <v>273</v>
      </c>
      <c r="N1564" t="s">
        <v>46</v>
      </c>
      <c r="P1564" t="s">
        <v>2121</v>
      </c>
      <c r="R1564" s="5">
        <v>41955.787800925929</v>
      </c>
      <c r="S1564" s="5">
        <v>42012.699120370373</v>
      </c>
      <c r="T1564" t="s">
        <v>2194</v>
      </c>
      <c r="U1564" t="s">
        <v>35</v>
      </c>
      <c r="V1564" s="3" t="s">
        <v>35</v>
      </c>
      <c r="W1564" s="3" t="s">
        <v>394</v>
      </c>
      <c r="AM1564" s="5"/>
      <c r="AN1564" s="5"/>
      <c r="AQ1564" s="6"/>
    </row>
    <row r="1565" spans="2:43" x14ac:dyDescent="0.25">
      <c r="B1565" t="s">
        <v>2255</v>
      </c>
      <c r="C1565">
        <v>53028</v>
      </c>
      <c r="D1565" t="s">
        <v>2258</v>
      </c>
      <c r="E1565" t="s">
        <v>2002</v>
      </c>
      <c r="F1565" t="s">
        <v>305</v>
      </c>
      <c r="G1565" t="s">
        <v>304</v>
      </c>
      <c r="H1565" t="s">
        <v>30</v>
      </c>
      <c r="I1565" t="s">
        <v>57</v>
      </c>
      <c r="J1565" t="s">
        <v>58</v>
      </c>
      <c r="K1565" t="s">
        <v>1733</v>
      </c>
      <c r="L1565" t="s">
        <v>73</v>
      </c>
      <c r="M1565" t="s">
        <v>273</v>
      </c>
      <c r="N1565" t="s">
        <v>46</v>
      </c>
      <c r="P1565" t="s">
        <v>2121</v>
      </c>
      <c r="R1565" s="5">
        <v>41955.787685185183</v>
      </c>
      <c r="S1565" s="5">
        <v>42648.840219907404</v>
      </c>
      <c r="T1565" t="s">
        <v>2194</v>
      </c>
      <c r="U1565" t="s">
        <v>35</v>
      </c>
      <c r="V1565" s="3" t="s">
        <v>35</v>
      </c>
      <c r="W1565" s="3" t="s">
        <v>2552</v>
      </c>
      <c r="AM1565" s="5"/>
      <c r="AN1565" s="5"/>
      <c r="AQ1565" s="6"/>
    </row>
    <row r="1566" spans="2:43" x14ac:dyDescent="0.25">
      <c r="B1566" t="s">
        <v>2255</v>
      </c>
      <c r="C1566">
        <v>53027</v>
      </c>
      <c r="D1566" t="s">
        <v>2257</v>
      </c>
      <c r="E1566" t="s">
        <v>2002</v>
      </c>
      <c r="F1566" t="s">
        <v>305</v>
      </c>
      <c r="G1566" t="s">
        <v>337</v>
      </c>
      <c r="H1566" t="s">
        <v>30</v>
      </c>
      <c r="I1566" t="s">
        <v>57</v>
      </c>
      <c r="J1566" t="s">
        <v>58</v>
      </c>
      <c r="K1566" t="s">
        <v>1733</v>
      </c>
      <c r="L1566" t="s">
        <v>73</v>
      </c>
      <c r="M1566" t="s">
        <v>273</v>
      </c>
      <c r="N1566" t="s">
        <v>46</v>
      </c>
      <c r="P1566" t="s">
        <v>2121</v>
      </c>
      <c r="R1566" s="5">
        <v>41955.787581018521</v>
      </c>
      <c r="S1566" s="5">
        <v>42678.618854166663</v>
      </c>
      <c r="T1566" t="s">
        <v>2194</v>
      </c>
      <c r="U1566" t="s">
        <v>35</v>
      </c>
      <c r="V1566" s="3" t="s">
        <v>35</v>
      </c>
      <c r="W1566" s="3" t="s">
        <v>4132</v>
      </c>
      <c r="AM1566" s="5"/>
      <c r="AN1566" s="5"/>
      <c r="AQ1566" s="6"/>
    </row>
    <row r="1567" spans="2:43" x14ac:dyDescent="0.25">
      <c r="B1567" t="s">
        <v>2255</v>
      </c>
      <c r="C1567">
        <v>53026</v>
      </c>
      <c r="D1567" t="s">
        <v>2256</v>
      </c>
      <c r="E1567" t="s">
        <v>2002</v>
      </c>
      <c r="F1567" t="s">
        <v>305</v>
      </c>
      <c r="G1567" t="s">
        <v>310</v>
      </c>
      <c r="H1567" t="s">
        <v>30</v>
      </c>
      <c r="I1567" t="s">
        <v>57</v>
      </c>
      <c r="J1567" t="s">
        <v>58</v>
      </c>
      <c r="K1567" t="s">
        <v>1733</v>
      </c>
      <c r="L1567" t="s">
        <v>73</v>
      </c>
      <c r="M1567" t="s">
        <v>273</v>
      </c>
      <c r="N1567" t="s">
        <v>46</v>
      </c>
      <c r="P1567" t="s">
        <v>2121</v>
      </c>
      <c r="R1567" s="5">
        <v>41955.787465277775</v>
      </c>
      <c r="S1567" s="5">
        <v>42678.615740740737</v>
      </c>
      <c r="T1567" t="s">
        <v>2194</v>
      </c>
      <c r="U1567" t="s">
        <v>35</v>
      </c>
      <c r="V1567" s="3" t="s">
        <v>35</v>
      </c>
      <c r="W1567" s="3" t="s">
        <v>3039</v>
      </c>
      <c r="AM1567" s="5"/>
      <c r="AN1567" s="5"/>
      <c r="AQ1567" s="6"/>
    </row>
    <row r="1568" spans="2:43" x14ac:dyDescent="0.25">
      <c r="B1568" t="s">
        <v>2254</v>
      </c>
      <c r="C1568">
        <v>52920</v>
      </c>
      <c r="D1568" t="s">
        <v>439</v>
      </c>
      <c r="E1568" t="s">
        <v>194</v>
      </c>
      <c r="F1568" t="s">
        <v>305</v>
      </c>
      <c r="G1568" t="s">
        <v>304</v>
      </c>
      <c r="H1568" t="s">
        <v>30</v>
      </c>
      <c r="I1568" t="s">
        <v>31</v>
      </c>
      <c r="J1568" t="s">
        <v>43</v>
      </c>
      <c r="K1568" t="s">
        <v>51</v>
      </c>
      <c r="L1568" t="s">
        <v>195</v>
      </c>
      <c r="M1568" t="s">
        <v>324</v>
      </c>
      <c r="N1568" t="s">
        <v>46</v>
      </c>
      <c r="P1568" t="s">
        <v>437</v>
      </c>
      <c r="R1568" s="5">
        <v>41953.805925925924</v>
      </c>
      <c r="S1568" s="5">
        <v>42930.307488425926</v>
      </c>
      <c r="T1568" t="s">
        <v>438</v>
      </c>
      <c r="U1568" t="s">
        <v>35</v>
      </c>
      <c r="V1568" s="3" t="s">
        <v>35</v>
      </c>
      <c r="W1568" s="3" t="s">
        <v>4098</v>
      </c>
      <c r="AM1568" s="5"/>
      <c r="AN1568" s="5"/>
      <c r="AQ1568" s="6"/>
    </row>
    <row r="1569" spans="2:43" x14ac:dyDescent="0.25">
      <c r="B1569" t="s">
        <v>2253</v>
      </c>
      <c r="C1569">
        <v>52720</v>
      </c>
      <c r="D1569" t="s">
        <v>441</v>
      </c>
      <c r="E1569" t="s">
        <v>442</v>
      </c>
      <c r="F1569" t="s">
        <v>305</v>
      </c>
      <c r="G1569" t="s">
        <v>304</v>
      </c>
      <c r="H1569" t="s">
        <v>30</v>
      </c>
      <c r="I1569" t="s">
        <v>31</v>
      </c>
      <c r="J1569" t="s">
        <v>32</v>
      </c>
      <c r="K1569" t="s">
        <v>33</v>
      </c>
      <c r="L1569" t="s">
        <v>96</v>
      </c>
      <c r="M1569" t="s">
        <v>269</v>
      </c>
      <c r="N1569" t="s">
        <v>46</v>
      </c>
      <c r="P1569" t="s">
        <v>394</v>
      </c>
      <c r="R1569" s="5">
        <v>41948.924259259256</v>
      </c>
      <c r="S1569" s="5">
        <v>43007.405034722222</v>
      </c>
      <c r="T1569" t="s">
        <v>440</v>
      </c>
      <c r="U1569" t="s">
        <v>35</v>
      </c>
      <c r="V1569" s="3" t="s">
        <v>321</v>
      </c>
      <c r="W1569" s="3" t="s">
        <v>4098</v>
      </c>
      <c r="AM1569" s="5"/>
      <c r="AN1569" s="5"/>
      <c r="AQ1569" s="6"/>
    </row>
    <row r="1570" spans="2:43" x14ac:dyDescent="0.25">
      <c r="B1570" t="s">
        <v>2247</v>
      </c>
      <c r="C1570">
        <v>52610</v>
      </c>
      <c r="D1570" t="s">
        <v>2251</v>
      </c>
      <c r="E1570" t="s">
        <v>72</v>
      </c>
      <c r="F1570" t="s">
        <v>305</v>
      </c>
      <c r="G1570" t="s">
        <v>310</v>
      </c>
      <c r="H1570" t="s">
        <v>30</v>
      </c>
      <c r="I1570" t="s">
        <v>68</v>
      </c>
      <c r="J1570" t="s">
        <v>43</v>
      </c>
      <c r="K1570" t="s">
        <v>33</v>
      </c>
      <c r="L1570" t="s">
        <v>73</v>
      </c>
      <c r="M1570" t="s">
        <v>263</v>
      </c>
      <c r="N1570" t="s">
        <v>46</v>
      </c>
      <c r="O1570" t="s">
        <v>2252</v>
      </c>
      <c r="P1570" t="s">
        <v>1634</v>
      </c>
      <c r="R1570" s="5">
        <v>41947.64707175926</v>
      </c>
      <c r="S1570" s="5">
        <v>42678.624432870369</v>
      </c>
      <c r="T1570" t="s">
        <v>2194</v>
      </c>
      <c r="U1570" t="s">
        <v>35</v>
      </c>
      <c r="V1570" s="3" t="s">
        <v>35</v>
      </c>
      <c r="W1570" s="3" t="s">
        <v>4147</v>
      </c>
      <c r="AM1570" s="5"/>
      <c r="AN1570" s="5"/>
      <c r="AQ1570" s="6"/>
    </row>
    <row r="1571" spans="2:43" x14ac:dyDescent="0.25">
      <c r="B1571" t="s">
        <v>2247</v>
      </c>
      <c r="C1571">
        <v>52609</v>
      </c>
      <c r="D1571" t="s">
        <v>2249</v>
      </c>
      <c r="E1571" t="s">
        <v>445</v>
      </c>
      <c r="F1571" t="s">
        <v>305</v>
      </c>
      <c r="G1571" t="s">
        <v>337</v>
      </c>
      <c r="H1571" t="s">
        <v>30</v>
      </c>
      <c r="I1571" t="s">
        <v>31</v>
      </c>
      <c r="J1571" t="s">
        <v>32</v>
      </c>
      <c r="K1571" t="s">
        <v>33</v>
      </c>
      <c r="L1571" t="s">
        <v>73</v>
      </c>
      <c r="M1571" t="s">
        <v>263</v>
      </c>
      <c r="N1571" t="s">
        <v>46</v>
      </c>
      <c r="O1571" t="s">
        <v>2250</v>
      </c>
      <c r="P1571" t="s">
        <v>1634</v>
      </c>
      <c r="R1571" s="5">
        <v>41947.647013888891</v>
      </c>
      <c r="S1571" s="5">
        <v>43074.854050925926</v>
      </c>
      <c r="T1571" t="s">
        <v>2194</v>
      </c>
      <c r="U1571" t="s">
        <v>35</v>
      </c>
      <c r="V1571" s="3" t="s">
        <v>321</v>
      </c>
      <c r="W1571" s="3" t="s">
        <v>2552</v>
      </c>
      <c r="AM1571" s="5"/>
      <c r="AN1571" s="5"/>
      <c r="AQ1571" s="6"/>
    </row>
    <row r="1572" spans="2:43" x14ac:dyDescent="0.25">
      <c r="B1572" t="s">
        <v>2247</v>
      </c>
      <c r="C1572">
        <v>52422</v>
      </c>
      <c r="D1572" t="s">
        <v>2248</v>
      </c>
      <c r="E1572" t="s">
        <v>1</v>
      </c>
      <c r="F1572" t="s">
        <v>305</v>
      </c>
      <c r="G1572" t="s">
        <v>337</v>
      </c>
      <c r="H1572" t="s">
        <v>30</v>
      </c>
      <c r="I1572" t="s">
        <v>31</v>
      </c>
      <c r="J1572" t="s">
        <v>32</v>
      </c>
      <c r="K1572" t="s">
        <v>33</v>
      </c>
      <c r="L1572" t="s">
        <v>73</v>
      </c>
      <c r="M1572" t="s">
        <v>263</v>
      </c>
      <c r="N1572" t="s">
        <v>46</v>
      </c>
      <c r="P1572" t="s">
        <v>1634</v>
      </c>
      <c r="R1572" s="5">
        <v>41942.915752314817</v>
      </c>
      <c r="S1572" s="5">
        <v>42678.631689814814</v>
      </c>
      <c r="T1572" t="s">
        <v>1</v>
      </c>
      <c r="U1572" t="s">
        <v>35</v>
      </c>
      <c r="V1572" s="3" t="s">
        <v>321</v>
      </c>
      <c r="W1572" s="3" t="s">
        <v>4098</v>
      </c>
      <c r="AM1572" s="5"/>
      <c r="AN1572" s="5"/>
      <c r="AQ1572" s="6"/>
    </row>
    <row r="1573" spans="2:43" x14ac:dyDescent="0.25">
      <c r="B1573" t="s">
        <v>2236</v>
      </c>
      <c r="C1573">
        <v>52121</v>
      </c>
      <c r="D1573" t="s">
        <v>2246</v>
      </c>
      <c r="E1573" t="s">
        <v>1864</v>
      </c>
      <c r="F1573" t="s">
        <v>305</v>
      </c>
      <c r="G1573" t="s">
        <v>310</v>
      </c>
      <c r="H1573" t="s">
        <v>30</v>
      </c>
      <c r="I1573" t="s">
        <v>31</v>
      </c>
      <c r="J1573" t="s">
        <v>43</v>
      </c>
      <c r="K1573" t="s">
        <v>44</v>
      </c>
      <c r="L1573" t="s">
        <v>73</v>
      </c>
      <c r="M1573" t="s">
        <v>412</v>
      </c>
      <c r="N1573" t="s">
        <v>46</v>
      </c>
      <c r="P1573" t="s">
        <v>1749</v>
      </c>
      <c r="R1573" s="5">
        <v>41936.831203703703</v>
      </c>
      <c r="S1573" s="5">
        <v>42678.618784722225</v>
      </c>
      <c r="T1573" t="s">
        <v>2194</v>
      </c>
      <c r="U1573" t="s">
        <v>35</v>
      </c>
      <c r="V1573" s="3" t="s">
        <v>35</v>
      </c>
      <c r="W1573" s="3" t="s">
        <v>2552</v>
      </c>
      <c r="AM1573" s="5"/>
      <c r="AN1573" s="5"/>
      <c r="AQ1573" s="6"/>
    </row>
    <row r="1574" spans="2:43" x14ac:dyDescent="0.25">
      <c r="B1574" t="s">
        <v>2236</v>
      </c>
      <c r="C1574">
        <v>52120</v>
      </c>
      <c r="D1574" t="s">
        <v>2245</v>
      </c>
      <c r="E1574" t="s">
        <v>1864</v>
      </c>
      <c r="F1574" t="s">
        <v>305</v>
      </c>
      <c r="G1574" t="s">
        <v>310</v>
      </c>
      <c r="H1574" t="s">
        <v>30</v>
      </c>
      <c r="I1574" t="s">
        <v>31</v>
      </c>
      <c r="J1574" t="s">
        <v>43</v>
      </c>
      <c r="K1574" t="s">
        <v>44</v>
      </c>
      <c r="L1574" t="s">
        <v>73</v>
      </c>
      <c r="M1574" t="s">
        <v>412</v>
      </c>
      <c r="N1574" t="s">
        <v>46</v>
      </c>
      <c r="P1574" t="s">
        <v>1749</v>
      </c>
      <c r="R1574" s="5">
        <v>41936.831134259257</v>
      </c>
      <c r="S1574" s="5">
        <v>42678.618611111109</v>
      </c>
      <c r="T1574" t="s">
        <v>2194</v>
      </c>
      <c r="U1574" t="s">
        <v>35</v>
      </c>
      <c r="V1574" s="3" t="s">
        <v>35</v>
      </c>
      <c r="W1574" s="3" t="s">
        <v>2552</v>
      </c>
      <c r="AM1574" s="5"/>
      <c r="AN1574" s="5"/>
      <c r="AQ1574" s="6"/>
    </row>
    <row r="1575" spans="2:43" x14ac:dyDescent="0.25">
      <c r="B1575" t="s">
        <v>2236</v>
      </c>
      <c r="C1575">
        <v>52119</v>
      </c>
      <c r="D1575" t="s">
        <v>2243</v>
      </c>
      <c r="E1575" t="s">
        <v>445</v>
      </c>
      <c r="F1575" t="s">
        <v>305</v>
      </c>
      <c r="G1575" t="s">
        <v>310</v>
      </c>
      <c r="H1575" t="s">
        <v>30</v>
      </c>
      <c r="I1575" t="s">
        <v>68</v>
      </c>
      <c r="J1575" t="s">
        <v>43</v>
      </c>
      <c r="K1575" t="s">
        <v>44</v>
      </c>
      <c r="L1575" t="s">
        <v>73</v>
      </c>
      <c r="M1575" t="s">
        <v>263</v>
      </c>
      <c r="N1575" t="s">
        <v>46</v>
      </c>
      <c r="O1575" t="s">
        <v>2244</v>
      </c>
      <c r="P1575" t="s">
        <v>1749</v>
      </c>
      <c r="R1575" s="5">
        <v>41936.831064814818</v>
      </c>
      <c r="S1575" s="5">
        <v>42678.612349537034</v>
      </c>
      <c r="T1575" t="s">
        <v>2194</v>
      </c>
      <c r="U1575" t="s">
        <v>35</v>
      </c>
      <c r="V1575" s="3" t="s">
        <v>35</v>
      </c>
      <c r="W1575" s="3" t="s">
        <v>394</v>
      </c>
      <c r="AM1575" s="5"/>
      <c r="AN1575" s="5"/>
      <c r="AQ1575" s="6"/>
    </row>
    <row r="1576" spans="2:43" x14ac:dyDescent="0.25">
      <c r="B1576" t="s">
        <v>2236</v>
      </c>
      <c r="C1576">
        <v>52118</v>
      </c>
      <c r="D1576" t="s">
        <v>2240</v>
      </c>
      <c r="E1576" t="s">
        <v>2241</v>
      </c>
      <c r="F1576" t="s">
        <v>305</v>
      </c>
      <c r="G1576" t="s">
        <v>304</v>
      </c>
      <c r="H1576" t="s">
        <v>30</v>
      </c>
      <c r="I1576" t="s">
        <v>31</v>
      </c>
      <c r="J1576" t="s">
        <v>43</v>
      </c>
      <c r="K1576" t="s">
        <v>44</v>
      </c>
      <c r="L1576" t="s">
        <v>73</v>
      </c>
      <c r="M1576" t="s">
        <v>412</v>
      </c>
      <c r="N1576" t="s">
        <v>46</v>
      </c>
      <c r="O1576" t="s">
        <v>2242</v>
      </c>
      <c r="P1576" t="s">
        <v>1749</v>
      </c>
      <c r="R1576" s="5">
        <v>41936.830995370372</v>
      </c>
      <c r="S1576" s="5">
        <v>42648.839930555558</v>
      </c>
      <c r="T1576" t="s">
        <v>2194</v>
      </c>
      <c r="U1576" t="s">
        <v>35</v>
      </c>
      <c r="V1576" s="3" t="s">
        <v>35</v>
      </c>
      <c r="W1576" s="3" t="s">
        <v>2552</v>
      </c>
      <c r="AM1576" s="5"/>
      <c r="AN1576" s="5"/>
      <c r="AQ1576" s="6"/>
    </row>
    <row r="1577" spans="2:43" x14ac:dyDescent="0.25">
      <c r="B1577" t="s">
        <v>2236</v>
      </c>
      <c r="C1577">
        <v>52117</v>
      </c>
      <c r="D1577" t="s">
        <v>2239</v>
      </c>
      <c r="E1577" t="s">
        <v>1864</v>
      </c>
      <c r="F1577" t="s">
        <v>305</v>
      </c>
      <c r="G1577" t="s">
        <v>304</v>
      </c>
      <c r="H1577" t="s">
        <v>30</v>
      </c>
      <c r="I1577" t="s">
        <v>68</v>
      </c>
      <c r="J1577" t="s">
        <v>43</v>
      </c>
      <c r="K1577" t="s">
        <v>44</v>
      </c>
      <c r="L1577" t="s">
        <v>73</v>
      </c>
      <c r="M1577" t="s">
        <v>412</v>
      </c>
      <c r="N1577" t="s">
        <v>46</v>
      </c>
      <c r="P1577" t="s">
        <v>1749</v>
      </c>
      <c r="R1577" s="5">
        <v>41936.830868055556</v>
      </c>
      <c r="S1577" s="5">
        <v>42648.840104166666</v>
      </c>
      <c r="T1577" t="s">
        <v>2194</v>
      </c>
      <c r="U1577" t="s">
        <v>35</v>
      </c>
      <c r="V1577" s="3" t="s">
        <v>35</v>
      </c>
      <c r="W1577" s="3" t="s">
        <v>2722</v>
      </c>
      <c r="AM1577" s="5"/>
      <c r="AN1577" s="5"/>
      <c r="AQ1577" s="6"/>
    </row>
    <row r="1578" spans="2:43" x14ac:dyDescent="0.25">
      <c r="B1578" t="s">
        <v>2236</v>
      </c>
      <c r="C1578">
        <v>52116</v>
      </c>
      <c r="D1578" t="s">
        <v>2238</v>
      </c>
      <c r="E1578" t="s">
        <v>1864</v>
      </c>
      <c r="F1578" t="s">
        <v>305</v>
      </c>
      <c r="G1578" t="s">
        <v>304</v>
      </c>
      <c r="H1578" t="s">
        <v>30</v>
      </c>
      <c r="I1578" t="s">
        <v>68</v>
      </c>
      <c r="J1578" t="s">
        <v>43</v>
      </c>
      <c r="K1578" t="s">
        <v>44</v>
      </c>
      <c r="L1578" t="s">
        <v>73</v>
      </c>
      <c r="M1578" t="s">
        <v>412</v>
      </c>
      <c r="N1578" t="s">
        <v>46</v>
      </c>
      <c r="P1578" t="s">
        <v>1749</v>
      </c>
      <c r="R1578" s="5">
        <v>41936.830787037034</v>
      </c>
      <c r="S1578" s="5">
        <v>42648.840231481481</v>
      </c>
      <c r="T1578" t="s">
        <v>2194</v>
      </c>
      <c r="U1578" t="s">
        <v>35</v>
      </c>
      <c r="V1578" s="3" t="s">
        <v>35</v>
      </c>
      <c r="W1578" s="3" t="s">
        <v>3867</v>
      </c>
      <c r="AM1578" s="5"/>
      <c r="AN1578" s="5"/>
      <c r="AQ1578" s="6"/>
    </row>
    <row r="1579" spans="2:43" x14ac:dyDescent="0.25">
      <c r="B1579" t="s">
        <v>2236</v>
      </c>
      <c r="C1579">
        <v>51960</v>
      </c>
      <c r="D1579" t="s">
        <v>2237</v>
      </c>
      <c r="E1579" t="s">
        <v>1864</v>
      </c>
      <c r="F1579" t="s">
        <v>305</v>
      </c>
      <c r="G1579" t="s">
        <v>304</v>
      </c>
      <c r="H1579" t="s">
        <v>30</v>
      </c>
      <c r="I1579" t="s">
        <v>68</v>
      </c>
      <c r="J1579" t="s">
        <v>43</v>
      </c>
      <c r="K1579" t="s">
        <v>44</v>
      </c>
      <c r="L1579" t="s">
        <v>73</v>
      </c>
      <c r="M1579" t="s">
        <v>412</v>
      </c>
      <c r="N1579" t="s">
        <v>46</v>
      </c>
      <c r="P1579" t="s">
        <v>1749</v>
      </c>
      <c r="R1579" s="5">
        <v>41933.901284722226</v>
      </c>
      <c r="S1579" s="5">
        <v>42331.792673611111</v>
      </c>
      <c r="T1579" t="s">
        <v>2</v>
      </c>
      <c r="U1579" t="s">
        <v>35</v>
      </c>
      <c r="V1579" s="3" t="s">
        <v>35</v>
      </c>
      <c r="W1579" s="3" t="s">
        <v>4098</v>
      </c>
      <c r="AM1579" s="5"/>
      <c r="AN1579" s="5"/>
      <c r="AQ1579" s="6"/>
    </row>
    <row r="1580" spans="2:43" x14ac:dyDescent="0.25">
      <c r="B1580" t="s">
        <v>3816</v>
      </c>
      <c r="C1580">
        <v>51600</v>
      </c>
      <c r="D1580" t="s">
        <v>3849</v>
      </c>
      <c r="E1580" t="s">
        <v>1752</v>
      </c>
      <c r="F1580" t="s">
        <v>305</v>
      </c>
      <c r="G1580" t="s">
        <v>337</v>
      </c>
      <c r="H1580" t="s">
        <v>30</v>
      </c>
      <c r="I1580" t="s">
        <v>68</v>
      </c>
      <c r="J1580" t="s">
        <v>58</v>
      </c>
      <c r="K1580" t="s">
        <v>44</v>
      </c>
      <c r="L1580" t="s">
        <v>34</v>
      </c>
      <c r="M1580" t="s">
        <v>3780</v>
      </c>
      <c r="N1580" t="s">
        <v>46</v>
      </c>
      <c r="P1580" t="s">
        <v>1854</v>
      </c>
      <c r="R1580" s="5">
        <v>41927.265856481485</v>
      </c>
      <c r="S1580" s="5">
        <v>42172.440358796295</v>
      </c>
      <c r="T1580" t="s">
        <v>1752</v>
      </c>
      <c r="U1580" t="s">
        <v>35</v>
      </c>
      <c r="V1580" s="3" t="s">
        <v>35</v>
      </c>
      <c r="W1580" s="3" t="s">
        <v>4132</v>
      </c>
      <c r="AM1580" s="5"/>
      <c r="AN1580" s="5"/>
      <c r="AQ1580" s="6"/>
    </row>
    <row r="1581" spans="2:43" x14ac:dyDescent="0.25">
      <c r="B1581" t="s">
        <v>2154</v>
      </c>
      <c r="C1581">
        <v>51580</v>
      </c>
      <c r="D1581" t="s">
        <v>2235</v>
      </c>
      <c r="E1581" t="s">
        <v>72</v>
      </c>
      <c r="F1581" t="s">
        <v>305</v>
      </c>
      <c r="G1581" t="s">
        <v>337</v>
      </c>
      <c r="H1581" t="s">
        <v>30</v>
      </c>
      <c r="I1581" t="s">
        <v>68</v>
      </c>
      <c r="J1581" t="s">
        <v>43</v>
      </c>
      <c r="K1581" t="s">
        <v>33</v>
      </c>
      <c r="L1581" t="s">
        <v>73</v>
      </c>
      <c r="M1581" t="s">
        <v>263</v>
      </c>
      <c r="N1581" t="s">
        <v>46</v>
      </c>
      <c r="P1581" t="s">
        <v>1749</v>
      </c>
      <c r="R1581" s="5">
        <v>41926.727500000001</v>
      </c>
      <c r="S1581" s="5">
        <v>42034.503796296296</v>
      </c>
      <c r="T1581" t="s">
        <v>2194</v>
      </c>
      <c r="U1581" t="s">
        <v>35</v>
      </c>
      <c r="V1581" s="3" t="s">
        <v>35</v>
      </c>
      <c r="W1581" s="3" t="s">
        <v>491</v>
      </c>
      <c r="AM1581" s="5"/>
      <c r="AN1581" s="5"/>
      <c r="AQ1581" s="6"/>
    </row>
    <row r="1582" spans="2:43" x14ac:dyDescent="0.25">
      <c r="B1582" t="s">
        <v>2154</v>
      </c>
      <c r="C1582">
        <v>51579</v>
      </c>
      <c r="D1582" t="s">
        <v>2234</v>
      </c>
      <c r="E1582" t="s">
        <v>72</v>
      </c>
      <c r="F1582" t="s">
        <v>305</v>
      </c>
      <c r="G1582" t="s">
        <v>310</v>
      </c>
      <c r="H1582" t="s">
        <v>30</v>
      </c>
      <c r="I1582" t="s">
        <v>31</v>
      </c>
      <c r="J1582" t="s">
        <v>43</v>
      </c>
      <c r="K1582" t="s">
        <v>44</v>
      </c>
      <c r="L1582" t="s">
        <v>73</v>
      </c>
      <c r="M1582" t="s">
        <v>263</v>
      </c>
      <c r="N1582" t="s">
        <v>46</v>
      </c>
      <c r="P1582" t="s">
        <v>1749</v>
      </c>
      <c r="R1582" s="5">
        <v>41926.727442129632</v>
      </c>
      <c r="S1582" s="5">
        <v>42128.243576388886</v>
      </c>
      <c r="T1582" t="s">
        <v>2194</v>
      </c>
      <c r="U1582" t="s">
        <v>35</v>
      </c>
      <c r="V1582" s="3" t="s">
        <v>35</v>
      </c>
      <c r="W1582" s="3" t="s">
        <v>2166</v>
      </c>
      <c r="AM1582" s="5"/>
      <c r="AN1582" s="5"/>
      <c r="AQ1582" s="6"/>
    </row>
    <row r="1583" spans="2:43" x14ac:dyDescent="0.25">
      <c r="B1583" t="s">
        <v>2154</v>
      </c>
      <c r="C1583">
        <v>51578</v>
      </c>
      <c r="D1583" t="s">
        <v>2233</v>
      </c>
      <c r="E1583" t="s">
        <v>72</v>
      </c>
      <c r="F1583" t="s">
        <v>305</v>
      </c>
      <c r="G1583" t="s">
        <v>304</v>
      </c>
      <c r="H1583" t="s">
        <v>30</v>
      </c>
      <c r="I1583" t="s">
        <v>31</v>
      </c>
      <c r="J1583" t="s">
        <v>43</v>
      </c>
      <c r="K1583" t="s">
        <v>44</v>
      </c>
      <c r="L1583" t="s">
        <v>73</v>
      </c>
      <c r="M1583" t="s">
        <v>263</v>
      </c>
      <c r="N1583" t="s">
        <v>46</v>
      </c>
      <c r="P1583" t="s">
        <v>1749</v>
      </c>
      <c r="R1583" s="5">
        <v>41926.727384259262</v>
      </c>
      <c r="S1583" s="5">
        <v>42648.839375000003</v>
      </c>
      <c r="T1583" t="s">
        <v>2194</v>
      </c>
      <c r="U1583" t="s">
        <v>35</v>
      </c>
      <c r="V1583" s="3" t="s">
        <v>35</v>
      </c>
      <c r="W1583" s="3" t="s">
        <v>4146</v>
      </c>
      <c r="AM1583" s="5"/>
      <c r="AN1583" s="5"/>
      <c r="AQ1583" s="6"/>
    </row>
    <row r="1584" spans="2:43" x14ac:dyDescent="0.25">
      <c r="B1584" t="s">
        <v>2154</v>
      </c>
      <c r="C1584">
        <v>51577</v>
      </c>
      <c r="D1584" t="s">
        <v>2231</v>
      </c>
      <c r="E1584" t="s">
        <v>1788</v>
      </c>
      <c r="F1584" t="s">
        <v>305</v>
      </c>
      <c r="G1584" t="s">
        <v>304</v>
      </c>
      <c r="H1584" t="s">
        <v>30</v>
      </c>
      <c r="I1584" t="s">
        <v>31</v>
      </c>
      <c r="J1584" t="s">
        <v>43</v>
      </c>
      <c r="K1584" t="s">
        <v>44</v>
      </c>
      <c r="L1584" t="s">
        <v>73</v>
      </c>
      <c r="M1584" t="s">
        <v>263</v>
      </c>
      <c r="N1584" t="s">
        <v>46</v>
      </c>
      <c r="O1584" t="s">
        <v>2232</v>
      </c>
      <c r="P1584" t="s">
        <v>1749</v>
      </c>
      <c r="R1584" s="5">
        <v>41926.727314814816</v>
      </c>
      <c r="S1584" s="5">
        <v>42648.839224537034</v>
      </c>
      <c r="T1584" t="s">
        <v>2194</v>
      </c>
      <c r="U1584" t="s">
        <v>35</v>
      </c>
      <c r="V1584" s="3" t="s">
        <v>35</v>
      </c>
      <c r="W1584" s="3" t="s">
        <v>2552</v>
      </c>
      <c r="AM1584" s="5"/>
      <c r="AN1584" s="5"/>
      <c r="AQ1584" s="6"/>
    </row>
    <row r="1585" spans="2:43" x14ac:dyDescent="0.25">
      <c r="B1585" t="s">
        <v>2154</v>
      </c>
      <c r="C1585">
        <v>51576</v>
      </c>
      <c r="D1585" t="s">
        <v>2230</v>
      </c>
      <c r="E1585" t="s">
        <v>2027</v>
      </c>
      <c r="F1585" t="s">
        <v>305</v>
      </c>
      <c r="G1585" t="s">
        <v>304</v>
      </c>
      <c r="H1585" t="s">
        <v>30</v>
      </c>
      <c r="I1585" t="s">
        <v>31</v>
      </c>
      <c r="J1585" t="s">
        <v>43</v>
      </c>
      <c r="K1585" t="s">
        <v>44</v>
      </c>
      <c r="L1585" t="s">
        <v>73</v>
      </c>
      <c r="M1585" t="s">
        <v>263</v>
      </c>
      <c r="N1585" t="s">
        <v>46</v>
      </c>
      <c r="O1585" t="s">
        <v>2208</v>
      </c>
      <c r="P1585" t="s">
        <v>1749</v>
      </c>
      <c r="R1585" s="5">
        <v>41926.727268518516</v>
      </c>
      <c r="S1585" s="5">
        <v>42648.839363425926</v>
      </c>
      <c r="T1585" t="s">
        <v>2194</v>
      </c>
      <c r="U1585" t="s">
        <v>35</v>
      </c>
      <c r="V1585" s="3" t="s">
        <v>35</v>
      </c>
      <c r="W1585" s="3" t="s">
        <v>2722</v>
      </c>
      <c r="AM1585" s="5"/>
      <c r="AN1585" s="5"/>
      <c r="AQ1585" s="6"/>
    </row>
    <row r="1586" spans="2:43" x14ac:dyDescent="0.25">
      <c r="B1586" t="s">
        <v>2154</v>
      </c>
      <c r="C1586">
        <v>51575</v>
      </c>
      <c r="D1586" t="s">
        <v>2229</v>
      </c>
      <c r="E1586" t="s">
        <v>72</v>
      </c>
      <c r="F1586" t="s">
        <v>305</v>
      </c>
      <c r="G1586" t="s">
        <v>304</v>
      </c>
      <c r="H1586" t="s">
        <v>30</v>
      </c>
      <c r="I1586" t="s">
        <v>31</v>
      </c>
      <c r="J1586" t="s">
        <v>43</v>
      </c>
      <c r="K1586" t="s">
        <v>44</v>
      </c>
      <c r="L1586" t="s">
        <v>73</v>
      </c>
      <c r="M1586" t="s">
        <v>263</v>
      </c>
      <c r="N1586" t="s">
        <v>46</v>
      </c>
      <c r="P1586" t="s">
        <v>1749</v>
      </c>
      <c r="R1586" s="5">
        <v>41926.727199074077</v>
      </c>
      <c r="S1586" s="5">
        <v>42648.838969907411</v>
      </c>
      <c r="T1586" t="s">
        <v>2194</v>
      </c>
      <c r="U1586" t="s">
        <v>35</v>
      </c>
      <c r="V1586" s="3" t="s">
        <v>35</v>
      </c>
      <c r="W1586" s="3" t="s">
        <v>3867</v>
      </c>
      <c r="AM1586" s="5"/>
      <c r="AN1586" s="5"/>
      <c r="AQ1586" s="6"/>
    </row>
    <row r="1587" spans="2:43" x14ac:dyDescent="0.25">
      <c r="B1587" t="s">
        <v>2154</v>
      </c>
      <c r="C1587">
        <v>51574</v>
      </c>
      <c r="D1587" t="s">
        <v>2227</v>
      </c>
      <c r="E1587" t="s">
        <v>72</v>
      </c>
      <c r="F1587" t="s">
        <v>305</v>
      </c>
      <c r="G1587" t="s">
        <v>304</v>
      </c>
      <c r="H1587" t="s">
        <v>30</v>
      </c>
      <c r="I1587" t="s">
        <v>31</v>
      </c>
      <c r="J1587" t="s">
        <v>43</v>
      </c>
      <c r="K1587" t="s">
        <v>2028</v>
      </c>
      <c r="L1587" t="s">
        <v>73</v>
      </c>
      <c r="M1587" t="s">
        <v>263</v>
      </c>
      <c r="N1587" t="s">
        <v>384</v>
      </c>
      <c r="O1587" t="s">
        <v>2228</v>
      </c>
      <c r="P1587" t="s">
        <v>1749</v>
      </c>
      <c r="R1587" s="5">
        <v>41926.725902777776</v>
      </c>
      <c r="S1587" s="5">
        <v>42871.689236111109</v>
      </c>
      <c r="T1587" t="s">
        <v>2194</v>
      </c>
      <c r="U1587" t="s">
        <v>35</v>
      </c>
      <c r="V1587" s="3" t="s">
        <v>35</v>
      </c>
      <c r="W1587" s="3" t="s">
        <v>4098</v>
      </c>
      <c r="AM1587" s="5"/>
      <c r="AN1587" s="5"/>
      <c r="AQ1587" s="6"/>
    </row>
    <row r="1588" spans="2:43" x14ac:dyDescent="0.25">
      <c r="B1588" t="s">
        <v>2223</v>
      </c>
      <c r="C1588">
        <v>51260</v>
      </c>
      <c r="D1588" t="s">
        <v>2224</v>
      </c>
      <c r="E1588" t="s">
        <v>2225</v>
      </c>
      <c r="F1588" t="s">
        <v>305</v>
      </c>
      <c r="G1588" t="s">
        <v>337</v>
      </c>
      <c r="H1588" t="s">
        <v>30</v>
      </c>
      <c r="I1588" t="s">
        <v>68</v>
      </c>
      <c r="J1588" t="s">
        <v>58</v>
      </c>
      <c r="K1588" t="s">
        <v>44</v>
      </c>
      <c r="L1588" t="s">
        <v>34</v>
      </c>
      <c r="M1588" t="s">
        <v>2192</v>
      </c>
      <c r="N1588" t="s">
        <v>2226</v>
      </c>
      <c r="P1588" t="s">
        <v>56</v>
      </c>
      <c r="R1588" s="5">
        <v>41920.632222222222</v>
      </c>
      <c r="S1588" s="5">
        <v>42678.631342592591</v>
      </c>
      <c r="T1588" t="s">
        <v>39</v>
      </c>
      <c r="U1588" t="s">
        <v>35</v>
      </c>
      <c r="V1588" s="3" t="s">
        <v>35</v>
      </c>
      <c r="W1588" s="3" t="s">
        <v>3028</v>
      </c>
      <c r="AM1588" s="5"/>
      <c r="AN1588" s="5"/>
      <c r="AQ1588" s="6"/>
    </row>
    <row r="1589" spans="2:43" x14ac:dyDescent="0.25">
      <c r="B1589" t="s">
        <v>2154</v>
      </c>
      <c r="C1589">
        <v>50553</v>
      </c>
      <c r="D1589" t="s">
        <v>2222</v>
      </c>
      <c r="E1589" t="s">
        <v>2160</v>
      </c>
      <c r="F1589" t="s">
        <v>305</v>
      </c>
      <c r="G1589" t="s">
        <v>328</v>
      </c>
      <c r="H1589" t="s">
        <v>30</v>
      </c>
      <c r="I1589" t="s">
        <v>35</v>
      </c>
      <c r="J1589" t="s">
        <v>43</v>
      </c>
      <c r="K1589" t="s">
        <v>44</v>
      </c>
      <c r="L1589" t="s">
        <v>73</v>
      </c>
      <c r="M1589" t="s">
        <v>263</v>
      </c>
      <c r="N1589" t="s">
        <v>46</v>
      </c>
      <c r="P1589" t="s">
        <v>1749</v>
      </c>
      <c r="R1589" s="5">
        <v>41906.832187499997</v>
      </c>
      <c r="S1589" s="5">
        <v>42034.510740740741</v>
      </c>
      <c r="T1589" t="s">
        <v>2221</v>
      </c>
      <c r="U1589" t="s">
        <v>35</v>
      </c>
      <c r="V1589" s="3" t="s">
        <v>35</v>
      </c>
      <c r="W1589" s="3" t="s">
        <v>491</v>
      </c>
      <c r="AM1589" s="5"/>
      <c r="AN1589" s="5"/>
      <c r="AQ1589" s="6"/>
    </row>
    <row r="1590" spans="2:43" x14ac:dyDescent="0.25">
      <c r="B1590" t="s">
        <v>2109</v>
      </c>
      <c r="C1590">
        <v>50550</v>
      </c>
      <c r="D1590" t="s">
        <v>2219</v>
      </c>
      <c r="E1590" t="s">
        <v>139</v>
      </c>
      <c r="F1590" t="s">
        <v>305</v>
      </c>
      <c r="G1590" t="s">
        <v>337</v>
      </c>
      <c r="H1590" t="s">
        <v>2220</v>
      </c>
      <c r="I1590" t="s">
        <v>68</v>
      </c>
      <c r="J1590" t="s">
        <v>43</v>
      </c>
      <c r="K1590" t="s">
        <v>33</v>
      </c>
      <c r="L1590" t="s">
        <v>73</v>
      </c>
      <c r="M1590" t="s">
        <v>263</v>
      </c>
      <c r="N1590" t="s">
        <v>46</v>
      </c>
      <c r="P1590" t="s">
        <v>1749</v>
      </c>
      <c r="R1590" s="5">
        <v>41906.825613425928</v>
      </c>
      <c r="S1590" s="5">
        <v>42272.502013888887</v>
      </c>
      <c r="T1590" t="s">
        <v>2221</v>
      </c>
      <c r="U1590" t="s">
        <v>35</v>
      </c>
      <c r="V1590" s="3" t="s">
        <v>35</v>
      </c>
      <c r="W1590" s="3" t="s">
        <v>4145</v>
      </c>
      <c r="AM1590" s="5"/>
      <c r="AN1590" s="5"/>
      <c r="AQ1590" s="6"/>
    </row>
    <row r="1591" spans="2:43" x14ac:dyDescent="0.25">
      <c r="B1591" t="s">
        <v>2210</v>
      </c>
      <c r="C1591">
        <v>50530</v>
      </c>
      <c r="D1591" t="s">
        <v>2211</v>
      </c>
      <c r="E1591" t="s">
        <v>2212</v>
      </c>
      <c r="F1591" t="s">
        <v>305</v>
      </c>
      <c r="G1591" t="s">
        <v>304</v>
      </c>
      <c r="H1591" t="s">
        <v>2213</v>
      </c>
      <c r="I1591" t="s">
        <v>31</v>
      </c>
      <c r="J1591" t="s">
        <v>43</v>
      </c>
      <c r="K1591" t="s">
        <v>44</v>
      </c>
      <c r="L1591" t="s">
        <v>34</v>
      </c>
      <c r="M1591" t="s">
        <v>2214</v>
      </c>
      <c r="N1591" t="s">
        <v>46</v>
      </c>
      <c r="O1591" t="s">
        <v>2215</v>
      </c>
      <c r="P1591" t="s">
        <v>2216</v>
      </c>
      <c r="Q1591" t="s">
        <v>2217</v>
      </c>
      <c r="R1591" s="5">
        <v>41906.580196759256</v>
      </c>
      <c r="S1591" s="5">
        <v>43333.441782407404</v>
      </c>
      <c r="T1591" t="s">
        <v>2218</v>
      </c>
      <c r="U1591" t="s">
        <v>35</v>
      </c>
      <c r="V1591" s="3" t="s">
        <v>35</v>
      </c>
      <c r="W1591" s="3" t="s">
        <v>4144</v>
      </c>
      <c r="AM1591" s="5"/>
      <c r="AN1591" s="5"/>
      <c r="AQ1591" s="6"/>
    </row>
    <row r="1592" spans="2:43" x14ac:dyDescent="0.25">
      <c r="B1592" t="s">
        <v>3846</v>
      </c>
      <c r="C1592">
        <v>50370</v>
      </c>
      <c r="D1592" t="s">
        <v>3847</v>
      </c>
      <c r="E1592" t="s">
        <v>371</v>
      </c>
      <c r="F1592" t="s">
        <v>305</v>
      </c>
      <c r="G1592" t="s">
        <v>304</v>
      </c>
      <c r="H1592" t="s">
        <v>56</v>
      </c>
      <c r="I1592" t="s">
        <v>68</v>
      </c>
      <c r="J1592" t="s">
        <v>43</v>
      </c>
      <c r="K1592" t="s">
        <v>33</v>
      </c>
      <c r="L1592" t="s">
        <v>34</v>
      </c>
      <c r="M1592" t="s">
        <v>368</v>
      </c>
      <c r="N1592" t="s">
        <v>46</v>
      </c>
      <c r="O1592" t="s">
        <v>3848</v>
      </c>
      <c r="P1592" t="s">
        <v>56</v>
      </c>
      <c r="R1592" s="5">
        <v>41903.697025462963</v>
      </c>
      <c r="S1592" s="5">
        <v>42476.931145833332</v>
      </c>
      <c r="T1592" t="s">
        <v>2047</v>
      </c>
      <c r="U1592" t="s">
        <v>35</v>
      </c>
      <c r="V1592" s="3" t="s">
        <v>35</v>
      </c>
      <c r="W1592" s="3" t="s">
        <v>4098</v>
      </c>
      <c r="AM1592" s="5"/>
      <c r="AN1592" s="5"/>
      <c r="AQ1592" s="6"/>
    </row>
    <row r="1593" spans="2:43" x14ac:dyDescent="0.25">
      <c r="B1593" t="s">
        <v>2201</v>
      </c>
      <c r="C1593">
        <v>50293</v>
      </c>
      <c r="D1593" t="s">
        <v>2209</v>
      </c>
      <c r="E1593" t="s">
        <v>1933</v>
      </c>
      <c r="F1593" t="s">
        <v>305</v>
      </c>
      <c r="G1593" t="s">
        <v>304</v>
      </c>
      <c r="H1593" t="s">
        <v>30</v>
      </c>
      <c r="I1593" t="s">
        <v>68</v>
      </c>
      <c r="J1593" t="s">
        <v>58</v>
      </c>
      <c r="K1593" t="s">
        <v>44</v>
      </c>
      <c r="L1593" t="s">
        <v>34</v>
      </c>
      <c r="M1593" t="s">
        <v>2179</v>
      </c>
      <c r="N1593" t="s">
        <v>46</v>
      </c>
      <c r="P1593" t="s">
        <v>2180</v>
      </c>
      <c r="Q1593" t="s">
        <v>2203</v>
      </c>
      <c r="R1593" s="5">
        <v>41900.658553240741</v>
      </c>
      <c r="S1593" s="5">
        <v>42202.651701388888</v>
      </c>
      <c r="T1593" t="s">
        <v>1913</v>
      </c>
      <c r="U1593" t="s">
        <v>35</v>
      </c>
      <c r="V1593" s="3" t="s">
        <v>35</v>
      </c>
      <c r="W1593" s="3" t="s">
        <v>3867</v>
      </c>
      <c r="AM1593" s="5"/>
      <c r="AN1593" s="5"/>
      <c r="AQ1593" s="6"/>
    </row>
    <row r="1594" spans="2:43" x14ac:dyDescent="0.25">
      <c r="B1594" t="s">
        <v>2201</v>
      </c>
      <c r="C1594">
        <v>50292</v>
      </c>
      <c r="D1594" t="s">
        <v>2207</v>
      </c>
      <c r="E1594" t="s">
        <v>1824</v>
      </c>
      <c r="F1594" t="s">
        <v>305</v>
      </c>
      <c r="G1594" t="s">
        <v>304</v>
      </c>
      <c r="H1594" t="s">
        <v>30</v>
      </c>
      <c r="I1594" t="s">
        <v>68</v>
      </c>
      <c r="J1594" t="s">
        <v>58</v>
      </c>
      <c r="K1594" t="s">
        <v>44</v>
      </c>
      <c r="L1594" t="s">
        <v>34</v>
      </c>
      <c r="M1594" t="s">
        <v>2179</v>
      </c>
      <c r="N1594" t="s">
        <v>46</v>
      </c>
      <c r="O1594" t="s">
        <v>2208</v>
      </c>
      <c r="P1594" t="s">
        <v>2180</v>
      </c>
      <c r="Q1594" t="s">
        <v>2203</v>
      </c>
      <c r="R1594" s="5">
        <v>41900.658460648148</v>
      </c>
      <c r="S1594" s="5">
        <v>42039.774502314816</v>
      </c>
      <c r="T1594" t="s">
        <v>1913</v>
      </c>
      <c r="U1594" t="s">
        <v>35</v>
      </c>
      <c r="V1594" s="3" t="s">
        <v>35</v>
      </c>
      <c r="W1594" s="3" t="s">
        <v>2722</v>
      </c>
      <c r="AM1594" s="5"/>
      <c r="AN1594" s="5"/>
      <c r="AQ1594" s="6"/>
    </row>
    <row r="1595" spans="2:43" x14ac:dyDescent="0.25">
      <c r="B1595" t="s">
        <v>2201</v>
      </c>
      <c r="C1595">
        <v>50291</v>
      </c>
      <c r="D1595" t="s">
        <v>2205</v>
      </c>
      <c r="E1595" t="s">
        <v>1824</v>
      </c>
      <c r="F1595" t="s">
        <v>305</v>
      </c>
      <c r="G1595" t="s">
        <v>304</v>
      </c>
      <c r="H1595" t="s">
        <v>30</v>
      </c>
      <c r="I1595" t="s">
        <v>68</v>
      </c>
      <c r="J1595" t="s">
        <v>58</v>
      </c>
      <c r="K1595" t="s">
        <v>44</v>
      </c>
      <c r="L1595" t="s">
        <v>34</v>
      </c>
      <c r="M1595" t="s">
        <v>2179</v>
      </c>
      <c r="N1595" t="s">
        <v>46</v>
      </c>
      <c r="O1595" t="s">
        <v>2206</v>
      </c>
      <c r="P1595" t="s">
        <v>2180</v>
      </c>
      <c r="Q1595" t="s">
        <v>2203</v>
      </c>
      <c r="R1595" s="5">
        <v>41900.65834490741</v>
      </c>
      <c r="S1595" s="5">
        <v>42116.901747685188</v>
      </c>
      <c r="T1595" t="s">
        <v>1913</v>
      </c>
      <c r="U1595" t="s">
        <v>35</v>
      </c>
      <c r="V1595" s="3" t="s">
        <v>35</v>
      </c>
      <c r="W1595" s="3" t="s">
        <v>4112</v>
      </c>
      <c r="AM1595" s="5"/>
      <c r="AN1595" s="5"/>
      <c r="AQ1595" s="6"/>
    </row>
    <row r="1596" spans="2:43" x14ac:dyDescent="0.25">
      <c r="B1596" t="s">
        <v>2201</v>
      </c>
      <c r="C1596">
        <v>50290</v>
      </c>
      <c r="D1596" t="s">
        <v>2204</v>
      </c>
      <c r="E1596" t="s">
        <v>1824</v>
      </c>
      <c r="F1596" t="s">
        <v>305</v>
      </c>
      <c r="G1596" t="s">
        <v>310</v>
      </c>
      <c r="H1596" t="s">
        <v>30</v>
      </c>
      <c r="I1596" t="s">
        <v>68</v>
      </c>
      <c r="J1596" t="s">
        <v>58</v>
      </c>
      <c r="K1596" t="s">
        <v>44</v>
      </c>
      <c r="L1596" t="s">
        <v>34</v>
      </c>
      <c r="M1596" t="s">
        <v>2179</v>
      </c>
      <c r="N1596" t="s">
        <v>46</v>
      </c>
      <c r="P1596" t="s">
        <v>2180</v>
      </c>
      <c r="Q1596" t="s">
        <v>2203</v>
      </c>
      <c r="R1596" s="5">
        <v>41900.658252314817</v>
      </c>
      <c r="S1596" s="5">
        <v>42135.73914351852</v>
      </c>
      <c r="T1596" t="s">
        <v>1913</v>
      </c>
      <c r="U1596" t="s">
        <v>35</v>
      </c>
      <c r="V1596" s="3" t="s">
        <v>35</v>
      </c>
      <c r="W1596" s="3" t="s">
        <v>2475</v>
      </c>
      <c r="AM1596" s="5"/>
      <c r="AN1596" s="5"/>
      <c r="AQ1596" s="6"/>
    </row>
    <row r="1597" spans="2:43" x14ac:dyDescent="0.25">
      <c r="B1597" t="s">
        <v>3841</v>
      </c>
      <c r="C1597">
        <v>50241</v>
      </c>
      <c r="D1597" t="s">
        <v>3842</v>
      </c>
      <c r="E1597" t="s">
        <v>3843</v>
      </c>
      <c r="F1597" t="s">
        <v>305</v>
      </c>
      <c r="G1597" t="s">
        <v>304</v>
      </c>
      <c r="H1597" t="s">
        <v>426</v>
      </c>
      <c r="I1597" t="s">
        <v>68</v>
      </c>
      <c r="J1597" t="s">
        <v>43</v>
      </c>
      <c r="K1597" t="s">
        <v>33</v>
      </c>
      <c r="L1597" t="s">
        <v>34</v>
      </c>
      <c r="M1597" t="s">
        <v>3780</v>
      </c>
      <c r="N1597" t="s">
        <v>46</v>
      </c>
      <c r="O1597" t="s">
        <v>3844</v>
      </c>
      <c r="P1597" t="s">
        <v>38</v>
      </c>
      <c r="Q1597" t="s">
        <v>3555</v>
      </c>
      <c r="R1597" s="5">
        <v>41899.78597222222</v>
      </c>
      <c r="S1597" s="5">
        <v>43298.558159722219</v>
      </c>
      <c r="T1597" t="s">
        <v>3845</v>
      </c>
      <c r="U1597" t="s">
        <v>35</v>
      </c>
      <c r="V1597" s="3" t="s">
        <v>35</v>
      </c>
      <c r="W1597" s="3" t="s">
        <v>4143</v>
      </c>
      <c r="AM1597" s="5"/>
      <c r="AN1597" s="5"/>
      <c r="AQ1597" s="6"/>
    </row>
    <row r="1598" spans="2:43" x14ac:dyDescent="0.25">
      <c r="B1598" t="s">
        <v>2201</v>
      </c>
      <c r="C1598">
        <v>50022</v>
      </c>
      <c r="D1598" t="s">
        <v>2202</v>
      </c>
      <c r="E1598" t="s">
        <v>1824</v>
      </c>
      <c r="F1598" t="s">
        <v>305</v>
      </c>
      <c r="G1598" t="s">
        <v>304</v>
      </c>
      <c r="H1598" t="s">
        <v>30</v>
      </c>
      <c r="I1598" t="s">
        <v>68</v>
      </c>
      <c r="J1598" t="s">
        <v>58</v>
      </c>
      <c r="K1598" t="s">
        <v>44</v>
      </c>
      <c r="L1598" t="s">
        <v>34</v>
      </c>
      <c r="M1598" t="s">
        <v>2179</v>
      </c>
      <c r="N1598" t="s">
        <v>46</v>
      </c>
      <c r="P1598" t="s">
        <v>2180</v>
      </c>
      <c r="Q1598" t="s">
        <v>2203</v>
      </c>
      <c r="R1598" s="5">
        <v>41894.614814814813</v>
      </c>
      <c r="S1598" s="5">
        <v>42930.30773148148</v>
      </c>
      <c r="T1598" t="s">
        <v>300</v>
      </c>
      <c r="U1598" t="s">
        <v>35</v>
      </c>
      <c r="V1598" s="3" t="s">
        <v>35</v>
      </c>
      <c r="W1598" s="3" t="s">
        <v>4098</v>
      </c>
      <c r="AM1598" s="5"/>
      <c r="AN1598" s="5"/>
      <c r="AQ1598" s="6"/>
    </row>
    <row r="1599" spans="2:43" x14ac:dyDescent="0.25">
      <c r="B1599" t="s">
        <v>2200</v>
      </c>
      <c r="C1599">
        <v>49413</v>
      </c>
      <c r="D1599" t="s">
        <v>444</v>
      </c>
      <c r="E1599" t="s">
        <v>445</v>
      </c>
      <c r="F1599" t="s">
        <v>305</v>
      </c>
      <c r="G1599" t="s">
        <v>304</v>
      </c>
      <c r="H1599" t="s">
        <v>30</v>
      </c>
      <c r="I1599" t="s">
        <v>68</v>
      </c>
      <c r="J1599" t="s">
        <v>58</v>
      </c>
      <c r="K1599" t="s">
        <v>44</v>
      </c>
      <c r="L1599" t="s">
        <v>73</v>
      </c>
      <c r="M1599" t="s">
        <v>263</v>
      </c>
      <c r="N1599" t="s">
        <v>46</v>
      </c>
      <c r="P1599" t="s">
        <v>443</v>
      </c>
      <c r="R1599" s="5">
        <v>41883.832731481481</v>
      </c>
      <c r="S1599" s="5">
        <v>42759.714016203703</v>
      </c>
      <c r="T1599" t="s">
        <v>70</v>
      </c>
      <c r="U1599" t="s">
        <v>35</v>
      </c>
      <c r="V1599" s="3" t="s">
        <v>35</v>
      </c>
      <c r="W1599" s="3" t="s">
        <v>4098</v>
      </c>
      <c r="AM1599" s="5"/>
      <c r="AN1599" s="5"/>
      <c r="AQ1599" s="6"/>
    </row>
    <row r="1600" spans="2:43" x14ac:dyDescent="0.25">
      <c r="B1600" t="s">
        <v>2186</v>
      </c>
      <c r="C1600">
        <v>48911</v>
      </c>
      <c r="D1600" t="s">
        <v>2199</v>
      </c>
      <c r="E1600" t="s">
        <v>387</v>
      </c>
      <c r="F1600" t="s">
        <v>305</v>
      </c>
      <c r="G1600" t="s">
        <v>328</v>
      </c>
      <c r="H1600" t="s">
        <v>56</v>
      </c>
      <c r="I1600" t="s">
        <v>35</v>
      </c>
      <c r="J1600" t="s">
        <v>32</v>
      </c>
      <c r="K1600" t="s">
        <v>35</v>
      </c>
      <c r="L1600" t="s">
        <v>73</v>
      </c>
      <c r="M1600" t="s">
        <v>263</v>
      </c>
      <c r="N1600" t="s">
        <v>46</v>
      </c>
      <c r="O1600" t="s">
        <v>1717</v>
      </c>
      <c r="P1600" t="s">
        <v>1634</v>
      </c>
      <c r="R1600" s="5">
        <v>41871.827650462961</v>
      </c>
      <c r="S1600" s="5">
        <v>42034.510868055557</v>
      </c>
      <c r="T1600" t="s">
        <v>2194</v>
      </c>
      <c r="U1600" t="s">
        <v>35</v>
      </c>
      <c r="V1600" s="3" t="s">
        <v>35</v>
      </c>
      <c r="W1600" s="3" t="s">
        <v>491</v>
      </c>
      <c r="AM1600" s="5"/>
      <c r="AN1600" s="5"/>
      <c r="AQ1600" s="6"/>
    </row>
    <row r="1601" spans="2:43" x14ac:dyDescent="0.25">
      <c r="B1601" t="s">
        <v>2186</v>
      </c>
      <c r="C1601">
        <v>48910</v>
      </c>
      <c r="D1601" t="s">
        <v>2197</v>
      </c>
      <c r="E1601" t="s">
        <v>361</v>
      </c>
      <c r="F1601" t="s">
        <v>305</v>
      </c>
      <c r="G1601" t="s">
        <v>310</v>
      </c>
      <c r="H1601" t="s">
        <v>56</v>
      </c>
      <c r="I1601" t="s">
        <v>35</v>
      </c>
      <c r="J1601" t="s">
        <v>32</v>
      </c>
      <c r="K1601" t="s">
        <v>44</v>
      </c>
      <c r="L1601" t="s">
        <v>73</v>
      </c>
      <c r="M1601" t="s">
        <v>263</v>
      </c>
      <c r="N1601" t="s">
        <v>46</v>
      </c>
      <c r="O1601" t="s">
        <v>2198</v>
      </c>
      <c r="P1601" t="s">
        <v>1634</v>
      </c>
      <c r="R1601" s="5">
        <v>41871.827557870369</v>
      </c>
      <c r="S1601" s="5">
        <v>42649.807858796295</v>
      </c>
      <c r="T1601" t="s">
        <v>2194</v>
      </c>
      <c r="U1601" t="s">
        <v>35</v>
      </c>
      <c r="V1601" s="3" t="s">
        <v>35</v>
      </c>
      <c r="W1601" s="3" t="s">
        <v>4142</v>
      </c>
      <c r="AM1601" s="5"/>
      <c r="AN1601" s="5"/>
      <c r="AQ1601" s="6"/>
    </row>
    <row r="1602" spans="2:43" x14ac:dyDescent="0.25">
      <c r="B1602" t="s">
        <v>2186</v>
      </c>
      <c r="C1602">
        <v>48909</v>
      </c>
      <c r="D1602" t="s">
        <v>2196</v>
      </c>
      <c r="E1602" t="s">
        <v>131</v>
      </c>
      <c r="F1602" t="s">
        <v>305</v>
      </c>
      <c r="G1602" t="s">
        <v>328</v>
      </c>
      <c r="H1602" t="s">
        <v>56</v>
      </c>
      <c r="I1602" t="s">
        <v>31</v>
      </c>
      <c r="J1602" t="s">
        <v>32</v>
      </c>
      <c r="K1602" t="s">
        <v>35</v>
      </c>
      <c r="L1602" t="s">
        <v>73</v>
      </c>
      <c r="M1602" t="s">
        <v>263</v>
      </c>
      <c r="N1602" t="s">
        <v>2161</v>
      </c>
      <c r="O1602" t="s">
        <v>1717</v>
      </c>
      <c r="P1602" t="s">
        <v>1634</v>
      </c>
      <c r="R1602" s="5">
        <v>41871.827488425923</v>
      </c>
      <c r="S1602" s="5">
        <v>42649.807800925926</v>
      </c>
      <c r="T1602" t="s">
        <v>2194</v>
      </c>
      <c r="U1602" t="s">
        <v>35</v>
      </c>
      <c r="V1602" s="3" t="s">
        <v>35</v>
      </c>
      <c r="W1602" s="3" t="s">
        <v>2552</v>
      </c>
      <c r="AM1602" s="5"/>
      <c r="AN1602" s="5"/>
      <c r="AQ1602" s="6"/>
    </row>
    <row r="1603" spans="2:43" x14ac:dyDescent="0.25">
      <c r="B1603" t="s">
        <v>2186</v>
      </c>
      <c r="C1603">
        <v>48908</v>
      </c>
      <c r="D1603" t="s">
        <v>2195</v>
      </c>
      <c r="E1603" t="s">
        <v>387</v>
      </c>
      <c r="F1603" t="s">
        <v>305</v>
      </c>
      <c r="G1603" t="s">
        <v>328</v>
      </c>
      <c r="H1603" t="s">
        <v>56</v>
      </c>
      <c r="I1603" t="s">
        <v>35</v>
      </c>
      <c r="J1603" t="s">
        <v>32</v>
      </c>
      <c r="K1603" t="s">
        <v>35</v>
      </c>
      <c r="L1603" t="s">
        <v>73</v>
      </c>
      <c r="M1603" t="s">
        <v>263</v>
      </c>
      <c r="N1603" t="s">
        <v>46</v>
      </c>
      <c r="O1603" t="s">
        <v>1717</v>
      </c>
      <c r="P1603" t="s">
        <v>1634</v>
      </c>
      <c r="R1603" s="5">
        <v>41871.82739583333</v>
      </c>
      <c r="S1603" s="5">
        <v>42649.807881944442</v>
      </c>
      <c r="T1603" t="s">
        <v>2194</v>
      </c>
      <c r="U1603" t="s">
        <v>35</v>
      </c>
      <c r="V1603" s="3" t="s">
        <v>35</v>
      </c>
      <c r="W1603" s="3" t="s">
        <v>4132</v>
      </c>
      <c r="AM1603" s="5"/>
      <c r="AN1603" s="5"/>
      <c r="AQ1603" s="6"/>
    </row>
    <row r="1604" spans="2:43" x14ac:dyDescent="0.25">
      <c r="B1604" t="s">
        <v>2186</v>
      </c>
      <c r="C1604">
        <v>48907</v>
      </c>
      <c r="D1604" t="s">
        <v>2193</v>
      </c>
      <c r="E1604" t="s">
        <v>387</v>
      </c>
      <c r="F1604" t="s">
        <v>305</v>
      </c>
      <c r="G1604" t="s">
        <v>328</v>
      </c>
      <c r="H1604" t="s">
        <v>56</v>
      </c>
      <c r="I1604" t="s">
        <v>35</v>
      </c>
      <c r="J1604" t="s">
        <v>32</v>
      </c>
      <c r="K1604" t="s">
        <v>35</v>
      </c>
      <c r="L1604" t="s">
        <v>73</v>
      </c>
      <c r="M1604" t="s">
        <v>263</v>
      </c>
      <c r="N1604" t="s">
        <v>46</v>
      </c>
      <c r="O1604" t="s">
        <v>1717</v>
      </c>
      <c r="P1604" t="s">
        <v>1634</v>
      </c>
      <c r="R1604" s="5">
        <v>41871.827222222222</v>
      </c>
      <c r="S1604" s="5">
        <v>42678.612326388888</v>
      </c>
      <c r="T1604" t="s">
        <v>2194</v>
      </c>
      <c r="U1604" t="s">
        <v>35</v>
      </c>
      <c r="V1604" s="3" t="s">
        <v>35</v>
      </c>
      <c r="W1604" s="3" t="s">
        <v>3039</v>
      </c>
      <c r="AM1604" s="5"/>
      <c r="AN1604" s="5"/>
      <c r="AQ1604" s="6"/>
    </row>
    <row r="1605" spans="2:43" x14ac:dyDescent="0.25">
      <c r="B1605" t="s">
        <v>2034</v>
      </c>
      <c r="C1605">
        <v>48891</v>
      </c>
      <c r="D1605" t="s">
        <v>2191</v>
      </c>
      <c r="E1605" t="s">
        <v>1827</v>
      </c>
      <c r="F1605" t="s">
        <v>305</v>
      </c>
      <c r="G1605" t="s">
        <v>304</v>
      </c>
      <c r="H1605" t="s">
        <v>30</v>
      </c>
      <c r="I1605" t="s">
        <v>57</v>
      </c>
      <c r="J1605" t="s">
        <v>58</v>
      </c>
      <c r="K1605" t="s">
        <v>33</v>
      </c>
      <c r="L1605" t="s">
        <v>34</v>
      </c>
      <c r="M1605" t="s">
        <v>2192</v>
      </c>
      <c r="N1605" t="s">
        <v>46</v>
      </c>
      <c r="P1605" t="s">
        <v>1646</v>
      </c>
      <c r="R1605" s="5">
        <v>41871.647974537038</v>
      </c>
      <c r="S1605" s="5">
        <v>42116.902766203704</v>
      </c>
      <c r="T1605" t="s">
        <v>2189</v>
      </c>
      <c r="U1605" t="s">
        <v>35</v>
      </c>
      <c r="V1605" s="3" t="s">
        <v>35</v>
      </c>
      <c r="W1605" s="3" t="s">
        <v>4112</v>
      </c>
      <c r="AM1605" s="5"/>
      <c r="AN1605" s="5"/>
      <c r="AQ1605" s="6"/>
    </row>
    <row r="1606" spans="2:43" x14ac:dyDescent="0.25">
      <c r="B1606" t="s">
        <v>2034</v>
      </c>
      <c r="C1606">
        <v>48748</v>
      </c>
      <c r="D1606" t="s">
        <v>2190</v>
      </c>
      <c r="E1606" t="s">
        <v>2189</v>
      </c>
      <c r="F1606" t="s">
        <v>305</v>
      </c>
      <c r="G1606" t="s">
        <v>337</v>
      </c>
      <c r="H1606" t="s">
        <v>30</v>
      </c>
      <c r="I1606" t="s">
        <v>57</v>
      </c>
      <c r="J1606" t="s">
        <v>58</v>
      </c>
      <c r="K1606" t="s">
        <v>33</v>
      </c>
      <c r="L1606" t="s">
        <v>34</v>
      </c>
      <c r="M1606" t="s">
        <v>2036</v>
      </c>
      <c r="N1606" t="s">
        <v>46</v>
      </c>
      <c r="P1606" t="s">
        <v>1646</v>
      </c>
      <c r="R1606" s="5">
        <v>41869.599641203706</v>
      </c>
      <c r="S1606" s="5">
        <v>42045.713726851849</v>
      </c>
      <c r="T1606" t="s">
        <v>2189</v>
      </c>
      <c r="U1606" t="s">
        <v>35</v>
      </c>
      <c r="V1606" s="3" t="s">
        <v>35</v>
      </c>
      <c r="W1606" s="3" t="s">
        <v>4132</v>
      </c>
      <c r="AM1606" s="5"/>
      <c r="AN1606" s="5"/>
      <c r="AQ1606" s="6"/>
    </row>
    <row r="1607" spans="2:43" x14ac:dyDescent="0.25">
      <c r="B1607" t="s">
        <v>2034</v>
      </c>
      <c r="C1607">
        <v>48747</v>
      </c>
      <c r="D1607" t="s">
        <v>2188</v>
      </c>
      <c r="E1607" t="s">
        <v>2189</v>
      </c>
      <c r="F1607" t="s">
        <v>305</v>
      </c>
      <c r="G1607" t="s">
        <v>337</v>
      </c>
      <c r="H1607" t="s">
        <v>30</v>
      </c>
      <c r="I1607" t="s">
        <v>57</v>
      </c>
      <c r="J1607" t="s">
        <v>58</v>
      </c>
      <c r="K1607" t="s">
        <v>33</v>
      </c>
      <c r="L1607" t="s">
        <v>34</v>
      </c>
      <c r="M1607" t="s">
        <v>2036</v>
      </c>
      <c r="N1607" t="s">
        <v>46</v>
      </c>
      <c r="P1607" t="s">
        <v>1646</v>
      </c>
      <c r="R1607" s="5">
        <v>41869.599444444444</v>
      </c>
      <c r="S1607" s="5">
        <v>42045.713495370372</v>
      </c>
      <c r="T1607" t="s">
        <v>2189</v>
      </c>
      <c r="U1607" t="s">
        <v>35</v>
      </c>
      <c r="V1607" s="3" t="s">
        <v>35</v>
      </c>
      <c r="W1607" s="3" t="s">
        <v>3039</v>
      </c>
      <c r="AM1607" s="5"/>
      <c r="AN1607" s="5"/>
      <c r="AQ1607" s="6"/>
    </row>
    <row r="1608" spans="2:43" x14ac:dyDescent="0.25">
      <c r="B1608" t="s">
        <v>2186</v>
      </c>
      <c r="C1608">
        <v>48699</v>
      </c>
      <c r="D1608" t="s">
        <v>2187</v>
      </c>
      <c r="E1608" t="s">
        <v>1</v>
      </c>
      <c r="F1608" t="s">
        <v>305</v>
      </c>
      <c r="G1608" t="s">
        <v>328</v>
      </c>
      <c r="H1608" t="s">
        <v>56</v>
      </c>
      <c r="I1608" t="s">
        <v>35</v>
      </c>
      <c r="J1608" t="s">
        <v>32</v>
      </c>
      <c r="K1608" t="s">
        <v>35</v>
      </c>
      <c r="L1608" t="s">
        <v>73</v>
      </c>
      <c r="M1608" t="s">
        <v>263</v>
      </c>
      <c r="N1608" t="s">
        <v>46</v>
      </c>
      <c r="O1608" t="s">
        <v>1717</v>
      </c>
      <c r="P1608" t="s">
        <v>1634</v>
      </c>
      <c r="R1608" s="5">
        <v>41866.766863425924</v>
      </c>
      <c r="S1608" s="5">
        <v>42649.843622685185</v>
      </c>
      <c r="T1608" t="s">
        <v>1</v>
      </c>
      <c r="U1608" t="s">
        <v>35</v>
      </c>
      <c r="V1608" s="3" t="s">
        <v>35</v>
      </c>
      <c r="W1608" s="3" t="s">
        <v>4098</v>
      </c>
      <c r="AM1608" s="5"/>
      <c r="AN1608" s="5"/>
      <c r="AQ1608" s="6"/>
    </row>
    <row r="1609" spans="2:43" x14ac:dyDescent="0.25">
      <c r="B1609" t="s">
        <v>2184</v>
      </c>
      <c r="C1609">
        <v>48690</v>
      </c>
      <c r="D1609" t="s">
        <v>2185</v>
      </c>
      <c r="E1609" t="s">
        <v>361</v>
      </c>
      <c r="F1609" t="s">
        <v>305</v>
      </c>
      <c r="G1609" t="s">
        <v>310</v>
      </c>
      <c r="H1609" t="s">
        <v>56</v>
      </c>
      <c r="I1609" t="s">
        <v>35</v>
      </c>
      <c r="J1609" t="s">
        <v>32</v>
      </c>
      <c r="K1609" t="s">
        <v>35</v>
      </c>
      <c r="L1609" t="s">
        <v>73</v>
      </c>
      <c r="M1609" t="s">
        <v>263</v>
      </c>
      <c r="N1609" t="s">
        <v>46</v>
      </c>
      <c r="P1609" t="s">
        <v>1634</v>
      </c>
      <c r="R1609" s="5">
        <v>41866.658483796295</v>
      </c>
      <c r="S1609" s="5">
        <v>42649.843530092592</v>
      </c>
      <c r="T1609" t="s">
        <v>1</v>
      </c>
      <c r="U1609" t="s">
        <v>35</v>
      </c>
      <c r="V1609" s="3" t="s">
        <v>35</v>
      </c>
      <c r="W1609" s="3" t="s">
        <v>4132</v>
      </c>
      <c r="AM1609" s="5"/>
      <c r="AN1609" s="5"/>
      <c r="AQ1609" s="6"/>
    </row>
    <row r="1610" spans="2:43" x14ac:dyDescent="0.25">
      <c r="B1610" t="s">
        <v>2181</v>
      </c>
      <c r="C1610">
        <v>48349</v>
      </c>
      <c r="D1610" t="s">
        <v>2182</v>
      </c>
      <c r="E1610" t="s">
        <v>376</v>
      </c>
      <c r="F1610" t="s">
        <v>305</v>
      </c>
      <c r="G1610" t="s">
        <v>337</v>
      </c>
      <c r="H1610" t="s">
        <v>30</v>
      </c>
      <c r="I1610" t="s">
        <v>57</v>
      </c>
      <c r="J1610" t="s">
        <v>2183</v>
      </c>
      <c r="K1610" t="s">
        <v>33</v>
      </c>
      <c r="L1610" t="s">
        <v>34</v>
      </c>
      <c r="M1610" t="s">
        <v>2179</v>
      </c>
      <c r="N1610" t="s">
        <v>46</v>
      </c>
      <c r="P1610" t="s">
        <v>2121</v>
      </c>
      <c r="R1610" s="5">
        <v>41862.389641203707</v>
      </c>
      <c r="S1610" s="5">
        <v>42649.91946759259</v>
      </c>
      <c r="T1610" t="s">
        <v>300</v>
      </c>
      <c r="U1610" t="s">
        <v>35</v>
      </c>
      <c r="V1610" s="3" t="s">
        <v>35</v>
      </c>
      <c r="W1610" s="3" t="s">
        <v>3028</v>
      </c>
      <c r="AM1610" s="5"/>
      <c r="AN1610" s="5"/>
      <c r="AQ1610" s="6"/>
    </row>
    <row r="1611" spans="2:43" x14ac:dyDescent="0.25">
      <c r="B1611" t="s">
        <v>3831</v>
      </c>
      <c r="C1611">
        <v>48293</v>
      </c>
      <c r="D1611" t="s">
        <v>3840</v>
      </c>
      <c r="E1611" t="s">
        <v>311</v>
      </c>
      <c r="F1611" t="s">
        <v>305</v>
      </c>
      <c r="G1611" t="s">
        <v>304</v>
      </c>
      <c r="H1611" t="s">
        <v>30</v>
      </c>
      <c r="I1611" t="s">
        <v>31</v>
      </c>
      <c r="J1611" t="s">
        <v>43</v>
      </c>
      <c r="K1611" t="s">
        <v>51</v>
      </c>
      <c r="L1611" t="s">
        <v>34</v>
      </c>
      <c r="M1611" t="s">
        <v>3780</v>
      </c>
      <c r="N1611" t="s">
        <v>46</v>
      </c>
      <c r="P1611" t="s">
        <v>2121</v>
      </c>
      <c r="R1611" s="5">
        <v>41859.746481481481</v>
      </c>
      <c r="S1611" s="5">
        <v>42215.672743055555</v>
      </c>
      <c r="T1611" t="s">
        <v>311</v>
      </c>
      <c r="U1611" t="s">
        <v>35</v>
      </c>
      <c r="V1611" s="3" t="s">
        <v>35</v>
      </c>
      <c r="W1611" s="3" t="s">
        <v>2475</v>
      </c>
      <c r="AM1611" s="5"/>
      <c r="AN1611" s="5"/>
      <c r="AQ1611" s="6"/>
    </row>
    <row r="1612" spans="2:43" x14ac:dyDescent="0.25">
      <c r="B1612" t="s">
        <v>3831</v>
      </c>
      <c r="C1612">
        <v>48292</v>
      </c>
      <c r="D1612" t="s">
        <v>3839</v>
      </c>
      <c r="E1612" t="s">
        <v>311</v>
      </c>
      <c r="F1612" t="s">
        <v>305</v>
      </c>
      <c r="G1612" t="s">
        <v>304</v>
      </c>
      <c r="H1612" t="s">
        <v>30</v>
      </c>
      <c r="I1612" t="s">
        <v>68</v>
      </c>
      <c r="J1612" t="s">
        <v>43</v>
      </c>
      <c r="K1612" t="s">
        <v>33</v>
      </c>
      <c r="L1612" t="s">
        <v>34</v>
      </c>
      <c r="M1612" t="s">
        <v>3780</v>
      </c>
      <c r="N1612" t="s">
        <v>46</v>
      </c>
      <c r="P1612" t="s">
        <v>2121</v>
      </c>
      <c r="R1612" s="5">
        <v>41859.746342592596</v>
      </c>
      <c r="S1612" s="5">
        <v>42313.646365740744</v>
      </c>
      <c r="T1612" t="s">
        <v>311</v>
      </c>
      <c r="U1612" t="s">
        <v>35</v>
      </c>
      <c r="V1612" s="3" t="s">
        <v>35</v>
      </c>
      <c r="W1612" s="3" t="s">
        <v>4112</v>
      </c>
      <c r="AM1612" s="5"/>
      <c r="AN1612" s="5"/>
      <c r="AQ1612" s="6"/>
    </row>
    <row r="1613" spans="2:43" x14ac:dyDescent="0.25">
      <c r="B1613" t="s">
        <v>3831</v>
      </c>
      <c r="C1613">
        <v>48291</v>
      </c>
      <c r="D1613" t="s">
        <v>3838</v>
      </c>
      <c r="E1613" t="s">
        <v>3787</v>
      </c>
      <c r="F1613" t="s">
        <v>305</v>
      </c>
      <c r="G1613" t="s">
        <v>304</v>
      </c>
      <c r="H1613" t="s">
        <v>30</v>
      </c>
      <c r="I1613" t="s">
        <v>35</v>
      </c>
      <c r="J1613" t="s">
        <v>43</v>
      </c>
      <c r="K1613" t="s">
        <v>35</v>
      </c>
      <c r="L1613" t="s">
        <v>34</v>
      </c>
      <c r="M1613" t="s">
        <v>3780</v>
      </c>
      <c r="N1613" t="s">
        <v>46</v>
      </c>
      <c r="O1613" t="s">
        <v>2208</v>
      </c>
      <c r="P1613" t="s">
        <v>2121</v>
      </c>
      <c r="R1613" s="5">
        <v>41859.74622685185</v>
      </c>
      <c r="S1613" s="5">
        <v>42039.73914351852</v>
      </c>
      <c r="T1613" t="s">
        <v>311</v>
      </c>
      <c r="U1613" t="s">
        <v>35</v>
      </c>
      <c r="V1613" s="3" t="s">
        <v>35</v>
      </c>
      <c r="W1613" s="3" t="s">
        <v>2722</v>
      </c>
      <c r="AM1613" s="5"/>
      <c r="AN1613" s="5"/>
      <c r="AQ1613" s="6"/>
    </row>
    <row r="1614" spans="2:43" x14ac:dyDescent="0.25">
      <c r="B1614" t="s">
        <v>1725</v>
      </c>
      <c r="C1614">
        <v>48215</v>
      </c>
      <c r="D1614" t="s">
        <v>2177</v>
      </c>
      <c r="E1614" t="s">
        <v>2178</v>
      </c>
      <c r="F1614" t="s">
        <v>305</v>
      </c>
      <c r="G1614" t="s">
        <v>304</v>
      </c>
      <c r="H1614" t="s">
        <v>56</v>
      </c>
      <c r="I1614" t="s">
        <v>31</v>
      </c>
      <c r="J1614" t="s">
        <v>43</v>
      </c>
      <c r="K1614" t="s">
        <v>44</v>
      </c>
      <c r="L1614" t="s">
        <v>34</v>
      </c>
      <c r="M1614" t="s">
        <v>2179</v>
      </c>
      <c r="N1614" t="s">
        <v>46</v>
      </c>
      <c r="P1614" t="s">
        <v>2180</v>
      </c>
      <c r="R1614" s="5">
        <v>41858.685011574074</v>
      </c>
      <c r="S1614" s="5">
        <v>42478.68608796296</v>
      </c>
      <c r="T1614" t="s">
        <v>1</v>
      </c>
      <c r="U1614" t="s">
        <v>35</v>
      </c>
      <c r="V1614" s="3" t="s">
        <v>35</v>
      </c>
      <c r="W1614" s="3" t="s">
        <v>4141</v>
      </c>
      <c r="AM1614" s="5"/>
      <c r="AN1614" s="5"/>
      <c r="AQ1614" s="6"/>
    </row>
    <row r="1615" spans="2:43" x14ac:dyDescent="0.25">
      <c r="B1615" t="s">
        <v>2022</v>
      </c>
      <c r="C1615">
        <v>47264</v>
      </c>
      <c r="D1615" t="s">
        <v>3836</v>
      </c>
      <c r="E1615" t="s">
        <v>371</v>
      </c>
      <c r="F1615" t="s">
        <v>305</v>
      </c>
      <c r="G1615" t="s">
        <v>337</v>
      </c>
      <c r="H1615" t="s">
        <v>54</v>
      </c>
      <c r="I1615" t="s">
        <v>31</v>
      </c>
      <c r="J1615" t="s">
        <v>43</v>
      </c>
      <c r="K1615" t="s">
        <v>44</v>
      </c>
      <c r="L1615" t="s">
        <v>34</v>
      </c>
      <c r="M1615" t="s">
        <v>368</v>
      </c>
      <c r="N1615" t="s">
        <v>2226</v>
      </c>
      <c r="O1615" t="s">
        <v>3837</v>
      </c>
      <c r="P1615" t="s">
        <v>1749</v>
      </c>
      <c r="R1615" s="5">
        <v>41841.756724537037</v>
      </c>
      <c r="S1615" s="5">
        <v>42248.792534722219</v>
      </c>
      <c r="T1615" t="s">
        <v>2047</v>
      </c>
      <c r="U1615" t="s">
        <v>35</v>
      </c>
      <c r="V1615" s="3" t="s">
        <v>35</v>
      </c>
      <c r="W1615" s="3" t="s">
        <v>2475</v>
      </c>
      <c r="AM1615" s="5"/>
      <c r="AN1615" s="5"/>
      <c r="AQ1615" s="6"/>
    </row>
    <row r="1616" spans="2:43" x14ac:dyDescent="0.25">
      <c r="B1616" t="s">
        <v>2022</v>
      </c>
      <c r="C1616">
        <v>47263</v>
      </c>
      <c r="D1616" t="s">
        <v>3834</v>
      </c>
      <c r="E1616" t="s">
        <v>2047</v>
      </c>
      <c r="F1616" t="s">
        <v>305</v>
      </c>
      <c r="G1616" t="s">
        <v>337</v>
      </c>
      <c r="H1616" t="s">
        <v>54</v>
      </c>
      <c r="I1616" t="s">
        <v>68</v>
      </c>
      <c r="J1616" t="s">
        <v>43</v>
      </c>
      <c r="K1616" t="s">
        <v>33</v>
      </c>
      <c r="L1616" t="s">
        <v>34</v>
      </c>
      <c r="M1616" t="s">
        <v>3780</v>
      </c>
      <c r="N1616" t="s">
        <v>46</v>
      </c>
      <c r="O1616" t="s">
        <v>3835</v>
      </c>
      <c r="P1616" t="s">
        <v>1749</v>
      </c>
      <c r="R1616" s="5">
        <v>41841.756574074076</v>
      </c>
      <c r="S1616" s="5">
        <v>42306.945162037038</v>
      </c>
      <c r="T1616" t="s">
        <v>2047</v>
      </c>
      <c r="U1616" t="s">
        <v>35</v>
      </c>
      <c r="V1616" s="3" t="s">
        <v>35</v>
      </c>
      <c r="W1616" s="3" t="s">
        <v>4140</v>
      </c>
      <c r="AM1616" s="5"/>
      <c r="AN1616" s="5"/>
      <c r="AQ1616" s="6"/>
    </row>
    <row r="1617" spans="2:43" x14ac:dyDescent="0.25">
      <c r="B1617" t="s">
        <v>1725</v>
      </c>
      <c r="C1617">
        <v>46981</v>
      </c>
      <c r="D1617" t="s">
        <v>2176</v>
      </c>
      <c r="E1617" t="s">
        <v>376</v>
      </c>
      <c r="F1617" t="s">
        <v>305</v>
      </c>
      <c r="G1617" t="s">
        <v>310</v>
      </c>
      <c r="H1617" t="s">
        <v>30</v>
      </c>
      <c r="I1617" t="s">
        <v>31</v>
      </c>
      <c r="J1617" t="s">
        <v>43</v>
      </c>
      <c r="K1617" t="s">
        <v>51</v>
      </c>
      <c r="L1617" t="s">
        <v>34</v>
      </c>
      <c r="M1617" t="s">
        <v>1728</v>
      </c>
      <c r="N1617" t="s">
        <v>46</v>
      </c>
      <c r="P1617" t="s">
        <v>2121</v>
      </c>
      <c r="R1617" s="5">
        <v>41835.663576388892</v>
      </c>
      <c r="S1617" s="5">
        <v>42045.703344907408</v>
      </c>
      <c r="T1617" t="s">
        <v>2047</v>
      </c>
      <c r="U1617" t="s">
        <v>35</v>
      </c>
      <c r="V1617" s="3" t="s">
        <v>35</v>
      </c>
      <c r="W1617" s="3" t="s">
        <v>4126</v>
      </c>
      <c r="AM1617" s="5"/>
      <c r="AN1617" s="5"/>
      <c r="AQ1617" s="6"/>
    </row>
    <row r="1618" spans="2:43" x14ac:dyDescent="0.25">
      <c r="B1618" t="s">
        <v>1725</v>
      </c>
      <c r="C1618">
        <v>46980</v>
      </c>
      <c r="D1618" t="s">
        <v>2175</v>
      </c>
      <c r="E1618" t="s">
        <v>376</v>
      </c>
      <c r="F1618" t="s">
        <v>305</v>
      </c>
      <c r="G1618" t="s">
        <v>310</v>
      </c>
      <c r="H1618" t="s">
        <v>30</v>
      </c>
      <c r="I1618" t="s">
        <v>31</v>
      </c>
      <c r="J1618" t="s">
        <v>43</v>
      </c>
      <c r="K1618" t="s">
        <v>51</v>
      </c>
      <c r="L1618" t="s">
        <v>34</v>
      </c>
      <c r="M1618" t="s">
        <v>1728</v>
      </c>
      <c r="N1618" t="s">
        <v>46</v>
      </c>
      <c r="P1618" t="s">
        <v>2121</v>
      </c>
      <c r="R1618" s="5">
        <v>41835.660104166665</v>
      </c>
      <c r="S1618" s="5">
        <v>42045.703379629631</v>
      </c>
      <c r="T1618" t="s">
        <v>2047</v>
      </c>
      <c r="U1618" t="s">
        <v>35</v>
      </c>
      <c r="V1618" s="3" t="s">
        <v>35</v>
      </c>
      <c r="W1618" s="3" t="s">
        <v>4126</v>
      </c>
      <c r="AM1618" s="5"/>
      <c r="AN1618" s="5"/>
      <c r="AQ1618" s="6"/>
    </row>
    <row r="1619" spans="2:43" x14ac:dyDescent="0.25">
      <c r="B1619" t="s">
        <v>1725</v>
      </c>
      <c r="C1619">
        <v>46979</v>
      </c>
      <c r="D1619" t="s">
        <v>2175</v>
      </c>
      <c r="E1619" t="s">
        <v>376</v>
      </c>
      <c r="F1619" t="s">
        <v>305</v>
      </c>
      <c r="G1619" t="s">
        <v>304</v>
      </c>
      <c r="H1619" t="s">
        <v>30</v>
      </c>
      <c r="I1619" t="s">
        <v>31</v>
      </c>
      <c r="J1619" t="s">
        <v>43</v>
      </c>
      <c r="K1619" t="s">
        <v>51</v>
      </c>
      <c r="L1619" t="s">
        <v>34</v>
      </c>
      <c r="M1619" t="s">
        <v>1728</v>
      </c>
      <c r="N1619" t="s">
        <v>46</v>
      </c>
      <c r="P1619" t="s">
        <v>2121</v>
      </c>
      <c r="R1619" s="5">
        <v>41835.659236111111</v>
      </c>
      <c r="S1619" s="5">
        <v>42201.791944444441</v>
      </c>
      <c r="T1619" t="s">
        <v>2047</v>
      </c>
      <c r="U1619" t="s">
        <v>35</v>
      </c>
      <c r="V1619" s="3" t="s">
        <v>35</v>
      </c>
      <c r="W1619" s="3" t="s">
        <v>2475</v>
      </c>
      <c r="AM1619" s="5"/>
      <c r="AN1619" s="5"/>
      <c r="AQ1619" s="6"/>
    </row>
    <row r="1620" spans="2:43" x14ac:dyDescent="0.25">
      <c r="B1620" t="s">
        <v>1725</v>
      </c>
      <c r="C1620">
        <v>46962</v>
      </c>
      <c r="D1620" t="s">
        <v>2173</v>
      </c>
      <c r="E1620" t="s">
        <v>376</v>
      </c>
      <c r="F1620" t="s">
        <v>305</v>
      </c>
      <c r="G1620" t="s">
        <v>304</v>
      </c>
      <c r="H1620" t="s">
        <v>30</v>
      </c>
      <c r="I1620" t="s">
        <v>31</v>
      </c>
      <c r="J1620" t="s">
        <v>43</v>
      </c>
      <c r="K1620" t="s">
        <v>51</v>
      </c>
      <c r="L1620" t="s">
        <v>34</v>
      </c>
      <c r="M1620" t="s">
        <v>1728</v>
      </c>
      <c r="N1620" t="s">
        <v>46</v>
      </c>
      <c r="O1620" t="s">
        <v>2174</v>
      </c>
      <c r="P1620" t="s">
        <v>2121</v>
      </c>
      <c r="R1620" s="5">
        <v>41835.626840277779</v>
      </c>
      <c r="S1620" s="5">
        <v>42114.616238425922</v>
      </c>
      <c r="T1620" t="s">
        <v>311</v>
      </c>
      <c r="U1620" t="s">
        <v>35</v>
      </c>
      <c r="V1620" s="3" t="s">
        <v>35</v>
      </c>
      <c r="W1620" s="3" t="s">
        <v>4112</v>
      </c>
      <c r="AM1620" s="5"/>
      <c r="AN1620" s="5"/>
      <c r="AQ1620" s="6"/>
    </row>
    <row r="1621" spans="2:43" x14ac:dyDescent="0.25">
      <c r="B1621" t="s">
        <v>1725</v>
      </c>
      <c r="C1621">
        <v>46961</v>
      </c>
      <c r="D1621" t="s">
        <v>2172</v>
      </c>
      <c r="E1621" t="s">
        <v>376</v>
      </c>
      <c r="F1621" t="s">
        <v>305</v>
      </c>
      <c r="G1621" t="s">
        <v>337</v>
      </c>
      <c r="H1621" t="s">
        <v>30</v>
      </c>
      <c r="I1621" t="s">
        <v>31</v>
      </c>
      <c r="J1621" t="s">
        <v>43</v>
      </c>
      <c r="K1621" t="s">
        <v>51</v>
      </c>
      <c r="L1621" t="s">
        <v>34</v>
      </c>
      <c r="M1621" t="s">
        <v>1728</v>
      </c>
      <c r="N1621" t="s">
        <v>46</v>
      </c>
      <c r="P1621" t="s">
        <v>2121</v>
      </c>
      <c r="R1621" s="5">
        <v>41835.626574074071</v>
      </c>
      <c r="S1621" s="5">
        <v>42045.70989583333</v>
      </c>
      <c r="T1621" t="s">
        <v>311</v>
      </c>
      <c r="U1621" t="s">
        <v>35</v>
      </c>
      <c r="V1621" s="3" t="s">
        <v>35</v>
      </c>
      <c r="W1621" s="3" t="s">
        <v>4132</v>
      </c>
      <c r="AM1621" s="5"/>
      <c r="AN1621" s="5"/>
      <c r="AQ1621" s="6"/>
    </row>
    <row r="1622" spans="2:43" x14ac:dyDescent="0.25">
      <c r="B1622" t="s">
        <v>2154</v>
      </c>
      <c r="C1622">
        <v>46608</v>
      </c>
      <c r="D1622" t="s">
        <v>2171</v>
      </c>
      <c r="E1622" t="s">
        <v>387</v>
      </c>
      <c r="F1622" t="s">
        <v>305</v>
      </c>
      <c r="G1622" t="s">
        <v>353</v>
      </c>
      <c r="H1622" t="s">
        <v>54</v>
      </c>
      <c r="I1622" t="s">
        <v>35</v>
      </c>
      <c r="J1622" t="s">
        <v>43</v>
      </c>
      <c r="K1622" t="s">
        <v>35</v>
      </c>
      <c r="L1622" t="s">
        <v>73</v>
      </c>
      <c r="M1622" t="s">
        <v>263</v>
      </c>
      <c r="N1622" t="s">
        <v>46</v>
      </c>
      <c r="P1622" t="s">
        <v>1749</v>
      </c>
      <c r="R1622" s="5">
        <v>41829.266817129632</v>
      </c>
      <c r="S1622" s="5">
        <v>42649.8440162037</v>
      </c>
      <c r="T1622" t="s">
        <v>1640</v>
      </c>
      <c r="U1622" t="s">
        <v>35</v>
      </c>
      <c r="V1622" s="3" t="s">
        <v>35</v>
      </c>
      <c r="W1622" s="3" t="s">
        <v>4098</v>
      </c>
      <c r="AM1622" s="5"/>
      <c r="AN1622" s="5"/>
      <c r="AQ1622" s="6"/>
    </row>
    <row r="1623" spans="2:43" x14ac:dyDescent="0.25">
      <c r="B1623" t="s">
        <v>2167</v>
      </c>
      <c r="C1623">
        <v>46561</v>
      </c>
      <c r="D1623" t="s">
        <v>2168</v>
      </c>
      <c r="E1623" t="s">
        <v>72</v>
      </c>
      <c r="F1623" t="s">
        <v>305</v>
      </c>
      <c r="G1623" t="s">
        <v>304</v>
      </c>
      <c r="H1623" t="s">
        <v>2169</v>
      </c>
      <c r="I1623" t="s">
        <v>35</v>
      </c>
      <c r="J1623" t="s">
        <v>32</v>
      </c>
      <c r="K1623" t="s">
        <v>51</v>
      </c>
      <c r="L1623" t="s">
        <v>73</v>
      </c>
      <c r="M1623" t="s">
        <v>263</v>
      </c>
      <c r="N1623" t="s">
        <v>46</v>
      </c>
      <c r="O1623" t="s">
        <v>2170</v>
      </c>
      <c r="P1623" t="s">
        <v>2166</v>
      </c>
      <c r="R1623" s="5">
        <v>41828.520624999997</v>
      </c>
      <c r="S1623" s="5">
        <v>42649.843263888892</v>
      </c>
      <c r="T1623" t="s">
        <v>86</v>
      </c>
      <c r="U1623" t="s">
        <v>35</v>
      </c>
      <c r="V1623" s="3" t="s">
        <v>35</v>
      </c>
      <c r="W1623" s="3" t="s">
        <v>4098</v>
      </c>
      <c r="AM1623" s="5"/>
      <c r="AN1623" s="5"/>
      <c r="AQ1623" s="6"/>
    </row>
    <row r="1624" spans="2:43" x14ac:dyDescent="0.25">
      <c r="B1624" t="s">
        <v>2164</v>
      </c>
      <c r="C1624">
        <v>46559</v>
      </c>
      <c r="D1624" t="s">
        <v>2165</v>
      </c>
      <c r="E1624" t="s">
        <v>387</v>
      </c>
      <c r="F1624" t="s">
        <v>305</v>
      </c>
      <c r="G1624" t="s">
        <v>304</v>
      </c>
      <c r="H1624" t="s">
        <v>30</v>
      </c>
      <c r="I1624" t="s">
        <v>35</v>
      </c>
      <c r="J1624" t="s">
        <v>58</v>
      </c>
      <c r="K1624" t="s">
        <v>44</v>
      </c>
      <c r="L1624" t="s">
        <v>73</v>
      </c>
      <c r="M1624" t="s">
        <v>263</v>
      </c>
      <c r="N1624" t="s">
        <v>46</v>
      </c>
      <c r="P1624" t="s">
        <v>2166</v>
      </c>
      <c r="R1624" s="5">
        <v>41828.512858796297</v>
      </c>
      <c r="S1624" s="5">
        <v>42649.84306712963</v>
      </c>
      <c r="T1624" t="s">
        <v>86</v>
      </c>
      <c r="U1624" t="s">
        <v>35</v>
      </c>
      <c r="V1624" s="3" t="s">
        <v>35</v>
      </c>
      <c r="W1624" s="3" t="s">
        <v>4098</v>
      </c>
      <c r="AM1624" s="5"/>
      <c r="AN1624" s="5"/>
      <c r="AQ1624" s="6"/>
    </row>
    <row r="1625" spans="2:43" x14ac:dyDescent="0.25">
      <c r="B1625" t="s">
        <v>2154</v>
      </c>
      <c r="C1625">
        <v>46384</v>
      </c>
      <c r="D1625" t="s">
        <v>2162</v>
      </c>
      <c r="E1625" t="s">
        <v>2160</v>
      </c>
      <c r="F1625" t="s">
        <v>305</v>
      </c>
      <c r="G1625" t="s">
        <v>328</v>
      </c>
      <c r="H1625" t="s">
        <v>30</v>
      </c>
      <c r="I1625" t="s">
        <v>35</v>
      </c>
      <c r="J1625" t="s">
        <v>43</v>
      </c>
      <c r="K1625" t="s">
        <v>33</v>
      </c>
      <c r="L1625" t="s">
        <v>73</v>
      </c>
      <c r="M1625" t="s">
        <v>263</v>
      </c>
      <c r="N1625" t="s">
        <v>46</v>
      </c>
      <c r="O1625" t="s">
        <v>2163</v>
      </c>
      <c r="P1625" t="s">
        <v>1749</v>
      </c>
      <c r="R1625" s="5">
        <v>41823.714375000003</v>
      </c>
      <c r="S1625" s="5">
        <v>42649.842604166668</v>
      </c>
      <c r="T1625" t="s">
        <v>1529</v>
      </c>
      <c r="U1625" t="s">
        <v>35</v>
      </c>
      <c r="V1625" s="3" t="s">
        <v>35</v>
      </c>
      <c r="W1625" s="3" t="s">
        <v>394</v>
      </c>
      <c r="AM1625" s="5"/>
      <c r="AN1625" s="5"/>
      <c r="AQ1625" s="6"/>
    </row>
    <row r="1626" spans="2:43" x14ac:dyDescent="0.25">
      <c r="B1626" t="s">
        <v>2154</v>
      </c>
      <c r="C1626">
        <v>46383</v>
      </c>
      <c r="D1626" t="s">
        <v>2159</v>
      </c>
      <c r="E1626" t="s">
        <v>2160</v>
      </c>
      <c r="F1626" t="s">
        <v>305</v>
      </c>
      <c r="G1626" t="s">
        <v>328</v>
      </c>
      <c r="H1626" t="s">
        <v>30</v>
      </c>
      <c r="I1626" t="s">
        <v>31</v>
      </c>
      <c r="J1626" t="s">
        <v>43</v>
      </c>
      <c r="K1626" t="s">
        <v>44</v>
      </c>
      <c r="L1626" t="s">
        <v>73</v>
      </c>
      <c r="M1626" t="s">
        <v>263</v>
      </c>
      <c r="N1626" t="s">
        <v>2161</v>
      </c>
      <c r="O1626" t="s">
        <v>1717</v>
      </c>
      <c r="P1626" t="s">
        <v>1749</v>
      </c>
      <c r="R1626" s="5">
        <v>41823.714247685188</v>
      </c>
      <c r="S1626" s="5">
        <v>42649.842777777776</v>
      </c>
      <c r="T1626" t="s">
        <v>1529</v>
      </c>
      <c r="U1626" t="s">
        <v>35</v>
      </c>
      <c r="V1626" s="3" t="s">
        <v>35</v>
      </c>
      <c r="W1626" s="3" t="s">
        <v>2552</v>
      </c>
      <c r="AM1626" s="5"/>
      <c r="AN1626" s="5"/>
      <c r="AQ1626" s="6"/>
    </row>
    <row r="1627" spans="2:43" x14ac:dyDescent="0.25">
      <c r="B1627" t="s">
        <v>2154</v>
      </c>
      <c r="C1627">
        <v>46382</v>
      </c>
      <c r="D1627" t="s">
        <v>2158</v>
      </c>
      <c r="E1627" t="s">
        <v>387</v>
      </c>
      <c r="F1627" t="s">
        <v>305</v>
      </c>
      <c r="G1627" t="s">
        <v>328</v>
      </c>
      <c r="H1627" t="s">
        <v>30</v>
      </c>
      <c r="I1627" t="s">
        <v>35</v>
      </c>
      <c r="J1627" t="s">
        <v>43</v>
      </c>
      <c r="K1627" t="s">
        <v>44</v>
      </c>
      <c r="L1627" t="s">
        <v>73</v>
      </c>
      <c r="M1627" t="s">
        <v>263</v>
      </c>
      <c r="N1627" t="s">
        <v>46</v>
      </c>
      <c r="P1627" t="s">
        <v>1749</v>
      </c>
      <c r="R1627" s="5">
        <v>41823.714166666665</v>
      </c>
      <c r="S1627" s="5">
        <v>42649.842731481483</v>
      </c>
      <c r="T1627" t="s">
        <v>1529</v>
      </c>
      <c r="U1627" t="s">
        <v>35</v>
      </c>
      <c r="V1627" s="3" t="s">
        <v>35</v>
      </c>
      <c r="W1627" s="3" t="s">
        <v>4132</v>
      </c>
      <c r="AM1627" s="5"/>
      <c r="AN1627" s="5"/>
      <c r="AQ1627" s="6"/>
    </row>
    <row r="1628" spans="2:43" x14ac:dyDescent="0.25">
      <c r="B1628" t="s">
        <v>2154</v>
      </c>
      <c r="C1628">
        <v>46381</v>
      </c>
      <c r="D1628" t="s">
        <v>2157</v>
      </c>
      <c r="E1628" t="s">
        <v>387</v>
      </c>
      <c r="F1628" t="s">
        <v>305</v>
      </c>
      <c r="G1628" t="s">
        <v>328</v>
      </c>
      <c r="H1628" t="s">
        <v>30</v>
      </c>
      <c r="I1628" t="s">
        <v>35</v>
      </c>
      <c r="J1628" t="s">
        <v>43</v>
      </c>
      <c r="K1628" t="s">
        <v>44</v>
      </c>
      <c r="L1628" t="s">
        <v>73</v>
      </c>
      <c r="M1628" t="s">
        <v>263</v>
      </c>
      <c r="N1628" t="s">
        <v>46</v>
      </c>
      <c r="P1628" t="s">
        <v>1749</v>
      </c>
      <c r="R1628" s="5">
        <v>41823.714085648149</v>
      </c>
      <c r="S1628" s="5">
        <v>42649.842546296299</v>
      </c>
      <c r="T1628" t="s">
        <v>1529</v>
      </c>
      <c r="U1628" t="s">
        <v>35</v>
      </c>
      <c r="V1628" s="3" t="s">
        <v>35</v>
      </c>
      <c r="W1628" s="3" t="s">
        <v>3039</v>
      </c>
      <c r="AM1628" s="5"/>
      <c r="AN1628" s="5"/>
      <c r="AQ1628" s="6"/>
    </row>
    <row r="1629" spans="2:43" x14ac:dyDescent="0.25">
      <c r="B1629" t="s">
        <v>2154</v>
      </c>
      <c r="C1629">
        <v>46376</v>
      </c>
      <c r="D1629" t="s">
        <v>2155</v>
      </c>
      <c r="E1629" t="s">
        <v>72</v>
      </c>
      <c r="F1629" t="s">
        <v>305</v>
      </c>
      <c r="G1629" t="s">
        <v>328</v>
      </c>
      <c r="H1629" t="s">
        <v>30</v>
      </c>
      <c r="I1629" t="s">
        <v>2156</v>
      </c>
      <c r="J1629" t="s">
        <v>32</v>
      </c>
      <c r="K1629" t="s">
        <v>2028</v>
      </c>
      <c r="L1629" t="s">
        <v>73</v>
      </c>
      <c r="M1629" t="s">
        <v>263</v>
      </c>
      <c r="N1629" t="s">
        <v>46</v>
      </c>
      <c r="P1629" t="s">
        <v>1749</v>
      </c>
      <c r="R1629" s="5">
        <v>41823.669756944444</v>
      </c>
      <c r="S1629" s="5">
        <v>42678.632407407407</v>
      </c>
      <c r="T1629" t="s">
        <v>1</v>
      </c>
      <c r="U1629" t="s">
        <v>35</v>
      </c>
      <c r="V1629" s="3" t="s">
        <v>35</v>
      </c>
      <c r="W1629" s="3" t="s">
        <v>4098</v>
      </c>
      <c r="AM1629" s="5"/>
      <c r="AN1629" s="5"/>
      <c r="AQ1629" s="6"/>
    </row>
    <row r="1630" spans="2:43" x14ac:dyDescent="0.25">
      <c r="B1630" t="s">
        <v>2149</v>
      </c>
      <c r="C1630">
        <v>45984</v>
      </c>
      <c r="D1630" t="s">
        <v>2150</v>
      </c>
      <c r="E1630" t="s">
        <v>2151</v>
      </c>
      <c r="F1630" t="s">
        <v>305</v>
      </c>
      <c r="G1630" t="s">
        <v>328</v>
      </c>
      <c r="H1630" t="s">
        <v>426</v>
      </c>
      <c r="I1630" t="s">
        <v>57</v>
      </c>
      <c r="J1630" t="s">
        <v>58</v>
      </c>
      <c r="K1630" t="s">
        <v>33</v>
      </c>
      <c r="L1630" t="s">
        <v>34</v>
      </c>
      <c r="M1630" t="s">
        <v>1853</v>
      </c>
      <c r="N1630" t="s">
        <v>46</v>
      </c>
      <c r="O1630" t="s">
        <v>2152</v>
      </c>
      <c r="P1630" t="s">
        <v>56</v>
      </c>
      <c r="R1630" s="5">
        <v>41817.875983796293</v>
      </c>
      <c r="S1630" s="5">
        <v>42256.077210648145</v>
      </c>
      <c r="T1630" t="s">
        <v>2153</v>
      </c>
      <c r="U1630" t="s">
        <v>35</v>
      </c>
      <c r="V1630" s="3" t="s">
        <v>35</v>
      </c>
      <c r="W1630" s="3" t="s">
        <v>2475</v>
      </c>
      <c r="AM1630" s="5"/>
      <c r="AN1630" s="5"/>
      <c r="AQ1630" s="6"/>
    </row>
    <row r="1631" spans="2:43" x14ac:dyDescent="0.25">
      <c r="B1631" t="s">
        <v>3803</v>
      </c>
      <c r="C1631">
        <v>43714</v>
      </c>
      <c r="D1631" t="s">
        <v>3833</v>
      </c>
      <c r="E1631" t="s">
        <v>3787</v>
      </c>
      <c r="F1631" t="s">
        <v>305</v>
      </c>
      <c r="G1631" t="s">
        <v>304</v>
      </c>
      <c r="H1631" t="s">
        <v>30</v>
      </c>
      <c r="I1631" t="s">
        <v>35</v>
      </c>
      <c r="J1631" t="s">
        <v>58</v>
      </c>
      <c r="K1631" t="s">
        <v>35</v>
      </c>
      <c r="L1631" t="s">
        <v>34</v>
      </c>
      <c r="M1631" t="s">
        <v>3780</v>
      </c>
      <c r="N1631" t="s">
        <v>1998</v>
      </c>
      <c r="P1631" t="s">
        <v>1749</v>
      </c>
      <c r="R1631" s="5">
        <v>41796.92596064815</v>
      </c>
      <c r="S1631" s="5">
        <v>42047.69458333333</v>
      </c>
      <c r="T1631" t="s">
        <v>2221</v>
      </c>
      <c r="U1631" t="s">
        <v>35</v>
      </c>
      <c r="V1631" s="3" t="s">
        <v>35</v>
      </c>
      <c r="W1631" s="3" t="s">
        <v>4134</v>
      </c>
      <c r="AM1631" s="5"/>
      <c r="AN1631" s="5"/>
      <c r="AQ1631" s="6"/>
    </row>
    <row r="1632" spans="2:43" x14ac:dyDescent="0.25">
      <c r="B1632" t="s">
        <v>2143</v>
      </c>
      <c r="C1632">
        <v>43684</v>
      </c>
      <c r="D1632" t="s">
        <v>2148</v>
      </c>
      <c r="E1632" t="s">
        <v>139</v>
      </c>
      <c r="F1632" t="s">
        <v>305</v>
      </c>
      <c r="G1632" t="s">
        <v>304</v>
      </c>
      <c r="H1632" t="s">
        <v>30</v>
      </c>
      <c r="I1632" t="s">
        <v>35</v>
      </c>
      <c r="J1632" t="s">
        <v>43</v>
      </c>
      <c r="K1632" t="s">
        <v>33</v>
      </c>
      <c r="L1632" t="s">
        <v>73</v>
      </c>
      <c r="M1632" t="s">
        <v>263</v>
      </c>
      <c r="N1632" t="s">
        <v>46</v>
      </c>
      <c r="P1632" t="s">
        <v>2121</v>
      </c>
      <c r="R1632" s="5">
        <v>41796.622187499997</v>
      </c>
      <c r="S1632" s="5">
        <v>42648.835069444445</v>
      </c>
      <c r="T1632" t="s">
        <v>1529</v>
      </c>
      <c r="U1632" t="s">
        <v>35</v>
      </c>
      <c r="V1632" s="3" t="s">
        <v>35</v>
      </c>
      <c r="W1632" s="3" t="s">
        <v>4139</v>
      </c>
      <c r="AM1632" s="5"/>
      <c r="AN1632" s="5"/>
      <c r="AQ1632" s="6"/>
    </row>
    <row r="1633" spans="2:43" x14ac:dyDescent="0.25">
      <c r="B1633" t="s">
        <v>2143</v>
      </c>
      <c r="C1633">
        <v>43683</v>
      </c>
      <c r="D1633" t="s">
        <v>2147</v>
      </c>
      <c r="E1633" t="s">
        <v>139</v>
      </c>
      <c r="F1633" t="s">
        <v>305</v>
      </c>
      <c r="G1633" t="s">
        <v>304</v>
      </c>
      <c r="H1633" t="s">
        <v>30</v>
      </c>
      <c r="I1633" t="s">
        <v>31</v>
      </c>
      <c r="J1633" t="s">
        <v>43</v>
      </c>
      <c r="K1633" t="s">
        <v>35</v>
      </c>
      <c r="L1633" t="s">
        <v>73</v>
      </c>
      <c r="M1633" t="s">
        <v>263</v>
      </c>
      <c r="N1633" t="s">
        <v>46</v>
      </c>
      <c r="P1633" t="s">
        <v>2121</v>
      </c>
      <c r="R1633" s="5">
        <v>41796.622106481482</v>
      </c>
      <c r="S1633" s="5">
        <v>42648.835046296299</v>
      </c>
      <c r="T1633" t="s">
        <v>1529</v>
      </c>
      <c r="U1633" t="s">
        <v>35</v>
      </c>
      <c r="V1633" s="3" t="s">
        <v>35</v>
      </c>
      <c r="W1633" s="3" t="s">
        <v>2552</v>
      </c>
      <c r="AM1633" s="5"/>
      <c r="AN1633" s="5"/>
      <c r="AQ1633" s="6"/>
    </row>
    <row r="1634" spans="2:43" x14ac:dyDescent="0.25">
      <c r="B1634" t="s">
        <v>2143</v>
      </c>
      <c r="C1634">
        <v>43682</v>
      </c>
      <c r="D1634" t="s">
        <v>2146</v>
      </c>
      <c r="E1634" t="s">
        <v>139</v>
      </c>
      <c r="F1634" t="s">
        <v>305</v>
      </c>
      <c r="G1634" t="s">
        <v>304</v>
      </c>
      <c r="H1634" t="s">
        <v>30</v>
      </c>
      <c r="I1634" t="s">
        <v>35</v>
      </c>
      <c r="J1634" t="s">
        <v>43</v>
      </c>
      <c r="K1634" t="s">
        <v>35</v>
      </c>
      <c r="L1634" t="s">
        <v>73</v>
      </c>
      <c r="M1634" t="s">
        <v>263</v>
      </c>
      <c r="N1634" t="s">
        <v>46</v>
      </c>
      <c r="O1634" t="s">
        <v>2007</v>
      </c>
      <c r="P1634" t="s">
        <v>2121</v>
      </c>
      <c r="R1634" s="5">
        <v>41796.622013888889</v>
      </c>
      <c r="S1634" s="5">
        <v>42648.834398148145</v>
      </c>
      <c r="T1634" t="s">
        <v>1529</v>
      </c>
      <c r="U1634" t="s">
        <v>35</v>
      </c>
      <c r="V1634" s="3" t="s">
        <v>35</v>
      </c>
      <c r="W1634" s="3" t="s">
        <v>4131</v>
      </c>
      <c r="AM1634" s="5"/>
      <c r="AN1634" s="5"/>
      <c r="AQ1634" s="6"/>
    </row>
    <row r="1635" spans="2:43" x14ac:dyDescent="0.25">
      <c r="B1635" t="s">
        <v>2143</v>
      </c>
      <c r="C1635">
        <v>43681</v>
      </c>
      <c r="D1635" t="s">
        <v>2145</v>
      </c>
      <c r="E1635" t="s">
        <v>139</v>
      </c>
      <c r="F1635" t="s">
        <v>305</v>
      </c>
      <c r="G1635" t="s">
        <v>337</v>
      </c>
      <c r="H1635" t="s">
        <v>30</v>
      </c>
      <c r="I1635" t="s">
        <v>35</v>
      </c>
      <c r="J1635" t="s">
        <v>43</v>
      </c>
      <c r="K1635" t="s">
        <v>35</v>
      </c>
      <c r="L1635" t="s">
        <v>73</v>
      </c>
      <c r="M1635" t="s">
        <v>263</v>
      </c>
      <c r="N1635" t="s">
        <v>46</v>
      </c>
      <c r="P1635" t="s">
        <v>2121</v>
      </c>
      <c r="R1635" s="5">
        <v>41796.621921296297</v>
      </c>
      <c r="S1635" s="5">
        <v>42649.842893518522</v>
      </c>
      <c r="T1635" t="s">
        <v>1529</v>
      </c>
      <c r="U1635" t="s">
        <v>35</v>
      </c>
      <c r="V1635" s="3" t="s">
        <v>35</v>
      </c>
      <c r="W1635" s="3" t="s">
        <v>3039</v>
      </c>
      <c r="AM1635" s="5"/>
      <c r="AN1635" s="5"/>
      <c r="AQ1635" s="6"/>
    </row>
    <row r="1636" spans="2:43" x14ac:dyDescent="0.25">
      <c r="B1636" t="s">
        <v>2143</v>
      </c>
      <c r="C1636">
        <v>43676</v>
      </c>
      <c r="D1636" t="s">
        <v>2144</v>
      </c>
      <c r="E1636" t="s">
        <v>139</v>
      </c>
      <c r="F1636" t="s">
        <v>305</v>
      </c>
      <c r="G1636" t="s">
        <v>304</v>
      </c>
      <c r="H1636" t="s">
        <v>30</v>
      </c>
      <c r="I1636" t="s">
        <v>35</v>
      </c>
      <c r="J1636" t="s">
        <v>43</v>
      </c>
      <c r="K1636" t="s">
        <v>35</v>
      </c>
      <c r="L1636" t="s">
        <v>73</v>
      </c>
      <c r="M1636" t="s">
        <v>263</v>
      </c>
      <c r="N1636" t="s">
        <v>46</v>
      </c>
      <c r="P1636" t="s">
        <v>2121</v>
      </c>
      <c r="R1636" s="5">
        <v>41796.611435185187</v>
      </c>
      <c r="S1636" s="5">
        <v>42034.29519675926</v>
      </c>
      <c r="T1636" t="s">
        <v>1700</v>
      </c>
      <c r="U1636" t="s">
        <v>35</v>
      </c>
      <c r="V1636" s="3" t="s">
        <v>35</v>
      </c>
      <c r="W1636" s="3" t="s">
        <v>4098</v>
      </c>
      <c r="AM1636" s="5"/>
      <c r="AN1636" s="5"/>
      <c r="AQ1636" s="6"/>
    </row>
    <row r="1637" spans="2:43" x14ac:dyDescent="0.25">
      <c r="B1637" t="s">
        <v>3831</v>
      </c>
      <c r="C1637">
        <v>43568</v>
      </c>
      <c r="D1637" t="s">
        <v>3832</v>
      </c>
      <c r="E1637" t="s">
        <v>1</v>
      </c>
      <c r="F1637" t="s">
        <v>305</v>
      </c>
      <c r="G1637" t="s">
        <v>304</v>
      </c>
      <c r="H1637" t="s">
        <v>30</v>
      </c>
      <c r="I1637" t="s">
        <v>68</v>
      </c>
      <c r="J1637" t="s">
        <v>58</v>
      </c>
      <c r="K1637" t="s">
        <v>51</v>
      </c>
      <c r="L1637" t="s">
        <v>34</v>
      </c>
      <c r="M1637" t="s">
        <v>3780</v>
      </c>
      <c r="N1637" t="s">
        <v>46</v>
      </c>
      <c r="P1637" t="s">
        <v>2121</v>
      </c>
      <c r="Q1637" t="s">
        <v>1729</v>
      </c>
      <c r="R1637" s="5">
        <v>41794.818437499998</v>
      </c>
      <c r="S1637" s="5">
        <v>42649.918564814812</v>
      </c>
      <c r="T1637" t="s">
        <v>1</v>
      </c>
      <c r="U1637" t="s">
        <v>35</v>
      </c>
      <c r="V1637" s="3" t="s">
        <v>35</v>
      </c>
      <c r="W1637" s="3" t="s">
        <v>4098</v>
      </c>
      <c r="AM1637" s="5"/>
      <c r="AN1637" s="5"/>
      <c r="AQ1637" s="6"/>
    </row>
    <row r="1638" spans="2:43" x14ac:dyDescent="0.25">
      <c r="B1638" t="s">
        <v>3826</v>
      </c>
      <c r="C1638">
        <v>43449</v>
      </c>
      <c r="D1638" t="s">
        <v>3830</v>
      </c>
      <c r="E1638" t="s">
        <v>371</v>
      </c>
      <c r="F1638" t="s">
        <v>305</v>
      </c>
      <c r="G1638" t="s">
        <v>1621</v>
      </c>
      <c r="H1638" t="s">
        <v>30</v>
      </c>
      <c r="I1638" t="s">
        <v>35</v>
      </c>
      <c r="J1638" t="s">
        <v>32</v>
      </c>
      <c r="K1638" t="s">
        <v>35</v>
      </c>
      <c r="L1638" t="s">
        <v>34</v>
      </c>
      <c r="M1638" t="s">
        <v>368</v>
      </c>
      <c r="N1638" t="s">
        <v>46</v>
      </c>
      <c r="P1638" t="s">
        <v>56</v>
      </c>
      <c r="Q1638" t="s">
        <v>3828</v>
      </c>
      <c r="R1638" s="5">
        <v>41792.629629629628</v>
      </c>
      <c r="S1638" s="5">
        <v>42034.660196759258</v>
      </c>
      <c r="T1638" t="s">
        <v>2047</v>
      </c>
      <c r="U1638" t="s">
        <v>35</v>
      </c>
      <c r="V1638" s="3" t="s">
        <v>35</v>
      </c>
      <c r="W1638" s="3" t="s">
        <v>4134</v>
      </c>
      <c r="AM1638" s="5"/>
      <c r="AN1638" s="5"/>
      <c r="AQ1638" s="6"/>
    </row>
    <row r="1639" spans="2:43" x14ac:dyDescent="0.25">
      <c r="B1639" t="s">
        <v>3826</v>
      </c>
      <c r="C1639">
        <v>43448</v>
      </c>
      <c r="D1639" t="s">
        <v>3829</v>
      </c>
      <c r="E1639" t="s">
        <v>371</v>
      </c>
      <c r="F1639" t="s">
        <v>305</v>
      </c>
      <c r="G1639" t="s">
        <v>304</v>
      </c>
      <c r="H1639" t="s">
        <v>30</v>
      </c>
      <c r="I1639" t="s">
        <v>35</v>
      </c>
      <c r="J1639" t="s">
        <v>32</v>
      </c>
      <c r="K1639" t="s">
        <v>35</v>
      </c>
      <c r="L1639" t="s">
        <v>34</v>
      </c>
      <c r="M1639" t="s">
        <v>368</v>
      </c>
      <c r="N1639" t="s">
        <v>46</v>
      </c>
      <c r="P1639" t="s">
        <v>56</v>
      </c>
      <c r="Q1639" t="s">
        <v>3828</v>
      </c>
      <c r="R1639" s="5">
        <v>41792.626550925925</v>
      </c>
      <c r="S1639" s="5">
        <v>42058.622175925928</v>
      </c>
      <c r="T1639" t="s">
        <v>2047</v>
      </c>
      <c r="U1639" t="s">
        <v>35</v>
      </c>
      <c r="V1639" s="3" t="s">
        <v>35</v>
      </c>
      <c r="W1639" s="3" t="s">
        <v>4098</v>
      </c>
      <c r="AM1639" s="5"/>
      <c r="AN1639" s="5"/>
      <c r="AQ1639" s="6"/>
    </row>
    <row r="1640" spans="2:43" x14ac:dyDescent="0.25">
      <c r="B1640" t="s">
        <v>2137</v>
      </c>
      <c r="C1640">
        <v>43249</v>
      </c>
      <c r="D1640" t="s">
        <v>2142</v>
      </c>
      <c r="E1640" t="s">
        <v>2002</v>
      </c>
      <c r="F1640" t="s">
        <v>305</v>
      </c>
      <c r="G1640" t="s">
        <v>310</v>
      </c>
      <c r="H1640" t="s">
        <v>30</v>
      </c>
      <c r="I1640" t="s">
        <v>35</v>
      </c>
      <c r="J1640" t="s">
        <v>43</v>
      </c>
      <c r="K1640" t="s">
        <v>44</v>
      </c>
      <c r="L1640" t="s">
        <v>73</v>
      </c>
      <c r="M1640" t="s">
        <v>1514</v>
      </c>
      <c r="N1640" t="s">
        <v>46</v>
      </c>
      <c r="P1640" t="s">
        <v>1634</v>
      </c>
      <c r="R1640" s="5">
        <v>41785.805995370371</v>
      </c>
      <c r="S1640" s="5">
        <v>42649.842719907407</v>
      </c>
      <c r="T1640" t="s">
        <v>1529</v>
      </c>
      <c r="U1640" t="s">
        <v>35</v>
      </c>
      <c r="V1640" s="3" t="s">
        <v>35</v>
      </c>
      <c r="W1640" s="3" t="s">
        <v>394</v>
      </c>
      <c r="AM1640" s="5"/>
      <c r="AN1640" s="5"/>
      <c r="AQ1640" s="6"/>
    </row>
    <row r="1641" spans="2:43" x14ac:dyDescent="0.25">
      <c r="B1641" t="s">
        <v>2137</v>
      </c>
      <c r="C1641">
        <v>43248</v>
      </c>
      <c r="D1641" t="s">
        <v>2141</v>
      </c>
      <c r="E1641" t="s">
        <v>2002</v>
      </c>
      <c r="F1641" t="s">
        <v>305</v>
      </c>
      <c r="G1641" t="s">
        <v>328</v>
      </c>
      <c r="H1641" t="s">
        <v>30</v>
      </c>
      <c r="I1641" t="s">
        <v>31</v>
      </c>
      <c r="J1641" t="s">
        <v>43</v>
      </c>
      <c r="K1641" t="s">
        <v>44</v>
      </c>
      <c r="L1641" t="s">
        <v>73</v>
      </c>
      <c r="M1641" t="s">
        <v>1514</v>
      </c>
      <c r="N1641" t="s">
        <v>46</v>
      </c>
      <c r="P1641" t="s">
        <v>1634</v>
      </c>
      <c r="R1641" s="5">
        <v>41785.805879629632</v>
      </c>
      <c r="S1641" s="5">
        <v>42649.842349537037</v>
      </c>
      <c r="T1641" t="s">
        <v>1529</v>
      </c>
      <c r="U1641" t="s">
        <v>35</v>
      </c>
      <c r="V1641" s="3" t="s">
        <v>35</v>
      </c>
      <c r="W1641" s="3" t="s">
        <v>2552</v>
      </c>
      <c r="AM1641" s="5"/>
      <c r="AN1641" s="5"/>
      <c r="AQ1641" s="6"/>
    </row>
    <row r="1642" spans="2:43" x14ac:dyDescent="0.25">
      <c r="B1642" t="s">
        <v>2137</v>
      </c>
      <c r="C1642">
        <v>43247</v>
      </c>
      <c r="D1642" t="s">
        <v>2140</v>
      </c>
      <c r="E1642" t="s">
        <v>2002</v>
      </c>
      <c r="F1642" t="s">
        <v>305</v>
      </c>
      <c r="G1642" t="s">
        <v>328</v>
      </c>
      <c r="H1642" t="s">
        <v>30</v>
      </c>
      <c r="I1642" t="s">
        <v>35</v>
      </c>
      <c r="J1642" t="s">
        <v>43</v>
      </c>
      <c r="K1642" t="s">
        <v>44</v>
      </c>
      <c r="L1642" t="s">
        <v>73</v>
      </c>
      <c r="M1642" t="s">
        <v>1514</v>
      </c>
      <c r="N1642" t="s">
        <v>46</v>
      </c>
      <c r="P1642" t="s">
        <v>1634</v>
      </c>
      <c r="R1642" s="5">
        <v>41785.805752314816</v>
      </c>
      <c r="S1642" s="5">
        <v>42649.842581018522</v>
      </c>
      <c r="T1642" t="s">
        <v>1529</v>
      </c>
      <c r="U1642" t="s">
        <v>35</v>
      </c>
      <c r="V1642" s="3" t="s">
        <v>35</v>
      </c>
      <c r="W1642" s="3" t="s">
        <v>4132</v>
      </c>
      <c r="AM1642" s="5"/>
      <c r="AN1642" s="5"/>
      <c r="AQ1642" s="6"/>
    </row>
    <row r="1643" spans="2:43" x14ac:dyDescent="0.25">
      <c r="B1643" t="s">
        <v>2137</v>
      </c>
      <c r="C1643">
        <v>43246</v>
      </c>
      <c r="D1643" t="s">
        <v>2139</v>
      </c>
      <c r="E1643" t="s">
        <v>387</v>
      </c>
      <c r="F1643" t="s">
        <v>305</v>
      </c>
      <c r="G1643" t="s">
        <v>310</v>
      </c>
      <c r="H1643" t="s">
        <v>30</v>
      </c>
      <c r="I1643" t="s">
        <v>35</v>
      </c>
      <c r="J1643" t="s">
        <v>43</v>
      </c>
      <c r="K1643" t="s">
        <v>35</v>
      </c>
      <c r="L1643" t="s">
        <v>73</v>
      </c>
      <c r="M1643" t="s">
        <v>1514</v>
      </c>
      <c r="N1643" t="s">
        <v>46</v>
      </c>
      <c r="P1643" t="s">
        <v>1634</v>
      </c>
      <c r="R1643" s="5">
        <v>41785.805625000001</v>
      </c>
      <c r="S1643" s="5">
        <v>42649.84269675926</v>
      </c>
      <c r="T1643" t="s">
        <v>1529</v>
      </c>
      <c r="U1643" t="s">
        <v>35</v>
      </c>
      <c r="V1643" s="3" t="s">
        <v>35</v>
      </c>
      <c r="W1643" s="3" t="s">
        <v>3039</v>
      </c>
      <c r="AM1643" s="5"/>
      <c r="AN1643" s="5"/>
      <c r="AQ1643" s="6"/>
    </row>
    <row r="1644" spans="2:43" x14ac:dyDescent="0.25">
      <c r="B1644" t="s">
        <v>2137</v>
      </c>
      <c r="C1644">
        <v>43245</v>
      </c>
      <c r="D1644" t="s">
        <v>2138</v>
      </c>
      <c r="E1644" t="s">
        <v>2002</v>
      </c>
      <c r="F1644" t="s">
        <v>305</v>
      </c>
      <c r="G1644" t="s">
        <v>328</v>
      </c>
      <c r="H1644" t="s">
        <v>30</v>
      </c>
      <c r="I1644" t="s">
        <v>35</v>
      </c>
      <c r="J1644" t="s">
        <v>43</v>
      </c>
      <c r="K1644" t="s">
        <v>44</v>
      </c>
      <c r="L1644" t="s">
        <v>73</v>
      </c>
      <c r="M1644" t="s">
        <v>1514</v>
      </c>
      <c r="N1644" t="s">
        <v>46</v>
      </c>
      <c r="P1644" t="s">
        <v>1634</v>
      </c>
      <c r="R1644" s="5">
        <v>41785.799432870372</v>
      </c>
      <c r="S1644" s="5">
        <v>42649.842430555553</v>
      </c>
      <c r="T1644" t="s">
        <v>300</v>
      </c>
      <c r="U1644" t="s">
        <v>35</v>
      </c>
      <c r="V1644" s="3" t="s">
        <v>35</v>
      </c>
      <c r="W1644" s="3" t="s">
        <v>4098</v>
      </c>
      <c r="AM1644" s="5"/>
      <c r="AN1644" s="5"/>
      <c r="AQ1644" s="6"/>
    </row>
    <row r="1645" spans="2:43" x14ac:dyDescent="0.25">
      <c r="B1645" t="s">
        <v>2131</v>
      </c>
      <c r="C1645">
        <v>43226</v>
      </c>
      <c r="D1645" t="s">
        <v>2136</v>
      </c>
      <c r="E1645" t="s">
        <v>139</v>
      </c>
      <c r="F1645" t="s">
        <v>305</v>
      </c>
      <c r="G1645" t="s">
        <v>304</v>
      </c>
      <c r="H1645" t="s">
        <v>30</v>
      </c>
      <c r="I1645" t="s">
        <v>35</v>
      </c>
      <c r="J1645" t="s">
        <v>43</v>
      </c>
      <c r="K1645" t="s">
        <v>33</v>
      </c>
      <c r="L1645" t="s">
        <v>73</v>
      </c>
      <c r="M1645" t="s">
        <v>263</v>
      </c>
      <c r="N1645" t="s">
        <v>46</v>
      </c>
      <c r="P1645" t="s">
        <v>1634</v>
      </c>
      <c r="R1645" s="5">
        <v>41782.800856481481</v>
      </c>
      <c r="S1645" s="5">
        <v>42648.834074074075</v>
      </c>
      <c r="T1645" t="s">
        <v>1529</v>
      </c>
      <c r="U1645" t="s">
        <v>35</v>
      </c>
      <c r="V1645" s="3" t="s">
        <v>35</v>
      </c>
      <c r="W1645" s="3" t="s">
        <v>4138</v>
      </c>
      <c r="AM1645" s="5"/>
      <c r="AN1645" s="5"/>
      <c r="AQ1645" s="6"/>
    </row>
    <row r="1646" spans="2:43" x14ac:dyDescent="0.25">
      <c r="B1646" t="s">
        <v>2131</v>
      </c>
      <c r="C1646">
        <v>43225</v>
      </c>
      <c r="D1646" t="s">
        <v>2135</v>
      </c>
      <c r="E1646" t="s">
        <v>139</v>
      </c>
      <c r="F1646" t="s">
        <v>305</v>
      </c>
      <c r="G1646" t="s">
        <v>304</v>
      </c>
      <c r="H1646" t="s">
        <v>30</v>
      </c>
      <c r="I1646" t="s">
        <v>31</v>
      </c>
      <c r="J1646" t="s">
        <v>43</v>
      </c>
      <c r="K1646" t="s">
        <v>35</v>
      </c>
      <c r="L1646" t="s">
        <v>73</v>
      </c>
      <c r="M1646" t="s">
        <v>263</v>
      </c>
      <c r="N1646" t="s">
        <v>2009</v>
      </c>
      <c r="P1646" t="s">
        <v>1634</v>
      </c>
      <c r="R1646" s="5">
        <v>41782.800775462965</v>
      </c>
      <c r="S1646" s="5">
        <v>42648.834178240744</v>
      </c>
      <c r="T1646" t="s">
        <v>1529</v>
      </c>
      <c r="U1646" t="s">
        <v>35</v>
      </c>
      <c r="V1646" s="3" t="s">
        <v>35</v>
      </c>
      <c r="W1646" s="3" t="s">
        <v>2552</v>
      </c>
      <c r="AM1646" s="5"/>
      <c r="AN1646" s="5"/>
      <c r="AQ1646" s="6"/>
    </row>
    <row r="1647" spans="2:43" x14ac:dyDescent="0.25">
      <c r="B1647" t="s">
        <v>2131</v>
      </c>
      <c r="C1647">
        <v>43224</v>
      </c>
      <c r="D1647" t="s">
        <v>2134</v>
      </c>
      <c r="E1647" t="s">
        <v>139</v>
      </c>
      <c r="F1647" t="s">
        <v>305</v>
      </c>
      <c r="G1647" t="s">
        <v>304</v>
      </c>
      <c r="H1647" t="s">
        <v>30</v>
      </c>
      <c r="I1647" t="s">
        <v>35</v>
      </c>
      <c r="J1647" t="s">
        <v>43</v>
      </c>
      <c r="K1647" t="s">
        <v>35</v>
      </c>
      <c r="L1647" t="s">
        <v>73</v>
      </c>
      <c r="M1647" t="s">
        <v>263</v>
      </c>
      <c r="N1647" t="s">
        <v>46</v>
      </c>
      <c r="O1647" t="s">
        <v>2007</v>
      </c>
      <c r="P1647" t="s">
        <v>1634</v>
      </c>
      <c r="R1647" s="5">
        <v>41782.800682870373</v>
      </c>
      <c r="S1647" s="5">
        <v>42648.833703703705</v>
      </c>
      <c r="T1647" t="s">
        <v>1529</v>
      </c>
      <c r="U1647" t="s">
        <v>35</v>
      </c>
      <c r="V1647" s="3" t="s">
        <v>35</v>
      </c>
      <c r="W1647" s="3" t="s">
        <v>4131</v>
      </c>
      <c r="AM1647" s="5"/>
      <c r="AN1647" s="5"/>
      <c r="AQ1647" s="6"/>
    </row>
    <row r="1648" spans="2:43" x14ac:dyDescent="0.25">
      <c r="B1648" t="s">
        <v>2131</v>
      </c>
      <c r="C1648">
        <v>43223</v>
      </c>
      <c r="D1648" t="s">
        <v>2133</v>
      </c>
      <c r="E1648" t="s">
        <v>139</v>
      </c>
      <c r="F1648" t="s">
        <v>305</v>
      </c>
      <c r="G1648" t="s">
        <v>337</v>
      </c>
      <c r="H1648" t="s">
        <v>30</v>
      </c>
      <c r="I1648" t="s">
        <v>35</v>
      </c>
      <c r="J1648" t="s">
        <v>43</v>
      </c>
      <c r="K1648" t="s">
        <v>35</v>
      </c>
      <c r="L1648" t="s">
        <v>73</v>
      </c>
      <c r="M1648" t="s">
        <v>263</v>
      </c>
      <c r="N1648" t="s">
        <v>46</v>
      </c>
      <c r="P1648" t="s">
        <v>1634</v>
      </c>
      <c r="R1648" s="5">
        <v>41782.800567129627</v>
      </c>
      <c r="S1648" s="5">
        <v>42649.842280092591</v>
      </c>
      <c r="T1648" t="s">
        <v>1529</v>
      </c>
      <c r="U1648" t="s">
        <v>35</v>
      </c>
      <c r="V1648" s="3" t="s">
        <v>35</v>
      </c>
      <c r="W1648" s="3" t="s">
        <v>3039</v>
      </c>
      <c r="AM1648" s="5"/>
      <c r="AN1648" s="5"/>
      <c r="AQ1648" s="6"/>
    </row>
    <row r="1649" spans="2:43" x14ac:dyDescent="0.25">
      <c r="B1649" t="s">
        <v>3826</v>
      </c>
      <c r="C1649">
        <v>43171</v>
      </c>
      <c r="D1649" t="s">
        <v>3827</v>
      </c>
      <c r="E1649" t="s">
        <v>2047</v>
      </c>
      <c r="F1649" t="s">
        <v>305</v>
      </c>
      <c r="G1649" t="s">
        <v>310</v>
      </c>
      <c r="H1649" t="s">
        <v>30</v>
      </c>
      <c r="I1649" t="s">
        <v>31</v>
      </c>
      <c r="J1649" t="s">
        <v>32</v>
      </c>
      <c r="K1649" t="s">
        <v>35</v>
      </c>
      <c r="L1649" t="s">
        <v>34</v>
      </c>
      <c r="M1649" t="s">
        <v>368</v>
      </c>
      <c r="N1649" t="s">
        <v>46</v>
      </c>
      <c r="P1649" t="s">
        <v>56</v>
      </c>
      <c r="Q1649" t="s">
        <v>3828</v>
      </c>
      <c r="R1649" s="5">
        <v>41781.463865740741</v>
      </c>
      <c r="S1649" s="5">
        <v>42034.641238425924</v>
      </c>
      <c r="T1649" t="s">
        <v>2387</v>
      </c>
      <c r="U1649" t="s">
        <v>35</v>
      </c>
      <c r="V1649" s="3" t="s">
        <v>35</v>
      </c>
      <c r="W1649" s="3" t="s">
        <v>4112</v>
      </c>
      <c r="AM1649" s="5"/>
      <c r="AN1649" s="5"/>
      <c r="AQ1649" s="6"/>
    </row>
    <row r="1650" spans="2:43" x14ac:dyDescent="0.25">
      <c r="B1650" t="s">
        <v>2131</v>
      </c>
      <c r="C1650">
        <v>43159</v>
      </c>
      <c r="D1650" t="s">
        <v>2132</v>
      </c>
      <c r="E1650" t="s">
        <v>139</v>
      </c>
      <c r="F1650" t="s">
        <v>305</v>
      </c>
      <c r="G1650" t="s">
        <v>304</v>
      </c>
      <c r="H1650" t="s">
        <v>30</v>
      </c>
      <c r="I1650" t="s">
        <v>35</v>
      </c>
      <c r="J1650" t="s">
        <v>43</v>
      </c>
      <c r="K1650" t="s">
        <v>35</v>
      </c>
      <c r="L1650" t="s">
        <v>73</v>
      </c>
      <c r="M1650" t="s">
        <v>263</v>
      </c>
      <c r="N1650" t="s">
        <v>46</v>
      </c>
      <c r="P1650" t="s">
        <v>1634</v>
      </c>
      <c r="R1650" s="5">
        <v>41781.249965277777</v>
      </c>
      <c r="S1650" s="5">
        <v>42649.842604166668</v>
      </c>
      <c r="T1650" t="s">
        <v>1640</v>
      </c>
      <c r="U1650" t="s">
        <v>35</v>
      </c>
      <c r="V1650" s="3" t="s">
        <v>35</v>
      </c>
      <c r="W1650" s="3" t="s">
        <v>4098</v>
      </c>
      <c r="AM1650" s="5"/>
      <c r="AN1650" s="5"/>
      <c r="AQ1650" s="6"/>
    </row>
    <row r="1651" spans="2:43" x14ac:dyDescent="0.25">
      <c r="B1651" t="s">
        <v>2126</v>
      </c>
      <c r="C1651">
        <v>43004</v>
      </c>
      <c r="D1651" t="s">
        <v>2127</v>
      </c>
      <c r="E1651" t="s">
        <v>2128</v>
      </c>
      <c r="F1651" t="s">
        <v>305</v>
      </c>
      <c r="G1651" t="s">
        <v>304</v>
      </c>
      <c r="H1651" t="s">
        <v>30</v>
      </c>
      <c r="I1651" t="s">
        <v>57</v>
      </c>
      <c r="J1651" t="s">
        <v>58</v>
      </c>
      <c r="K1651" t="s">
        <v>33</v>
      </c>
      <c r="L1651" t="s">
        <v>34</v>
      </c>
      <c r="M1651" t="s">
        <v>1853</v>
      </c>
      <c r="N1651" t="s">
        <v>46</v>
      </c>
      <c r="O1651" t="s">
        <v>2129</v>
      </c>
      <c r="P1651" t="s">
        <v>56</v>
      </c>
      <c r="R1651" s="5">
        <v>41778.491712962961</v>
      </c>
      <c r="S1651" s="5">
        <v>42649.918622685182</v>
      </c>
      <c r="T1651" t="s">
        <v>2130</v>
      </c>
      <c r="U1651" t="s">
        <v>35</v>
      </c>
      <c r="V1651" s="3" t="s">
        <v>35</v>
      </c>
      <c r="W1651" s="3" t="s">
        <v>4112</v>
      </c>
      <c r="AM1651" s="5"/>
      <c r="AN1651" s="5"/>
      <c r="AQ1651" s="6"/>
    </row>
    <row r="1652" spans="2:43" x14ac:dyDescent="0.25">
      <c r="B1652" t="s">
        <v>2119</v>
      </c>
      <c r="C1652">
        <v>42574</v>
      </c>
      <c r="D1652" t="s">
        <v>2125</v>
      </c>
      <c r="E1652" t="s">
        <v>387</v>
      </c>
      <c r="F1652" t="s">
        <v>305</v>
      </c>
      <c r="G1652" t="s">
        <v>310</v>
      </c>
      <c r="H1652" t="s">
        <v>30</v>
      </c>
      <c r="I1652" t="s">
        <v>35</v>
      </c>
      <c r="J1652" t="s">
        <v>43</v>
      </c>
      <c r="K1652" t="s">
        <v>51</v>
      </c>
      <c r="L1652" t="s">
        <v>73</v>
      </c>
      <c r="M1652" t="s">
        <v>1514</v>
      </c>
      <c r="N1652" t="s">
        <v>46</v>
      </c>
      <c r="P1652" t="s">
        <v>2121</v>
      </c>
      <c r="R1652" s="5">
        <v>41765.78496527778</v>
      </c>
      <c r="S1652" s="5">
        <v>42648.833078703705</v>
      </c>
      <c r="T1652" t="s">
        <v>1529</v>
      </c>
      <c r="U1652" t="s">
        <v>35</v>
      </c>
      <c r="V1652" s="3" t="s">
        <v>35</v>
      </c>
      <c r="W1652" s="3" t="s">
        <v>394</v>
      </c>
      <c r="AM1652" s="5"/>
      <c r="AN1652" s="5"/>
      <c r="AQ1652" s="6"/>
    </row>
    <row r="1653" spans="2:43" x14ac:dyDescent="0.25">
      <c r="B1653" t="s">
        <v>2119</v>
      </c>
      <c r="C1653">
        <v>42573</v>
      </c>
      <c r="D1653" t="s">
        <v>2124</v>
      </c>
      <c r="E1653" t="s">
        <v>387</v>
      </c>
      <c r="F1653" t="s">
        <v>305</v>
      </c>
      <c r="G1653" t="s">
        <v>304</v>
      </c>
      <c r="H1653" t="s">
        <v>30</v>
      </c>
      <c r="I1653" t="s">
        <v>31</v>
      </c>
      <c r="J1653" t="s">
        <v>43</v>
      </c>
      <c r="K1653" t="s">
        <v>51</v>
      </c>
      <c r="L1653" t="s">
        <v>73</v>
      </c>
      <c r="M1653" t="s">
        <v>1514</v>
      </c>
      <c r="N1653" t="s">
        <v>1998</v>
      </c>
      <c r="P1653" t="s">
        <v>2121</v>
      </c>
      <c r="R1653" s="5">
        <v>41765.784884259258</v>
      </c>
      <c r="S1653" s="5">
        <v>42648.832638888889</v>
      </c>
      <c r="T1653" t="s">
        <v>1529</v>
      </c>
      <c r="U1653" t="s">
        <v>35</v>
      </c>
      <c r="V1653" s="3" t="s">
        <v>35</v>
      </c>
      <c r="W1653" s="3" t="s">
        <v>2552</v>
      </c>
      <c r="AM1653" s="5"/>
      <c r="AN1653" s="5"/>
      <c r="AQ1653" s="6"/>
    </row>
    <row r="1654" spans="2:43" x14ac:dyDescent="0.25">
      <c r="B1654" t="s">
        <v>2119</v>
      </c>
      <c r="C1654">
        <v>42572</v>
      </c>
      <c r="D1654" t="s">
        <v>2123</v>
      </c>
      <c r="E1654" t="s">
        <v>387</v>
      </c>
      <c r="F1654" t="s">
        <v>305</v>
      </c>
      <c r="G1654" t="s">
        <v>304</v>
      </c>
      <c r="H1654" t="s">
        <v>30</v>
      </c>
      <c r="I1654" t="s">
        <v>35</v>
      </c>
      <c r="J1654" t="s">
        <v>43</v>
      </c>
      <c r="K1654" t="s">
        <v>51</v>
      </c>
      <c r="L1654" t="s">
        <v>73</v>
      </c>
      <c r="M1654" t="s">
        <v>1514</v>
      </c>
      <c r="N1654" t="s">
        <v>46</v>
      </c>
      <c r="O1654" t="s">
        <v>2045</v>
      </c>
      <c r="P1654" t="s">
        <v>2121</v>
      </c>
      <c r="R1654" s="5">
        <v>41765.784780092596</v>
      </c>
      <c r="S1654" s="5">
        <v>42648.833171296297</v>
      </c>
      <c r="T1654" t="s">
        <v>1529</v>
      </c>
      <c r="U1654" t="s">
        <v>35</v>
      </c>
      <c r="V1654" s="3" t="s">
        <v>35</v>
      </c>
      <c r="W1654" s="3" t="s">
        <v>4131</v>
      </c>
      <c r="AM1654" s="5"/>
      <c r="AN1654" s="5"/>
      <c r="AQ1654" s="6"/>
    </row>
    <row r="1655" spans="2:43" x14ac:dyDescent="0.25">
      <c r="B1655" t="s">
        <v>2119</v>
      </c>
      <c r="C1655">
        <v>42571</v>
      </c>
      <c r="D1655" t="s">
        <v>2122</v>
      </c>
      <c r="E1655" t="s">
        <v>387</v>
      </c>
      <c r="F1655" t="s">
        <v>305</v>
      </c>
      <c r="G1655" t="s">
        <v>310</v>
      </c>
      <c r="H1655" t="s">
        <v>30</v>
      </c>
      <c r="I1655" t="s">
        <v>35</v>
      </c>
      <c r="J1655" t="s">
        <v>43</v>
      </c>
      <c r="K1655" t="s">
        <v>51</v>
      </c>
      <c r="L1655" t="s">
        <v>73</v>
      </c>
      <c r="M1655" t="s">
        <v>1514</v>
      </c>
      <c r="N1655" t="s">
        <v>46</v>
      </c>
      <c r="P1655" t="s">
        <v>2121</v>
      </c>
      <c r="R1655" s="5">
        <v>41765.784675925926</v>
      </c>
      <c r="S1655" s="5">
        <v>42649.841620370367</v>
      </c>
      <c r="T1655" t="s">
        <v>1529</v>
      </c>
      <c r="U1655" t="s">
        <v>35</v>
      </c>
      <c r="V1655" s="3" t="s">
        <v>35</v>
      </c>
      <c r="W1655" s="3" t="s">
        <v>3039</v>
      </c>
      <c r="AM1655" s="5"/>
      <c r="AN1655" s="5"/>
      <c r="AQ1655" s="6"/>
    </row>
    <row r="1656" spans="2:43" x14ac:dyDescent="0.25">
      <c r="B1656" t="s">
        <v>2119</v>
      </c>
      <c r="C1656">
        <v>42569</v>
      </c>
      <c r="D1656" t="s">
        <v>2120</v>
      </c>
      <c r="E1656" t="s">
        <v>387</v>
      </c>
      <c r="F1656" t="s">
        <v>305</v>
      </c>
      <c r="G1656" t="s">
        <v>304</v>
      </c>
      <c r="H1656" t="s">
        <v>30</v>
      </c>
      <c r="I1656" t="s">
        <v>35</v>
      </c>
      <c r="J1656" t="s">
        <v>43</v>
      </c>
      <c r="K1656" t="s">
        <v>51</v>
      </c>
      <c r="L1656" t="s">
        <v>73</v>
      </c>
      <c r="M1656" t="s">
        <v>1514</v>
      </c>
      <c r="N1656" t="s">
        <v>46</v>
      </c>
      <c r="P1656" t="s">
        <v>2121</v>
      </c>
      <c r="R1656" s="5">
        <v>41765.735995370371</v>
      </c>
      <c r="S1656" s="5">
        <v>41828.624120370368</v>
      </c>
      <c r="T1656" t="s">
        <v>1598</v>
      </c>
      <c r="U1656" t="s">
        <v>35</v>
      </c>
      <c r="V1656" s="3" t="s">
        <v>35</v>
      </c>
      <c r="W1656" s="3" t="s">
        <v>4098</v>
      </c>
      <c r="AM1656" s="5"/>
      <c r="AN1656" s="5"/>
      <c r="AQ1656" s="6"/>
    </row>
    <row r="1657" spans="2:43" x14ac:dyDescent="0.25">
      <c r="B1657" t="s">
        <v>2109</v>
      </c>
      <c r="C1657">
        <v>42458</v>
      </c>
      <c r="D1657" t="s">
        <v>2118</v>
      </c>
      <c r="E1657" t="s">
        <v>139</v>
      </c>
      <c r="F1657" t="s">
        <v>305</v>
      </c>
      <c r="G1657" t="s">
        <v>337</v>
      </c>
      <c r="H1657" t="s">
        <v>30</v>
      </c>
      <c r="I1657" t="s">
        <v>31</v>
      </c>
      <c r="J1657" t="s">
        <v>43</v>
      </c>
      <c r="K1657" t="s">
        <v>44</v>
      </c>
      <c r="L1657" t="s">
        <v>73</v>
      </c>
      <c r="M1657" t="s">
        <v>263</v>
      </c>
      <c r="N1657" t="s">
        <v>46</v>
      </c>
      <c r="O1657" t="s">
        <v>1548</v>
      </c>
      <c r="P1657" t="s">
        <v>1749</v>
      </c>
      <c r="R1657" s="5">
        <v>41761.846458333333</v>
      </c>
      <c r="S1657" s="5">
        <v>42678.619953703703</v>
      </c>
      <c r="T1657" t="s">
        <v>1529</v>
      </c>
      <c r="U1657" t="s">
        <v>35</v>
      </c>
      <c r="V1657" s="3" t="s">
        <v>35</v>
      </c>
      <c r="W1657" s="3" t="s">
        <v>4137</v>
      </c>
      <c r="AM1657" s="5"/>
      <c r="AN1657" s="5"/>
      <c r="AQ1657" s="6"/>
    </row>
    <row r="1658" spans="2:43" x14ac:dyDescent="0.25">
      <c r="B1658" t="s">
        <v>2109</v>
      </c>
      <c r="C1658">
        <v>42457</v>
      </c>
      <c r="D1658" t="s">
        <v>2115</v>
      </c>
      <c r="E1658" t="s">
        <v>139</v>
      </c>
      <c r="F1658" t="s">
        <v>305</v>
      </c>
      <c r="G1658" t="s">
        <v>337</v>
      </c>
      <c r="H1658" t="s">
        <v>30</v>
      </c>
      <c r="I1658" t="s">
        <v>31</v>
      </c>
      <c r="J1658" t="s">
        <v>43</v>
      </c>
      <c r="K1658" t="s">
        <v>44</v>
      </c>
      <c r="L1658" t="s">
        <v>73</v>
      </c>
      <c r="M1658" t="s">
        <v>263</v>
      </c>
      <c r="N1658" t="s">
        <v>2116</v>
      </c>
      <c r="O1658" t="s">
        <v>2117</v>
      </c>
      <c r="P1658" t="s">
        <v>1749</v>
      </c>
      <c r="R1658" s="5">
        <v>41761.846388888887</v>
      </c>
      <c r="S1658" s="5">
        <v>42678.62605324074</v>
      </c>
      <c r="T1658" t="s">
        <v>1529</v>
      </c>
      <c r="U1658" t="s">
        <v>35</v>
      </c>
      <c r="V1658" s="3" t="s">
        <v>35</v>
      </c>
      <c r="W1658" s="3" t="s">
        <v>2552</v>
      </c>
      <c r="AM1658" s="5"/>
      <c r="AN1658" s="5"/>
      <c r="AQ1658" s="6"/>
    </row>
    <row r="1659" spans="2:43" x14ac:dyDescent="0.25">
      <c r="B1659" t="s">
        <v>2109</v>
      </c>
      <c r="C1659">
        <v>42456</v>
      </c>
      <c r="D1659" t="s">
        <v>2114</v>
      </c>
      <c r="E1659" t="s">
        <v>387</v>
      </c>
      <c r="F1659" t="s">
        <v>305</v>
      </c>
      <c r="G1659" t="s">
        <v>328</v>
      </c>
      <c r="H1659" t="s">
        <v>30</v>
      </c>
      <c r="I1659" t="s">
        <v>31</v>
      </c>
      <c r="J1659" t="s">
        <v>43</v>
      </c>
      <c r="K1659" t="s">
        <v>44</v>
      </c>
      <c r="L1659" t="s">
        <v>73</v>
      </c>
      <c r="M1659" t="s">
        <v>263</v>
      </c>
      <c r="N1659" t="s">
        <v>46</v>
      </c>
      <c r="P1659" t="s">
        <v>1749</v>
      </c>
      <c r="R1659" s="5">
        <v>41761.846319444441</v>
      </c>
      <c r="S1659" s="5">
        <v>42649.842060185183</v>
      </c>
      <c r="T1659" t="s">
        <v>1529</v>
      </c>
      <c r="U1659" t="s">
        <v>35</v>
      </c>
      <c r="V1659" s="3" t="s">
        <v>35</v>
      </c>
      <c r="W1659" s="3" t="s">
        <v>4132</v>
      </c>
      <c r="AM1659" s="5"/>
      <c r="AN1659" s="5"/>
      <c r="AQ1659" s="6"/>
    </row>
    <row r="1660" spans="2:43" x14ac:dyDescent="0.25">
      <c r="B1660" t="s">
        <v>2109</v>
      </c>
      <c r="C1660">
        <v>42455</v>
      </c>
      <c r="D1660" t="s">
        <v>2113</v>
      </c>
      <c r="E1660" t="s">
        <v>387</v>
      </c>
      <c r="F1660" t="s">
        <v>305</v>
      </c>
      <c r="G1660" t="s">
        <v>328</v>
      </c>
      <c r="H1660" t="s">
        <v>30</v>
      </c>
      <c r="I1660" t="s">
        <v>31</v>
      </c>
      <c r="J1660" t="s">
        <v>43</v>
      </c>
      <c r="K1660" t="s">
        <v>44</v>
      </c>
      <c r="L1660" t="s">
        <v>73</v>
      </c>
      <c r="M1660" t="s">
        <v>263</v>
      </c>
      <c r="N1660" t="s">
        <v>46</v>
      </c>
      <c r="P1660" t="s">
        <v>1749</v>
      </c>
      <c r="R1660" s="5">
        <v>41761.846250000002</v>
      </c>
      <c r="S1660" s="5">
        <v>42649.841689814813</v>
      </c>
      <c r="T1660" t="s">
        <v>1529</v>
      </c>
      <c r="U1660" t="s">
        <v>35</v>
      </c>
      <c r="V1660" s="3" t="s">
        <v>35</v>
      </c>
      <c r="W1660" s="3" t="s">
        <v>3039</v>
      </c>
      <c r="AM1660" s="5"/>
      <c r="AN1660" s="5"/>
      <c r="AQ1660" s="6"/>
    </row>
    <row r="1661" spans="2:43" x14ac:dyDescent="0.25">
      <c r="B1661" t="s">
        <v>2109</v>
      </c>
      <c r="C1661">
        <v>42454</v>
      </c>
      <c r="D1661" t="s">
        <v>2110</v>
      </c>
      <c r="E1661" t="s">
        <v>139</v>
      </c>
      <c r="F1661" t="s">
        <v>305</v>
      </c>
      <c r="G1661" t="s">
        <v>328</v>
      </c>
      <c r="H1661" t="s">
        <v>54</v>
      </c>
      <c r="I1661" t="s">
        <v>31</v>
      </c>
      <c r="J1661" t="s">
        <v>43</v>
      </c>
      <c r="K1661" t="s">
        <v>44</v>
      </c>
      <c r="L1661" t="s">
        <v>73</v>
      </c>
      <c r="M1661" t="s">
        <v>263</v>
      </c>
      <c r="N1661" t="s">
        <v>46</v>
      </c>
      <c r="O1661" t="s">
        <v>2111</v>
      </c>
      <c r="P1661" t="s">
        <v>1749</v>
      </c>
      <c r="Q1661" t="s">
        <v>2112</v>
      </c>
      <c r="R1661" s="5">
        <v>41761.842361111114</v>
      </c>
      <c r="S1661" s="5">
        <v>42649.841956018521</v>
      </c>
      <c r="T1661" t="s">
        <v>1640</v>
      </c>
      <c r="U1661" t="s">
        <v>35</v>
      </c>
      <c r="V1661" s="3" t="s">
        <v>35</v>
      </c>
      <c r="W1661" s="3" t="s">
        <v>4098</v>
      </c>
      <c r="AM1661" s="5"/>
      <c r="AN1661" s="5"/>
      <c r="AQ1661" s="6"/>
    </row>
    <row r="1662" spans="2:43" x14ac:dyDescent="0.25">
      <c r="B1662" t="s">
        <v>2022</v>
      </c>
      <c r="C1662">
        <v>41845</v>
      </c>
      <c r="D1662" t="s">
        <v>3824</v>
      </c>
      <c r="E1662" t="s">
        <v>371</v>
      </c>
      <c r="F1662" t="s">
        <v>305</v>
      </c>
      <c r="G1662" t="s">
        <v>337</v>
      </c>
      <c r="H1662" t="s">
        <v>54</v>
      </c>
      <c r="I1662" t="s">
        <v>31</v>
      </c>
      <c r="J1662" t="s">
        <v>43</v>
      </c>
      <c r="K1662" t="s">
        <v>44</v>
      </c>
      <c r="L1662" t="s">
        <v>34</v>
      </c>
      <c r="M1662" t="s">
        <v>368</v>
      </c>
      <c r="N1662" t="s">
        <v>46</v>
      </c>
      <c r="O1662" t="s">
        <v>3825</v>
      </c>
      <c r="P1662" t="s">
        <v>1749</v>
      </c>
      <c r="R1662" s="5">
        <v>41740.748495370368</v>
      </c>
      <c r="S1662" s="5">
        <v>42248.792534722219</v>
      </c>
      <c r="T1662" t="s">
        <v>1913</v>
      </c>
      <c r="U1662" t="s">
        <v>35</v>
      </c>
      <c r="V1662" s="3" t="s">
        <v>35</v>
      </c>
      <c r="W1662" s="3" t="s">
        <v>4132</v>
      </c>
      <c r="AM1662" s="5"/>
      <c r="AN1662" s="5"/>
      <c r="AQ1662" s="6"/>
    </row>
    <row r="1663" spans="2:43" x14ac:dyDescent="0.25">
      <c r="B1663" t="s">
        <v>2102</v>
      </c>
      <c r="C1663">
        <v>41796</v>
      </c>
      <c r="D1663" t="s">
        <v>2108</v>
      </c>
      <c r="E1663" t="s">
        <v>387</v>
      </c>
      <c r="F1663" t="s">
        <v>305</v>
      </c>
      <c r="G1663" t="s">
        <v>310</v>
      </c>
      <c r="H1663" t="s">
        <v>30</v>
      </c>
      <c r="I1663" t="s">
        <v>35</v>
      </c>
      <c r="J1663" t="s">
        <v>32</v>
      </c>
      <c r="K1663" t="s">
        <v>44</v>
      </c>
      <c r="L1663" t="s">
        <v>96</v>
      </c>
      <c r="M1663" t="s">
        <v>269</v>
      </c>
      <c r="N1663" t="s">
        <v>46</v>
      </c>
      <c r="P1663" t="s">
        <v>1749</v>
      </c>
      <c r="R1663" s="5">
        <v>41739.524050925924</v>
      </c>
      <c r="S1663" s="5">
        <v>42649.842083333337</v>
      </c>
      <c r="T1663" t="s">
        <v>1529</v>
      </c>
      <c r="U1663" t="s">
        <v>35</v>
      </c>
      <c r="V1663" s="3" t="s">
        <v>35</v>
      </c>
      <c r="W1663" s="3" t="s">
        <v>4136</v>
      </c>
      <c r="AM1663" s="5"/>
      <c r="AN1663" s="5"/>
      <c r="AQ1663" s="6"/>
    </row>
    <row r="1664" spans="2:43" x14ac:dyDescent="0.25">
      <c r="B1664" t="s">
        <v>2102</v>
      </c>
      <c r="C1664">
        <v>41795</v>
      </c>
      <c r="D1664" t="s">
        <v>2107</v>
      </c>
      <c r="E1664" t="s">
        <v>387</v>
      </c>
      <c r="F1664" t="s">
        <v>305</v>
      </c>
      <c r="G1664" t="s">
        <v>310</v>
      </c>
      <c r="H1664" t="s">
        <v>30</v>
      </c>
      <c r="I1664" t="s">
        <v>31</v>
      </c>
      <c r="J1664" t="s">
        <v>32</v>
      </c>
      <c r="K1664" t="s">
        <v>44</v>
      </c>
      <c r="L1664" t="s">
        <v>96</v>
      </c>
      <c r="M1664" t="s">
        <v>269</v>
      </c>
      <c r="N1664" t="s">
        <v>46</v>
      </c>
      <c r="P1664" t="s">
        <v>1749</v>
      </c>
      <c r="R1664" s="5">
        <v>41739.523969907408</v>
      </c>
      <c r="S1664" s="5">
        <v>42678.613113425927</v>
      </c>
      <c r="T1664" t="s">
        <v>1529</v>
      </c>
      <c r="U1664" t="s">
        <v>35</v>
      </c>
      <c r="V1664" s="3" t="s">
        <v>35</v>
      </c>
      <c r="W1664" s="3" t="s">
        <v>2552</v>
      </c>
      <c r="AM1664" s="5"/>
      <c r="AN1664" s="5"/>
      <c r="AQ1664" s="6"/>
    </row>
    <row r="1665" spans="2:43" x14ac:dyDescent="0.25">
      <c r="B1665" t="s">
        <v>2102</v>
      </c>
      <c r="C1665">
        <v>41794</v>
      </c>
      <c r="D1665" t="s">
        <v>2106</v>
      </c>
      <c r="E1665" t="s">
        <v>387</v>
      </c>
      <c r="F1665" t="s">
        <v>305</v>
      </c>
      <c r="G1665" t="s">
        <v>328</v>
      </c>
      <c r="H1665" t="s">
        <v>30</v>
      </c>
      <c r="I1665" t="s">
        <v>35</v>
      </c>
      <c r="J1665" t="s">
        <v>32</v>
      </c>
      <c r="K1665" t="s">
        <v>44</v>
      </c>
      <c r="L1665" t="s">
        <v>96</v>
      </c>
      <c r="M1665" t="s">
        <v>269</v>
      </c>
      <c r="N1665" t="s">
        <v>46</v>
      </c>
      <c r="P1665" t="s">
        <v>1749</v>
      </c>
      <c r="R1665" s="5">
        <v>41739.523877314816</v>
      </c>
      <c r="S1665" s="5">
        <v>42649.841851851852</v>
      </c>
      <c r="T1665" t="s">
        <v>1529</v>
      </c>
      <c r="U1665" t="s">
        <v>35</v>
      </c>
      <c r="V1665" s="3" t="s">
        <v>35</v>
      </c>
      <c r="W1665" s="3" t="s">
        <v>4132</v>
      </c>
      <c r="AM1665" s="5"/>
      <c r="AN1665" s="5"/>
      <c r="AQ1665" s="6"/>
    </row>
    <row r="1666" spans="2:43" x14ac:dyDescent="0.25">
      <c r="B1666" t="s">
        <v>2102</v>
      </c>
      <c r="C1666">
        <v>41793</v>
      </c>
      <c r="D1666" t="s">
        <v>2105</v>
      </c>
      <c r="E1666" t="s">
        <v>387</v>
      </c>
      <c r="F1666" t="s">
        <v>305</v>
      </c>
      <c r="G1666" t="s">
        <v>337</v>
      </c>
      <c r="H1666" t="s">
        <v>30</v>
      </c>
      <c r="I1666" t="s">
        <v>35</v>
      </c>
      <c r="J1666" t="s">
        <v>32</v>
      </c>
      <c r="K1666" t="s">
        <v>44</v>
      </c>
      <c r="L1666" t="s">
        <v>96</v>
      </c>
      <c r="M1666" t="s">
        <v>269</v>
      </c>
      <c r="N1666" t="s">
        <v>46</v>
      </c>
      <c r="P1666" t="s">
        <v>1749</v>
      </c>
      <c r="R1666" s="5">
        <v>41739.523796296293</v>
      </c>
      <c r="S1666" s="5">
        <v>42649.841689814813</v>
      </c>
      <c r="T1666" t="s">
        <v>1529</v>
      </c>
      <c r="U1666" t="s">
        <v>35</v>
      </c>
      <c r="V1666" s="3" t="s">
        <v>35</v>
      </c>
      <c r="W1666" s="3" t="s">
        <v>3039</v>
      </c>
      <c r="AM1666" s="5"/>
      <c r="AN1666" s="5"/>
      <c r="AQ1666" s="6"/>
    </row>
    <row r="1667" spans="2:43" x14ac:dyDescent="0.25">
      <c r="B1667" t="s">
        <v>2102</v>
      </c>
      <c r="C1667">
        <v>41764</v>
      </c>
      <c r="D1667" t="s">
        <v>2103</v>
      </c>
      <c r="E1667" t="s">
        <v>2104</v>
      </c>
      <c r="F1667" t="s">
        <v>305</v>
      </c>
      <c r="G1667" t="s">
        <v>337</v>
      </c>
      <c r="H1667" t="s">
        <v>30</v>
      </c>
      <c r="I1667" t="s">
        <v>35</v>
      </c>
      <c r="J1667" t="s">
        <v>32</v>
      </c>
      <c r="K1667" t="s">
        <v>44</v>
      </c>
      <c r="L1667" t="s">
        <v>96</v>
      </c>
      <c r="M1667" t="s">
        <v>269</v>
      </c>
      <c r="N1667" t="s">
        <v>46</v>
      </c>
      <c r="P1667" t="s">
        <v>1749</v>
      </c>
      <c r="R1667" s="5">
        <v>41738.70988425926</v>
      </c>
      <c r="S1667" s="5">
        <v>42649.841874999998</v>
      </c>
      <c r="T1667" t="s">
        <v>2104</v>
      </c>
      <c r="U1667" t="s">
        <v>35</v>
      </c>
      <c r="V1667" s="3" t="s">
        <v>35</v>
      </c>
      <c r="W1667" s="3" t="s">
        <v>4098</v>
      </c>
      <c r="AM1667" s="5"/>
      <c r="AN1667" s="5"/>
      <c r="AQ1667" s="6"/>
    </row>
    <row r="1668" spans="2:43" x14ac:dyDescent="0.25">
      <c r="B1668" t="s">
        <v>2054</v>
      </c>
      <c r="C1668">
        <v>41690</v>
      </c>
      <c r="D1668" t="s">
        <v>2101</v>
      </c>
      <c r="E1668" t="s">
        <v>1945</v>
      </c>
      <c r="F1668" t="s">
        <v>305</v>
      </c>
      <c r="G1668" t="s">
        <v>304</v>
      </c>
      <c r="H1668" t="s">
        <v>30</v>
      </c>
      <c r="I1668" t="s">
        <v>68</v>
      </c>
      <c r="J1668" t="s">
        <v>43</v>
      </c>
      <c r="K1668" t="s">
        <v>33</v>
      </c>
      <c r="L1668" t="s">
        <v>34</v>
      </c>
      <c r="M1668" t="s">
        <v>2056</v>
      </c>
      <c r="N1668" t="s">
        <v>1998</v>
      </c>
      <c r="P1668" t="s">
        <v>1749</v>
      </c>
      <c r="R1668" s="5">
        <v>41737.425567129627</v>
      </c>
      <c r="S1668" s="5">
        <v>42116.901782407411</v>
      </c>
      <c r="T1668" t="s">
        <v>119</v>
      </c>
      <c r="U1668" t="s">
        <v>35</v>
      </c>
      <c r="V1668" s="3" t="s">
        <v>35</v>
      </c>
      <c r="W1668" s="3" t="s">
        <v>4112</v>
      </c>
      <c r="AM1668" s="5"/>
      <c r="AN1668" s="5"/>
      <c r="AQ1668" s="6"/>
    </row>
    <row r="1669" spans="2:43" x14ac:dyDescent="0.25">
      <c r="B1669" t="s">
        <v>2054</v>
      </c>
      <c r="C1669">
        <v>41689</v>
      </c>
      <c r="D1669" t="s">
        <v>2100</v>
      </c>
      <c r="E1669" t="s">
        <v>119</v>
      </c>
      <c r="F1669" t="s">
        <v>305</v>
      </c>
      <c r="G1669" t="s">
        <v>304</v>
      </c>
      <c r="H1669" t="s">
        <v>30</v>
      </c>
      <c r="I1669" t="s">
        <v>68</v>
      </c>
      <c r="J1669" t="s">
        <v>43</v>
      </c>
      <c r="K1669" t="s">
        <v>33</v>
      </c>
      <c r="L1669" t="s">
        <v>34</v>
      </c>
      <c r="M1669" t="s">
        <v>2056</v>
      </c>
      <c r="N1669" t="s">
        <v>46</v>
      </c>
      <c r="P1669" t="s">
        <v>1749</v>
      </c>
      <c r="Q1669" t="s">
        <v>1826</v>
      </c>
      <c r="R1669" s="5">
        <v>41737.414259259262</v>
      </c>
      <c r="S1669" s="5">
        <v>42642.757824074077</v>
      </c>
      <c r="T1669" t="s">
        <v>119</v>
      </c>
      <c r="U1669" t="s">
        <v>35</v>
      </c>
      <c r="V1669" s="3" t="s">
        <v>35</v>
      </c>
      <c r="W1669" s="3" t="s">
        <v>4098</v>
      </c>
      <c r="AM1669" s="5"/>
      <c r="AN1669" s="5"/>
      <c r="AQ1669" s="6"/>
    </row>
    <row r="1670" spans="2:43" x14ac:dyDescent="0.25">
      <c r="B1670" t="s">
        <v>2098</v>
      </c>
      <c r="C1670">
        <v>41578</v>
      </c>
      <c r="D1670" t="s">
        <v>2099</v>
      </c>
      <c r="E1670" t="s">
        <v>1841</v>
      </c>
      <c r="F1670" t="s">
        <v>305</v>
      </c>
      <c r="G1670" t="s">
        <v>310</v>
      </c>
      <c r="H1670" t="s">
        <v>30</v>
      </c>
      <c r="I1670" t="s">
        <v>35</v>
      </c>
      <c r="J1670" t="s">
        <v>58</v>
      </c>
      <c r="K1670" t="s">
        <v>35</v>
      </c>
      <c r="L1670" t="s">
        <v>34</v>
      </c>
      <c r="M1670" t="s">
        <v>1853</v>
      </c>
      <c r="N1670" t="s">
        <v>46</v>
      </c>
      <c r="P1670" t="s">
        <v>1749</v>
      </c>
      <c r="R1670" s="5">
        <v>41732.94222222222</v>
      </c>
      <c r="S1670" s="5">
        <v>42045.703402777777</v>
      </c>
      <c r="T1670" t="s">
        <v>1841</v>
      </c>
      <c r="U1670" t="s">
        <v>35</v>
      </c>
      <c r="V1670" s="3" t="s">
        <v>35</v>
      </c>
      <c r="W1670" s="3" t="s">
        <v>4132</v>
      </c>
      <c r="AM1670" s="5"/>
      <c r="AN1670" s="5"/>
      <c r="AQ1670" s="6"/>
    </row>
    <row r="1671" spans="2:43" x14ac:dyDescent="0.25">
      <c r="B1671" t="s">
        <v>3803</v>
      </c>
      <c r="C1671">
        <v>41520</v>
      </c>
      <c r="D1671" t="s">
        <v>3823</v>
      </c>
      <c r="E1671" t="s">
        <v>1913</v>
      </c>
      <c r="F1671" t="s">
        <v>305</v>
      </c>
      <c r="G1671" t="s">
        <v>304</v>
      </c>
      <c r="H1671" t="s">
        <v>30</v>
      </c>
      <c r="I1671" t="s">
        <v>35</v>
      </c>
      <c r="J1671" t="s">
        <v>58</v>
      </c>
      <c r="K1671" t="s">
        <v>35</v>
      </c>
      <c r="L1671" t="s">
        <v>34</v>
      </c>
      <c r="M1671" t="s">
        <v>3780</v>
      </c>
      <c r="N1671" t="s">
        <v>46</v>
      </c>
      <c r="O1671" t="s">
        <v>2045</v>
      </c>
      <c r="P1671" t="s">
        <v>1749</v>
      </c>
      <c r="R1671" s="5">
        <v>41731.849409722221</v>
      </c>
      <c r="S1671" s="5">
        <v>42039.768043981479</v>
      </c>
      <c r="T1671" t="s">
        <v>1913</v>
      </c>
      <c r="U1671" t="s">
        <v>35</v>
      </c>
      <c r="V1671" s="3" t="s">
        <v>35</v>
      </c>
      <c r="W1671" s="3" t="s">
        <v>4131</v>
      </c>
      <c r="AM1671" s="5"/>
      <c r="AN1671" s="5"/>
      <c r="AQ1671" s="6"/>
    </row>
    <row r="1672" spans="2:43" x14ac:dyDescent="0.25">
      <c r="B1672" t="s">
        <v>3803</v>
      </c>
      <c r="C1672">
        <v>41519</v>
      </c>
      <c r="D1672" t="s">
        <v>3822</v>
      </c>
      <c r="E1672" t="s">
        <v>2</v>
      </c>
      <c r="F1672" t="s">
        <v>305</v>
      </c>
      <c r="G1672" t="s">
        <v>353</v>
      </c>
      <c r="H1672" t="s">
        <v>30</v>
      </c>
      <c r="I1672" t="s">
        <v>35</v>
      </c>
      <c r="J1672" t="s">
        <v>58</v>
      </c>
      <c r="K1672" t="s">
        <v>35</v>
      </c>
      <c r="L1672" t="s">
        <v>34</v>
      </c>
      <c r="M1672" t="s">
        <v>3780</v>
      </c>
      <c r="N1672" t="s">
        <v>46</v>
      </c>
      <c r="P1672" t="s">
        <v>1749</v>
      </c>
      <c r="R1672" s="5">
        <v>41731.849305555559</v>
      </c>
      <c r="S1672" s="5">
        <v>42045.697893518518</v>
      </c>
      <c r="T1672" t="s">
        <v>1913</v>
      </c>
      <c r="U1672" t="s">
        <v>35</v>
      </c>
      <c r="V1672" s="3" t="s">
        <v>35</v>
      </c>
      <c r="W1672" s="3" t="s">
        <v>4111</v>
      </c>
      <c r="AM1672" s="5"/>
      <c r="AN1672" s="5"/>
      <c r="AQ1672" s="6"/>
    </row>
    <row r="1673" spans="2:43" x14ac:dyDescent="0.25">
      <c r="B1673" t="s">
        <v>2093</v>
      </c>
      <c r="C1673">
        <v>41183</v>
      </c>
      <c r="D1673" t="s">
        <v>2097</v>
      </c>
      <c r="E1673" t="s">
        <v>387</v>
      </c>
      <c r="F1673" t="s">
        <v>305</v>
      </c>
      <c r="G1673" t="s">
        <v>304</v>
      </c>
      <c r="H1673" t="s">
        <v>30</v>
      </c>
      <c r="I1673" t="s">
        <v>35</v>
      </c>
      <c r="J1673" t="s">
        <v>43</v>
      </c>
      <c r="K1673" t="s">
        <v>33</v>
      </c>
      <c r="L1673" t="s">
        <v>96</v>
      </c>
      <c r="M1673" t="s">
        <v>269</v>
      </c>
      <c r="N1673" t="s">
        <v>46</v>
      </c>
      <c r="P1673" t="s">
        <v>1634</v>
      </c>
      <c r="R1673" s="5">
        <v>41722.595254629632</v>
      </c>
      <c r="S1673" s="5">
        <v>42648.830138888887</v>
      </c>
      <c r="T1673" t="s">
        <v>1529</v>
      </c>
      <c r="U1673" t="s">
        <v>35</v>
      </c>
      <c r="V1673" s="3" t="s">
        <v>35</v>
      </c>
      <c r="W1673" s="3" t="s">
        <v>4136</v>
      </c>
      <c r="AM1673" s="5"/>
      <c r="AN1673" s="5"/>
      <c r="AQ1673" s="6"/>
    </row>
    <row r="1674" spans="2:43" x14ac:dyDescent="0.25">
      <c r="B1674" t="s">
        <v>2093</v>
      </c>
      <c r="C1674">
        <v>41182</v>
      </c>
      <c r="D1674" t="s">
        <v>2096</v>
      </c>
      <c r="E1674" t="s">
        <v>387</v>
      </c>
      <c r="F1674" t="s">
        <v>305</v>
      </c>
      <c r="G1674" t="s">
        <v>304</v>
      </c>
      <c r="H1674" t="s">
        <v>30</v>
      </c>
      <c r="I1674" t="s">
        <v>68</v>
      </c>
      <c r="J1674" t="s">
        <v>43</v>
      </c>
      <c r="K1674" t="s">
        <v>33</v>
      </c>
      <c r="L1674" t="s">
        <v>96</v>
      </c>
      <c r="M1674" t="s">
        <v>269</v>
      </c>
      <c r="N1674" t="s">
        <v>1998</v>
      </c>
      <c r="P1674" t="s">
        <v>1634</v>
      </c>
      <c r="R1674" s="5">
        <v>41722.595173611109</v>
      </c>
      <c r="S1674" s="5">
        <v>42648.829826388886</v>
      </c>
      <c r="T1674" t="s">
        <v>1529</v>
      </c>
      <c r="U1674" t="s">
        <v>35</v>
      </c>
      <c r="V1674" s="3" t="s">
        <v>35</v>
      </c>
      <c r="W1674" s="3" t="s">
        <v>2552</v>
      </c>
      <c r="AM1674" s="5"/>
      <c r="AN1674" s="5"/>
      <c r="AQ1674" s="6"/>
    </row>
    <row r="1675" spans="2:43" x14ac:dyDescent="0.25">
      <c r="B1675" t="s">
        <v>2093</v>
      </c>
      <c r="C1675">
        <v>41181</v>
      </c>
      <c r="D1675" t="s">
        <v>2095</v>
      </c>
      <c r="E1675" t="s">
        <v>387</v>
      </c>
      <c r="F1675" t="s">
        <v>305</v>
      </c>
      <c r="G1675" t="s">
        <v>304</v>
      </c>
      <c r="H1675" t="s">
        <v>30</v>
      </c>
      <c r="I1675" t="s">
        <v>35</v>
      </c>
      <c r="J1675" t="s">
        <v>43</v>
      </c>
      <c r="K1675" t="s">
        <v>33</v>
      </c>
      <c r="L1675" t="s">
        <v>96</v>
      </c>
      <c r="M1675" t="s">
        <v>269</v>
      </c>
      <c r="N1675" t="s">
        <v>46</v>
      </c>
      <c r="O1675" t="s">
        <v>2045</v>
      </c>
      <c r="P1675" t="s">
        <v>1634</v>
      </c>
      <c r="R1675" s="5">
        <v>41722.595092592594</v>
      </c>
      <c r="S1675" s="5">
        <v>42648.829988425925</v>
      </c>
      <c r="T1675" t="s">
        <v>1529</v>
      </c>
      <c r="U1675" t="s">
        <v>35</v>
      </c>
      <c r="V1675" s="3" t="s">
        <v>35</v>
      </c>
      <c r="W1675" s="3" t="s">
        <v>4131</v>
      </c>
      <c r="AM1675" s="5"/>
      <c r="AN1675" s="5"/>
      <c r="AQ1675" s="6"/>
    </row>
    <row r="1676" spans="2:43" x14ac:dyDescent="0.25">
      <c r="B1676" t="s">
        <v>2093</v>
      </c>
      <c r="C1676">
        <v>41180</v>
      </c>
      <c r="D1676" t="s">
        <v>2094</v>
      </c>
      <c r="E1676" t="s">
        <v>387</v>
      </c>
      <c r="F1676" t="s">
        <v>305</v>
      </c>
      <c r="G1676" t="s">
        <v>304</v>
      </c>
      <c r="H1676" t="s">
        <v>30</v>
      </c>
      <c r="I1676" t="s">
        <v>35</v>
      </c>
      <c r="J1676" t="s">
        <v>43</v>
      </c>
      <c r="K1676" t="s">
        <v>33</v>
      </c>
      <c r="L1676" t="s">
        <v>96</v>
      </c>
      <c r="M1676" t="s">
        <v>269</v>
      </c>
      <c r="N1676" t="s">
        <v>46</v>
      </c>
      <c r="P1676" t="s">
        <v>1634</v>
      </c>
      <c r="R1676" s="5">
        <v>41722.58625</v>
      </c>
      <c r="S1676" s="5">
        <v>41830.436550925922</v>
      </c>
      <c r="T1676" t="s">
        <v>300</v>
      </c>
      <c r="U1676" t="s">
        <v>35</v>
      </c>
      <c r="V1676" s="3" t="s">
        <v>35</v>
      </c>
      <c r="W1676" s="3" t="s">
        <v>4098</v>
      </c>
      <c r="AM1676" s="5"/>
      <c r="AN1676" s="5"/>
      <c r="AQ1676" s="6"/>
    </row>
    <row r="1677" spans="2:43" x14ac:dyDescent="0.25">
      <c r="B1677" t="s">
        <v>2083</v>
      </c>
      <c r="C1677">
        <v>41159</v>
      </c>
      <c r="D1677" t="s">
        <v>2092</v>
      </c>
      <c r="E1677" t="s">
        <v>387</v>
      </c>
      <c r="F1677" t="s">
        <v>305</v>
      </c>
      <c r="G1677" t="s">
        <v>310</v>
      </c>
      <c r="H1677" t="s">
        <v>30</v>
      </c>
      <c r="I1677" t="s">
        <v>35</v>
      </c>
      <c r="J1677" t="s">
        <v>43</v>
      </c>
      <c r="K1677" t="s">
        <v>35</v>
      </c>
      <c r="L1677" t="s">
        <v>73</v>
      </c>
      <c r="M1677" t="s">
        <v>263</v>
      </c>
      <c r="N1677" t="s">
        <v>46</v>
      </c>
      <c r="P1677" t="s">
        <v>1749</v>
      </c>
      <c r="R1677" s="5">
        <v>41721.887199074074</v>
      </c>
      <c r="S1677" s="5">
        <v>42649.841331018521</v>
      </c>
      <c r="T1677" t="s">
        <v>1529</v>
      </c>
      <c r="U1677" t="s">
        <v>35</v>
      </c>
      <c r="V1677" s="3" t="s">
        <v>35</v>
      </c>
      <c r="W1677" s="3" t="s">
        <v>394</v>
      </c>
      <c r="AM1677" s="5"/>
      <c r="AN1677" s="5"/>
      <c r="AQ1677" s="6"/>
    </row>
    <row r="1678" spans="2:43" x14ac:dyDescent="0.25">
      <c r="B1678" t="s">
        <v>2083</v>
      </c>
      <c r="C1678">
        <v>41158</v>
      </c>
      <c r="D1678" t="s">
        <v>2091</v>
      </c>
      <c r="E1678" t="s">
        <v>387</v>
      </c>
      <c r="F1678" t="s">
        <v>305</v>
      </c>
      <c r="G1678" t="s">
        <v>310</v>
      </c>
      <c r="H1678" t="s">
        <v>30</v>
      </c>
      <c r="I1678" t="s">
        <v>31</v>
      </c>
      <c r="J1678" t="s">
        <v>43</v>
      </c>
      <c r="K1678" t="s">
        <v>35</v>
      </c>
      <c r="L1678" t="s">
        <v>73</v>
      </c>
      <c r="M1678" t="s">
        <v>263</v>
      </c>
      <c r="N1678" t="s">
        <v>46</v>
      </c>
      <c r="P1678" t="s">
        <v>1749</v>
      </c>
      <c r="R1678" s="5">
        <v>41721.887118055558</v>
      </c>
      <c r="S1678" s="5">
        <v>42649.840891203705</v>
      </c>
      <c r="T1678" t="s">
        <v>1529</v>
      </c>
      <c r="U1678" t="s">
        <v>35</v>
      </c>
      <c r="V1678" s="3" t="s">
        <v>35</v>
      </c>
      <c r="W1678" s="3" t="s">
        <v>2552</v>
      </c>
      <c r="AM1678" s="5"/>
      <c r="AN1678" s="5"/>
      <c r="AQ1678" s="6"/>
    </row>
    <row r="1679" spans="2:43" x14ac:dyDescent="0.25">
      <c r="B1679" t="s">
        <v>2083</v>
      </c>
      <c r="C1679">
        <v>41157</v>
      </c>
      <c r="D1679" t="s">
        <v>2090</v>
      </c>
      <c r="E1679" t="s">
        <v>387</v>
      </c>
      <c r="F1679" t="s">
        <v>305</v>
      </c>
      <c r="G1679" t="s">
        <v>310</v>
      </c>
      <c r="H1679" t="s">
        <v>30</v>
      </c>
      <c r="I1679" t="s">
        <v>35</v>
      </c>
      <c r="J1679" t="s">
        <v>43</v>
      </c>
      <c r="K1679" t="s">
        <v>35</v>
      </c>
      <c r="L1679" t="s">
        <v>73</v>
      </c>
      <c r="M1679" t="s">
        <v>263</v>
      </c>
      <c r="N1679" t="s">
        <v>46</v>
      </c>
      <c r="P1679" t="s">
        <v>1749</v>
      </c>
      <c r="R1679" s="5">
        <v>41721.887048611112</v>
      </c>
      <c r="S1679" s="5">
        <v>42649.841145833336</v>
      </c>
      <c r="T1679" t="s">
        <v>1529</v>
      </c>
      <c r="U1679" t="s">
        <v>35</v>
      </c>
      <c r="V1679" s="3" t="s">
        <v>35</v>
      </c>
      <c r="W1679" s="3" t="s">
        <v>4132</v>
      </c>
      <c r="AM1679" s="5"/>
      <c r="AN1679" s="5"/>
      <c r="AQ1679" s="6"/>
    </row>
    <row r="1680" spans="2:43" x14ac:dyDescent="0.25">
      <c r="B1680" t="s">
        <v>2083</v>
      </c>
      <c r="C1680">
        <v>41156</v>
      </c>
      <c r="D1680" t="s">
        <v>2089</v>
      </c>
      <c r="E1680" t="s">
        <v>387</v>
      </c>
      <c r="F1680" t="s">
        <v>305</v>
      </c>
      <c r="G1680" t="s">
        <v>310</v>
      </c>
      <c r="H1680" t="s">
        <v>30</v>
      </c>
      <c r="I1680" t="s">
        <v>35</v>
      </c>
      <c r="J1680" t="s">
        <v>43</v>
      </c>
      <c r="K1680" t="s">
        <v>35</v>
      </c>
      <c r="L1680" t="s">
        <v>73</v>
      </c>
      <c r="M1680" t="s">
        <v>263</v>
      </c>
      <c r="N1680" t="s">
        <v>46</v>
      </c>
      <c r="P1680" t="s">
        <v>1749</v>
      </c>
      <c r="R1680" s="5">
        <v>41721.886956018519</v>
      </c>
      <c r="S1680" s="5">
        <v>42649.840636574074</v>
      </c>
      <c r="T1680" t="s">
        <v>1529</v>
      </c>
      <c r="U1680" t="s">
        <v>35</v>
      </c>
      <c r="V1680" s="3" t="s">
        <v>35</v>
      </c>
      <c r="W1680" s="3" t="s">
        <v>3039</v>
      </c>
      <c r="AM1680" s="5"/>
      <c r="AN1680" s="5"/>
      <c r="AQ1680" s="6"/>
    </row>
    <row r="1681" spans="2:43" x14ac:dyDescent="0.25">
      <c r="B1681" t="s">
        <v>2081</v>
      </c>
      <c r="C1681">
        <v>41155</v>
      </c>
      <c r="D1681" t="s">
        <v>2088</v>
      </c>
      <c r="E1681" t="s">
        <v>387</v>
      </c>
      <c r="F1681" t="s">
        <v>305</v>
      </c>
      <c r="G1681" t="s">
        <v>310</v>
      </c>
      <c r="H1681" t="s">
        <v>30</v>
      </c>
      <c r="I1681" t="s">
        <v>35</v>
      </c>
      <c r="J1681" t="s">
        <v>43</v>
      </c>
      <c r="K1681" t="s">
        <v>35</v>
      </c>
      <c r="L1681" t="s">
        <v>73</v>
      </c>
      <c r="M1681" t="s">
        <v>263</v>
      </c>
      <c r="N1681" t="s">
        <v>46</v>
      </c>
      <c r="P1681" t="s">
        <v>1749</v>
      </c>
      <c r="R1681" s="5">
        <v>41721.884293981479</v>
      </c>
      <c r="S1681" s="5">
        <v>42649.841261574074</v>
      </c>
      <c r="T1681" t="s">
        <v>1529</v>
      </c>
      <c r="U1681" t="s">
        <v>35</v>
      </c>
      <c r="V1681" s="3" t="s">
        <v>35</v>
      </c>
      <c r="W1681" s="3" t="s">
        <v>394</v>
      </c>
      <c r="AM1681" s="5"/>
      <c r="AN1681" s="5"/>
      <c r="AQ1681" s="6"/>
    </row>
    <row r="1682" spans="2:43" x14ac:dyDescent="0.25">
      <c r="B1682" t="s">
        <v>2081</v>
      </c>
      <c r="C1682">
        <v>41154</v>
      </c>
      <c r="D1682" t="s">
        <v>2087</v>
      </c>
      <c r="E1682" t="s">
        <v>387</v>
      </c>
      <c r="F1682" t="s">
        <v>305</v>
      </c>
      <c r="G1682" t="s">
        <v>310</v>
      </c>
      <c r="H1682" t="s">
        <v>30</v>
      </c>
      <c r="I1682" t="s">
        <v>68</v>
      </c>
      <c r="J1682" t="s">
        <v>43</v>
      </c>
      <c r="K1682" t="s">
        <v>33</v>
      </c>
      <c r="L1682" t="s">
        <v>73</v>
      </c>
      <c r="M1682" t="s">
        <v>263</v>
      </c>
      <c r="N1682" t="s">
        <v>46</v>
      </c>
      <c r="P1682" t="s">
        <v>1749</v>
      </c>
      <c r="R1682" s="5">
        <v>41721.884236111109</v>
      </c>
      <c r="S1682" s="5">
        <v>42649.841226851851</v>
      </c>
      <c r="T1682" t="s">
        <v>1529</v>
      </c>
      <c r="U1682" t="s">
        <v>35</v>
      </c>
      <c r="V1682" s="3" t="s">
        <v>35</v>
      </c>
      <c r="W1682" s="3" t="s">
        <v>2552</v>
      </c>
      <c r="AM1682" s="5"/>
      <c r="AN1682" s="5"/>
      <c r="AQ1682" s="6"/>
    </row>
    <row r="1683" spans="2:43" x14ac:dyDescent="0.25">
      <c r="B1683" t="s">
        <v>2081</v>
      </c>
      <c r="C1683">
        <v>41153</v>
      </c>
      <c r="D1683" t="s">
        <v>2086</v>
      </c>
      <c r="E1683" t="s">
        <v>387</v>
      </c>
      <c r="F1683" t="s">
        <v>305</v>
      </c>
      <c r="G1683" t="s">
        <v>310</v>
      </c>
      <c r="H1683" t="s">
        <v>30</v>
      </c>
      <c r="I1683" t="s">
        <v>35</v>
      </c>
      <c r="J1683" t="s">
        <v>43</v>
      </c>
      <c r="K1683" t="s">
        <v>33</v>
      </c>
      <c r="L1683" t="s">
        <v>73</v>
      </c>
      <c r="M1683" t="s">
        <v>263</v>
      </c>
      <c r="N1683" t="s">
        <v>46</v>
      </c>
      <c r="P1683" t="s">
        <v>1749</v>
      </c>
      <c r="R1683" s="5">
        <v>41721.884155092594</v>
      </c>
      <c r="S1683" s="5">
        <v>42649.840532407405</v>
      </c>
      <c r="T1683" t="s">
        <v>1529</v>
      </c>
      <c r="U1683" t="s">
        <v>35</v>
      </c>
      <c r="V1683" s="3" t="s">
        <v>35</v>
      </c>
      <c r="W1683" s="3" t="s">
        <v>4132</v>
      </c>
      <c r="AM1683" s="5"/>
      <c r="AN1683" s="5"/>
      <c r="AQ1683" s="6"/>
    </row>
    <row r="1684" spans="2:43" x14ac:dyDescent="0.25">
      <c r="B1684" t="s">
        <v>2081</v>
      </c>
      <c r="C1684">
        <v>41152</v>
      </c>
      <c r="D1684" t="s">
        <v>2085</v>
      </c>
      <c r="E1684" t="s">
        <v>387</v>
      </c>
      <c r="F1684" t="s">
        <v>305</v>
      </c>
      <c r="G1684" t="s">
        <v>337</v>
      </c>
      <c r="H1684" t="s">
        <v>30</v>
      </c>
      <c r="I1684" t="s">
        <v>35</v>
      </c>
      <c r="J1684" t="s">
        <v>43</v>
      </c>
      <c r="K1684" t="s">
        <v>33</v>
      </c>
      <c r="L1684" t="s">
        <v>73</v>
      </c>
      <c r="M1684" t="s">
        <v>263</v>
      </c>
      <c r="N1684" t="s">
        <v>46</v>
      </c>
      <c r="P1684" t="s">
        <v>1749</v>
      </c>
      <c r="R1684" s="5">
        <v>41721.884074074071</v>
      </c>
      <c r="S1684" s="5">
        <v>42649.841122685182</v>
      </c>
      <c r="T1684" t="s">
        <v>1529</v>
      </c>
      <c r="U1684" t="s">
        <v>35</v>
      </c>
      <c r="V1684" s="3" t="s">
        <v>35</v>
      </c>
      <c r="W1684" s="3" t="s">
        <v>3039</v>
      </c>
      <c r="AM1684" s="5"/>
      <c r="AN1684" s="5"/>
      <c r="AQ1684" s="6"/>
    </row>
    <row r="1685" spans="2:43" x14ac:dyDescent="0.25">
      <c r="B1685" t="s">
        <v>2083</v>
      </c>
      <c r="C1685">
        <v>41151</v>
      </c>
      <c r="D1685" t="s">
        <v>2084</v>
      </c>
      <c r="E1685" t="s">
        <v>387</v>
      </c>
      <c r="F1685" t="s">
        <v>305</v>
      </c>
      <c r="G1685" t="s">
        <v>328</v>
      </c>
      <c r="H1685" t="s">
        <v>30</v>
      </c>
      <c r="I1685" t="s">
        <v>35</v>
      </c>
      <c r="J1685" t="s">
        <v>43</v>
      </c>
      <c r="K1685" t="s">
        <v>35</v>
      </c>
      <c r="L1685" t="s">
        <v>73</v>
      </c>
      <c r="M1685" t="s">
        <v>263</v>
      </c>
      <c r="N1685" t="s">
        <v>46</v>
      </c>
      <c r="P1685" t="s">
        <v>1749</v>
      </c>
      <c r="R1685" s="5">
        <v>41720.742337962962</v>
      </c>
      <c r="S1685" s="5">
        <v>42649.840775462966</v>
      </c>
      <c r="T1685" t="s">
        <v>2</v>
      </c>
      <c r="U1685" t="s">
        <v>35</v>
      </c>
      <c r="V1685" s="3" t="s">
        <v>35</v>
      </c>
      <c r="W1685" s="3" t="s">
        <v>4098</v>
      </c>
      <c r="AM1685" s="5"/>
      <c r="AN1685" s="5"/>
      <c r="AQ1685" s="6"/>
    </row>
    <row r="1686" spans="2:43" x14ac:dyDescent="0.25">
      <c r="B1686" t="s">
        <v>2081</v>
      </c>
      <c r="C1686">
        <v>41150</v>
      </c>
      <c r="D1686" t="s">
        <v>2082</v>
      </c>
      <c r="E1686" t="s">
        <v>387</v>
      </c>
      <c r="F1686" t="s">
        <v>305</v>
      </c>
      <c r="G1686" t="s">
        <v>353</v>
      </c>
      <c r="H1686" t="s">
        <v>30</v>
      </c>
      <c r="I1686" t="s">
        <v>35</v>
      </c>
      <c r="J1686" t="s">
        <v>43</v>
      </c>
      <c r="K1686" t="s">
        <v>33</v>
      </c>
      <c r="L1686" t="s">
        <v>73</v>
      </c>
      <c r="M1686" t="s">
        <v>263</v>
      </c>
      <c r="N1686" t="s">
        <v>46</v>
      </c>
      <c r="P1686" t="s">
        <v>1749</v>
      </c>
      <c r="R1686" s="5">
        <v>41720.696840277778</v>
      </c>
      <c r="S1686" s="5">
        <v>42649.840810185182</v>
      </c>
      <c r="T1686" t="s">
        <v>2</v>
      </c>
      <c r="U1686" t="s">
        <v>35</v>
      </c>
      <c r="V1686" s="3" t="s">
        <v>35</v>
      </c>
      <c r="W1686" s="3" t="s">
        <v>4098</v>
      </c>
      <c r="AM1686" s="5"/>
      <c r="AN1686" s="5"/>
      <c r="AQ1686" s="6"/>
    </row>
    <row r="1687" spans="2:43" x14ac:dyDescent="0.25">
      <c r="B1687" t="s">
        <v>2077</v>
      </c>
      <c r="C1687">
        <v>41138</v>
      </c>
      <c r="D1687" t="s">
        <v>2080</v>
      </c>
      <c r="E1687" t="s">
        <v>387</v>
      </c>
      <c r="F1687" t="s">
        <v>305</v>
      </c>
      <c r="G1687" t="s">
        <v>304</v>
      </c>
      <c r="H1687" t="s">
        <v>30</v>
      </c>
      <c r="I1687" t="s">
        <v>31</v>
      </c>
      <c r="J1687" t="s">
        <v>43</v>
      </c>
      <c r="K1687" t="s">
        <v>51</v>
      </c>
      <c r="L1687" t="s">
        <v>73</v>
      </c>
      <c r="M1687" t="s">
        <v>263</v>
      </c>
      <c r="N1687" t="s">
        <v>2009</v>
      </c>
      <c r="P1687" t="s">
        <v>1634</v>
      </c>
      <c r="R1687" s="5">
        <v>41719.548321759263</v>
      </c>
      <c r="S1687" s="5">
        <v>42648.82984953704</v>
      </c>
      <c r="T1687" t="s">
        <v>1529</v>
      </c>
      <c r="U1687" t="s">
        <v>35</v>
      </c>
      <c r="V1687" s="3" t="s">
        <v>35</v>
      </c>
      <c r="W1687" s="3" t="s">
        <v>2552</v>
      </c>
      <c r="AM1687" s="5"/>
      <c r="AN1687" s="5"/>
      <c r="AQ1687" s="6"/>
    </row>
    <row r="1688" spans="2:43" x14ac:dyDescent="0.25">
      <c r="B1688" t="s">
        <v>2077</v>
      </c>
      <c r="C1688">
        <v>41137</v>
      </c>
      <c r="D1688" t="s">
        <v>2079</v>
      </c>
      <c r="E1688" t="s">
        <v>2002</v>
      </c>
      <c r="F1688" t="s">
        <v>305</v>
      </c>
      <c r="G1688" t="s">
        <v>304</v>
      </c>
      <c r="H1688" t="s">
        <v>30</v>
      </c>
      <c r="I1688" t="s">
        <v>35</v>
      </c>
      <c r="J1688" t="s">
        <v>43</v>
      </c>
      <c r="K1688" t="s">
        <v>35</v>
      </c>
      <c r="L1688" t="s">
        <v>73</v>
      </c>
      <c r="M1688" t="s">
        <v>263</v>
      </c>
      <c r="N1688" t="s">
        <v>46</v>
      </c>
      <c r="O1688" t="s">
        <v>2045</v>
      </c>
      <c r="P1688" t="s">
        <v>1634</v>
      </c>
      <c r="R1688" s="5">
        <v>41719.54824074074</v>
      </c>
      <c r="S1688" s="5">
        <v>42648.830185185187</v>
      </c>
      <c r="T1688" t="s">
        <v>1529</v>
      </c>
      <c r="U1688" t="s">
        <v>35</v>
      </c>
      <c r="V1688" s="3" t="s">
        <v>35</v>
      </c>
      <c r="W1688" s="3" t="s">
        <v>4131</v>
      </c>
      <c r="AM1688" s="5"/>
      <c r="AN1688" s="5"/>
      <c r="AQ1688" s="6"/>
    </row>
    <row r="1689" spans="2:43" x14ac:dyDescent="0.25">
      <c r="B1689" t="s">
        <v>2077</v>
      </c>
      <c r="C1689">
        <v>41136</v>
      </c>
      <c r="D1689" t="s">
        <v>2078</v>
      </c>
      <c r="E1689" t="s">
        <v>2002</v>
      </c>
      <c r="F1689" t="s">
        <v>305</v>
      </c>
      <c r="G1689" t="s">
        <v>304</v>
      </c>
      <c r="H1689" t="s">
        <v>30</v>
      </c>
      <c r="I1689" t="s">
        <v>35</v>
      </c>
      <c r="J1689" t="s">
        <v>43</v>
      </c>
      <c r="K1689" t="s">
        <v>51</v>
      </c>
      <c r="L1689" t="s">
        <v>73</v>
      </c>
      <c r="M1689" t="s">
        <v>263</v>
      </c>
      <c r="N1689" t="s">
        <v>46</v>
      </c>
      <c r="P1689" t="s">
        <v>1634</v>
      </c>
      <c r="R1689" s="5">
        <v>41719.544293981482</v>
      </c>
      <c r="S1689" s="5">
        <v>42649.840729166666</v>
      </c>
      <c r="T1689" t="s">
        <v>1529</v>
      </c>
      <c r="U1689" t="s">
        <v>35</v>
      </c>
      <c r="V1689" s="3" t="s">
        <v>35</v>
      </c>
      <c r="W1689" s="3" t="s">
        <v>4098</v>
      </c>
      <c r="AM1689" s="5"/>
      <c r="AN1689" s="5"/>
      <c r="AQ1689" s="6"/>
    </row>
    <row r="1690" spans="2:43" x14ac:dyDescent="0.25">
      <c r="B1690" t="s">
        <v>2058</v>
      </c>
      <c r="C1690">
        <v>40050</v>
      </c>
      <c r="D1690" t="s">
        <v>2076</v>
      </c>
      <c r="E1690" t="s">
        <v>2060</v>
      </c>
      <c r="F1690" t="s">
        <v>305</v>
      </c>
      <c r="G1690" t="s">
        <v>304</v>
      </c>
      <c r="H1690" t="s">
        <v>30</v>
      </c>
      <c r="I1690" t="s">
        <v>31</v>
      </c>
      <c r="J1690" t="s">
        <v>43</v>
      </c>
      <c r="K1690" t="s">
        <v>44</v>
      </c>
      <c r="L1690" t="s">
        <v>34</v>
      </c>
      <c r="M1690" t="s">
        <v>1748</v>
      </c>
      <c r="N1690" t="s">
        <v>46</v>
      </c>
      <c r="P1690" t="s">
        <v>1854</v>
      </c>
      <c r="R1690" s="5">
        <v>41710.27679398148</v>
      </c>
      <c r="S1690" s="5">
        <v>42306.915798611109</v>
      </c>
      <c r="T1690" t="s">
        <v>2075</v>
      </c>
      <c r="U1690" t="s">
        <v>35</v>
      </c>
      <c r="V1690" s="3" t="s">
        <v>35</v>
      </c>
      <c r="W1690" s="3" t="s">
        <v>3867</v>
      </c>
      <c r="AM1690" s="5"/>
      <c r="AN1690" s="5"/>
      <c r="AQ1690" s="6"/>
    </row>
    <row r="1691" spans="2:43" x14ac:dyDescent="0.25">
      <c r="B1691" t="s">
        <v>2058</v>
      </c>
      <c r="C1691">
        <v>40049</v>
      </c>
      <c r="D1691" t="s">
        <v>2074</v>
      </c>
      <c r="E1691" t="s">
        <v>1958</v>
      </c>
      <c r="F1691" t="s">
        <v>305</v>
      </c>
      <c r="G1691" t="s">
        <v>304</v>
      </c>
      <c r="H1691" t="s">
        <v>30</v>
      </c>
      <c r="I1691" t="s">
        <v>31</v>
      </c>
      <c r="J1691" t="s">
        <v>43</v>
      </c>
      <c r="K1691" t="s">
        <v>44</v>
      </c>
      <c r="L1691" t="s">
        <v>34</v>
      </c>
      <c r="M1691" t="s">
        <v>1748</v>
      </c>
      <c r="N1691" t="s">
        <v>46</v>
      </c>
      <c r="P1691" t="s">
        <v>1854</v>
      </c>
      <c r="R1691" s="5">
        <v>41710.275092592594</v>
      </c>
      <c r="S1691" s="5">
        <v>42306.915798611109</v>
      </c>
      <c r="T1691" t="s">
        <v>2075</v>
      </c>
      <c r="U1691" t="s">
        <v>35</v>
      </c>
      <c r="V1691" s="3" t="s">
        <v>35</v>
      </c>
      <c r="W1691" s="3" t="s">
        <v>4112</v>
      </c>
      <c r="AM1691" s="5"/>
      <c r="AN1691" s="5"/>
      <c r="AQ1691" s="6"/>
    </row>
    <row r="1692" spans="2:43" x14ac:dyDescent="0.25">
      <c r="B1692" t="s">
        <v>3814</v>
      </c>
      <c r="C1692">
        <v>39802</v>
      </c>
      <c r="D1692" t="s">
        <v>3821</v>
      </c>
      <c r="E1692" t="s">
        <v>1933</v>
      </c>
      <c r="F1692" t="s">
        <v>305</v>
      </c>
      <c r="G1692" t="s">
        <v>304</v>
      </c>
      <c r="H1692" t="s">
        <v>30</v>
      </c>
      <c r="I1692" t="s">
        <v>31</v>
      </c>
      <c r="J1692" t="s">
        <v>32</v>
      </c>
      <c r="K1692" t="s">
        <v>44</v>
      </c>
      <c r="L1692" t="s">
        <v>34</v>
      </c>
      <c r="M1692" t="s">
        <v>3780</v>
      </c>
      <c r="N1692" t="s">
        <v>46</v>
      </c>
      <c r="P1692" t="s">
        <v>1854</v>
      </c>
      <c r="R1692" s="5">
        <v>41702.891296296293</v>
      </c>
      <c r="S1692" s="5">
        <v>42039.771284722221</v>
      </c>
      <c r="T1692" t="s">
        <v>1933</v>
      </c>
      <c r="U1692" t="s">
        <v>35</v>
      </c>
      <c r="V1692" s="3" t="s">
        <v>35</v>
      </c>
      <c r="W1692" s="3" t="s">
        <v>4135</v>
      </c>
      <c r="AM1692" s="5"/>
      <c r="AN1692" s="5"/>
      <c r="AQ1692" s="6"/>
    </row>
    <row r="1693" spans="2:43" x14ac:dyDescent="0.25">
      <c r="B1693" t="s">
        <v>3814</v>
      </c>
      <c r="C1693">
        <v>39801</v>
      </c>
      <c r="D1693" t="s">
        <v>3820</v>
      </c>
      <c r="E1693" t="s">
        <v>1913</v>
      </c>
      <c r="F1693" t="s">
        <v>305</v>
      </c>
      <c r="G1693" t="s">
        <v>310</v>
      </c>
      <c r="H1693" t="s">
        <v>30</v>
      </c>
      <c r="I1693" t="s">
        <v>31</v>
      </c>
      <c r="J1693" t="s">
        <v>32</v>
      </c>
      <c r="K1693" t="s">
        <v>44</v>
      </c>
      <c r="L1693" t="s">
        <v>34</v>
      </c>
      <c r="M1693" t="s">
        <v>3780</v>
      </c>
      <c r="N1693" t="s">
        <v>46</v>
      </c>
      <c r="P1693" t="s">
        <v>1854</v>
      </c>
      <c r="R1693" s="5">
        <v>41702.891099537039</v>
      </c>
      <c r="S1693" s="5">
        <v>42045.7028587963</v>
      </c>
      <c r="T1693" t="s">
        <v>1933</v>
      </c>
      <c r="U1693" t="s">
        <v>35</v>
      </c>
      <c r="V1693" s="3" t="s">
        <v>35</v>
      </c>
      <c r="W1693" s="3" t="s">
        <v>3039</v>
      </c>
      <c r="AM1693" s="5"/>
      <c r="AN1693" s="5"/>
      <c r="AQ1693" s="6"/>
    </row>
    <row r="1694" spans="2:43" x14ac:dyDescent="0.25">
      <c r="B1694" t="s">
        <v>3814</v>
      </c>
      <c r="C1694">
        <v>39800</v>
      </c>
      <c r="D1694" t="s">
        <v>3819</v>
      </c>
      <c r="E1694" t="s">
        <v>1913</v>
      </c>
      <c r="F1694" t="s">
        <v>305</v>
      </c>
      <c r="G1694" t="s">
        <v>304</v>
      </c>
      <c r="H1694" t="s">
        <v>30</v>
      </c>
      <c r="I1694" t="s">
        <v>31</v>
      </c>
      <c r="J1694" t="s">
        <v>32</v>
      </c>
      <c r="K1694" t="s">
        <v>44</v>
      </c>
      <c r="L1694" t="s">
        <v>34</v>
      </c>
      <c r="M1694" t="s">
        <v>3780</v>
      </c>
      <c r="N1694" t="s">
        <v>1998</v>
      </c>
      <c r="P1694" t="s">
        <v>1854</v>
      </c>
      <c r="R1694" s="5">
        <v>41702.890960648147</v>
      </c>
      <c r="S1694" s="5">
        <v>42058.72483796296</v>
      </c>
      <c r="T1694" t="s">
        <v>1933</v>
      </c>
      <c r="U1694" t="s">
        <v>35</v>
      </c>
      <c r="V1694" s="3" t="s">
        <v>35</v>
      </c>
      <c r="W1694" s="3" t="s">
        <v>4134</v>
      </c>
      <c r="AM1694" s="5"/>
      <c r="AN1694" s="5"/>
      <c r="AQ1694" s="6"/>
    </row>
    <row r="1695" spans="2:43" x14ac:dyDescent="0.25">
      <c r="B1695" t="s">
        <v>2050</v>
      </c>
      <c r="C1695">
        <v>39624</v>
      </c>
      <c r="D1695" t="s">
        <v>2073</v>
      </c>
      <c r="E1695" t="s">
        <v>1933</v>
      </c>
      <c r="F1695" t="s">
        <v>305</v>
      </c>
      <c r="G1695" t="s">
        <v>310</v>
      </c>
      <c r="H1695" t="s">
        <v>30</v>
      </c>
      <c r="I1695" t="s">
        <v>31</v>
      </c>
      <c r="J1695" t="s">
        <v>32</v>
      </c>
      <c r="K1695" t="s">
        <v>51</v>
      </c>
      <c r="L1695" t="s">
        <v>34</v>
      </c>
      <c r="M1695" t="s">
        <v>2052</v>
      </c>
      <c r="N1695" t="s">
        <v>46</v>
      </c>
      <c r="P1695" t="s">
        <v>1854</v>
      </c>
      <c r="R1695" s="5">
        <v>41696.985844907409</v>
      </c>
      <c r="S1695" s="5">
        <v>42045.702870370369</v>
      </c>
      <c r="T1695" t="s">
        <v>1933</v>
      </c>
      <c r="U1695" t="s">
        <v>35</v>
      </c>
      <c r="V1695" s="3" t="s">
        <v>35</v>
      </c>
      <c r="W1695" s="3" t="s">
        <v>4132</v>
      </c>
      <c r="AM1695" s="5"/>
      <c r="AN1695" s="5"/>
      <c r="AQ1695" s="6"/>
    </row>
    <row r="1696" spans="2:43" x14ac:dyDescent="0.25">
      <c r="B1696" t="s">
        <v>2050</v>
      </c>
      <c r="C1696">
        <v>39623</v>
      </c>
      <c r="D1696" t="s">
        <v>2071</v>
      </c>
      <c r="E1696" t="s">
        <v>1933</v>
      </c>
      <c r="F1696" t="s">
        <v>305</v>
      </c>
      <c r="G1696" t="s">
        <v>304</v>
      </c>
      <c r="H1696" t="s">
        <v>30</v>
      </c>
      <c r="I1696" t="s">
        <v>31</v>
      </c>
      <c r="J1696" t="s">
        <v>32</v>
      </c>
      <c r="K1696" t="s">
        <v>51</v>
      </c>
      <c r="L1696" t="s">
        <v>34</v>
      </c>
      <c r="M1696" t="s">
        <v>2052</v>
      </c>
      <c r="N1696" t="s">
        <v>46</v>
      </c>
      <c r="O1696" t="s">
        <v>2072</v>
      </c>
      <c r="P1696" t="s">
        <v>1854</v>
      </c>
      <c r="R1696" s="5">
        <v>41696.985729166663</v>
      </c>
      <c r="S1696" s="5">
        <v>42039.726087962961</v>
      </c>
      <c r="T1696" t="s">
        <v>1933</v>
      </c>
      <c r="U1696" t="s">
        <v>35</v>
      </c>
      <c r="V1696" s="3" t="s">
        <v>35</v>
      </c>
      <c r="W1696" s="3" t="s">
        <v>4127</v>
      </c>
      <c r="AM1696" s="5"/>
      <c r="AN1696" s="5"/>
      <c r="AQ1696" s="6"/>
    </row>
    <row r="1697" spans="2:43" x14ac:dyDescent="0.25">
      <c r="B1697" t="s">
        <v>2050</v>
      </c>
      <c r="C1697">
        <v>39622</v>
      </c>
      <c r="D1697" t="s">
        <v>2070</v>
      </c>
      <c r="E1697" t="s">
        <v>1933</v>
      </c>
      <c r="F1697" t="s">
        <v>305</v>
      </c>
      <c r="G1697" t="s">
        <v>310</v>
      </c>
      <c r="H1697" t="s">
        <v>30</v>
      </c>
      <c r="I1697" t="s">
        <v>31</v>
      </c>
      <c r="J1697" t="s">
        <v>32</v>
      </c>
      <c r="K1697" t="s">
        <v>51</v>
      </c>
      <c r="L1697" t="s">
        <v>34</v>
      </c>
      <c r="M1697" t="s">
        <v>2052</v>
      </c>
      <c r="N1697" t="s">
        <v>46</v>
      </c>
      <c r="P1697" t="s">
        <v>1854</v>
      </c>
      <c r="R1697" s="5">
        <v>41696.985625000001</v>
      </c>
      <c r="S1697" s="5">
        <v>42034.641921296294</v>
      </c>
      <c r="T1697" t="s">
        <v>1933</v>
      </c>
      <c r="U1697" t="s">
        <v>35</v>
      </c>
      <c r="V1697" s="3" t="s">
        <v>35</v>
      </c>
      <c r="W1697" s="3" t="s">
        <v>4112</v>
      </c>
      <c r="AM1697" s="5"/>
      <c r="AN1697" s="5"/>
      <c r="AQ1697" s="6"/>
    </row>
    <row r="1698" spans="2:43" x14ac:dyDescent="0.25">
      <c r="B1698" t="s">
        <v>1975</v>
      </c>
      <c r="C1698">
        <v>39545</v>
      </c>
      <c r="D1698" t="s">
        <v>2069</v>
      </c>
      <c r="E1698" t="s">
        <v>387</v>
      </c>
      <c r="F1698" t="s">
        <v>305</v>
      </c>
      <c r="G1698" t="s">
        <v>310</v>
      </c>
      <c r="H1698" t="s">
        <v>30</v>
      </c>
      <c r="I1698" t="s">
        <v>35</v>
      </c>
      <c r="J1698" t="s">
        <v>32</v>
      </c>
      <c r="K1698" t="s">
        <v>51</v>
      </c>
      <c r="L1698" t="s">
        <v>73</v>
      </c>
      <c r="M1698" t="s">
        <v>1514</v>
      </c>
      <c r="N1698" t="s">
        <v>46</v>
      </c>
      <c r="P1698" t="s">
        <v>1749</v>
      </c>
      <c r="R1698" s="5">
        <v>41695.764016203706</v>
      </c>
      <c r="S1698" s="5">
        <v>42649.840949074074</v>
      </c>
      <c r="T1698" t="s">
        <v>1529</v>
      </c>
      <c r="U1698" t="s">
        <v>35</v>
      </c>
      <c r="V1698" s="3" t="s">
        <v>35</v>
      </c>
      <c r="W1698" s="3" t="s">
        <v>4132</v>
      </c>
      <c r="AM1698" s="5"/>
      <c r="AN1698" s="5"/>
      <c r="AQ1698" s="6"/>
    </row>
    <row r="1699" spans="2:43" x14ac:dyDescent="0.25">
      <c r="B1699" t="s">
        <v>2000</v>
      </c>
      <c r="C1699">
        <v>39368</v>
      </c>
      <c r="D1699" t="s">
        <v>2068</v>
      </c>
      <c r="E1699" t="s">
        <v>2002</v>
      </c>
      <c r="F1699" t="s">
        <v>305</v>
      </c>
      <c r="G1699" t="s">
        <v>304</v>
      </c>
      <c r="H1699" t="s">
        <v>30</v>
      </c>
      <c r="I1699" t="s">
        <v>35</v>
      </c>
      <c r="J1699" t="s">
        <v>43</v>
      </c>
      <c r="K1699" t="s">
        <v>33</v>
      </c>
      <c r="L1699" t="s">
        <v>73</v>
      </c>
      <c r="M1699" t="s">
        <v>1514</v>
      </c>
      <c r="N1699" t="s">
        <v>46</v>
      </c>
      <c r="O1699" t="s">
        <v>2045</v>
      </c>
      <c r="P1699" t="s">
        <v>1646</v>
      </c>
      <c r="R1699" s="5">
        <v>41690.776932870373</v>
      </c>
      <c r="S1699" s="5">
        <v>42648.829629629632</v>
      </c>
      <c r="T1699" t="s">
        <v>1529</v>
      </c>
      <c r="U1699" t="s">
        <v>35</v>
      </c>
      <c r="V1699" s="3" t="s">
        <v>35</v>
      </c>
      <c r="W1699" s="3" t="s">
        <v>4131</v>
      </c>
      <c r="AM1699" s="5"/>
      <c r="AN1699" s="5"/>
      <c r="AQ1699" s="6"/>
    </row>
    <row r="1700" spans="2:43" x14ac:dyDescent="0.25">
      <c r="B1700" t="s">
        <v>2061</v>
      </c>
      <c r="C1700">
        <v>39095</v>
      </c>
      <c r="D1700" t="s">
        <v>2067</v>
      </c>
      <c r="E1700" t="s">
        <v>387</v>
      </c>
      <c r="F1700" t="s">
        <v>305</v>
      </c>
      <c r="G1700" t="s">
        <v>337</v>
      </c>
      <c r="H1700" t="s">
        <v>30</v>
      </c>
      <c r="I1700" t="s">
        <v>35</v>
      </c>
      <c r="J1700" t="s">
        <v>32</v>
      </c>
      <c r="K1700" t="s">
        <v>33</v>
      </c>
      <c r="L1700" t="s">
        <v>73</v>
      </c>
      <c r="M1700" t="s">
        <v>263</v>
      </c>
      <c r="N1700" t="s">
        <v>46</v>
      </c>
      <c r="P1700" t="s">
        <v>1749</v>
      </c>
      <c r="R1700" s="5">
        <v>41683.697071759256</v>
      </c>
      <c r="S1700" s="5">
        <v>42649.900173611109</v>
      </c>
      <c r="T1700" t="s">
        <v>1529</v>
      </c>
      <c r="U1700" t="s">
        <v>35</v>
      </c>
      <c r="V1700" s="3" t="s">
        <v>35</v>
      </c>
      <c r="W1700" s="3" t="s">
        <v>3039</v>
      </c>
      <c r="AM1700" s="5"/>
      <c r="AN1700" s="5"/>
      <c r="AQ1700" s="6"/>
    </row>
    <row r="1701" spans="2:43" x14ac:dyDescent="0.25">
      <c r="B1701" t="s">
        <v>2061</v>
      </c>
      <c r="C1701">
        <v>39094</v>
      </c>
      <c r="D1701" t="s">
        <v>2066</v>
      </c>
      <c r="E1701" t="s">
        <v>387</v>
      </c>
      <c r="F1701" t="s">
        <v>305</v>
      </c>
      <c r="G1701" t="s">
        <v>304</v>
      </c>
      <c r="H1701" t="s">
        <v>30</v>
      </c>
      <c r="I1701" t="s">
        <v>35</v>
      </c>
      <c r="J1701" t="s">
        <v>32</v>
      </c>
      <c r="K1701" t="s">
        <v>33</v>
      </c>
      <c r="L1701" t="s">
        <v>73</v>
      </c>
      <c r="M1701" t="s">
        <v>263</v>
      </c>
      <c r="N1701" t="s">
        <v>46</v>
      </c>
      <c r="O1701" t="s">
        <v>2007</v>
      </c>
      <c r="P1701" t="s">
        <v>1749</v>
      </c>
      <c r="R1701" s="5">
        <v>41683.696932870371</v>
      </c>
      <c r="S1701" s="5">
        <v>42648.829143518517</v>
      </c>
      <c r="T1701" t="s">
        <v>1529</v>
      </c>
      <c r="U1701" t="s">
        <v>35</v>
      </c>
      <c r="V1701" s="3" t="s">
        <v>35</v>
      </c>
      <c r="W1701" s="3" t="s">
        <v>4131</v>
      </c>
      <c r="AM1701" s="5"/>
      <c r="AN1701" s="5"/>
      <c r="AQ1701" s="6"/>
    </row>
    <row r="1702" spans="2:43" x14ac:dyDescent="0.25">
      <c r="B1702" t="s">
        <v>2061</v>
      </c>
      <c r="C1702">
        <v>39093</v>
      </c>
      <c r="D1702" t="s">
        <v>2065</v>
      </c>
      <c r="E1702" t="s">
        <v>387</v>
      </c>
      <c r="F1702" t="s">
        <v>305</v>
      </c>
      <c r="G1702" t="s">
        <v>304</v>
      </c>
      <c r="H1702" t="s">
        <v>30</v>
      </c>
      <c r="I1702" t="s">
        <v>31</v>
      </c>
      <c r="J1702" t="s">
        <v>32</v>
      </c>
      <c r="K1702" t="s">
        <v>33</v>
      </c>
      <c r="L1702" t="s">
        <v>73</v>
      </c>
      <c r="M1702" t="s">
        <v>263</v>
      </c>
      <c r="N1702" t="s">
        <v>1998</v>
      </c>
      <c r="P1702" t="s">
        <v>1749</v>
      </c>
      <c r="R1702" s="5">
        <v>41683.696805555555</v>
      </c>
      <c r="S1702" s="5">
        <v>42648.829328703701</v>
      </c>
      <c r="T1702" t="s">
        <v>1529</v>
      </c>
      <c r="U1702" t="s">
        <v>35</v>
      </c>
      <c r="V1702" s="3" t="s">
        <v>35</v>
      </c>
      <c r="W1702" s="3" t="s">
        <v>2552</v>
      </c>
      <c r="AM1702" s="5"/>
      <c r="AN1702" s="5"/>
      <c r="AQ1702" s="6"/>
    </row>
    <row r="1703" spans="2:43" x14ac:dyDescent="0.25">
      <c r="B1703" t="s">
        <v>2061</v>
      </c>
      <c r="C1703">
        <v>39092</v>
      </c>
      <c r="D1703" t="s">
        <v>2064</v>
      </c>
      <c r="E1703" t="s">
        <v>387</v>
      </c>
      <c r="F1703" t="s">
        <v>305</v>
      </c>
      <c r="G1703" t="s">
        <v>310</v>
      </c>
      <c r="H1703" t="s">
        <v>30</v>
      </c>
      <c r="I1703" t="s">
        <v>35</v>
      </c>
      <c r="J1703" t="s">
        <v>32</v>
      </c>
      <c r="K1703" t="s">
        <v>33</v>
      </c>
      <c r="L1703" t="s">
        <v>73</v>
      </c>
      <c r="M1703" t="s">
        <v>263</v>
      </c>
      <c r="N1703" t="s">
        <v>46</v>
      </c>
      <c r="P1703" t="s">
        <v>1749</v>
      </c>
      <c r="R1703" s="5">
        <v>41683.696666666663</v>
      </c>
      <c r="S1703" s="5">
        <v>42649.840486111112</v>
      </c>
      <c r="T1703" t="s">
        <v>1529</v>
      </c>
      <c r="U1703" t="s">
        <v>35</v>
      </c>
      <c r="V1703" s="3" t="s">
        <v>35</v>
      </c>
      <c r="W1703" s="3" t="s">
        <v>4130</v>
      </c>
      <c r="AM1703" s="5"/>
      <c r="AN1703" s="5"/>
      <c r="AQ1703" s="6"/>
    </row>
    <row r="1704" spans="2:43" x14ac:dyDescent="0.25">
      <c r="B1704" t="s">
        <v>2061</v>
      </c>
      <c r="C1704">
        <v>39091</v>
      </c>
      <c r="D1704" t="s">
        <v>2062</v>
      </c>
      <c r="E1704" t="s">
        <v>387</v>
      </c>
      <c r="F1704" t="s">
        <v>305</v>
      </c>
      <c r="G1704" t="s">
        <v>304</v>
      </c>
      <c r="H1704" t="s">
        <v>30</v>
      </c>
      <c r="I1704" t="s">
        <v>35</v>
      </c>
      <c r="J1704" t="s">
        <v>32</v>
      </c>
      <c r="K1704" t="s">
        <v>33</v>
      </c>
      <c r="L1704" t="s">
        <v>73</v>
      </c>
      <c r="M1704" t="s">
        <v>263</v>
      </c>
      <c r="N1704" t="s">
        <v>46</v>
      </c>
      <c r="P1704" t="s">
        <v>1749</v>
      </c>
      <c r="R1704" s="5">
        <v>41683.69085648148</v>
      </c>
      <c r="S1704" s="5">
        <v>41816.554074074076</v>
      </c>
      <c r="T1704" t="s">
        <v>2063</v>
      </c>
      <c r="U1704" t="s">
        <v>35</v>
      </c>
      <c r="V1704" s="3" t="s">
        <v>35</v>
      </c>
      <c r="W1704" s="3" t="s">
        <v>4098</v>
      </c>
      <c r="AM1704" s="5"/>
      <c r="AN1704" s="5"/>
      <c r="AQ1704" s="6"/>
    </row>
    <row r="1705" spans="2:43" x14ac:dyDescent="0.25">
      <c r="B1705" t="s">
        <v>3816</v>
      </c>
      <c r="C1705">
        <v>39084</v>
      </c>
      <c r="D1705" t="s">
        <v>3817</v>
      </c>
      <c r="E1705" t="s">
        <v>1913</v>
      </c>
      <c r="F1705" t="s">
        <v>305</v>
      </c>
      <c r="G1705" t="s">
        <v>304</v>
      </c>
      <c r="H1705" t="s">
        <v>30</v>
      </c>
      <c r="I1705" t="s">
        <v>35</v>
      </c>
      <c r="J1705" t="s">
        <v>58</v>
      </c>
      <c r="K1705" t="s">
        <v>44</v>
      </c>
      <c r="L1705" t="s">
        <v>34</v>
      </c>
      <c r="M1705" t="s">
        <v>3780</v>
      </c>
      <c r="N1705" t="s">
        <v>46</v>
      </c>
      <c r="P1705" t="s">
        <v>1854</v>
      </c>
      <c r="R1705" s="5">
        <v>41683.491805555554</v>
      </c>
      <c r="S1705" s="5">
        <v>41953.841145833336</v>
      </c>
      <c r="T1705" t="s">
        <v>3818</v>
      </c>
      <c r="U1705" t="s">
        <v>35</v>
      </c>
      <c r="V1705" s="3" t="s">
        <v>35</v>
      </c>
      <c r="W1705" s="3" t="s">
        <v>4098</v>
      </c>
      <c r="AM1705" s="5"/>
      <c r="AN1705" s="5"/>
      <c r="AQ1705" s="6"/>
    </row>
    <row r="1706" spans="2:43" x14ac:dyDescent="0.25">
      <c r="B1706" t="s">
        <v>3814</v>
      </c>
      <c r="C1706">
        <v>39027</v>
      </c>
      <c r="D1706" t="s">
        <v>3815</v>
      </c>
      <c r="E1706" t="s">
        <v>1913</v>
      </c>
      <c r="F1706" t="s">
        <v>305</v>
      </c>
      <c r="G1706" t="s">
        <v>304</v>
      </c>
      <c r="H1706" t="s">
        <v>30</v>
      </c>
      <c r="I1706" t="s">
        <v>35</v>
      </c>
      <c r="J1706" t="s">
        <v>32</v>
      </c>
      <c r="K1706" t="s">
        <v>44</v>
      </c>
      <c r="L1706" t="s">
        <v>34</v>
      </c>
      <c r="M1706" t="s">
        <v>3780</v>
      </c>
      <c r="N1706" t="s">
        <v>46</v>
      </c>
      <c r="P1706" t="s">
        <v>1854</v>
      </c>
      <c r="R1706" s="5">
        <v>41682.477199074077</v>
      </c>
      <c r="S1706" s="5">
        <v>41816.552372685182</v>
      </c>
      <c r="T1706" t="s">
        <v>300</v>
      </c>
      <c r="U1706" t="s">
        <v>35</v>
      </c>
      <c r="V1706" s="3" t="s">
        <v>35</v>
      </c>
      <c r="W1706" s="3" t="s">
        <v>4098</v>
      </c>
      <c r="AM1706" s="5"/>
      <c r="AN1706" s="5"/>
      <c r="AQ1706" s="6"/>
    </row>
    <row r="1707" spans="2:43" x14ac:dyDescent="0.25">
      <c r="B1707" t="s">
        <v>3812</v>
      </c>
      <c r="C1707">
        <v>38973</v>
      </c>
      <c r="D1707" t="s">
        <v>3813</v>
      </c>
      <c r="E1707" t="s">
        <v>39</v>
      </c>
      <c r="F1707" t="s">
        <v>305</v>
      </c>
      <c r="G1707" t="s">
        <v>304</v>
      </c>
      <c r="H1707" t="s">
        <v>30</v>
      </c>
      <c r="I1707" t="s">
        <v>68</v>
      </c>
      <c r="J1707" t="s">
        <v>43</v>
      </c>
      <c r="K1707" t="s">
        <v>33</v>
      </c>
      <c r="L1707" t="s">
        <v>34</v>
      </c>
      <c r="M1707" t="s">
        <v>368</v>
      </c>
      <c r="N1707" t="s">
        <v>46</v>
      </c>
      <c r="O1707" t="s">
        <v>2129</v>
      </c>
      <c r="P1707" t="s">
        <v>1530</v>
      </c>
      <c r="R1707" s="5">
        <v>41680.951157407406</v>
      </c>
      <c r="S1707" s="5">
        <v>42113.12327546296</v>
      </c>
      <c r="T1707" t="s">
        <v>39</v>
      </c>
      <c r="U1707" t="s">
        <v>35</v>
      </c>
      <c r="V1707" s="3" t="s">
        <v>35</v>
      </c>
      <c r="W1707" s="3" t="s">
        <v>4112</v>
      </c>
      <c r="AM1707" s="5"/>
      <c r="AN1707" s="5"/>
      <c r="AQ1707" s="6"/>
    </row>
    <row r="1708" spans="2:43" x14ac:dyDescent="0.25">
      <c r="B1708" t="s">
        <v>2058</v>
      </c>
      <c r="C1708">
        <v>38971</v>
      </c>
      <c r="D1708" t="s">
        <v>2059</v>
      </c>
      <c r="E1708" t="s">
        <v>2060</v>
      </c>
      <c r="F1708" t="s">
        <v>305</v>
      </c>
      <c r="G1708" t="s">
        <v>304</v>
      </c>
      <c r="H1708" t="s">
        <v>30</v>
      </c>
      <c r="I1708" t="s">
        <v>31</v>
      </c>
      <c r="J1708" t="s">
        <v>43</v>
      </c>
      <c r="K1708" t="s">
        <v>44</v>
      </c>
      <c r="L1708" t="s">
        <v>34</v>
      </c>
      <c r="M1708" t="s">
        <v>1748</v>
      </c>
      <c r="N1708" t="s">
        <v>46</v>
      </c>
      <c r="P1708" t="s">
        <v>1854</v>
      </c>
      <c r="R1708" s="5">
        <v>41680.873923611114</v>
      </c>
      <c r="S1708" s="5">
        <v>42306.915798611109</v>
      </c>
      <c r="T1708" t="s">
        <v>2053</v>
      </c>
      <c r="U1708" t="s">
        <v>35</v>
      </c>
      <c r="V1708" s="3" t="s">
        <v>35</v>
      </c>
      <c r="W1708" s="3" t="s">
        <v>4098</v>
      </c>
      <c r="AM1708" s="5"/>
      <c r="AN1708" s="5"/>
      <c r="AQ1708" s="6"/>
    </row>
    <row r="1709" spans="2:43" x14ac:dyDescent="0.25">
      <c r="B1709" t="s">
        <v>2054</v>
      </c>
      <c r="C1709">
        <v>38663</v>
      </c>
      <c r="D1709" t="s">
        <v>2055</v>
      </c>
      <c r="E1709" t="s">
        <v>1945</v>
      </c>
      <c r="F1709" t="s">
        <v>305</v>
      </c>
      <c r="G1709" t="s">
        <v>304</v>
      </c>
      <c r="H1709" t="s">
        <v>30</v>
      </c>
      <c r="I1709" t="s">
        <v>68</v>
      </c>
      <c r="J1709" t="s">
        <v>43</v>
      </c>
      <c r="K1709" t="s">
        <v>33</v>
      </c>
      <c r="L1709" t="s">
        <v>34</v>
      </c>
      <c r="M1709" t="s">
        <v>2056</v>
      </c>
      <c r="N1709" t="s">
        <v>46</v>
      </c>
      <c r="O1709" t="s">
        <v>2057</v>
      </c>
      <c r="P1709" t="s">
        <v>1749</v>
      </c>
      <c r="R1709" s="5">
        <v>41668.867812500001</v>
      </c>
      <c r="S1709" s="5">
        <v>42039.768229166664</v>
      </c>
      <c r="T1709" t="s">
        <v>39</v>
      </c>
      <c r="U1709" t="s">
        <v>35</v>
      </c>
      <c r="V1709" s="3" t="s">
        <v>35</v>
      </c>
      <c r="W1709" s="3" t="s">
        <v>4131</v>
      </c>
      <c r="AM1709" s="5"/>
      <c r="AN1709" s="5"/>
      <c r="AQ1709" s="6"/>
    </row>
    <row r="1710" spans="2:43" x14ac:dyDescent="0.25">
      <c r="B1710" t="s">
        <v>2050</v>
      </c>
      <c r="C1710">
        <v>38470</v>
      </c>
      <c r="D1710" t="s">
        <v>2051</v>
      </c>
      <c r="E1710" t="s">
        <v>2002</v>
      </c>
      <c r="F1710" t="s">
        <v>305</v>
      </c>
      <c r="G1710" t="s">
        <v>304</v>
      </c>
      <c r="H1710" t="s">
        <v>30</v>
      </c>
      <c r="I1710" t="s">
        <v>31</v>
      </c>
      <c r="J1710" t="s">
        <v>32</v>
      </c>
      <c r="K1710" t="s">
        <v>51</v>
      </c>
      <c r="L1710" t="s">
        <v>34</v>
      </c>
      <c r="M1710" t="s">
        <v>2052</v>
      </c>
      <c r="N1710" t="s">
        <v>46</v>
      </c>
      <c r="P1710" t="s">
        <v>1854</v>
      </c>
      <c r="R1710" s="5">
        <v>41660.709710648145</v>
      </c>
      <c r="S1710" s="5">
        <v>42306.914039351854</v>
      </c>
      <c r="T1710" t="s">
        <v>2053</v>
      </c>
      <c r="U1710" t="s">
        <v>35</v>
      </c>
      <c r="V1710" s="3" t="s">
        <v>35</v>
      </c>
      <c r="W1710" s="3" t="s">
        <v>4098</v>
      </c>
      <c r="AM1710" s="5"/>
      <c r="AN1710" s="5"/>
      <c r="AQ1710" s="6"/>
    </row>
    <row r="1711" spans="2:43" x14ac:dyDescent="0.25">
      <c r="B1711" t="s">
        <v>2048</v>
      </c>
      <c r="C1711">
        <v>38408</v>
      </c>
      <c r="D1711" t="s">
        <v>2049</v>
      </c>
      <c r="E1711" t="s">
        <v>1864</v>
      </c>
      <c r="F1711" t="s">
        <v>305</v>
      </c>
      <c r="G1711" t="s">
        <v>304</v>
      </c>
      <c r="H1711" t="s">
        <v>30</v>
      </c>
      <c r="I1711" t="s">
        <v>31</v>
      </c>
      <c r="J1711" t="s">
        <v>32</v>
      </c>
      <c r="K1711" t="s">
        <v>1733</v>
      </c>
      <c r="L1711" t="s">
        <v>34</v>
      </c>
      <c r="M1711" t="s">
        <v>336</v>
      </c>
      <c r="N1711" t="s">
        <v>46</v>
      </c>
      <c r="P1711" t="s">
        <v>1959</v>
      </c>
      <c r="R1711" s="5">
        <v>41656.625509259262</v>
      </c>
      <c r="S1711" s="5">
        <v>42047.694305555553</v>
      </c>
      <c r="T1711" t="s">
        <v>2047</v>
      </c>
      <c r="U1711" t="s">
        <v>35</v>
      </c>
      <c r="V1711" s="3" t="s">
        <v>35</v>
      </c>
      <c r="W1711" s="3" t="s">
        <v>4122</v>
      </c>
      <c r="AM1711" s="5"/>
      <c r="AN1711" s="5"/>
      <c r="AQ1711" s="6"/>
    </row>
    <row r="1712" spans="2:43" x14ac:dyDescent="0.25">
      <c r="B1712" t="s">
        <v>1931</v>
      </c>
      <c r="C1712">
        <v>38406</v>
      </c>
      <c r="D1712" t="s">
        <v>2046</v>
      </c>
      <c r="E1712" t="s">
        <v>1864</v>
      </c>
      <c r="F1712" t="s">
        <v>305</v>
      </c>
      <c r="G1712" t="s">
        <v>304</v>
      </c>
      <c r="H1712" t="s">
        <v>30</v>
      </c>
      <c r="I1712" t="s">
        <v>35</v>
      </c>
      <c r="J1712" t="s">
        <v>43</v>
      </c>
      <c r="K1712" t="s">
        <v>44</v>
      </c>
      <c r="L1712" t="s">
        <v>34</v>
      </c>
      <c r="M1712" t="s">
        <v>336</v>
      </c>
      <c r="N1712" t="s">
        <v>46</v>
      </c>
      <c r="P1712" t="s">
        <v>1749</v>
      </c>
      <c r="R1712" s="5">
        <v>41656.614155092589</v>
      </c>
      <c r="S1712" s="5">
        <v>41864.635740740741</v>
      </c>
      <c r="T1712" t="s">
        <v>2047</v>
      </c>
      <c r="U1712" t="s">
        <v>35</v>
      </c>
      <c r="V1712" s="3" t="s">
        <v>35</v>
      </c>
      <c r="W1712" s="3" t="s">
        <v>4122</v>
      </c>
      <c r="AM1712" s="5"/>
      <c r="AN1712" s="5"/>
      <c r="AQ1712" s="6"/>
    </row>
    <row r="1713" spans="2:43" x14ac:dyDescent="0.25">
      <c r="B1713" t="s">
        <v>1993</v>
      </c>
      <c r="C1713">
        <v>38332</v>
      </c>
      <c r="D1713" t="s">
        <v>2044</v>
      </c>
      <c r="E1713" t="s">
        <v>387</v>
      </c>
      <c r="F1713" t="s">
        <v>305</v>
      </c>
      <c r="G1713" t="s">
        <v>304</v>
      </c>
      <c r="H1713" t="s">
        <v>30</v>
      </c>
      <c r="I1713" t="s">
        <v>35</v>
      </c>
      <c r="J1713" t="s">
        <v>43</v>
      </c>
      <c r="K1713" t="s">
        <v>44</v>
      </c>
      <c r="L1713" t="s">
        <v>73</v>
      </c>
      <c r="M1713" t="s">
        <v>1514</v>
      </c>
      <c r="N1713" t="s">
        <v>46</v>
      </c>
      <c r="O1713" t="s">
        <v>2045</v>
      </c>
      <c r="P1713" t="s">
        <v>1749</v>
      </c>
      <c r="R1713" s="5">
        <v>41655.011458333334</v>
      </c>
      <c r="S1713" s="5">
        <v>42648.828425925924</v>
      </c>
      <c r="T1713" t="s">
        <v>1529</v>
      </c>
      <c r="U1713" t="s">
        <v>35</v>
      </c>
      <c r="V1713" s="3" t="s">
        <v>35</v>
      </c>
      <c r="W1713" s="3" t="s">
        <v>4131</v>
      </c>
      <c r="AM1713" s="5"/>
      <c r="AN1713" s="5"/>
      <c r="AQ1713" s="6"/>
    </row>
    <row r="1714" spans="2:43" x14ac:dyDescent="0.25">
      <c r="B1714" t="s">
        <v>2038</v>
      </c>
      <c r="C1714">
        <v>38331</v>
      </c>
      <c r="D1714" t="s">
        <v>2043</v>
      </c>
      <c r="E1714" t="s">
        <v>387</v>
      </c>
      <c r="F1714" t="s">
        <v>305</v>
      </c>
      <c r="G1714" t="s">
        <v>310</v>
      </c>
      <c r="H1714" t="s">
        <v>30</v>
      </c>
      <c r="I1714" t="s">
        <v>35</v>
      </c>
      <c r="J1714" t="s">
        <v>32</v>
      </c>
      <c r="K1714" t="s">
        <v>51</v>
      </c>
      <c r="L1714" t="s">
        <v>73</v>
      </c>
      <c r="M1714" t="s">
        <v>263</v>
      </c>
      <c r="N1714" t="s">
        <v>46</v>
      </c>
      <c r="P1714" t="s">
        <v>1749</v>
      </c>
      <c r="R1714" s="5">
        <v>41654.998923611114</v>
      </c>
      <c r="S1714" s="5">
        <v>42649.839120370372</v>
      </c>
      <c r="T1714" t="s">
        <v>1529</v>
      </c>
      <c r="U1714" t="s">
        <v>35</v>
      </c>
      <c r="V1714" s="3" t="s">
        <v>35</v>
      </c>
      <c r="W1714" s="3" t="s">
        <v>3039</v>
      </c>
      <c r="AM1714" s="5"/>
      <c r="AN1714" s="5"/>
      <c r="AQ1714" s="6"/>
    </row>
    <row r="1715" spans="2:43" x14ac:dyDescent="0.25">
      <c r="B1715" t="s">
        <v>2038</v>
      </c>
      <c r="C1715">
        <v>38330</v>
      </c>
      <c r="D1715" t="s">
        <v>2042</v>
      </c>
      <c r="E1715" t="s">
        <v>387</v>
      </c>
      <c r="F1715" t="s">
        <v>305</v>
      </c>
      <c r="G1715" t="s">
        <v>310</v>
      </c>
      <c r="H1715" t="s">
        <v>30</v>
      </c>
      <c r="I1715" t="s">
        <v>35</v>
      </c>
      <c r="J1715" t="s">
        <v>32</v>
      </c>
      <c r="K1715" t="s">
        <v>51</v>
      </c>
      <c r="L1715" t="s">
        <v>73</v>
      </c>
      <c r="M1715" t="s">
        <v>263</v>
      </c>
      <c r="N1715" t="s">
        <v>46</v>
      </c>
      <c r="P1715" t="s">
        <v>1749</v>
      </c>
      <c r="R1715" s="5">
        <v>41654.998796296299</v>
      </c>
      <c r="S1715" s="5">
        <v>42649.839305555557</v>
      </c>
      <c r="T1715" t="s">
        <v>1529</v>
      </c>
      <c r="U1715" t="s">
        <v>35</v>
      </c>
      <c r="V1715" s="3" t="s">
        <v>35</v>
      </c>
      <c r="W1715" s="3" t="s">
        <v>4132</v>
      </c>
      <c r="AM1715" s="5"/>
      <c r="AN1715" s="5"/>
      <c r="AQ1715" s="6"/>
    </row>
    <row r="1716" spans="2:43" x14ac:dyDescent="0.25">
      <c r="B1716" t="s">
        <v>2038</v>
      </c>
      <c r="C1716">
        <v>38329</v>
      </c>
      <c r="D1716" t="s">
        <v>2041</v>
      </c>
      <c r="E1716" t="s">
        <v>387</v>
      </c>
      <c r="F1716" t="s">
        <v>305</v>
      </c>
      <c r="G1716" t="s">
        <v>310</v>
      </c>
      <c r="H1716" t="s">
        <v>30</v>
      </c>
      <c r="I1716" t="s">
        <v>31</v>
      </c>
      <c r="J1716" t="s">
        <v>32</v>
      </c>
      <c r="K1716" t="s">
        <v>51</v>
      </c>
      <c r="L1716" t="s">
        <v>73</v>
      </c>
      <c r="M1716" t="s">
        <v>263</v>
      </c>
      <c r="N1716" t="s">
        <v>46</v>
      </c>
      <c r="P1716" t="s">
        <v>1749</v>
      </c>
      <c r="R1716" s="5">
        <v>41654.99858796296</v>
      </c>
      <c r="S1716" s="5">
        <v>42649.839456018519</v>
      </c>
      <c r="T1716" t="s">
        <v>1529</v>
      </c>
      <c r="U1716" t="s">
        <v>35</v>
      </c>
      <c r="V1716" s="3" t="s">
        <v>35</v>
      </c>
      <c r="W1716" s="3" t="s">
        <v>2552</v>
      </c>
      <c r="AM1716" s="5"/>
      <c r="AN1716" s="5"/>
      <c r="AQ1716" s="6"/>
    </row>
    <row r="1717" spans="2:43" x14ac:dyDescent="0.25">
      <c r="B1717" t="s">
        <v>2038</v>
      </c>
      <c r="C1717">
        <v>38328</v>
      </c>
      <c r="D1717" t="s">
        <v>2040</v>
      </c>
      <c r="E1717" t="s">
        <v>387</v>
      </c>
      <c r="F1717" t="s">
        <v>305</v>
      </c>
      <c r="G1717" t="s">
        <v>310</v>
      </c>
      <c r="H1717" t="s">
        <v>30</v>
      </c>
      <c r="I1717" t="s">
        <v>35</v>
      </c>
      <c r="J1717" t="s">
        <v>32</v>
      </c>
      <c r="K1717" t="s">
        <v>51</v>
      </c>
      <c r="L1717" t="s">
        <v>73</v>
      </c>
      <c r="M1717" t="s">
        <v>263</v>
      </c>
      <c r="N1717" t="s">
        <v>46</v>
      </c>
      <c r="P1717" t="s">
        <v>1749</v>
      </c>
      <c r="R1717" s="5">
        <v>41654.99827546296</v>
      </c>
      <c r="S1717" s="5">
        <v>42649.83929398148</v>
      </c>
      <c r="T1717" t="s">
        <v>1529</v>
      </c>
      <c r="U1717" t="s">
        <v>35</v>
      </c>
      <c r="V1717" s="3" t="s">
        <v>35</v>
      </c>
      <c r="W1717" s="3" t="s">
        <v>394</v>
      </c>
      <c r="AM1717" s="5"/>
      <c r="AN1717" s="5"/>
      <c r="AQ1717" s="6"/>
    </row>
    <row r="1718" spans="2:43" x14ac:dyDescent="0.25">
      <c r="B1718" t="s">
        <v>2038</v>
      </c>
      <c r="C1718">
        <v>38327</v>
      </c>
      <c r="D1718" t="s">
        <v>2039</v>
      </c>
      <c r="E1718" t="s">
        <v>387</v>
      </c>
      <c r="F1718" t="s">
        <v>305</v>
      </c>
      <c r="G1718" t="s">
        <v>353</v>
      </c>
      <c r="H1718" t="s">
        <v>30</v>
      </c>
      <c r="I1718" t="s">
        <v>35</v>
      </c>
      <c r="J1718" t="s">
        <v>32</v>
      </c>
      <c r="K1718" t="s">
        <v>51</v>
      </c>
      <c r="L1718" t="s">
        <v>73</v>
      </c>
      <c r="M1718" t="s">
        <v>263</v>
      </c>
      <c r="N1718" t="s">
        <v>46</v>
      </c>
      <c r="P1718" t="s">
        <v>1749</v>
      </c>
      <c r="R1718" s="5">
        <v>41654.93167824074</v>
      </c>
      <c r="S1718" s="5">
        <v>42649.83902777778</v>
      </c>
      <c r="T1718" t="s">
        <v>1</v>
      </c>
      <c r="U1718" t="s">
        <v>35</v>
      </c>
      <c r="V1718" s="3" t="s">
        <v>35</v>
      </c>
      <c r="W1718" s="3" t="s">
        <v>4098</v>
      </c>
      <c r="AM1718" s="5"/>
      <c r="AN1718" s="5"/>
      <c r="AQ1718" s="6"/>
    </row>
    <row r="1719" spans="2:43" x14ac:dyDescent="0.25">
      <c r="B1719" t="s">
        <v>2034</v>
      </c>
      <c r="C1719">
        <v>38073</v>
      </c>
      <c r="D1719" t="s">
        <v>2035</v>
      </c>
      <c r="E1719" t="s">
        <v>1913</v>
      </c>
      <c r="F1719" t="s">
        <v>305</v>
      </c>
      <c r="G1719" t="s">
        <v>304</v>
      </c>
      <c r="H1719" t="s">
        <v>30</v>
      </c>
      <c r="I1719" t="s">
        <v>57</v>
      </c>
      <c r="J1719" t="s">
        <v>58</v>
      </c>
      <c r="K1719" t="s">
        <v>33</v>
      </c>
      <c r="L1719" t="s">
        <v>34</v>
      </c>
      <c r="M1719" t="s">
        <v>2036</v>
      </c>
      <c r="N1719" t="s">
        <v>46</v>
      </c>
      <c r="P1719" t="s">
        <v>1646</v>
      </c>
      <c r="Q1719" t="s">
        <v>2037</v>
      </c>
      <c r="R1719" s="5">
        <v>41646.735995370371</v>
      </c>
      <c r="S1719" s="5">
        <v>42058.624039351853</v>
      </c>
      <c r="T1719" t="s">
        <v>2</v>
      </c>
      <c r="U1719" t="s">
        <v>35</v>
      </c>
      <c r="V1719" s="3" t="s">
        <v>35</v>
      </c>
      <c r="W1719" s="3" t="s">
        <v>4098</v>
      </c>
      <c r="AM1719" s="5"/>
      <c r="AN1719" s="5"/>
      <c r="AQ1719" s="6"/>
    </row>
    <row r="1720" spans="2:43" x14ac:dyDescent="0.25">
      <c r="B1720" t="s">
        <v>2025</v>
      </c>
      <c r="C1720">
        <v>37921</v>
      </c>
      <c r="D1720" t="s">
        <v>2033</v>
      </c>
      <c r="E1720" t="s">
        <v>387</v>
      </c>
      <c r="F1720" t="s">
        <v>305</v>
      </c>
      <c r="G1720" t="s">
        <v>337</v>
      </c>
      <c r="H1720" t="s">
        <v>30</v>
      </c>
      <c r="I1720" t="s">
        <v>35</v>
      </c>
      <c r="J1720" t="s">
        <v>43</v>
      </c>
      <c r="K1720" t="s">
        <v>33</v>
      </c>
      <c r="L1720" t="s">
        <v>96</v>
      </c>
      <c r="M1720" t="s">
        <v>269</v>
      </c>
      <c r="N1720" t="s">
        <v>46</v>
      </c>
      <c r="P1720" t="s">
        <v>1749</v>
      </c>
      <c r="R1720" s="5">
        <v>41628.535891203705</v>
      </c>
      <c r="S1720" s="5">
        <v>42649.83971064815</v>
      </c>
      <c r="T1720" t="s">
        <v>1529</v>
      </c>
      <c r="U1720" t="s">
        <v>35</v>
      </c>
      <c r="V1720" s="3" t="s">
        <v>35</v>
      </c>
      <c r="W1720" s="3" t="s">
        <v>3039</v>
      </c>
      <c r="AM1720" s="5"/>
      <c r="AN1720" s="5"/>
      <c r="AQ1720" s="6"/>
    </row>
    <row r="1721" spans="2:43" x14ac:dyDescent="0.25">
      <c r="B1721" t="s">
        <v>2025</v>
      </c>
      <c r="C1721">
        <v>37920</v>
      </c>
      <c r="D1721" t="s">
        <v>2031</v>
      </c>
      <c r="E1721" t="s">
        <v>2027</v>
      </c>
      <c r="F1721" t="s">
        <v>305</v>
      </c>
      <c r="G1721" t="s">
        <v>304</v>
      </c>
      <c r="H1721" t="s">
        <v>30</v>
      </c>
      <c r="I1721" t="s">
        <v>68</v>
      </c>
      <c r="J1721" t="s">
        <v>43</v>
      </c>
      <c r="K1721" t="s">
        <v>33</v>
      </c>
      <c r="L1721" t="s">
        <v>96</v>
      </c>
      <c r="M1721" t="s">
        <v>269</v>
      </c>
      <c r="N1721" t="s">
        <v>2032</v>
      </c>
      <c r="P1721" t="s">
        <v>1749</v>
      </c>
      <c r="R1721" s="5">
        <v>41628.535717592589</v>
      </c>
      <c r="S1721" s="5">
        <v>42648.827939814815</v>
      </c>
      <c r="T1721" t="s">
        <v>1529</v>
      </c>
      <c r="U1721" t="s">
        <v>35</v>
      </c>
      <c r="V1721" s="3" t="s">
        <v>35</v>
      </c>
      <c r="W1721" s="3" t="s">
        <v>2552</v>
      </c>
      <c r="AM1721" s="5"/>
      <c r="AN1721" s="5"/>
      <c r="AQ1721" s="6"/>
    </row>
    <row r="1722" spans="2:43" x14ac:dyDescent="0.25">
      <c r="B1722" t="s">
        <v>2025</v>
      </c>
      <c r="C1722">
        <v>37919</v>
      </c>
      <c r="D1722" t="s">
        <v>2030</v>
      </c>
      <c r="E1722" t="s">
        <v>291</v>
      </c>
      <c r="F1722" t="s">
        <v>305</v>
      </c>
      <c r="G1722" t="s">
        <v>337</v>
      </c>
      <c r="H1722" t="s">
        <v>30</v>
      </c>
      <c r="I1722" t="s">
        <v>35</v>
      </c>
      <c r="J1722" t="s">
        <v>43</v>
      </c>
      <c r="K1722" t="s">
        <v>33</v>
      </c>
      <c r="L1722" t="s">
        <v>96</v>
      </c>
      <c r="M1722" t="s">
        <v>269</v>
      </c>
      <c r="N1722" t="s">
        <v>46</v>
      </c>
      <c r="P1722" t="s">
        <v>1749</v>
      </c>
      <c r="R1722" s="5">
        <v>41628.535567129627</v>
      </c>
      <c r="S1722" s="5">
        <v>42649.839953703704</v>
      </c>
      <c r="T1722" t="s">
        <v>1529</v>
      </c>
      <c r="U1722" t="s">
        <v>35</v>
      </c>
      <c r="V1722" s="3" t="s">
        <v>35</v>
      </c>
      <c r="W1722" s="3" t="s">
        <v>4132</v>
      </c>
      <c r="AM1722" s="5"/>
      <c r="AN1722" s="5"/>
      <c r="AQ1722" s="6"/>
    </row>
    <row r="1723" spans="2:43" x14ac:dyDescent="0.25">
      <c r="B1723" t="s">
        <v>2025</v>
      </c>
      <c r="C1723">
        <v>37918</v>
      </c>
      <c r="D1723" t="s">
        <v>2029</v>
      </c>
      <c r="E1723" t="s">
        <v>387</v>
      </c>
      <c r="F1723" t="s">
        <v>305</v>
      </c>
      <c r="G1723" t="s">
        <v>310</v>
      </c>
      <c r="H1723" t="s">
        <v>30</v>
      </c>
      <c r="I1723" t="s">
        <v>35</v>
      </c>
      <c r="J1723" t="s">
        <v>43</v>
      </c>
      <c r="K1723" t="s">
        <v>33</v>
      </c>
      <c r="L1723" t="s">
        <v>96</v>
      </c>
      <c r="M1723" t="s">
        <v>269</v>
      </c>
      <c r="N1723" t="s">
        <v>46</v>
      </c>
      <c r="P1723" t="s">
        <v>1749</v>
      </c>
      <c r="R1723" s="5">
        <v>41628.535381944443</v>
      </c>
      <c r="S1723" s="5">
        <v>42649.839814814812</v>
      </c>
      <c r="T1723" t="s">
        <v>1529</v>
      </c>
      <c r="U1723" t="s">
        <v>35</v>
      </c>
      <c r="V1723" s="3" t="s">
        <v>35</v>
      </c>
      <c r="W1723" s="3" t="s">
        <v>394</v>
      </c>
      <c r="AM1723" s="5"/>
      <c r="AN1723" s="5"/>
      <c r="AQ1723" s="6"/>
    </row>
    <row r="1724" spans="2:43" x14ac:dyDescent="0.25">
      <c r="B1724" t="s">
        <v>2025</v>
      </c>
      <c r="C1724">
        <v>37900</v>
      </c>
      <c r="D1724" t="s">
        <v>2026</v>
      </c>
      <c r="E1724" t="s">
        <v>2027</v>
      </c>
      <c r="F1724" t="s">
        <v>305</v>
      </c>
      <c r="G1724" t="s">
        <v>304</v>
      </c>
      <c r="H1724" t="s">
        <v>30</v>
      </c>
      <c r="I1724" t="s">
        <v>35</v>
      </c>
      <c r="J1724" t="s">
        <v>43</v>
      </c>
      <c r="K1724" t="s">
        <v>2028</v>
      </c>
      <c r="L1724" t="s">
        <v>96</v>
      </c>
      <c r="M1724" t="s">
        <v>269</v>
      </c>
      <c r="N1724" t="s">
        <v>46</v>
      </c>
      <c r="P1724" t="s">
        <v>1749</v>
      </c>
      <c r="R1724" s="5">
        <v>41628.290486111109</v>
      </c>
      <c r="S1724" s="5">
        <v>42649.839594907404</v>
      </c>
      <c r="T1724" t="s">
        <v>1640</v>
      </c>
      <c r="U1724" t="s">
        <v>35</v>
      </c>
      <c r="V1724" s="3" t="s">
        <v>35</v>
      </c>
      <c r="W1724" s="3" t="s">
        <v>4098</v>
      </c>
      <c r="AM1724" s="5"/>
      <c r="AN1724" s="5"/>
      <c r="AQ1724" s="6"/>
    </row>
    <row r="1725" spans="2:43" x14ac:dyDescent="0.25">
      <c r="B1725" t="s">
        <v>2022</v>
      </c>
      <c r="C1725">
        <v>37852</v>
      </c>
      <c r="D1725" t="s">
        <v>2023</v>
      </c>
      <c r="E1725" t="s">
        <v>376</v>
      </c>
      <c r="F1725" t="s">
        <v>305</v>
      </c>
      <c r="G1725" t="s">
        <v>304</v>
      </c>
      <c r="H1725" t="s">
        <v>54</v>
      </c>
      <c r="I1725" t="s">
        <v>35</v>
      </c>
      <c r="J1725" t="s">
        <v>43</v>
      </c>
      <c r="K1725" t="s">
        <v>44</v>
      </c>
      <c r="L1725" t="s">
        <v>34</v>
      </c>
      <c r="M1725" t="s">
        <v>2024</v>
      </c>
      <c r="N1725" t="s">
        <v>2009</v>
      </c>
      <c r="P1725" t="s">
        <v>1749</v>
      </c>
      <c r="R1725" s="5">
        <v>41626.755914351852</v>
      </c>
      <c r="S1725" s="5">
        <v>42248.792534722219</v>
      </c>
      <c r="T1725" t="s">
        <v>1913</v>
      </c>
      <c r="U1725" t="s">
        <v>35</v>
      </c>
      <c r="V1725" s="3" t="s">
        <v>35</v>
      </c>
      <c r="W1725" s="3" t="s">
        <v>4134</v>
      </c>
      <c r="AM1725" s="5"/>
      <c r="AN1725" s="5"/>
      <c r="AQ1725" s="6"/>
    </row>
    <row r="1726" spans="2:43" x14ac:dyDescent="0.25">
      <c r="B1726" t="s">
        <v>2022</v>
      </c>
      <c r="C1726">
        <v>37848</v>
      </c>
      <c r="D1726" t="s">
        <v>3810</v>
      </c>
      <c r="E1726" t="s">
        <v>3811</v>
      </c>
      <c r="F1726" t="s">
        <v>305</v>
      </c>
      <c r="G1726" t="s">
        <v>304</v>
      </c>
      <c r="H1726" t="s">
        <v>54</v>
      </c>
      <c r="I1726" t="s">
        <v>31</v>
      </c>
      <c r="J1726" t="s">
        <v>43</v>
      </c>
      <c r="K1726" t="s">
        <v>44</v>
      </c>
      <c r="L1726" t="s">
        <v>34</v>
      </c>
      <c r="M1726" t="s">
        <v>3780</v>
      </c>
      <c r="N1726" t="s">
        <v>46</v>
      </c>
      <c r="P1726" t="s">
        <v>1749</v>
      </c>
      <c r="Q1726" t="s">
        <v>3809</v>
      </c>
      <c r="R1726" s="5">
        <v>41626.711481481485</v>
      </c>
      <c r="S1726" s="5">
        <v>42661.446898148148</v>
      </c>
      <c r="T1726" t="s">
        <v>1913</v>
      </c>
      <c r="U1726" t="s">
        <v>35</v>
      </c>
      <c r="V1726" s="3" t="s">
        <v>35</v>
      </c>
      <c r="W1726" s="3" t="s">
        <v>4133</v>
      </c>
      <c r="AM1726" s="5"/>
      <c r="AN1726" s="5"/>
      <c r="AQ1726" s="6"/>
    </row>
    <row r="1727" spans="2:43" x14ac:dyDescent="0.25">
      <c r="B1727" t="s">
        <v>2016</v>
      </c>
      <c r="C1727">
        <v>37754</v>
      </c>
      <c r="D1727" t="s">
        <v>2021</v>
      </c>
      <c r="E1727" t="s">
        <v>387</v>
      </c>
      <c r="F1727" t="s">
        <v>305</v>
      </c>
      <c r="G1727" t="s">
        <v>310</v>
      </c>
      <c r="H1727" t="s">
        <v>30</v>
      </c>
      <c r="I1727" t="s">
        <v>35</v>
      </c>
      <c r="J1727" t="s">
        <v>43</v>
      </c>
      <c r="K1727" t="s">
        <v>33</v>
      </c>
      <c r="L1727" t="s">
        <v>73</v>
      </c>
      <c r="M1727" t="s">
        <v>263</v>
      </c>
      <c r="N1727" t="s">
        <v>46</v>
      </c>
      <c r="P1727" t="s">
        <v>1749</v>
      </c>
      <c r="R1727" s="5">
        <v>41622.567962962959</v>
      </c>
      <c r="S1727" s="5">
        <v>42649.839409722219</v>
      </c>
      <c r="T1727" t="s">
        <v>1529</v>
      </c>
      <c r="U1727" t="s">
        <v>35</v>
      </c>
      <c r="V1727" s="3" t="s">
        <v>35</v>
      </c>
      <c r="W1727" s="3" t="s">
        <v>3039</v>
      </c>
      <c r="AM1727" s="5"/>
      <c r="AN1727" s="5"/>
      <c r="AQ1727" s="6"/>
    </row>
    <row r="1728" spans="2:43" x14ac:dyDescent="0.25">
      <c r="B1728" t="s">
        <v>2016</v>
      </c>
      <c r="C1728">
        <v>37753</v>
      </c>
      <c r="D1728" t="s">
        <v>2020</v>
      </c>
      <c r="E1728" t="s">
        <v>387</v>
      </c>
      <c r="F1728" t="s">
        <v>305</v>
      </c>
      <c r="G1728" t="s">
        <v>310</v>
      </c>
      <c r="H1728" t="s">
        <v>30</v>
      </c>
      <c r="I1728" t="s">
        <v>68</v>
      </c>
      <c r="J1728" t="s">
        <v>43</v>
      </c>
      <c r="K1728" t="s">
        <v>33</v>
      </c>
      <c r="L1728" t="s">
        <v>73</v>
      </c>
      <c r="M1728" t="s">
        <v>263</v>
      </c>
      <c r="N1728" t="s">
        <v>46</v>
      </c>
      <c r="P1728" t="s">
        <v>1749</v>
      </c>
      <c r="R1728" s="5">
        <v>41622.567835648151</v>
      </c>
      <c r="S1728" s="5">
        <v>42649.839444444442</v>
      </c>
      <c r="T1728" t="s">
        <v>1529</v>
      </c>
      <c r="U1728" t="s">
        <v>35</v>
      </c>
      <c r="V1728" s="3" t="s">
        <v>35</v>
      </c>
      <c r="W1728" s="3" t="s">
        <v>2552</v>
      </c>
      <c r="AM1728" s="5"/>
      <c r="AN1728" s="5"/>
      <c r="AQ1728" s="6"/>
    </row>
    <row r="1729" spans="2:43" x14ac:dyDescent="0.25">
      <c r="B1729" t="s">
        <v>2016</v>
      </c>
      <c r="C1729">
        <v>37752</v>
      </c>
      <c r="D1729" t="s">
        <v>2019</v>
      </c>
      <c r="E1729" t="s">
        <v>387</v>
      </c>
      <c r="F1729" t="s">
        <v>305</v>
      </c>
      <c r="G1729" t="s">
        <v>310</v>
      </c>
      <c r="H1729" t="s">
        <v>30</v>
      </c>
      <c r="I1729" t="s">
        <v>35</v>
      </c>
      <c r="J1729" t="s">
        <v>43</v>
      </c>
      <c r="K1729" t="s">
        <v>33</v>
      </c>
      <c r="L1729" t="s">
        <v>73</v>
      </c>
      <c r="M1729" t="s">
        <v>263</v>
      </c>
      <c r="N1729" t="s">
        <v>46</v>
      </c>
      <c r="P1729" t="s">
        <v>1749</v>
      </c>
      <c r="R1729" s="5">
        <v>41622.567743055559</v>
      </c>
      <c r="S1729" s="5">
        <v>42649.839930555558</v>
      </c>
      <c r="T1729" t="s">
        <v>1529</v>
      </c>
      <c r="U1729" t="s">
        <v>35</v>
      </c>
      <c r="V1729" s="3" t="s">
        <v>35</v>
      </c>
      <c r="W1729" s="3" t="s">
        <v>4132</v>
      </c>
      <c r="AM1729" s="5"/>
      <c r="AN1729" s="5"/>
      <c r="AQ1729" s="6"/>
    </row>
    <row r="1730" spans="2:43" x14ac:dyDescent="0.25">
      <c r="B1730" t="s">
        <v>2016</v>
      </c>
      <c r="C1730">
        <v>37751</v>
      </c>
      <c r="D1730" t="s">
        <v>2018</v>
      </c>
      <c r="E1730" t="s">
        <v>387</v>
      </c>
      <c r="F1730" t="s">
        <v>305</v>
      </c>
      <c r="G1730" t="s">
        <v>310</v>
      </c>
      <c r="H1730" t="s">
        <v>30</v>
      </c>
      <c r="I1730" t="s">
        <v>35</v>
      </c>
      <c r="J1730" t="s">
        <v>43</v>
      </c>
      <c r="K1730" t="s">
        <v>33</v>
      </c>
      <c r="L1730" t="s">
        <v>73</v>
      </c>
      <c r="M1730" t="s">
        <v>263</v>
      </c>
      <c r="N1730" t="s">
        <v>46</v>
      </c>
      <c r="P1730" t="s">
        <v>1749</v>
      </c>
      <c r="R1730" s="5">
        <v>41622.567604166667</v>
      </c>
      <c r="S1730" s="5">
        <v>42649.839409722219</v>
      </c>
      <c r="T1730" t="s">
        <v>1529</v>
      </c>
      <c r="U1730" t="s">
        <v>35</v>
      </c>
      <c r="V1730" s="3" t="s">
        <v>35</v>
      </c>
      <c r="W1730" s="3" t="s">
        <v>394</v>
      </c>
      <c r="AM1730" s="5"/>
      <c r="AN1730" s="5"/>
      <c r="AQ1730" s="6"/>
    </row>
    <row r="1731" spans="2:43" x14ac:dyDescent="0.25">
      <c r="B1731" t="s">
        <v>2016</v>
      </c>
      <c r="C1731">
        <v>37742</v>
      </c>
      <c r="D1731" t="s">
        <v>2017</v>
      </c>
      <c r="E1731" t="s">
        <v>387</v>
      </c>
      <c r="F1731" t="s">
        <v>305</v>
      </c>
      <c r="G1731" t="s">
        <v>328</v>
      </c>
      <c r="H1731" t="s">
        <v>30</v>
      </c>
      <c r="I1731" t="s">
        <v>35</v>
      </c>
      <c r="J1731" t="s">
        <v>43</v>
      </c>
      <c r="K1731" t="s">
        <v>33</v>
      </c>
      <c r="L1731" t="s">
        <v>73</v>
      </c>
      <c r="M1731" t="s">
        <v>263</v>
      </c>
      <c r="N1731" t="s">
        <v>46</v>
      </c>
      <c r="P1731" t="s">
        <v>1749</v>
      </c>
      <c r="R1731" s="5">
        <v>41621.965405092589</v>
      </c>
      <c r="S1731" s="5">
        <v>42649.83934027778</v>
      </c>
      <c r="T1731" t="s">
        <v>1700</v>
      </c>
      <c r="U1731" t="s">
        <v>35</v>
      </c>
      <c r="V1731" s="3" t="s">
        <v>35</v>
      </c>
      <c r="W1731" s="3" t="s">
        <v>4098</v>
      </c>
      <c r="AM1731" s="5"/>
      <c r="AN1731" s="5"/>
      <c r="AQ1731" s="6"/>
    </row>
    <row r="1732" spans="2:43" x14ac:dyDescent="0.25">
      <c r="B1732" t="s">
        <v>1903</v>
      </c>
      <c r="C1732">
        <v>37696</v>
      </c>
      <c r="D1732" t="s">
        <v>2015</v>
      </c>
      <c r="E1732" t="s">
        <v>387</v>
      </c>
      <c r="F1732" t="s">
        <v>305</v>
      </c>
      <c r="G1732" t="s">
        <v>310</v>
      </c>
      <c r="H1732" t="s">
        <v>30</v>
      </c>
      <c r="I1732" t="s">
        <v>68</v>
      </c>
      <c r="J1732" t="s">
        <v>58</v>
      </c>
      <c r="K1732" t="s">
        <v>44</v>
      </c>
      <c r="L1732" t="s">
        <v>73</v>
      </c>
      <c r="M1732" t="s">
        <v>1514</v>
      </c>
      <c r="N1732" t="s">
        <v>46</v>
      </c>
      <c r="P1732" t="s">
        <v>1530</v>
      </c>
      <c r="R1732" s="5">
        <v>41620.831331018519</v>
      </c>
      <c r="S1732" s="5">
        <v>42649.839305555557</v>
      </c>
      <c r="T1732" t="s">
        <v>1529</v>
      </c>
      <c r="U1732" t="s">
        <v>35</v>
      </c>
      <c r="V1732" s="3" t="s">
        <v>35</v>
      </c>
      <c r="W1732" s="3" t="s">
        <v>2552</v>
      </c>
      <c r="AM1732" s="5"/>
      <c r="AN1732" s="5"/>
      <c r="AQ1732" s="6"/>
    </row>
    <row r="1733" spans="2:43" x14ac:dyDescent="0.25">
      <c r="B1733" t="s">
        <v>2000</v>
      </c>
      <c r="C1733">
        <v>37651</v>
      </c>
      <c r="D1733" t="s">
        <v>2014</v>
      </c>
      <c r="E1733" t="s">
        <v>387</v>
      </c>
      <c r="F1733" t="s">
        <v>305</v>
      </c>
      <c r="G1733" t="s">
        <v>337</v>
      </c>
      <c r="H1733" t="s">
        <v>30</v>
      </c>
      <c r="I1733" t="s">
        <v>35</v>
      </c>
      <c r="J1733" t="s">
        <v>43</v>
      </c>
      <c r="K1733" t="s">
        <v>33</v>
      </c>
      <c r="L1733" t="s">
        <v>73</v>
      </c>
      <c r="M1733" t="s">
        <v>1514</v>
      </c>
      <c r="N1733" t="s">
        <v>46</v>
      </c>
      <c r="P1733" t="s">
        <v>1646</v>
      </c>
      <c r="R1733" s="5">
        <v>41619.75099537037</v>
      </c>
      <c r="S1733" s="5">
        <v>42649.83965277778</v>
      </c>
      <c r="T1733" t="s">
        <v>1529</v>
      </c>
      <c r="U1733" t="s">
        <v>35</v>
      </c>
      <c r="V1733" s="3" t="s">
        <v>35</v>
      </c>
      <c r="W1733" s="3" t="s">
        <v>3039</v>
      </c>
      <c r="AM1733" s="5"/>
      <c r="AN1733" s="5"/>
      <c r="AQ1733" s="6"/>
    </row>
    <row r="1734" spans="2:43" x14ac:dyDescent="0.25">
      <c r="B1734" t="s">
        <v>2000</v>
      </c>
      <c r="C1734">
        <v>37650</v>
      </c>
      <c r="D1734" t="s">
        <v>2013</v>
      </c>
      <c r="E1734" t="s">
        <v>387</v>
      </c>
      <c r="F1734" t="s">
        <v>305</v>
      </c>
      <c r="G1734" t="s">
        <v>304</v>
      </c>
      <c r="H1734" t="s">
        <v>30</v>
      </c>
      <c r="I1734" t="s">
        <v>68</v>
      </c>
      <c r="J1734" t="s">
        <v>43</v>
      </c>
      <c r="K1734" t="s">
        <v>33</v>
      </c>
      <c r="L1734" t="s">
        <v>73</v>
      </c>
      <c r="M1734" t="s">
        <v>1514</v>
      </c>
      <c r="N1734" t="s">
        <v>2009</v>
      </c>
      <c r="P1734" t="s">
        <v>1646</v>
      </c>
      <c r="R1734" s="5">
        <v>41619.750879629632</v>
      </c>
      <c r="S1734" s="5">
        <v>42648.828067129631</v>
      </c>
      <c r="T1734" t="s">
        <v>1529</v>
      </c>
      <c r="U1734" t="s">
        <v>35</v>
      </c>
      <c r="V1734" s="3" t="s">
        <v>35</v>
      </c>
      <c r="W1734" s="3" t="s">
        <v>2552</v>
      </c>
      <c r="AM1734" s="5"/>
      <c r="AN1734" s="5"/>
      <c r="AQ1734" s="6"/>
    </row>
    <row r="1735" spans="2:43" x14ac:dyDescent="0.25">
      <c r="B1735" t="s">
        <v>2000</v>
      </c>
      <c r="C1735">
        <v>37649</v>
      </c>
      <c r="D1735" t="s">
        <v>2012</v>
      </c>
      <c r="E1735" t="s">
        <v>387</v>
      </c>
      <c r="F1735" t="s">
        <v>305</v>
      </c>
      <c r="G1735" t="s">
        <v>337</v>
      </c>
      <c r="H1735" t="s">
        <v>30</v>
      </c>
      <c r="I1735" t="s">
        <v>35</v>
      </c>
      <c r="J1735" t="s">
        <v>43</v>
      </c>
      <c r="K1735" t="s">
        <v>33</v>
      </c>
      <c r="L1735" t="s">
        <v>73</v>
      </c>
      <c r="M1735" t="s">
        <v>1514</v>
      </c>
      <c r="N1735" t="s">
        <v>46</v>
      </c>
      <c r="P1735" t="s">
        <v>1646</v>
      </c>
      <c r="R1735" s="5">
        <v>41619.750578703701</v>
      </c>
      <c r="S1735" s="5">
        <v>42649.839780092596</v>
      </c>
      <c r="T1735" t="s">
        <v>1529</v>
      </c>
      <c r="U1735" t="s">
        <v>35</v>
      </c>
      <c r="V1735" s="3" t="s">
        <v>35</v>
      </c>
      <c r="W1735" s="3" t="s">
        <v>1634</v>
      </c>
      <c r="AM1735" s="5"/>
      <c r="AN1735" s="5"/>
      <c r="AQ1735" s="6"/>
    </row>
    <row r="1736" spans="2:43" x14ac:dyDescent="0.25">
      <c r="B1736" t="s">
        <v>2000</v>
      </c>
      <c r="C1736">
        <v>37648</v>
      </c>
      <c r="D1736" t="s">
        <v>2011</v>
      </c>
      <c r="E1736" t="s">
        <v>387</v>
      </c>
      <c r="F1736" t="s">
        <v>305</v>
      </c>
      <c r="G1736" t="s">
        <v>310</v>
      </c>
      <c r="H1736" t="s">
        <v>30</v>
      </c>
      <c r="I1736" t="s">
        <v>35</v>
      </c>
      <c r="J1736" t="s">
        <v>43</v>
      </c>
      <c r="K1736" t="s">
        <v>33</v>
      </c>
      <c r="L1736" t="s">
        <v>73</v>
      </c>
      <c r="M1736" t="s">
        <v>1514</v>
      </c>
      <c r="N1736" t="s">
        <v>46</v>
      </c>
      <c r="P1736" t="s">
        <v>1646</v>
      </c>
      <c r="R1736" s="5">
        <v>41619.75037037037</v>
      </c>
      <c r="S1736" s="5">
        <v>42649.839479166665</v>
      </c>
      <c r="T1736" t="s">
        <v>1529</v>
      </c>
      <c r="U1736" t="s">
        <v>35</v>
      </c>
      <c r="V1736" s="3" t="s">
        <v>35</v>
      </c>
      <c r="W1736" s="3" t="s">
        <v>394</v>
      </c>
      <c r="AM1736" s="5"/>
      <c r="AN1736" s="5"/>
      <c r="AQ1736" s="6"/>
    </row>
    <row r="1737" spans="2:43" x14ac:dyDescent="0.25">
      <c r="B1737" t="s">
        <v>2003</v>
      </c>
      <c r="C1737">
        <v>37576</v>
      </c>
      <c r="D1737" t="s">
        <v>2010</v>
      </c>
      <c r="E1737" t="s">
        <v>387</v>
      </c>
      <c r="F1737" t="s">
        <v>305</v>
      </c>
      <c r="G1737" t="s">
        <v>337</v>
      </c>
      <c r="H1737" t="s">
        <v>30</v>
      </c>
      <c r="I1737" t="s">
        <v>35</v>
      </c>
      <c r="J1737" t="s">
        <v>43</v>
      </c>
      <c r="K1737" t="s">
        <v>33</v>
      </c>
      <c r="L1737" t="s">
        <v>73</v>
      </c>
      <c r="M1737" t="s">
        <v>263</v>
      </c>
      <c r="N1737" t="s">
        <v>46</v>
      </c>
      <c r="P1737" t="s">
        <v>1749</v>
      </c>
      <c r="R1737" s="5">
        <v>41618.617997685185</v>
      </c>
      <c r="S1737" s="5">
        <v>42649.839722222219</v>
      </c>
      <c r="T1737" t="s">
        <v>1529</v>
      </c>
      <c r="U1737" t="s">
        <v>35</v>
      </c>
      <c r="V1737" s="3" t="s">
        <v>35</v>
      </c>
      <c r="W1737" s="3" t="s">
        <v>3039</v>
      </c>
      <c r="AM1737" s="5"/>
      <c r="AN1737" s="5"/>
      <c r="AQ1737" s="6"/>
    </row>
    <row r="1738" spans="2:43" x14ac:dyDescent="0.25">
      <c r="B1738" t="s">
        <v>2003</v>
      </c>
      <c r="C1738">
        <v>37575</v>
      </c>
      <c r="D1738" t="s">
        <v>2008</v>
      </c>
      <c r="E1738" t="s">
        <v>387</v>
      </c>
      <c r="F1738" t="s">
        <v>305</v>
      </c>
      <c r="G1738" t="s">
        <v>304</v>
      </c>
      <c r="H1738" t="s">
        <v>30</v>
      </c>
      <c r="I1738" t="s">
        <v>68</v>
      </c>
      <c r="J1738" t="s">
        <v>43</v>
      </c>
      <c r="K1738" t="s">
        <v>33</v>
      </c>
      <c r="L1738" t="s">
        <v>73</v>
      </c>
      <c r="M1738" t="s">
        <v>263</v>
      </c>
      <c r="N1738" t="s">
        <v>2009</v>
      </c>
      <c r="P1738" t="s">
        <v>1749</v>
      </c>
      <c r="R1738" s="5">
        <v>41618.617812500001</v>
      </c>
      <c r="S1738" s="5">
        <v>42648.827835648146</v>
      </c>
      <c r="T1738" t="s">
        <v>1529</v>
      </c>
      <c r="U1738" t="s">
        <v>35</v>
      </c>
      <c r="V1738" s="3" t="s">
        <v>35</v>
      </c>
      <c r="W1738" s="3" t="s">
        <v>2552</v>
      </c>
      <c r="AM1738" s="5"/>
      <c r="AN1738" s="5"/>
      <c r="AQ1738" s="6"/>
    </row>
    <row r="1739" spans="2:43" x14ac:dyDescent="0.25">
      <c r="B1739" t="s">
        <v>2003</v>
      </c>
      <c r="C1739">
        <v>37574</v>
      </c>
      <c r="D1739" t="s">
        <v>2006</v>
      </c>
      <c r="E1739" t="s">
        <v>387</v>
      </c>
      <c r="F1739" t="s">
        <v>305</v>
      </c>
      <c r="G1739" t="s">
        <v>304</v>
      </c>
      <c r="H1739" t="s">
        <v>30</v>
      </c>
      <c r="I1739" t="s">
        <v>35</v>
      </c>
      <c r="J1739" t="s">
        <v>43</v>
      </c>
      <c r="K1739" t="s">
        <v>33</v>
      </c>
      <c r="L1739" t="s">
        <v>73</v>
      </c>
      <c r="M1739" t="s">
        <v>263</v>
      </c>
      <c r="N1739" t="s">
        <v>46</v>
      </c>
      <c r="O1739" t="s">
        <v>2007</v>
      </c>
      <c r="P1739" t="s">
        <v>1749</v>
      </c>
      <c r="R1739" s="5">
        <v>41618.617673611108</v>
      </c>
      <c r="S1739" s="5">
        <v>42648.828298611108</v>
      </c>
      <c r="T1739" t="s">
        <v>1529</v>
      </c>
      <c r="U1739" t="s">
        <v>35</v>
      </c>
      <c r="V1739" s="3" t="s">
        <v>35</v>
      </c>
      <c r="W1739" s="3" t="s">
        <v>4131</v>
      </c>
      <c r="AM1739" s="5"/>
      <c r="AN1739" s="5"/>
      <c r="AQ1739" s="6"/>
    </row>
    <row r="1740" spans="2:43" x14ac:dyDescent="0.25">
      <c r="B1740" t="s">
        <v>2003</v>
      </c>
      <c r="C1740">
        <v>37573</v>
      </c>
      <c r="D1740" t="s">
        <v>2005</v>
      </c>
      <c r="E1740" t="s">
        <v>387</v>
      </c>
      <c r="F1740" t="s">
        <v>305</v>
      </c>
      <c r="G1740" t="s">
        <v>304</v>
      </c>
      <c r="H1740" t="s">
        <v>30</v>
      </c>
      <c r="I1740" t="s">
        <v>35</v>
      </c>
      <c r="J1740" t="s">
        <v>43</v>
      </c>
      <c r="K1740" t="s">
        <v>33</v>
      </c>
      <c r="L1740" t="s">
        <v>73</v>
      </c>
      <c r="M1740" t="s">
        <v>263</v>
      </c>
      <c r="N1740" t="s">
        <v>46</v>
      </c>
      <c r="P1740" t="s">
        <v>1749</v>
      </c>
      <c r="R1740" s="5">
        <v>41618.617569444446</v>
      </c>
      <c r="S1740" s="5">
        <v>42648.827291666668</v>
      </c>
      <c r="T1740" t="s">
        <v>1529</v>
      </c>
      <c r="U1740" t="s">
        <v>35</v>
      </c>
      <c r="V1740" s="3" t="s">
        <v>35</v>
      </c>
      <c r="W1740" s="3" t="s">
        <v>4130</v>
      </c>
      <c r="AM1740" s="5"/>
      <c r="AN1740" s="5"/>
      <c r="AQ1740" s="6"/>
    </row>
    <row r="1741" spans="2:43" x14ac:dyDescent="0.25">
      <c r="B1741" t="s">
        <v>2003</v>
      </c>
      <c r="C1741">
        <v>37545</v>
      </c>
      <c r="D1741" t="s">
        <v>2004</v>
      </c>
      <c r="E1741" t="s">
        <v>387</v>
      </c>
      <c r="F1741" t="s">
        <v>305</v>
      </c>
      <c r="G1741" t="s">
        <v>304</v>
      </c>
      <c r="H1741" t="s">
        <v>30</v>
      </c>
      <c r="I1741" t="s">
        <v>35</v>
      </c>
      <c r="J1741" t="s">
        <v>43</v>
      </c>
      <c r="K1741" t="s">
        <v>33</v>
      </c>
      <c r="L1741" t="s">
        <v>73</v>
      </c>
      <c r="M1741" t="s">
        <v>263</v>
      </c>
      <c r="N1741" t="s">
        <v>46</v>
      </c>
      <c r="P1741" t="s">
        <v>1749</v>
      </c>
      <c r="R1741" s="5">
        <v>41617.963020833333</v>
      </c>
      <c r="S1741" s="5">
        <v>41816.554178240738</v>
      </c>
      <c r="T1741" t="s">
        <v>1700</v>
      </c>
      <c r="U1741" t="s">
        <v>35</v>
      </c>
      <c r="V1741" s="3" t="s">
        <v>35</v>
      </c>
      <c r="W1741" s="3" t="s">
        <v>4098</v>
      </c>
      <c r="AM1741" s="5"/>
      <c r="AN1741" s="5"/>
      <c r="AQ1741" s="6"/>
    </row>
    <row r="1742" spans="2:43" x14ac:dyDescent="0.25">
      <c r="B1742" t="s">
        <v>2000</v>
      </c>
      <c r="C1742">
        <v>37471</v>
      </c>
      <c r="D1742" t="s">
        <v>2001</v>
      </c>
      <c r="E1742" t="s">
        <v>2002</v>
      </c>
      <c r="F1742" t="s">
        <v>305</v>
      </c>
      <c r="G1742" t="s">
        <v>304</v>
      </c>
      <c r="H1742" t="s">
        <v>30</v>
      </c>
      <c r="I1742" t="s">
        <v>35</v>
      </c>
      <c r="J1742" t="s">
        <v>43</v>
      </c>
      <c r="K1742" t="s">
        <v>33</v>
      </c>
      <c r="L1742" t="s">
        <v>73</v>
      </c>
      <c r="M1742" t="s">
        <v>1514</v>
      </c>
      <c r="N1742" t="s">
        <v>46</v>
      </c>
      <c r="P1742" t="s">
        <v>1646</v>
      </c>
      <c r="R1742" s="5">
        <v>41616.924976851849</v>
      </c>
      <c r="S1742" s="5">
        <v>42649.900590277779</v>
      </c>
      <c r="T1742" t="s">
        <v>2</v>
      </c>
      <c r="U1742" t="s">
        <v>35</v>
      </c>
      <c r="V1742" s="3" t="s">
        <v>35</v>
      </c>
      <c r="W1742" s="3" t="s">
        <v>4098</v>
      </c>
      <c r="AM1742" s="5"/>
      <c r="AN1742" s="5"/>
      <c r="AQ1742" s="6"/>
    </row>
    <row r="1743" spans="2:43" x14ac:dyDescent="0.25">
      <c r="B1743" t="s">
        <v>1993</v>
      </c>
      <c r="C1743">
        <v>37355</v>
      </c>
      <c r="D1743" t="s">
        <v>1999</v>
      </c>
      <c r="E1743" t="s">
        <v>387</v>
      </c>
      <c r="F1743" t="s">
        <v>305</v>
      </c>
      <c r="G1743" t="s">
        <v>304</v>
      </c>
      <c r="H1743" t="s">
        <v>30</v>
      </c>
      <c r="I1743" t="s">
        <v>35</v>
      </c>
      <c r="J1743" t="s">
        <v>43</v>
      </c>
      <c r="K1743" t="s">
        <v>44</v>
      </c>
      <c r="L1743" t="s">
        <v>73</v>
      </c>
      <c r="M1743" t="s">
        <v>1514</v>
      </c>
      <c r="N1743" t="s">
        <v>46</v>
      </c>
      <c r="O1743" t="s">
        <v>1969</v>
      </c>
      <c r="P1743" t="s">
        <v>1749</v>
      </c>
      <c r="R1743" s="5">
        <v>41611.976736111108</v>
      </c>
      <c r="S1743" s="5">
        <v>42648.827256944445</v>
      </c>
      <c r="T1743" t="s">
        <v>1529</v>
      </c>
      <c r="U1743" t="s">
        <v>35</v>
      </c>
      <c r="V1743" s="3" t="s">
        <v>35</v>
      </c>
      <c r="W1743" s="3" t="s">
        <v>4127</v>
      </c>
      <c r="AM1743" s="5"/>
      <c r="AN1743" s="5"/>
      <c r="AQ1743" s="6"/>
    </row>
    <row r="1744" spans="2:43" x14ac:dyDescent="0.25">
      <c r="B1744" t="s">
        <v>1993</v>
      </c>
      <c r="C1744">
        <v>37354</v>
      </c>
      <c r="D1744" t="s">
        <v>1997</v>
      </c>
      <c r="E1744" t="s">
        <v>387</v>
      </c>
      <c r="F1744" t="s">
        <v>305</v>
      </c>
      <c r="G1744" t="s">
        <v>304</v>
      </c>
      <c r="H1744" t="s">
        <v>30</v>
      </c>
      <c r="I1744" t="s">
        <v>31</v>
      </c>
      <c r="J1744" t="s">
        <v>43</v>
      </c>
      <c r="K1744" t="s">
        <v>44</v>
      </c>
      <c r="L1744" t="s">
        <v>73</v>
      </c>
      <c r="M1744" t="s">
        <v>1514</v>
      </c>
      <c r="N1744" t="s">
        <v>1998</v>
      </c>
      <c r="P1744" t="s">
        <v>1749</v>
      </c>
      <c r="R1744" s="5">
        <v>41611.976620370369</v>
      </c>
      <c r="S1744" s="5">
        <v>42648.826956018522</v>
      </c>
      <c r="T1744" t="s">
        <v>1529</v>
      </c>
      <c r="U1744" t="s">
        <v>35</v>
      </c>
      <c r="V1744" s="3" t="s">
        <v>35</v>
      </c>
      <c r="W1744" s="3" t="s">
        <v>2552</v>
      </c>
      <c r="AM1744" s="5"/>
      <c r="AN1744" s="5"/>
      <c r="AQ1744" s="6"/>
    </row>
    <row r="1745" spans="2:43" x14ac:dyDescent="0.25">
      <c r="B1745" t="s">
        <v>1993</v>
      </c>
      <c r="C1745">
        <v>37353</v>
      </c>
      <c r="D1745" t="s">
        <v>1996</v>
      </c>
      <c r="E1745" t="s">
        <v>1864</v>
      </c>
      <c r="F1745" t="s">
        <v>305</v>
      </c>
      <c r="G1745" t="s">
        <v>304</v>
      </c>
      <c r="H1745" t="s">
        <v>30</v>
      </c>
      <c r="I1745" t="s">
        <v>35</v>
      </c>
      <c r="J1745" t="s">
        <v>43</v>
      </c>
      <c r="K1745" t="s">
        <v>44</v>
      </c>
      <c r="L1745" t="s">
        <v>73</v>
      </c>
      <c r="M1745" t="s">
        <v>1514</v>
      </c>
      <c r="N1745" t="s">
        <v>46</v>
      </c>
      <c r="P1745" t="s">
        <v>1749</v>
      </c>
      <c r="R1745" s="5">
        <v>41611.9765162037</v>
      </c>
      <c r="S1745" s="5">
        <v>42648.827233796299</v>
      </c>
      <c r="T1745" t="s">
        <v>1529</v>
      </c>
      <c r="U1745" t="s">
        <v>35</v>
      </c>
      <c r="V1745" s="3" t="s">
        <v>35</v>
      </c>
      <c r="W1745" s="3" t="s">
        <v>1634</v>
      </c>
      <c r="AM1745" s="5"/>
      <c r="AN1745" s="5"/>
      <c r="AQ1745" s="6"/>
    </row>
    <row r="1746" spans="2:43" x14ac:dyDescent="0.25">
      <c r="B1746" t="s">
        <v>1993</v>
      </c>
      <c r="C1746">
        <v>37352</v>
      </c>
      <c r="D1746" t="s">
        <v>1995</v>
      </c>
      <c r="E1746" t="s">
        <v>387</v>
      </c>
      <c r="F1746" t="s">
        <v>305</v>
      </c>
      <c r="G1746" t="s">
        <v>304</v>
      </c>
      <c r="H1746" t="s">
        <v>30</v>
      </c>
      <c r="I1746" t="s">
        <v>35</v>
      </c>
      <c r="J1746" t="s">
        <v>43</v>
      </c>
      <c r="K1746" t="s">
        <v>44</v>
      </c>
      <c r="L1746" t="s">
        <v>73</v>
      </c>
      <c r="M1746" t="s">
        <v>1514</v>
      </c>
      <c r="N1746" t="s">
        <v>46</v>
      </c>
      <c r="P1746" t="s">
        <v>1749</v>
      </c>
      <c r="R1746" s="5">
        <v>41611.976284722223</v>
      </c>
      <c r="S1746" s="5">
        <v>42648.827152777776</v>
      </c>
      <c r="T1746" t="s">
        <v>1529</v>
      </c>
      <c r="U1746" t="s">
        <v>35</v>
      </c>
      <c r="V1746" s="3" t="s">
        <v>35</v>
      </c>
      <c r="W1746" s="3" t="s">
        <v>4123</v>
      </c>
      <c r="AM1746" s="5"/>
      <c r="AN1746" s="5"/>
      <c r="AQ1746" s="6"/>
    </row>
    <row r="1747" spans="2:43" x14ac:dyDescent="0.25">
      <c r="B1747" t="s">
        <v>1993</v>
      </c>
      <c r="C1747">
        <v>37351</v>
      </c>
      <c r="D1747" t="s">
        <v>1994</v>
      </c>
      <c r="E1747" t="s">
        <v>387</v>
      </c>
      <c r="F1747" t="s">
        <v>305</v>
      </c>
      <c r="G1747" t="s">
        <v>304</v>
      </c>
      <c r="H1747" t="s">
        <v>30</v>
      </c>
      <c r="I1747" t="s">
        <v>35</v>
      </c>
      <c r="J1747" t="s">
        <v>43</v>
      </c>
      <c r="K1747" t="s">
        <v>44</v>
      </c>
      <c r="L1747" t="s">
        <v>73</v>
      </c>
      <c r="M1747" t="s">
        <v>1514</v>
      </c>
      <c r="N1747" t="s">
        <v>46</v>
      </c>
      <c r="P1747" t="s">
        <v>1749</v>
      </c>
      <c r="R1747" s="5">
        <v>41611.971053240741</v>
      </c>
      <c r="S1747" s="5">
        <v>41816.554340277777</v>
      </c>
      <c r="T1747" t="s">
        <v>1700</v>
      </c>
      <c r="U1747" t="s">
        <v>35</v>
      </c>
      <c r="V1747" s="3" t="s">
        <v>35</v>
      </c>
      <c r="W1747" s="3" t="s">
        <v>4098</v>
      </c>
      <c r="AM1747" s="5"/>
      <c r="AN1747" s="5"/>
      <c r="AQ1747" s="6"/>
    </row>
    <row r="1748" spans="2:43" x14ac:dyDescent="0.25">
      <c r="B1748" t="s">
        <v>1970</v>
      </c>
      <c r="C1748">
        <v>37165</v>
      </c>
      <c r="D1748" t="s">
        <v>1992</v>
      </c>
      <c r="E1748" t="s">
        <v>84</v>
      </c>
      <c r="F1748" t="s">
        <v>305</v>
      </c>
      <c r="G1748" t="s">
        <v>310</v>
      </c>
      <c r="H1748" t="s">
        <v>54</v>
      </c>
      <c r="I1748" t="s">
        <v>31</v>
      </c>
      <c r="J1748" t="s">
        <v>43</v>
      </c>
      <c r="K1748" t="s">
        <v>44</v>
      </c>
      <c r="L1748" t="s">
        <v>73</v>
      </c>
      <c r="M1748" t="s">
        <v>263</v>
      </c>
      <c r="N1748" t="s">
        <v>46</v>
      </c>
      <c r="P1748" t="s">
        <v>1749</v>
      </c>
      <c r="R1748" s="5">
        <v>41604.649282407408</v>
      </c>
      <c r="S1748" s="5">
        <v>42649.83971064815</v>
      </c>
      <c r="T1748" t="s">
        <v>1529</v>
      </c>
      <c r="U1748" t="s">
        <v>35</v>
      </c>
      <c r="V1748" s="3" t="s">
        <v>35</v>
      </c>
      <c r="W1748" s="3" t="s">
        <v>2552</v>
      </c>
      <c r="AM1748" s="5"/>
      <c r="AN1748" s="5"/>
      <c r="AQ1748" s="6"/>
    </row>
    <row r="1749" spans="2:43" x14ac:dyDescent="0.25">
      <c r="B1749" t="s">
        <v>1975</v>
      </c>
      <c r="C1749">
        <v>37164</v>
      </c>
      <c r="D1749" t="s">
        <v>1991</v>
      </c>
      <c r="E1749" t="s">
        <v>387</v>
      </c>
      <c r="F1749" t="s">
        <v>305</v>
      </c>
      <c r="G1749" t="s">
        <v>310</v>
      </c>
      <c r="H1749" t="s">
        <v>30</v>
      </c>
      <c r="I1749" t="s">
        <v>31</v>
      </c>
      <c r="J1749" t="s">
        <v>32</v>
      </c>
      <c r="K1749" t="s">
        <v>51</v>
      </c>
      <c r="L1749" t="s">
        <v>73</v>
      </c>
      <c r="M1749" t="s">
        <v>1514</v>
      </c>
      <c r="N1749" t="s">
        <v>46</v>
      </c>
      <c r="P1749" t="s">
        <v>1749</v>
      </c>
      <c r="R1749" s="5">
        <v>41604.649039351854</v>
      </c>
      <c r="S1749" s="5">
        <v>42649.839097222219</v>
      </c>
      <c r="T1749" t="s">
        <v>1529</v>
      </c>
      <c r="U1749" t="s">
        <v>35</v>
      </c>
      <c r="V1749" s="3" t="s">
        <v>35</v>
      </c>
      <c r="W1749" s="3" t="s">
        <v>2552</v>
      </c>
      <c r="AM1749" s="5"/>
      <c r="AN1749" s="5"/>
      <c r="AQ1749" s="6"/>
    </row>
    <row r="1750" spans="2:43" x14ac:dyDescent="0.25">
      <c r="B1750" t="s">
        <v>1980</v>
      </c>
      <c r="C1750">
        <v>37161</v>
      </c>
      <c r="D1750" t="s">
        <v>1990</v>
      </c>
      <c r="E1750" t="s">
        <v>1700</v>
      </c>
      <c r="F1750" t="s">
        <v>305</v>
      </c>
      <c r="G1750" t="s">
        <v>310</v>
      </c>
      <c r="H1750" t="s">
        <v>30</v>
      </c>
      <c r="I1750" t="s">
        <v>31</v>
      </c>
      <c r="J1750" t="s">
        <v>43</v>
      </c>
      <c r="K1750" t="s">
        <v>44</v>
      </c>
      <c r="L1750" t="s">
        <v>73</v>
      </c>
      <c r="M1750" t="s">
        <v>263</v>
      </c>
      <c r="N1750" t="s">
        <v>46</v>
      </c>
      <c r="P1750" t="s">
        <v>1749</v>
      </c>
      <c r="R1750" s="5">
        <v>41604.648136574076</v>
      </c>
      <c r="S1750" s="5">
        <v>42649.839421296296</v>
      </c>
      <c r="T1750" t="s">
        <v>1529</v>
      </c>
      <c r="U1750" t="s">
        <v>35</v>
      </c>
      <c r="V1750" s="3" t="s">
        <v>35</v>
      </c>
      <c r="W1750" s="3" t="s">
        <v>2552</v>
      </c>
      <c r="AM1750" s="5"/>
      <c r="AN1750" s="5"/>
      <c r="AQ1750" s="6"/>
    </row>
    <row r="1751" spans="2:43" x14ac:dyDescent="0.25">
      <c r="B1751" t="s">
        <v>2022</v>
      </c>
      <c r="C1751">
        <v>37039</v>
      </c>
      <c r="D1751" t="s">
        <v>3807</v>
      </c>
      <c r="E1751" t="s">
        <v>3787</v>
      </c>
      <c r="F1751" t="s">
        <v>305</v>
      </c>
      <c r="G1751" t="s">
        <v>304</v>
      </c>
      <c r="H1751" t="s">
        <v>54</v>
      </c>
      <c r="I1751" t="s">
        <v>31</v>
      </c>
      <c r="J1751" t="s">
        <v>43</v>
      </c>
      <c r="K1751" t="s">
        <v>44</v>
      </c>
      <c r="L1751" t="s">
        <v>34</v>
      </c>
      <c r="M1751" t="s">
        <v>3780</v>
      </c>
      <c r="N1751" t="s">
        <v>46</v>
      </c>
      <c r="O1751" t="s">
        <v>3808</v>
      </c>
      <c r="P1751" t="s">
        <v>2180</v>
      </c>
      <c r="Q1751" t="s">
        <v>3809</v>
      </c>
      <c r="R1751" s="5">
        <v>41600.678842592592</v>
      </c>
      <c r="S1751" s="5">
        <v>42649.917488425926</v>
      </c>
      <c r="T1751" t="s">
        <v>300</v>
      </c>
      <c r="U1751" t="s">
        <v>35</v>
      </c>
      <c r="V1751" s="3" t="s">
        <v>35</v>
      </c>
      <c r="W1751" s="3" t="s">
        <v>4098</v>
      </c>
      <c r="AM1751" s="5"/>
      <c r="AN1751" s="5"/>
      <c r="AQ1751" s="6"/>
    </row>
    <row r="1752" spans="2:43" x14ac:dyDescent="0.25">
      <c r="B1752" t="s">
        <v>1985</v>
      </c>
      <c r="C1752">
        <v>36717</v>
      </c>
      <c r="D1752" t="s">
        <v>1989</v>
      </c>
      <c r="E1752" t="s">
        <v>387</v>
      </c>
      <c r="F1752" t="s">
        <v>305</v>
      </c>
      <c r="G1752" t="s">
        <v>337</v>
      </c>
      <c r="H1752" t="s">
        <v>30</v>
      </c>
      <c r="I1752" t="s">
        <v>35</v>
      </c>
      <c r="J1752" t="s">
        <v>32</v>
      </c>
      <c r="K1752" t="s">
        <v>44</v>
      </c>
      <c r="L1752" t="s">
        <v>73</v>
      </c>
      <c r="M1752" t="s">
        <v>1514</v>
      </c>
      <c r="N1752" t="s">
        <v>46</v>
      </c>
      <c r="P1752" t="s">
        <v>1749</v>
      </c>
      <c r="R1752" s="5">
        <v>41591.889687499999</v>
      </c>
      <c r="S1752" s="5">
        <v>42649.838055555556</v>
      </c>
      <c r="T1752" t="s">
        <v>1529</v>
      </c>
      <c r="U1752" t="s">
        <v>35</v>
      </c>
      <c r="V1752" s="3" t="s">
        <v>35</v>
      </c>
      <c r="W1752" s="3" t="s">
        <v>3039</v>
      </c>
      <c r="AM1752" s="5"/>
      <c r="AN1752" s="5"/>
      <c r="AQ1752" s="6"/>
    </row>
    <row r="1753" spans="2:43" x14ac:dyDescent="0.25">
      <c r="B1753" t="s">
        <v>1985</v>
      </c>
      <c r="C1753">
        <v>36716</v>
      </c>
      <c r="D1753" t="s">
        <v>1988</v>
      </c>
      <c r="E1753" t="s">
        <v>387</v>
      </c>
      <c r="F1753" t="s">
        <v>305</v>
      </c>
      <c r="G1753" t="s">
        <v>1701</v>
      </c>
      <c r="H1753" t="s">
        <v>30</v>
      </c>
      <c r="I1753" t="s">
        <v>35</v>
      </c>
      <c r="J1753" t="s">
        <v>32</v>
      </c>
      <c r="K1753" t="s">
        <v>44</v>
      </c>
      <c r="L1753" t="s">
        <v>73</v>
      </c>
      <c r="M1753" t="s">
        <v>1514</v>
      </c>
      <c r="N1753" t="s">
        <v>46</v>
      </c>
      <c r="P1753" t="s">
        <v>1749</v>
      </c>
      <c r="R1753" s="5">
        <v>41591.889224537037</v>
      </c>
      <c r="S1753" s="5">
        <v>42649.83834490741</v>
      </c>
      <c r="T1753" t="s">
        <v>1529</v>
      </c>
      <c r="U1753" t="s">
        <v>35</v>
      </c>
      <c r="V1753" s="3" t="s">
        <v>35</v>
      </c>
      <c r="W1753" s="3" t="s">
        <v>1634</v>
      </c>
      <c r="AM1753" s="5"/>
      <c r="AN1753" s="5"/>
      <c r="AQ1753" s="6"/>
    </row>
    <row r="1754" spans="2:43" x14ac:dyDescent="0.25">
      <c r="B1754" t="s">
        <v>1985</v>
      </c>
      <c r="C1754">
        <v>36715</v>
      </c>
      <c r="D1754" t="s">
        <v>1987</v>
      </c>
      <c r="E1754" t="s">
        <v>387</v>
      </c>
      <c r="F1754" t="s">
        <v>305</v>
      </c>
      <c r="G1754" t="s">
        <v>1701</v>
      </c>
      <c r="H1754" t="s">
        <v>30</v>
      </c>
      <c r="I1754" t="s">
        <v>35</v>
      </c>
      <c r="J1754" t="s">
        <v>32</v>
      </c>
      <c r="K1754" t="s">
        <v>35</v>
      </c>
      <c r="L1754" t="s">
        <v>73</v>
      </c>
      <c r="M1754" t="s">
        <v>1514</v>
      </c>
      <c r="N1754" t="s">
        <v>46</v>
      </c>
      <c r="P1754" t="s">
        <v>1749</v>
      </c>
      <c r="R1754" s="5">
        <v>41591.889050925929</v>
      </c>
      <c r="S1754" s="5">
        <v>42649.838680555556</v>
      </c>
      <c r="T1754" t="s">
        <v>1529</v>
      </c>
      <c r="U1754" t="s">
        <v>35</v>
      </c>
      <c r="V1754" s="3" t="s">
        <v>35</v>
      </c>
      <c r="W1754" s="3" t="s">
        <v>394</v>
      </c>
      <c r="AM1754" s="5"/>
      <c r="AN1754" s="5"/>
      <c r="AQ1754" s="6"/>
    </row>
    <row r="1755" spans="2:43" x14ac:dyDescent="0.25">
      <c r="B1755" t="s">
        <v>1985</v>
      </c>
      <c r="C1755">
        <v>36714</v>
      </c>
      <c r="D1755" t="s">
        <v>1986</v>
      </c>
      <c r="E1755" t="s">
        <v>387</v>
      </c>
      <c r="F1755" t="s">
        <v>305</v>
      </c>
      <c r="G1755" t="s">
        <v>304</v>
      </c>
      <c r="H1755" t="s">
        <v>30</v>
      </c>
      <c r="I1755" t="s">
        <v>35</v>
      </c>
      <c r="J1755" t="s">
        <v>32</v>
      </c>
      <c r="K1755" t="s">
        <v>44</v>
      </c>
      <c r="L1755" t="s">
        <v>73</v>
      </c>
      <c r="M1755" t="s">
        <v>1514</v>
      </c>
      <c r="N1755" t="s">
        <v>46</v>
      </c>
      <c r="P1755" t="s">
        <v>1749</v>
      </c>
      <c r="R1755" s="5">
        <v>41591.875150462962</v>
      </c>
      <c r="S1755" s="5">
        <v>41816.554120370369</v>
      </c>
      <c r="T1755" t="s">
        <v>1</v>
      </c>
      <c r="U1755" t="s">
        <v>35</v>
      </c>
      <c r="V1755" s="3" t="s">
        <v>35</v>
      </c>
      <c r="W1755" s="3" t="s">
        <v>4098</v>
      </c>
      <c r="AM1755" s="5"/>
      <c r="AN1755" s="5"/>
      <c r="AQ1755" s="6"/>
    </row>
    <row r="1756" spans="2:43" x14ac:dyDescent="0.25">
      <c r="B1756" t="s">
        <v>3803</v>
      </c>
      <c r="C1756">
        <v>36713</v>
      </c>
      <c r="D1756" t="s">
        <v>3806</v>
      </c>
      <c r="E1756" t="s">
        <v>1913</v>
      </c>
      <c r="F1756" t="s">
        <v>305</v>
      </c>
      <c r="G1756" t="s">
        <v>310</v>
      </c>
      <c r="H1756" t="s">
        <v>30</v>
      </c>
      <c r="I1756" t="s">
        <v>35</v>
      </c>
      <c r="J1756" t="s">
        <v>58</v>
      </c>
      <c r="K1756" t="s">
        <v>35</v>
      </c>
      <c r="L1756" t="s">
        <v>34</v>
      </c>
      <c r="M1756" t="s">
        <v>3780</v>
      </c>
      <c r="N1756" t="s">
        <v>46</v>
      </c>
      <c r="P1756" t="s">
        <v>1749</v>
      </c>
      <c r="R1756" s="5">
        <v>41591.873472222222</v>
      </c>
      <c r="S1756" s="5">
        <v>42044.67150462963</v>
      </c>
      <c r="T1756" t="s">
        <v>1913</v>
      </c>
      <c r="U1756" t="s">
        <v>35</v>
      </c>
      <c r="V1756" s="3" t="s">
        <v>35</v>
      </c>
      <c r="W1756" s="3" t="s">
        <v>4122</v>
      </c>
      <c r="AM1756" s="5"/>
      <c r="AN1756" s="5"/>
      <c r="AQ1756" s="6"/>
    </row>
    <row r="1757" spans="2:43" x14ac:dyDescent="0.25">
      <c r="B1757" t="s">
        <v>3803</v>
      </c>
      <c r="C1757">
        <v>36712</v>
      </c>
      <c r="D1757" t="s">
        <v>3805</v>
      </c>
      <c r="E1757" t="s">
        <v>1913</v>
      </c>
      <c r="F1757" t="s">
        <v>305</v>
      </c>
      <c r="G1757" t="s">
        <v>304</v>
      </c>
      <c r="H1757" t="s">
        <v>30</v>
      </c>
      <c r="I1757" t="s">
        <v>35</v>
      </c>
      <c r="J1757" t="s">
        <v>58</v>
      </c>
      <c r="K1757" t="s">
        <v>35</v>
      </c>
      <c r="L1757" t="s">
        <v>34</v>
      </c>
      <c r="M1757" t="s">
        <v>3780</v>
      </c>
      <c r="N1757" t="s">
        <v>46</v>
      </c>
      <c r="O1757" t="s">
        <v>2072</v>
      </c>
      <c r="P1757" t="s">
        <v>1749</v>
      </c>
      <c r="R1757" s="5">
        <v>41591.87159722222</v>
      </c>
      <c r="S1757" s="5">
        <v>42039.742280092592</v>
      </c>
      <c r="T1757" t="s">
        <v>1913</v>
      </c>
      <c r="U1757" t="s">
        <v>35</v>
      </c>
      <c r="V1757" s="3" t="s">
        <v>35</v>
      </c>
      <c r="W1757" s="3" t="s">
        <v>4127</v>
      </c>
      <c r="AM1757" s="5"/>
      <c r="AN1757" s="5"/>
      <c r="AQ1757" s="6"/>
    </row>
    <row r="1758" spans="2:43" x14ac:dyDescent="0.25">
      <c r="B1758" t="s">
        <v>3803</v>
      </c>
      <c r="C1758">
        <v>36661</v>
      </c>
      <c r="D1758" t="s">
        <v>3804</v>
      </c>
      <c r="E1758" t="s">
        <v>2</v>
      </c>
      <c r="F1758" t="s">
        <v>305</v>
      </c>
      <c r="G1758" t="s">
        <v>304</v>
      </c>
      <c r="H1758" t="s">
        <v>30</v>
      </c>
      <c r="I1758" t="s">
        <v>35</v>
      </c>
      <c r="J1758" t="s">
        <v>58</v>
      </c>
      <c r="K1758" t="s">
        <v>35</v>
      </c>
      <c r="L1758" t="s">
        <v>34</v>
      </c>
      <c r="M1758" t="s">
        <v>3780</v>
      </c>
      <c r="N1758" t="s">
        <v>46</v>
      </c>
      <c r="P1758" t="s">
        <v>1749</v>
      </c>
      <c r="R1758" s="5">
        <v>41590.745069444441</v>
      </c>
      <c r="S1758" s="5">
        <v>42044.682569444441</v>
      </c>
      <c r="T1758" t="s">
        <v>2</v>
      </c>
      <c r="U1758" t="s">
        <v>35</v>
      </c>
      <c r="V1758" s="3" t="s">
        <v>35</v>
      </c>
      <c r="W1758" s="3" t="s">
        <v>4098</v>
      </c>
      <c r="AM1758" s="5"/>
      <c r="AN1758" s="5"/>
      <c r="AQ1758" s="6"/>
    </row>
    <row r="1759" spans="2:43" x14ac:dyDescent="0.25">
      <c r="B1759" t="s">
        <v>1980</v>
      </c>
      <c r="C1759">
        <v>36589</v>
      </c>
      <c r="D1759" t="s">
        <v>1984</v>
      </c>
      <c r="E1759" t="s">
        <v>387</v>
      </c>
      <c r="F1759" t="s">
        <v>305</v>
      </c>
      <c r="G1759" t="s">
        <v>337</v>
      </c>
      <c r="H1759" t="s">
        <v>30</v>
      </c>
      <c r="I1759" t="s">
        <v>35</v>
      </c>
      <c r="J1759" t="s">
        <v>43</v>
      </c>
      <c r="K1759" t="s">
        <v>44</v>
      </c>
      <c r="L1759" t="s">
        <v>73</v>
      </c>
      <c r="M1759" t="s">
        <v>263</v>
      </c>
      <c r="N1759" t="s">
        <v>46</v>
      </c>
      <c r="P1759" t="s">
        <v>1749</v>
      </c>
      <c r="R1759" s="5">
        <v>41589.79277777778</v>
      </c>
      <c r="S1759" s="5">
        <v>42649.838645833333</v>
      </c>
      <c r="T1759" t="s">
        <v>1529</v>
      </c>
      <c r="U1759" t="s">
        <v>35</v>
      </c>
      <c r="V1759" s="3" t="s">
        <v>35</v>
      </c>
      <c r="W1759" s="3" t="s">
        <v>3039</v>
      </c>
      <c r="AM1759" s="5"/>
      <c r="AN1759" s="5"/>
      <c r="AQ1759" s="6"/>
    </row>
    <row r="1760" spans="2:43" x14ac:dyDescent="0.25">
      <c r="B1760" t="s">
        <v>1980</v>
      </c>
      <c r="C1760">
        <v>36588</v>
      </c>
      <c r="D1760" t="s">
        <v>1983</v>
      </c>
      <c r="E1760" t="s">
        <v>1700</v>
      </c>
      <c r="F1760" t="s">
        <v>305</v>
      </c>
      <c r="G1760" t="s">
        <v>337</v>
      </c>
      <c r="H1760" t="s">
        <v>30</v>
      </c>
      <c r="I1760" t="s">
        <v>35</v>
      </c>
      <c r="J1760" t="s">
        <v>43</v>
      </c>
      <c r="K1760" t="s">
        <v>44</v>
      </c>
      <c r="L1760" t="s">
        <v>73</v>
      </c>
      <c r="M1760" t="s">
        <v>263</v>
      </c>
      <c r="N1760" t="s">
        <v>46</v>
      </c>
      <c r="O1760" t="s">
        <v>1884</v>
      </c>
      <c r="P1760" t="s">
        <v>1749</v>
      </c>
      <c r="R1760" s="5">
        <v>41589.792650462965</v>
      </c>
      <c r="S1760" s="5">
        <v>42649.838553240741</v>
      </c>
      <c r="T1760" t="s">
        <v>1529</v>
      </c>
      <c r="U1760" t="s">
        <v>35</v>
      </c>
      <c r="V1760" s="3" t="s">
        <v>35</v>
      </c>
      <c r="W1760" s="3" t="s">
        <v>1634</v>
      </c>
      <c r="AM1760" s="5"/>
      <c r="AN1760" s="5"/>
      <c r="AQ1760" s="6"/>
    </row>
    <row r="1761" spans="2:43" x14ac:dyDescent="0.25">
      <c r="B1761" t="s">
        <v>1980</v>
      </c>
      <c r="C1761">
        <v>36587</v>
      </c>
      <c r="D1761" t="s">
        <v>1982</v>
      </c>
      <c r="E1761" t="s">
        <v>387</v>
      </c>
      <c r="F1761" t="s">
        <v>305</v>
      </c>
      <c r="G1761" t="s">
        <v>310</v>
      </c>
      <c r="H1761" t="s">
        <v>30</v>
      </c>
      <c r="I1761" t="s">
        <v>35</v>
      </c>
      <c r="J1761" t="s">
        <v>43</v>
      </c>
      <c r="K1761" t="s">
        <v>44</v>
      </c>
      <c r="L1761" t="s">
        <v>73</v>
      </c>
      <c r="M1761" t="s">
        <v>263</v>
      </c>
      <c r="N1761" t="s">
        <v>46</v>
      </c>
      <c r="P1761" t="s">
        <v>1749</v>
      </c>
      <c r="R1761" s="5">
        <v>41589.792546296296</v>
      </c>
      <c r="S1761" s="5">
        <v>42649.838587962964</v>
      </c>
      <c r="T1761" t="s">
        <v>1529</v>
      </c>
      <c r="U1761" t="s">
        <v>35</v>
      </c>
      <c r="V1761" s="3" t="s">
        <v>35</v>
      </c>
      <c r="W1761" s="3" t="s">
        <v>394</v>
      </c>
      <c r="AM1761" s="5"/>
      <c r="AN1761" s="5"/>
      <c r="AQ1761" s="6"/>
    </row>
    <row r="1762" spans="2:43" x14ac:dyDescent="0.25">
      <c r="B1762" t="s">
        <v>1980</v>
      </c>
      <c r="C1762">
        <v>36586</v>
      </c>
      <c r="D1762" t="s">
        <v>1981</v>
      </c>
      <c r="E1762" t="s">
        <v>1700</v>
      </c>
      <c r="F1762" t="s">
        <v>305</v>
      </c>
      <c r="G1762" t="s">
        <v>328</v>
      </c>
      <c r="H1762" t="s">
        <v>30</v>
      </c>
      <c r="I1762" t="s">
        <v>35</v>
      </c>
      <c r="J1762" t="s">
        <v>43</v>
      </c>
      <c r="K1762" t="s">
        <v>44</v>
      </c>
      <c r="L1762" t="s">
        <v>73</v>
      </c>
      <c r="M1762" t="s">
        <v>263</v>
      </c>
      <c r="N1762" t="s">
        <v>46</v>
      </c>
      <c r="P1762" t="s">
        <v>1749</v>
      </c>
      <c r="R1762" s="5">
        <v>41589.716782407406</v>
      </c>
      <c r="S1762" s="5">
        <v>42649.838518518518</v>
      </c>
      <c r="T1762" t="s">
        <v>1700</v>
      </c>
      <c r="U1762" t="s">
        <v>35</v>
      </c>
      <c r="V1762" s="3" t="s">
        <v>35</v>
      </c>
      <c r="W1762" s="3" t="s">
        <v>4098</v>
      </c>
      <c r="AM1762" s="5"/>
      <c r="AN1762" s="5"/>
      <c r="AQ1762" s="6"/>
    </row>
    <row r="1763" spans="2:43" x14ac:dyDescent="0.25">
      <c r="B1763" t="s">
        <v>1975</v>
      </c>
      <c r="C1763">
        <v>36412</v>
      </c>
      <c r="D1763" t="s">
        <v>1979</v>
      </c>
      <c r="E1763" t="s">
        <v>387</v>
      </c>
      <c r="F1763" t="s">
        <v>305</v>
      </c>
      <c r="G1763" t="s">
        <v>328</v>
      </c>
      <c r="H1763" t="s">
        <v>30</v>
      </c>
      <c r="I1763" t="s">
        <v>35</v>
      </c>
      <c r="J1763" t="s">
        <v>32</v>
      </c>
      <c r="K1763" t="s">
        <v>51</v>
      </c>
      <c r="L1763" t="s">
        <v>73</v>
      </c>
      <c r="M1763" t="s">
        <v>1514</v>
      </c>
      <c r="N1763" t="s">
        <v>46</v>
      </c>
      <c r="P1763" t="s">
        <v>1749</v>
      </c>
      <c r="R1763" s="5">
        <v>41582.947337962964</v>
      </c>
      <c r="S1763" s="5">
        <v>42649.838067129633</v>
      </c>
      <c r="T1763" t="s">
        <v>1529</v>
      </c>
      <c r="U1763" t="s">
        <v>35</v>
      </c>
      <c r="V1763" s="3" t="s">
        <v>35</v>
      </c>
      <c r="W1763" s="3" t="s">
        <v>3039</v>
      </c>
      <c r="AM1763" s="5"/>
      <c r="AN1763" s="5"/>
      <c r="AQ1763" s="6"/>
    </row>
    <row r="1764" spans="2:43" x14ac:dyDescent="0.25">
      <c r="B1764" t="s">
        <v>1975</v>
      </c>
      <c r="C1764">
        <v>36411</v>
      </c>
      <c r="D1764" t="s">
        <v>1978</v>
      </c>
      <c r="E1764" t="s">
        <v>387</v>
      </c>
      <c r="F1764" t="s">
        <v>305</v>
      </c>
      <c r="G1764" t="s">
        <v>337</v>
      </c>
      <c r="H1764" t="s">
        <v>30</v>
      </c>
      <c r="I1764" t="s">
        <v>35</v>
      </c>
      <c r="J1764" t="s">
        <v>32</v>
      </c>
      <c r="K1764" t="s">
        <v>51</v>
      </c>
      <c r="L1764" t="s">
        <v>73</v>
      </c>
      <c r="M1764" t="s">
        <v>1514</v>
      </c>
      <c r="N1764" t="s">
        <v>46</v>
      </c>
      <c r="O1764" t="s">
        <v>1710</v>
      </c>
      <c r="P1764" t="s">
        <v>1749</v>
      </c>
      <c r="R1764" s="5">
        <v>41582.947118055556</v>
      </c>
      <c r="S1764" s="5">
        <v>42649.838645833333</v>
      </c>
      <c r="T1764" t="s">
        <v>1529</v>
      </c>
      <c r="U1764" t="s">
        <v>35</v>
      </c>
      <c r="V1764" s="3" t="s">
        <v>35</v>
      </c>
      <c r="W1764" s="3" t="s">
        <v>1634</v>
      </c>
      <c r="AM1764" s="5"/>
      <c r="AN1764" s="5"/>
      <c r="AQ1764" s="6"/>
    </row>
    <row r="1765" spans="2:43" x14ac:dyDescent="0.25">
      <c r="B1765" t="s">
        <v>1975</v>
      </c>
      <c r="C1765">
        <v>36410</v>
      </c>
      <c r="D1765" t="s">
        <v>1977</v>
      </c>
      <c r="E1765" t="s">
        <v>387</v>
      </c>
      <c r="F1765" t="s">
        <v>305</v>
      </c>
      <c r="G1765" t="s">
        <v>310</v>
      </c>
      <c r="H1765" t="s">
        <v>30</v>
      </c>
      <c r="I1765" t="s">
        <v>35</v>
      </c>
      <c r="J1765" t="s">
        <v>32</v>
      </c>
      <c r="K1765" t="s">
        <v>35</v>
      </c>
      <c r="L1765" t="s">
        <v>73</v>
      </c>
      <c r="M1765" t="s">
        <v>1514</v>
      </c>
      <c r="N1765" t="s">
        <v>46</v>
      </c>
      <c r="P1765" t="s">
        <v>1749</v>
      </c>
      <c r="R1765" s="5">
        <v>41582.946967592594</v>
      </c>
      <c r="S1765" s="5">
        <v>42649.838854166665</v>
      </c>
      <c r="T1765" t="s">
        <v>1529</v>
      </c>
      <c r="U1765" t="s">
        <v>35</v>
      </c>
      <c r="V1765" s="3" t="s">
        <v>35</v>
      </c>
      <c r="W1765" s="3" t="s">
        <v>394</v>
      </c>
      <c r="AM1765" s="5"/>
      <c r="AN1765" s="5"/>
      <c r="AQ1765" s="6"/>
    </row>
    <row r="1766" spans="2:43" x14ac:dyDescent="0.25">
      <c r="B1766" t="s">
        <v>1975</v>
      </c>
      <c r="C1766">
        <v>36409</v>
      </c>
      <c r="D1766" t="s">
        <v>1976</v>
      </c>
      <c r="E1766" t="s">
        <v>387</v>
      </c>
      <c r="F1766" t="s">
        <v>305</v>
      </c>
      <c r="G1766" t="s">
        <v>328</v>
      </c>
      <c r="H1766" t="s">
        <v>30</v>
      </c>
      <c r="I1766" t="s">
        <v>35</v>
      </c>
      <c r="J1766" t="s">
        <v>32</v>
      </c>
      <c r="K1766" t="s">
        <v>51</v>
      </c>
      <c r="L1766" t="s">
        <v>73</v>
      </c>
      <c r="M1766" t="s">
        <v>1514</v>
      </c>
      <c r="N1766" t="s">
        <v>46</v>
      </c>
      <c r="P1766" t="s">
        <v>1749</v>
      </c>
      <c r="R1766" s="5">
        <v>41582.937037037038</v>
      </c>
      <c r="S1766" s="5">
        <v>42649.838275462964</v>
      </c>
      <c r="T1766" t="s">
        <v>1</v>
      </c>
      <c r="U1766" t="s">
        <v>35</v>
      </c>
      <c r="V1766" s="3" t="s">
        <v>35</v>
      </c>
      <c r="W1766" s="3" t="s">
        <v>4098</v>
      </c>
      <c r="AM1766" s="5"/>
      <c r="AN1766" s="5"/>
      <c r="AQ1766" s="6"/>
    </row>
    <row r="1767" spans="2:43" x14ac:dyDescent="0.25">
      <c r="B1767" t="s">
        <v>1970</v>
      </c>
      <c r="C1767">
        <v>36183</v>
      </c>
      <c r="D1767" t="s">
        <v>1974</v>
      </c>
      <c r="E1767" t="s">
        <v>387</v>
      </c>
      <c r="F1767" t="s">
        <v>305</v>
      </c>
      <c r="G1767" t="s">
        <v>304</v>
      </c>
      <c r="H1767" t="s">
        <v>54</v>
      </c>
      <c r="I1767" t="s">
        <v>35</v>
      </c>
      <c r="J1767" t="s">
        <v>43</v>
      </c>
      <c r="K1767" t="s">
        <v>44</v>
      </c>
      <c r="L1767" t="s">
        <v>73</v>
      </c>
      <c r="M1767" t="s">
        <v>263</v>
      </c>
      <c r="N1767" t="s">
        <v>46</v>
      </c>
      <c r="O1767" t="s">
        <v>1969</v>
      </c>
      <c r="P1767" t="s">
        <v>1749</v>
      </c>
      <c r="R1767" s="5">
        <v>41575.580787037034</v>
      </c>
      <c r="S1767" s="5">
        <v>42648.826458333337</v>
      </c>
      <c r="T1767" t="s">
        <v>1529</v>
      </c>
      <c r="U1767" t="s">
        <v>35</v>
      </c>
      <c r="V1767" s="3" t="s">
        <v>35</v>
      </c>
      <c r="W1767" s="3" t="s">
        <v>4127</v>
      </c>
    </row>
    <row r="1768" spans="2:43" x14ac:dyDescent="0.25">
      <c r="B1768" t="s">
        <v>1970</v>
      </c>
      <c r="C1768">
        <v>36182</v>
      </c>
      <c r="D1768" t="s">
        <v>1973</v>
      </c>
      <c r="E1768" t="s">
        <v>387</v>
      </c>
      <c r="F1768" t="s">
        <v>305</v>
      </c>
      <c r="G1768" t="s">
        <v>304</v>
      </c>
      <c r="H1768" t="s">
        <v>54</v>
      </c>
      <c r="I1768" t="s">
        <v>35</v>
      </c>
      <c r="J1768" t="s">
        <v>43</v>
      </c>
      <c r="K1768" t="s">
        <v>44</v>
      </c>
      <c r="L1768" t="s">
        <v>73</v>
      </c>
      <c r="M1768" t="s">
        <v>263</v>
      </c>
      <c r="N1768" t="s">
        <v>46</v>
      </c>
      <c r="O1768" t="s">
        <v>1710</v>
      </c>
      <c r="P1768" t="s">
        <v>1749</v>
      </c>
      <c r="R1768" s="5">
        <v>41575.580601851849</v>
      </c>
      <c r="S1768" s="5">
        <v>42648.826168981483</v>
      </c>
      <c r="T1768" t="s">
        <v>1529</v>
      </c>
      <c r="U1768" t="s">
        <v>35</v>
      </c>
      <c r="V1768" s="3" t="s">
        <v>35</v>
      </c>
      <c r="W1768" s="3" t="s">
        <v>1634</v>
      </c>
    </row>
    <row r="1769" spans="2:43" x14ac:dyDescent="0.25">
      <c r="B1769" t="s">
        <v>1970</v>
      </c>
      <c r="C1769">
        <v>36181</v>
      </c>
      <c r="D1769" t="s">
        <v>1972</v>
      </c>
      <c r="E1769" t="s">
        <v>387</v>
      </c>
      <c r="F1769" t="s">
        <v>305</v>
      </c>
      <c r="G1769" t="s">
        <v>304</v>
      </c>
      <c r="H1769" t="s">
        <v>54</v>
      </c>
      <c r="I1769" t="s">
        <v>31</v>
      </c>
      <c r="J1769" t="s">
        <v>43</v>
      </c>
      <c r="K1769" t="s">
        <v>44</v>
      </c>
      <c r="L1769" t="s">
        <v>73</v>
      </c>
      <c r="M1769" t="s">
        <v>263</v>
      </c>
      <c r="N1769" t="s">
        <v>46</v>
      </c>
      <c r="P1769" t="s">
        <v>1749</v>
      </c>
      <c r="R1769" s="5">
        <v>41575.580370370371</v>
      </c>
      <c r="S1769" s="5">
        <v>42648.82603009259</v>
      </c>
      <c r="T1769" t="s">
        <v>1529</v>
      </c>
      <c r="U1769" t="s">
        <v>35</v>
      </c>
      <c r="V1769" s="3" t="s">
        <v>35</v>
      </c>
      <c r="W1769" s="3" t="s">
        <v>4129</v>
      </c>
    </row>
    <row r="1770" spans="2:43" x14ac:dyDescent="0.25">
      <c r="B1770" t="s">
        <v>1970</v>
      </c>
      <c r="C1770">
        <v>36171</v>
      </c>
      <c r="D1770" t="s">
        <v>1971</v>
      </c>
      <c r="E1770" t="s">
        <v>387</v>
      </c>
      <c r="F1770" t="s">
        <v>305</v>
      </c>
      <c r="G1770" t="s">
        <v>304</v>
      </c>
      <c r="H1770" t="s">
        <v>54</v>
      </c>
      <c r="I1770" t="s">
        <v>35</v>
      </c>
      <c r="J1770" t="s">
        <v>43</v>
      </c>
      <c r="K1770" t="s">
        <v>44</v>
      </c>
      <c r="L1770" t="s">
        <v>73</v>
      </c>
      <c r="M1770" t="s">
        <v>263</v>
      </c>
      <c r="N1770" t="s">
        <v>46</v>
      </c>
      <c r="P1770" t="s">
        <v>1749</v>
      </c>
      <c r="R1770" s="5">
        <v>41575.497349537036</v>
      </c>
      <c r="S1770" s="5">
        <v>41815.747002314813</v>
      </c>
      <c r="T1770" t="s">
        <v>1752</v>
      </c>
      <c r="U1770" t="s">
        <v>35</v>
      </c>
      <c r="V1770" s="3" t="s">
        <v>35</v>
      </c>
      <c r="W1770" s="3" t="s">
        <v>4098</v>
      </c>
    </row>
    <row r="1771" spans="2:43" x14ac:dyDescent="0.25">
      <c r="B1771" t="s">
        <v>1964</v>
      </c>
      <c r="C1771">
        <v>35412</v>
      </c>
      <c r="D1771" t="s">
        <v>1968</v>
      </c>
      <c r="E1771" t="s">
        <v>387</v>
      </c>
      <c r="F1771" t="s">
        <v>305</v>
      </c>
      <c r="G1771" t="s">
        <v>304</v>
      </c>
      <c r="H1771" t="s">
        <v>30</v>
      </c>
      <c r="I1771" t="s">
        <v>35</v>
      </c>
      <c r="J1771" t="s">
        <v>43</v>
      </c>
      <c r="K1771" t="s">
        <v>51</v>
      </c>
      <c r="L1771" t="s">
        <v>73</v>
      </c>
      <c r="M1771" t="s">
        <v>264</v>
      </c>
      <c r="N1771" t="s">
        <v>46</v>
      </c>
      <c r="O1771" t="s">
        <v>1969</v>
      </c>
      <c r="P1771" t="s">
        <v>1749</v>
      </c>
      <c r="R1771" s="5">
        <v>41550.792951388888</v>
      </c>
      <c r="S1771" s="5">
        <v>42648.825972222221</v>
      </c>
      <c r="T1771" t="s">
        <v>1529</v>
      </c>
      <c r="U1771" t="s">
        <v>35</v>
      </c>
      <c r="V1771" s="3" t="s">
        <v>35</v>
      </c>
      <c r="W1771" s="3" t="s">
        <v>4127</v>
      </c>
    </row>
    <row r="1772" spans="2:43" x14ac:dyDescent="0.25">
      <c r="B1772" t="s">
        <v>1964</v>
      </c>
      <c r="C1772">
        <v>35411</v>
      </c>
      <c r="D1772" t="s">
        <v>1967</v>
      </c>
      <c r="E1772" t="s">
        <v>387</v>
      </c>
      <c r="F1772" t="s">
        <v>305</v>
      </c>
      <c r="G1772" t="s">
        <v>304</v>
      </c>
      <c r="H1772" t="s">
        <v>30</v>
      </c>
      <c r="I1772" t="s">
        <v>35</v>
      </c>
      <c r="J1772" t="s">
        <v>43</v>
      </c>
      <c r="K1772" t="s">
        <v>51</v>
      </c>
      <c r="L1772" t="s">
        <v>73</v>
      </c>
      <c r="M1772" t="s">
        <v>264</v>
      </c>
      <c r="N1772" t="s">
        <v>46</v>
      </c>
      <c r="O1772" t="s">
        <v>1710</v>
      </c>
      <c r="P1772" t="s">
        <v>1749</v>
      </c>
      <c r="R1772" s="5">
        <v>41550.792824074073</v>
      </c>
      <c r="S1772" s="5">
        <v>42648.825902777775</v>
      </c>
      <c r="T1772" t="s">
        <v>1529</v>
      </c>
      <c r="U1772" t="s">
        <v>35</v>
      </c>
      <c r="V1772" s="3" t="s">
        <v>35</v>
      </c>
      <c r="W1772" s="3" t="s">
        <v>1634</v>
      </c>
    </row>
    <row r="1773" spans="2:43" x14ac:dyDescent="0.25">
      <c r="B1773" t="s">
        <v>1964</v>
      </c>
      <c r="C1773">
        <v>35410</v>
      </c>
      <c r="D1773" t="s">
        <v>1966</v>
      </c>
      <c r="E1773" t="s">
        <v>387</v>
      </c>
      <c r="F1773" t="s">
        <v>305</v>
      </c>
      <c r="G1773" t="s">
        <v>310</v>
      </c>
      <c r="H1773" t="s">
        <v>30</v>
      </c>
      <c r="I1773" t="s">
        <v>35</v>
      </c>
      <c r="J1773" t="s">
        <v>43</v>
      </c>
      <c r="K1773" t="s">
        <v>51</v>
      </c>
      <c r="L1773" t="s">
        <v>73</v>
      </c>
      <c r="M1773" t="s">
        <v>264</v>
      </c>
      <c r="N1773" t="s">
        <v>46</v>
      </c>
      <c r="P1773" t="s">
        <v>1749</v>
      </c>
      <c r="R1773" s="5">
        <v>41550.792696759258</v>
      </c>
      <c r="S1773" s="5">
        <v>42648.826099537036</v>
      </c>
      <c r="T1773" t="s">
        <v>1529</v>
      </c>
      <c r="U1773" t="s">
        <v>35</v>
      </c>
      <c r="V1773" s="3" t="s">
        <v>35</v>
      </c>
      <c r="W1773" s="3" t="s">
        <v>4128</v>
      </c>
    </row>
    <row r="1774" spans="2:43" x14ac:dyDescent="0.25">
      <c r="B1774" t="s">
        <v>1964</v>
      </c>
      <c r="C1774">
        <v>35408</v>
      </c>
      <c r="D1774" t="s">
        <v>1965</v>
      </c>
      <c r="E1774" t="s">
        <v>387</v>
      </c>
      <c r="F1774" t="s">
        <v>305</v>
      </c>
      <c r="G1774" t="s">
        <v>304</v>
      </c>
      <c r="H1774" t="s">
        <v>30</v>
      </c>
      <c r="I1774" t="s">
        <v>35</v>
      </c>
      <c r="J1774" t="s">
        <v>43</v>
      </c>
      <c r="K1774" t="s">
        <v>51</v>
      </c>
      <c r="L1774" t="s">
        <v>73</v>
      </c>
      <c r="M1774" t="s">
        <v>264</v>
      </c>
      <c r="N1774" t="s">
        <v>46</v>
      </c>
      <c r="P1774" t="s">
        <v>1749</v>
      </c>
      <c r="R1774" s="5">
        <v>41550.742222222223</v>
      </c>
      <c r="S1774" s="5">
        <v>41815.747534722221</v>
      </c>
      <c r="T1774" t="s">
        <v>300</v>
      </c>
      <c r="U1774" t="s">
        <v>35</v>
      </c>
      <c r="V1774" s="3" t="s">
        <v>35</v>
      </c>
      <c r="W1774" s="3" t="s">
        <v>4098</v>
      </c>
    </row>
    <row r="1775" spans="2:43" x14ac:dyDescent="0.25">
      <c r="B1775" t="s">
        <v>1745</v>
      </c>
      <c r="C1775">
        <v>35305</v>
      </c>
      <c r="D1775" t="s">
        <v>1962</v>
      </c>
      <c r="E1775" t="s">
        <v>1963</v>
      </c>
      <c r="F1775" t="s">
        <v>305</v>
      </c>
      <c r="G1775" t="s">
        <v>304</v>
      </c>
      <c r="H1775" t="s">
        <v>30</v>
      </c>
      <c r="I1775" t="s">
        <v>31</v>
      </c>
      <c r="J1775" t="s">
        <v>43</v>
      </c>
      <c r="K1775" t="s">
        <v>51</v>
      </c>
      <c r="L1775" t="s">
        <v>34</v>
      </c>
      <c r="M1775" t="s">
        <v>1748</v>
      </c>
      <c r="N1775" t="s">
        <v>46</v>
      </c>
      <c r="P1775" t="s">
        <v>1749</v>
      </c>
      <c r="R1775" s="5">
        <v>41548.11791666667</v>
      </c>
      <c r="S1775" s="5">
        <v>42039.749305555553</v>
      </c>
      <c r="T1775" t="s">
        <v>1958</v>
      </c>
      <c r="U1775" t="s">
        <v>35</v>
      </c>
      <c r="V1775" s="3" t="s">
        <v>35</v>
      </c>
      <c r="W1775" s="3" t="s">
        <v>4124</v>
      </c>
    </row>
    <row r="1776" spans="2:43" x14ac:dyDescent="0.25">
      <c r="B1776" t="s">
        <v>1960</v>
      </c>
      <c r="C1776">
        <v>35278</v>
      </c>
      <c r="D1776" t="s">
        <v>1961</v>
      </c>
      <c r="E1776" t="s">
        <v>387</v>
      </c>
      <c r="F1776" t="s">
        <v>305</v>
      </c>
      <c r="G1776" t="s">
        <v>310</v>
      </c>
      <c r="H1776" t="s">
        <v>54</v>
      </c>
      <c r="I1776" t="s">
        <v>35</v>
      </c>
      <c r="J1776" t="s">
        <v>43</v>
      </c>
      <c r="K1776" t="s">
        <v>51</v>
      </c>
      <c r="L1776" t="s">
        <v>73</v>
      </c>
      <c r="M1776" t="s">
        <v>263</v>
      </c>
      <c r="N1776" t="s">
        <v>46</v>
      </c>
      <c r="P1776" t="s">
        <v>1749</v>
      </c>
      <c r="R1776" s="5">
        <v>41547.569201388891</v>
      </c>
      <c r="S1776" s="5">
        <v>42649.838993055557</v>
      </c>
      <c r="T1776" t="s">
        <v>1529</v>
      </c>
      <c r="U1776" t="s">
        <v>35</v>
      </c>
      <c r="V1776" s="3" t="s">
        <v>35</v>
      </c>
      <c r="W1776" s="3" t="s">
        <v>394</v>
      </c>
    </row>
    <row r="1777" spans="2:23" x14ac:dyDescent="0.25">
      <c r="B1777" t="s">
        <v>1745</v>
      </c>
      <c r="C1777">
        <v>35094</v>
      </c>
      <c r="D1777" t="s">
        <v>1957</v>
      </c>
      <c r="E1777" t="s">
        <v>1958</v>
      </c>
      <c r="F1777" t="s">
        <v>305</v>
      </c>
      <c r="G1777" t="s">
        <v>353</v>
      </c>
      <c r="H1777" t="s">
        <v>30</v>
      </c>
      <c r="I1777" t="s">
        <v>31</v>
      </c>
      <c r="J1777" t="s">
        <v>43</v>
      </c>
      <c r="K1777" t="s">
        <v>44</v>
      </c>
      <c r="L1777" t="s">
        <v>34</v>
      </c>
      <c r="M1777" t="s">
        <v>1748</v>
      </c>
      <c r="N1777" t="s">
        <v>46</v>
      </c>
      <c r="P1777" t="s">
        <v>1959</v>
      </c>
      <c r="R1777" s="5">
        <v>41541.793356481481</v>
      </c>
      <c r="S1777" s="5">
        <v>42044.671273148146</v>
      </c>
      <c r="T1777" t="s">
        <v>1523</v>
      </c>
      <c r="U1777" t="s">
        <v>35</v>
      </c>
      <c r="V1777" s="3" t="s">
        <v>35</v>
      </c>
      <c r="W1777" s="3" t="s">
        <v>4122</v>
      </c>
    </row>
    <row r="1778" spans="2:23" x14ac:dyDescent="0.25">
      <c r="B1778" t="s">
        <v>1952</v>
      </c>
      <c r="C1778">
        <v>35042</v>
      </c>
      <c r="D1778" t="s">
        <v>1956</v>
      </c>
      <c r="E1778" t="s">
        <v>387</v>
      </c>
      <c r="F1778" t="s">
        <v>305</v>
      </c>
      <c r="G1778" t="s">
        <v>337</v>
      </c>
      <c r="H1778" t="s">
        <v>30</v>
      </c>
      <c r="I1778" t="s">
        <v>35</v>
      </c>
      <c r="J1778" t="s">
        <v>43</v>
      </c>
      <c r="K1778" t="s">
        <v>44</v>
      </c>
      <c r="L1778" t="s">
        <v>73</v>
      </c>
      <c r="M1778" t="s">
        <v>263</v>
      </c>
      <c r="N1778" t="s">
        <v>46</v>
      </c>
      <c r="P1778" t="s">
        <v>1646</v>
      </c>
      <c r="R1778" s="5">
        <v>41540.937465277777</v>
      </c>
      <c r="S1778" s="5">
        <v>42649.837048611109</v>
      </c>
      <c r="T1778" t="s">
        <v>1529</v>
      </c>
      <c r="U1778" t="s">
        <v>35</v>
      </c>
      <c r="V1778" s="3" t="s">
        <v>35</v>
      </c>
      <c r="W1778" s="3" t="s">
        <v>3039</v>
      </c>
    </row>
    <row r="1779" spans="2:23" x14ac:dyDescent="0.25">
      <c r="B1779" t="s">
        <v>1952</v>
      </c>
      <c r="C1779">
        <v>35040</v>
      </c>
      <c r="D1779" t="s">
        <v>1955</v>
      </c>
      <c r="E1779" t="s">
        <v>387</v>
      </c>
      <c r="F1779" t="s">
        <v>305</v>
      </c>
      <c r="G1779" t="s">
        <v>310</v>
      </c>
      <c r="H1779" t="s">
        <v>30</v>
      </c>
      <c r="I1779" t="s">
        <v>35</v>
      </c>
      <c r="J1779" t="s">
        <v>43</v>
      </c>
      <c r="K1779" t="s">
        <v>44</v>
      </c>
      <c r="L1779" t="s">
        <v>73</v>
      </c>
      <c r="M1779" t="s">
        <v>263</v>
      </c>
      <c r="N1779" t="s">
        <v>46</v>
      </c>
      <c r="P1779" t="s">
        <v>1646</v>
      </c>
      <c r="R1779" s="5">
        <v>41540.937303240738</v>
      </c>
      <c r="S1779" s="5">
        <v>42649.837627314817</v>
      </c>
      <c r="T1779" t="s">
        <v>1529</v>
      </c>
      <c r="U1779" t="s">
        <v>35</v>
      </c>
      <c r="V1779" s="3" t="s">
        <v>35</v>
      </c>
      <c r="W1779" s="3" t="s">
        <v>1634</v>
      </c>
    </row>
    <row r="1780" spans="2:23" x14ac:dyDescent="0.25">
      <c r="B1780" t="s">
        <v>1952</v>
      </c>
      <c r="C1780">
        <v>35039</v>
      </c>
      <c r="D1780" t="s">
        <v>1954</v>
      </c>
      <c r="E1780" t="s">
        <v>387</v>
      </c>
      <c r="F1780" t="s">
        <v>305</v>
      </c>
      <c r="G1780" t="s">
        <v>310</v>
      </c>
      <c r="H1780" t="s">
        <v>30</v>
      </c>
      <c r="I1780" t="s">
        <v>35</v>
      </c>
      <c r="J1780" t="s">
        <v>43</v>
      </c>
      <c r="K1780" t="s">
        <v>44</v>
      </c>
      <c r="L1780" t="s">
        <v>73</v>
      </c>
      <c r="M1780" t="s">
        <v>263</v>
      </c>
      <c r="N1780" t="s">
        <v>46</v>
      </c>
      <c r="P1780" t="s">
        <v>1646</v>
      </c>
      <c r="R1780" s="5">
        <v>41540.937152777777</v>
      </c>
      <c r="S1780" s="5">
        <v>42648.825775462959</v>
      </c>
      <c r="T1780" t="s">
        <v>1529</v>
      </c>
      <c r="U1780" t="s">
        <v>35</v>
      </c>
      <c r="V1780" s="3" t="s">
        <v>35</v>
      </c>
      <c r="W1780" s="3" t="s">
        <v>394</v>
      </c>
    </row>
    <row r="1781" spans="2:23" x14ac:dyDescent="0.25">
      <c r="B1781" t="s">
        <v>1952</v>
      </c>
      <c r="C1781">
        <v>35037</v>
      </c>
      <c r="D1781" t="s">
        <v>1953</v>
      </c>
      <c r="E1781" t="s">
        <v>387</v>
      </c>
      <c r="F1781" t="s">
        <v>305</v>
      </c>
      <c r="G1781" t="s">
        <v>304</v>
      </c>
      <c r="H1781" t="s">
        <v>30</v>
      </c>
      <c r="I1781" t="s">
        <v>35</v>
      </c>
      <c r="J1781" t="s">
        <v>43</v>
      </c>
      <c r="K1781" t="s">
        <v>44</v>
      </c>
      <c r="L1781" t="s">
        <v>73</v>
      </c>
      <c r="M1781" t="s">
        <v>263</v>
      </c>
      <c r="N1781" t="s">
        <v>46</v>
      </c>
      <c r="P1781" t="s">
        <v>1646</v>
      </c>
      <c r="R1781" s="5">
        <v>41540.887083333335</v>
      </c>
      <c r="S1781" s="5">
        <v>41816.554247685184</v>
      </c>
      <c r="T1781" t="s">
        <v>2</v>
      </c>
      <c r="U1781" t="s">
        <v>35</v>
      </c>
      <c r="V1781" s="3" t="s">
        <v>35</v>
      </c>
      <c r="W1781" s="3" t="s">
        <v>4098</v>
      </c>
    </row>
    <row r="1782" spans="2:23" x14ac:dyDescent="0.25">
      <c r="B1782" t="s">
        <v>1947</v>
      </c>
      <c r="C1782">
        <v>34754</v>
      </c>
      <c r="D1782" t="s">
        <v>1951</v>
      </c>
      <c r="E1782" t="s">
        <v>1675</v>
      </c>
      <c r="F1782" t="s">
        <v>305</v>
      </c>
      <c r="G1782" t="s">
        <v>304</v>
      </c>
      <c r="H1782" t="s">
        <v>30</v>
      </c>
      <c r="I1782" t="s">
        <v>35</v>
      </c>
      <c r="J1782" t="s">
        <v>43</v>
      </c>
      <c r="K1782" t="s">
        <v>33</v>
      </c>
      <c r="L1782" t="s">
        <v>96</v>
      </c>
      <c r="M1782" t="s">
        <v>269</v>
      </c>
      <c r="N1782" t="s">
        <v>46</v>
      </c>
      <c r="P1782" t="s">
        <v>1749</v>
      </c>
      <c r="R1782" s="5">
        <v>41533.720694444448</v>
      </c>
      <c r="S1782" s="5">
        <v>42648.82571759259</v>
      </c>
      <c r="T1782" t="s">
        <v>1529</v>
      </c>
      <c r="U1782" t="s">
        <v>35</v>
      </c>
      <c r="V1782" s="3" t="s">
        <v>35</v>
      </c>
      <c r="W1782" s="3" t="s">
        <v>4124</v>
      </c>
    </row>
    <row r="1783" spans="2:23" x14ac:dyDescent="0.25">
      <c r="B1783" t="s">
        <v>1947</v>
      </c>
      <c r="C1783">
        <v>34753</v>
      </c>
      <c r="D1783" t="s">
        <v>1950</v>
      </c>
      <c r="E1783" t="s">
        <v>1675</v>
      </c>
      <c r="F1783" t="s">
        <v>305</v>
      </c>
      <c r="G1783" t="s">
        <v>304</v>
      </c>
      <c r="H1783" t="s">
        <v>30</v>
      </c>
      <c r="I1783" t="s">
        <v>35</v>
      </c>
      <c r="J1783" t="s">
        <v>43</v>
      </c>
      <c r="K1783" t="s">
        <v>33</v>
      </c>
      <c r="L1783" t="s">
        <v>96</v>
      </c>
      <c r="M1783" t="s">
        <v>269</v>
      </c>
      <c r="N1783" t="s">
        <v>1923</v>
      </c>
      <c r="O1783" t="s">
        <v>1710</v>
      </c>
      <c r="P1783" t="s">
        <v>1749</v>
      </c>
      <c r="R1783" s="5">
        <v>41533.716932870368</v>
      </c>
      <c r="S1783" s="5">
        <v>42648.825856481482</v>
      </c>
      <c r="T1783" t="s">
        <v>1529</v>
      </c>
      <c r="U1783" t="s">
        <v>35</v>
      </c>
      <c r="V1783" s="3" t="s">
        <v>35</v>
      </c>
      <c r="W1783" s="3" t="s">
        <v>1634</v>
      </c>
    </row>
    <row r="1784" spans="2:23" x14ac:dyDescent="0.25">
      <c r="B1784" t="s">
        <v>1947</v>
      </c>
      <c r="C1784">
        <v>34752</v>
      </c>
      <c r="D1784" t="s">
        <v>1949</v>
      </c>
      <c r="E1784" t="s">
        <v>387</v>
      </c>
      <c r="F1784" t="s">
        <v>305</v>
      </c>
      <c r="G1784" t="s">
        <v>310</v>
      </c>
      <c r="H1784" t="s">
        <v>30</v>
      </c>
      <c r="I1784" t="s">
        <v>35</v>
      </c>
      <c r="J1784" t="s">
        <v>43</v>
      </c>
      <c r="K1784" t="s">
        <v>33</v>
      </c>
      <c r="L1784" t="s">
        <v>96</v>
      </c>
      <c r="M1784" t="s">
        <v>269</v>
      </c>
      <c r="N1784" t="s">
        <v>46</v>
      </c>
      <c r="P1784" t="s">
        <v>1749</v>
      </c>
      <c r="R1784" s="5">
        <v>41533.716041666667</v>
      </c>
      <c r="S1784" s="5">
        <v>42649.837627314817</v>
      </c>
      <c r="T1784" t="s">
        <v>1529</v>
      </c>
      <c r="U1784" t="s">
        <v>35</v>
      </c>
      <c r="V1784" s="3" t="s">
        <v>35</v>
      </c>
      <c r="W1784" s="3" t="s">
        <v>394</v>
      </c>
    </row>
    <row r="1785" spans="2:23" x14ac:dyDescent="0.25">
      <c r="B1785" t="s">
        <v>1947</v>
      </c>
      <c r="C1785">
        <v>34751</v>
      </c>
      <c r="D1785" t="s">
        <v>1948</v>
      </c>
      <c r="E1785" t="s">
        <v>387</v>
      </c>
      <c r="F1785" t="s">
        <v>305</v>
      </c>
      <c r="G1785" t="s">
        <v>304</v>
      </c>
      <c r="H1785" t="s">
        <v>30</v>
      </c>
      <c r="I1785" t="s">
        <v>35</v>
      </c>
      <c r="J1785" t="s">
        <v>43</v>
      </c>
      <c r="K1785" t="s">
        <v>33</v>
      </c>
      <c r="L1785" t="s">
        <v>96</v>
      </c>
      <c r="M1785" t="s">
        <v>269</v>
      </c>
      <c r="N1785" t="s">
        <v>46</v>
      </c>
      <c r="P1785" t="s">
        <v>1749</v>
      </c>
      <c r="R1785" s="5">
        <v>41533.699930555558</v>
      </c>
      <c r="S1785" s="5">
        <v>41815.747407407405</v>
      </c>
      <c r="T1785" t="s">
        <v>1</v>
      </c>
      <c r="U1785" t="s">
        <v>35</v>
      </c>
      <c r="V1785" s="3" t="s">
        <v>35</v>
      </c>
      <c r="W1785" s="3" t="s">
        <v>4098</v>
      </c>
    </row>
    <row r="1786" spans="2:23" x14ac:dyDescent="0.25">
      <c r="B1786" t="s">
        <v>1931</v>
      </c>
      <c r="C1786">
        <v>34715</v>
      </c>
      <c r="D1786" t="s">
        <v>1944</v>
      </c>
      <c r="E1786" t="s">
        <v>1945</v>
      </c>
      <c r="F1786" t="s">
        <v>305</v>
      </c>
      <c r="G1786" t="s">
        <v>304</v>
      </c>
      <c r="H1786" t="s">
        <v>30</v>
      </c>
      <c r="I1786" t="s">
        <v>31</v>
      </c>
      <c r="J1786" t="s">
        <v>43</v>
      </c>
      <c r="K1786" t="s">
        <v>44</v>
      </c>
      <c r="L1786" t="s">
        <v>34</v>
      </c>
      <c r="M1786" t="s">
        <v>1853</v>
      </c>
      <c r="N1786" t="s">
        <v>46</v>
      </c>
      <c r="O1786" t="s">
        <v>1946</v>
      </c>
      <c r="P1786" t="s">
        <v>1749</v>
      </c>
      <c r="R1786" s="5">
        <v>41533.211018518516</v>
      </c>
      <c r="S1786" s="5">
        <v>42039.773368055554</v>
      </c>
      <c r="T1786" t="s">
        <v>53</v>
      </c>
      <c r="U1786" t="s">
        <v>35</v>
      </c>
      <c r="V1786" s="3" t="s">
        <v>35</v>
      </c>
      <c r="W1786" s="3" t="s">
        <v>4127</v>
      </c>
    </row>
    <row r="1787" spans="2:23" x14ac:dyDescent="0.25">
      <c r="B1787" t="s">
        <v>1939</v>
      </c>
      <c r="C1787">
        <v>34649</v>
      </c>
      <c r="D1787" t="s">
        <v>1943</v>
      </c>
      <c r="E1787" t="s">
        <v>387</v>
      </c>
      <c r="F1787" t="s">
        <v>305</v>
      </c>
      <c r="G1787" t="s">
        <v>353</v>
      </c>
      <c r="H1787" t="s">
        <v>30</v>
      </c>
      <c r="I1787" t="s">
        <v>35</v>
      </c>
      <c r="J1787" t="s">
        <v>43</v>
      </c>
      <c r="K1787" t="s">
        <v>44</v>
      </c>
      <c r="L1787" t="s">
        <v>73</v>
      </c>
      <c r="M1787" t="s">
        <v>263</v>
      </c>
      <c r="N1787" t="s">
        <v>46</v>
      </c>
      <c r="P1787" t="s">
        <v>1646</v>
      </c>
      <c r="R1787" s="5">
        <v>41529.766712962963</v>
      </c>
      <c r="S1787" s="5">
        <v>42649.837187500001</v>
      </c>
      <c r="T1787" t="s">
        <v>1529</v>
      </c>
      <c r="U1787" t="s">
        <v>35</v>
      </c>
      <c r="V1787" s="3" t="s">
        <v>35</v>
      </c>
      <c r="W1787" s="3" t="s">
        <v>3039</v>
      </c>
    </row>
    <row r="1788" spans="2:23" x14ac:dyDescent="0.25">
      <c r="B1788" t="s">
        <v>1939</v>
      </c>
      <c r="C1788">
        <v>34648</v>
      </c>
      <c r="D1788" t="s">
        <v>1942</v>
      </c>
      <c r="E1788" t="s">
        <v>387</v>
      </c>
      <c r="F1788" t="s">
        <v>305</v>
      </c>
      <c r="G1788" t="s">
        <v>353</v>
      </c>
      <c r="H1788" t="s">
        <v>30</v>
      </c>
      <c r="I1788" t="s">
        <v>35</v>
      </c>
      <c r="J1788" t="s">
        <v>43</v>
      </c>
      <c r="K1788" t="s">
        <v>44</v>
      </c>
      <c r="L1788" t="s">
        <v>73</v>
      </c>
      <c r="M1788" t="s">
        <v>263</v>
      </c>
      <c r="N1788" t="s">
        <v>46</v>
      </c>
      <c r="O1788" t="s">
        <v>1929</v>
      </c>
      <c r="P1788" t="s">
        <v>1646</v>
      </c>
      <c r="R1788" s="5">
        <v>41529.766527777778</v>
      </c>
      <c r="S1788" s="5">
        <v>42649.900277777779</v>
      </c>
      <c r="T1788" t="s">
        <v>1529</v>
      </c>
      <c r="U1788" t="s">
        <v>35</v>
      </c>
      <c r="V1788" s="3" t="s">
        <v>35</v>
      </c>
      <c r="W1788" s="3" t="s">
        <v>1634</v>
      </c>
    </row>
    <row r="1789" spans="2:23" x14ac:dyDescent="0.25">
      <c r="B1789" t="s">
        <v>1939</v>
      </c>
      <c r="C1789">
        <v>34647</v>
      </c>
      <c r="D1789" t="s">
        <v>1941</v>
      </c>
      <c r="E1789" t="s">
        <v>387</v>
      </c>
      <c r="F1789" t="s">
        <v>305</v>
      </c>
      <c r="G1789" t="s">
        <v>310</v>
      </c>
      <c r="H1789" t="s">
        <v>30</v>
      </c>
      <c r="I1789" t="s">
        <v>35</v>
      </c>
      <c r="J1789" t="s">
        <v>43</v>
      </c>
      <c r="K1789" t="s">
        <v>44</v>
      </c>
      <c r="L1789" t="s">
        <v>73</v>
      </c>
      <c r="M1789" t="s">
        <v>263</v>
      </c>
      <c r="N1789" t="s">
        <v>46</v>
      </c>
      <c r="P1789" t="s">
        <v>1646</v>
      </c>
      <c r="R1789" s="5">
        <v>41529.766319444447</v>
      </c>
      <c r="S1789" s="5">
        <v>42649.837210648147</v>
      </c>
      <c r="T1789" t="s">
        <v>1529</v>
      </c>
      <c r="U1789" t="s">
        <v>35</v>
      </c>
      <c r="V1789" s="3" t="s">
        <v>35</v>
      </c>
      <c r="W1789" s="3" t="s">
        <v>394</v>
      </c>
    </row>
    <row r="1790" spans="2:23" x14ac:dyDescent="0.25">
      <c r="B1790" t="s">
        <v>1939</v>
      </c>
      <c r="C1790">
        <v>34646</v>
      </c>
      <c r="D1790" t="s">
        <v>1940</v>
      </c>
      <c r="E1790" t="s">
        <v>387</v>
      </c>
      <c r="F1790" t="s">
        <v>305</v>
      </c>
      <c r="G1790" t="s">
        <v>353</v>
      </c>
      <c r="H1790" t="s">
        <v>30</v>
      </c>
      <c r="I1790" t="s">
        <v>35</v>
      </c>
      <c r="J1790" t="s">
        <v>43</v>
      </c>
      <c r="K1790" t="s">
        <v>44</v>
      </c>
      <c r="L1790" t="s">
        <v>73</v>
      </c>
      <c r="M1790" t="s">
        <v>263</v>
      </c>
      <c r="N1790" t="s">
        <v>46</v>
      </c>
      <c r="P1790" t="s">
        <v>1646</v>
      </c>
      <c r="R1790" s="5">
        <v>41529.731516203705</v>
      </c>
      <c r="S1790" s="5">
        <v>42649.837037037039</v>
      </c>
      <c r="T1790" t="s">
        <v>2</v>
      </c>
      <c r="U1790" t="s">
        <v>35</v>
      </c>
      <c r="V1790" s="3" t="s">
        <v>35</v>
      </c>
      <c r="W1790" s="3" t="s">
        <v>4098</v>
      </c>
    </row>
    <row r="1791" spans="2:23" x14ac:dyDescent="0.25">
      <c r="B1791" t="s">
        <v>1934</v>
      </c>
      <c r="C1791">
        <v>34613</v>
      </c>
      <c r="D1791" t="s">
        <v>1938</v>
      </c>
      <c r="E1791" t="s">
        <v>387</v>
      </c>
      <c r="F1791" t="s">
        <v>305</v>
      </c>
      <c r="G1791" t="s">
        <v>353</v>
      </c>
      <c r="H1791" t="s">
        <v>30</v>
      </c>
      <c r="I1791" t="s">
        <v>35</v>
      </c>
      <c r="J1791" t="s">
        <v>43</v>
      </c>
      <c r="K1791" t="s">
        <v>44</v>
      </c>
      <c r="L1791" t="s">
        <v>73</v>
      </c>
      <c r="M1791" t="s">
        <v>263</v>
      </c>
      <c r="N1791" t="s">
        <v>46</v>
      </c>
      <c r="P1791" t="s">
        <v>1749</v>
      </c>
      <c r="R1791" s="5">
        <v>41529.058055555557</v>
      </c>
      <c r="S1791" s="5">
        <v>42649.837291666663</v>
      </c>
      <c r="T1791" t="s">
        <v>1529</v>
      </c>
      <c r="U1791" t="s">
        <v>35</v>
      </c>
      <c r="V1791" s="3" t="s">
        <v>35</v>
      </c>
      <c r="W1791" s="3" t="s">
        <v>3039</v>
      </c>
    </row>
    <row r="1792" spans="2:23" x14ac:dyDescent="0.25">
      <c r="B1792" t="s">
        <v>1934</v>
      </c>
      <c r="C1792">
        <v>34612</v>
      </c>
      <c r="D1792" t="s">
        <v>1937</v>
      </c>
      <c r="E1792" t="s">
        <v>387</v>
      </c>
      <c r="F1792" t="s">
        <v>305</v>
      </c>
      <c r="G1792" t="s">
        <v>353</v>
      </c>
      <c r="H1792" t="s">
        <v>30</v>
      </c>
      <c r="I1792" t="s">
        <v>35</v>
      </c>
      <c r="J1792" t="s">
        <v>43</v>
      </c>
      <c r="K1792" t="s">
        <v>44</v>
      </c>
      <c r="L1792" t="s">
        <v>73</v>
      </c>
      <c r="M1792" t="s">
        <v>263</v>
      </c>
      <c r="N1792" t="s">
        <v>46</v>
      </c>
      <c r="O1792" t="s">
        <v>1929</v>
      </c>
      <c r="P1792" t="s">
        <v>1749</v>
      </c>
      <c r="R1792" s="5">
        <v>41529.057881944442</v>
      </c>
      <c r="S1792" s="5">
        <v>42649.837673611109</v>
      </c>
      <c r="T1792" t="s">
        <v>1529</v>
      </c>
      <c r="U1792" t="s">
        <v>35</v>
      </c>
      <c r="V1792" s="3" t="s">
        <v>35</v>
      </c>
      <c r="W1792" s="3" t="s">
        <v>1634</v>
      </c>
    </row>
    <row r="1793" spans="2:23" x14ac:dyDescent="0.25">
      <c r="B1793" t="s">
        <v>1934</v>
      </c>
      <c r="C1793">
        <v>34611</v>
      </c>
      <c r="D1793" t="s">
        <v>1936</v>
      </c>
      <c r="E1793" t="s">
        <v>387</v>
      </c>
      <c r="F1793" t="s">
        <v>305</v>
      </c>
      <c r="G1793" t="s">
        <v>353</v>
      </c>
      <c r="H1793" t="s">
        <v>30</v>
      </c>
      <c r="I1793" t="s">
        <v>35</v>
      </c>
      <c r="J1793" t="s">
        <v>43</v>
      </c>
      <c r="K1793" t="s">
        <v>44</v>
      </c>
      <c r="L1793" t="s">
        <v>73</v>
      </c>
      <c r="M1793" t="s">
        <v>263</v>
      </c>
      <c r="N1793" t="s">
        <v>46</v>
      </c>
      <c r="P1793" t="s">
        <v>1749</v>
      </c>
      <c r="R1793" s="5">
        <v>41529.057430555556</v>
      </c>
      <c r="S1793" s="5">
        <v>42649.837083333332</v>
      </c>
      <c r="T1793" t="s">
        <v>1529</v>
      </c>
      <c r="U1793" t="s">
        <v>35</v>
      </c>
      <c r="V1793" s="3" t="s">
        <v>35</v>
      </c>
      <c r="W1793" s="3" t="s">
        <v>394</v>
      </c>
    </row>
    <row r="1794" spans="2:23" x14ac:dyDescent="0.25">
      <c r="B1794" t="s">
        <v>1934</v>
      </c>
      <c r="C1794">
        <v>34610</v>
      </c>
      <c r="D1794" t="s">
        <v>1935</v>
      </c>
      <c r="E1794" t="s">
        <v>387</v>
      </c>
      <c r="F1794" t="s">
        <v>305</v>
      </c>
      <c r="G1794" t="s">
        <v>353</v>
      </c>
      <c r="H1794" t="s">
        <v>30</v>
      </c>
      <c r="I1794" t="s">
        <v>35</v>
      </c>
      <c r="J1794" t="s">
        <v>43</v>
      </c>
      <c r="K1794" t="s">
        <v>44</v>
      </c>
      <c r="L1794" t="s">
        <v>73</v>
      </c>
      <c r="M1794" t="s">
        <v>263</v>
      </c>
      <c r="N1794" t="s">
        <v>46</v>
      </c>
      <c r="P1794" t="s">
        <v>1749</v>
      </c>
      <c r="R1794" s="5">
        <v>41529.003240740742</v>
      </c>
      <c r="S1794" s="5">
        <v>42649.837118055555</v>
      </c>
      <c r="T1794" t="s">
        <v>2</v>
      </c>
      <c r="U1794" t="s">
        <v>35</v>
      </c>
      <c r="V1794" s="3" t="s">
        <v>35</v>
      </c>
      <c r="W1794" s="3" t="s">
        <v>4098</v>
      </c>
    </row>
    <row r="1795" spans="2:23" x14ac:dyDescent="0.25">
      <c r="B1795" t="s">
        <v>3791</v>
      </c>
      <c r="C1795">
        <v>34586</v>
      </c>
      <c r="D1795" t="s">
        <v>3802</v>
      </c>
      <c r="E1795" t="s">
        <v>300</v>
      </c>
      <c r="F1795" t="s">
        <v>305</v>
      </c>
      <c r="G1795" t="s">
        <v>337</v>
      </c>
      <c r="H1795" t="s">
        <v>30</v>
      </c>
      <c r="I1795" t="s">
        <v>35</v>
      </c>
      <c r="J1795" t="s">
        <v>43</v>
      </c>
      <c r="K1795" t="s">
        <v>44</v>
      </c>
      <c r="L1795" t="s">
        <v>34</v>
      </c>
      <c r="M1795" t="s">
        <v>3780</v>
      </c>
      <c r="N1795" t="s">
        <v>46</v>
      </c>
      <c r="P1795" t="s">
        <v>1749</v>
      </c>
      <c r="R1795" s="5">
        <v>41528.633703703701</v>
      </c>
      <c r="S1795" s="5">
        <v>41534.625555555554</v>
      </c>
      <c r="T1795" t="s">
        <v>1913</v>
      </c>
      <c r="U1795" t="s">
        <v>35</v>
      </c>
      <c r="V1795" s="3" t="s">
        <v>35</v>
      </c>
      <c r="W1795" s="3" t="s">
        <v>3039</v>
      </c>
    </row>
    <row r="1796" spans="2:23" x14ac:dyDescent="0.25">
      <c r="B1796" t="s">
        <v>3791</v>
      </c>
      <c r="C1796">
        <v>34585</v>
      </c>
      <c r="D1796" t="s">
        <v>3800</v>
      </c>
      <c r="E1796" t="s">
        <v>3801</v>
      </c>
      <c r="F1796" t="s">
        <v>305</v>
      </c>
      <c r="G1796" t="s">
        <v>304</v>
      </c>
      <c r="H1796" t="s">
        <v>30</v>
      </c>
      <c r="I1796" t="s">
        <v>31</v>
      </c>
      <c r="J1796" t="s">
        <v>43</v>
      </c>
      <c r="K1796" t="s">
        <v>44</v>
      </c>
      <c r="L1796" t="s">
        <v>34</v>
      </c>
      <c r="M1796" t="s">
        <v>3780</v>
      </c>
      <c r="N1796" t="s">
        <v>46</v>
      </c>
      <c r="P1796" t="s">
        <v>1749</v>
      </c>
      <c r="R1796" s="5">
        <v>41528.632847222223</v>
      </c>
      <c r="S1796" s="5">
        <v>42039.761689814812</v>
      </c>
      <c r="T1796" t="s">
        <v>1913</v>
      </c>
      <c r="U1796" t="s">
        <v>35</v>
      </c>
      <c r="V1796" s="3" t="s">
        <v>35</v>
      </c>
      <c r="W1796" s="3" t="s">
        <v>1634</v>
      </c>
    </row>
    <row r="1797" spans="2:23" x14ac:dyDescent="0.25">
      <c r="B1797" t="s">
        <v>1931</v>
      </c>
      <c r="C1797">
        <v>34312</v>
      </c>
      <c r="D1797" t="s">
        <v>1932</v>
      </c>
      <c r="E1797" t="s">
        <v>1933</v>
      </c>
      <c r="F1797" t="s">
        <v>305</v>
      </c>
      <c r="G1797" t="s">
        <v>304</v>
      </c>
      <c r="H1797" t="s">
        <v>30</v>
      </c>
      <c r="I1797" t="s">
        <v>35</v>
      </c>
      <c r="J1797" t="s">
        <v>43</v>
      </c>
      <c r="K1797" t="s">
        <v>44</v>
      </c>
      <c r="L1797" t="s">
        <v>34</v>
      </c>
      <c r="M1797" t="s">
        <v>1853</v>
      </c>
      <c r="N1797" t="s">
        <v>46</v>
      </c>
      <c r="P1797" t="s">
        <v>1749</v>
      </c>
      <c r="R1797" s="5">
        <v>41520.716886574075</v>
      </c>
      <c r="S1797" s="5">
        <v>41864.626215277778</v>
      </c>
      <c r="T1797" t="s">
        <v>48</v>
      </c>
      <c r="U1797" t="s">
        <v>35</v>
      </c>
      <c r="V1797" s="3" t="s">
        <v>35</v>
      </c>
      <c r="W1797" s="3" t="s">
        <v>4122</v>
      </c>
    </row>
    <row r="1798" spans="2:23" x14ac:dyDescent="0.25">
      <c r="B1798" t="s">
        <v>3778</v>
      </c>
      <c r="C1798">
        <v>34221</v>
      </c>
      <c r="D1798" t="s">
        <v>3799</v>
      </c>
      <c r="E1798" t="s">
        <v>3787</v>
      </c>
      <c r="F1798" t="s">
        <v>305</v>
      </c>
      <c r="G1798" t="s">
        <v>353</v>
      </c>
      <c r="H1798" t="s">
        <v>30</v>
      </c>
      <c r="I1798" t="s">
        <v>35</v>
      </c>
      <c r="J1798" t="s">
        <v>43</v>
      </c>
      <c r="K1798" t="s">
        <v>35</v>
      </c>
      <c r="L1798" t="s">
        <v>34</v>
      </c>
      <c r="M1798" t="s">
        <v>3780</v>
      </c>
      <c r="N1798" t="s">
        <v>46</v>
      </c>
      <c r="P1798" t="s">
        <v>1749</v>
      </c>
      <c r="R1798" s="5">
        <v>41515.857604166667</v>
      </c>
      <c r="S1798" s="5">
        <v>41535.034490740742</v>
      </c>
      <c r="T1798" t="s">
        <v>1</v>
      </c>
      <c r="U1798" t="s">
        <v>35</v>
      </c>
      <c r="V1798" s="3" t="s">
        <v>35</v>
      </c>
      <c r="W1798" s="3" t="s">
        <v>4126</v>
      </c>
    </row>
    <row r="1799" spans="2:23" x14ac:dyDescent="0.25">
      <c r="B1799" t="s">
        <v>1925</v>
      </c>
      <c r="C1799">
        <v>34172</v>
      </c>
      <c r="D1799" t="s">
        <v>1930</v>
      </c>
      <c r="E1799" t="s">
        <v>387</v>
      </c>
      <c r="F1799" t="s">
        <v>305</v>
      </c>
      <c r="G1799" t="s">
        <v>353</v>
      </c>
      <c r="H1799" t="s">
        <v>30</v>
      </c>
      <c r="I1799" t="s">
        <v>35</v>
      </c>
      <c r="J1799" t="s">
        <v>43</v>
      </c>
      <c r="K1799" t="s">
        <v>44</v>
      </c>
      <c r="L1799" t="s">
        <v>73</v>
      </c>
      <c r="M1799" t="s">
        <v>263</v>
      </c>
      <c r="N1799" t="s">
        <v>46</v>
      </c>
      <c r="P1799" t="s">
        <v>1646</v>
      </c>
      <c r="R1799" s="5">
        <v>41514.787557870368</v>
      </c>
      <c r="S1799" s="5">
        <v>42649.837766203702</v>
      </c>
      <c r="T1799" t="s">
        <v>1529</v>
      </c>
      <c r="U1799" t="s">
        <v>35</v>
      </c>
      <c r="V1799" s="3" t="s">
        <v>35</v>
      </c>
      <c r="W1799" s="3" t="s">
        <v>3039</v>
      </c>
    </row>
    <row r="1800" spans="2:23" x14ac:dyDescent="0.25">
      <c r="B1800" t="s">
        <v>1925</v>
      </c>
      <c r="C1800">
        <v>34171</v>
      </c>
      <c r="D1800" t="s">
        <v>1928</v>
      </c>
      <c r="E1800" t="s">
        <v>387</v>
      </c>
      <c r="F1800" t="s">
        <v>305</v>
      </c>
      <c r="G1800" t="s">
        <v>353</v>
      </c>
      <c r="H1800" t="s">
        <v>30</v>
      </c>
      <c r="I1800" t="s">
        <v>35</v>
      </c>
      <c r="J1800" t="s">
        <v>43</v>
      </c>
      <c r="K1800" t="s">
        <v>44</v>
      </c>
      <c r="L1800" t="s">
        <v>73</v>
      </c>
      <c r="M1800" t="s">
        <v>263</v>
      </c>
      <c r="N1800" t="s">
        <v>46</v>
      </c>
      <c r="O1800" t="s">
        <v>1929</v>
      </c>
      <c r="P1800" t="s">
        <v>1646</v>
      </c>
      <c r="R1800" s="5">
        <v>41514.787256944444</v>
      </c>
      <c r="S1800" s="5">
        <v>42649.837557870371</v>
      </c>
      <c r="T1800" t="s">
        <v>1529</v>
      </c>
      <c r="U1800" t="s">
        <v>35</v>
      </c>
      <c r="V1800" s="3" t="s">
        <v>35</v>
      </c>
      <c r="W1800" s="3" t="s">
        <v>1634</v>
      </c>
    </row>
    <row r="1801" spans="2:23" x14ac:dyDescent="0.25">
      <c r="B1801" t="s">
        <v>1925</v>
      </c>
      <c r="C1801">
        <v>34170</v>
      </c>
      <c r="D1801" t="s">
        <v>1927</v>
      </c>
      <c r="E1801" t="s">
        <v>387</v>
      </c>
      <c r="F1801" t="s">
        <v>305</v>
      </c>
      <c r="G1801" t="s">
        <v>310</v>
      </c>
      <c r="H1801" t="s">
        <v>30</v>
      </c>
      <c r="I1801" t="s">
        <v>35</v>
      </c>
      <c r="J1801" t="s">
        <v>43</v>
      </c>
      <c r="K1801" t="s">
        <v>44</v>
      </c>
      <c r="L1801" t="s">
        <v>73</v>
      </c>
      <c r="M1801" t="s">
        <v>263</v>
      </c>
      <c r="N1801" t="s">
        <v>46</v>
      </c>
      <c r="P1801" t="s">
        <v>1646</v>
      </c>
      <c r="R1801" s="5">
        <v>41514.78701388889</v>
      </c>
      <c r="S1801" s="5">
        <v>42649.838067129633</v>
      </c>
      <c r="T1801" t="s">
        <v>1529</v>
      </c>
      <c r="U1801" t="s">
        <v>35</v>
      </c>
      <c r="V1801" s="3" t="s">
        <v>35</v>
      </c>
      <c r="W1801" s="3" t="s">
        <v>394</v>
      </c>
    </row>
    <row r="1802" spans="2:23" x14ac:dyDescent="0.25">
      <c r="B1802" t="s">
        <v>1925</v>
      </c>
      <c r="C1802">
        <v>34168</v>
      </c>
      <c r="D1802" t="s">
        <v>1926</v>
      </c>
      <c r="E1802" t="s">
        <v>387</v>
      </c>
      <c r="F1802" t="s">
        <v>305</v>
      </c>
      <c r="G1802" t="s">
        <v>353</v>
      </c>
      <c r="H1802" t="s">
        <v>30</v>
      </c>
      <c r="I1802" t="s">
        <v>35</v>
      </c>
      <c r="J1802" t="s">
        <v>43</v>
      </c>
      <c r="K1802" t="s">
        <v>44</v>
      </c>
      <c r="L1802" t="s">
        <v>73</v>
      </c>
      <c r="M1802" t="s">
        <v>263</v>
      </c>
      <c r="N1802" t="s">
        <v>46</v>
      </c>
      <c r="P1802" t="s">
        <v>1646</v>
      </c>
      <c r="R1802" s="5">
        <v>41514.764930555553</v>
      </c>
      <c r="S1802" s="5">
        <v>42649.837627314817</v>
      </c>
      <c r="T1802" t="s">
        <v>1598</v>
      </c>
      <c r="U1802" t="s">
        <v>35</v>
      </c>
      <c r="V1802" s="3" t="s">
        <v>35</v>
      </c>
      <c r="W1802" s="3" t="s">
        <v>4098</v>
      </c>
    </row>
    <row r="1803" spans="2:23" x14ac:dyDescent="0.25">
      <c r="B1803" t="s">
        <v>1919</v>
      </c>
      <c r="C1803">
        <v>34155</v>
      </c>
      <c r="D1803" t="s">
        <v>1924</v>
      </c>
      <c r="E1803" t="s">
        <v>1613</v>
      </c>
      <c r="F1803" t="s">
        <v>305</v>
      </c>
      <c r="G1803" t="s">
        <v>304</v>
      </c>
      <c r="H1803" t="s">
        <v>30</v>
      </c>
      <c r="I1803" t="s">
        <v>35</v>
      </c>
      <c r="J1803" t="s">
        <v>32</v>
      </c>
      <c r="K1803" t="s">
        <v>33</v>
      </c>
      <c r="L1803" t="s">
        <v>73</v>
      </c>
      <c r="M1803" t="s">
        <v>263</v>
      </c>
      <c r="N1803" t="s">
        <v>46</v>
      </c>
      <c r="P1803" t="s">
        <v>1646</v>
      </c>
      <c r="R1803" s="5">
        <v>41514.57304398148</v>
      </c>
      <c r="S1803" s="5">
        <v>42648.825833333336</v>
      </c>
      <c r="T1803" t="s">
        <v>1529</v>
      </c>
      <c r="U1803" t="s">
        <v>35</v>
      </c>
      <c r="V1803" s="3" t="s">
        <v>35</v>
      </c>
      <c r="W1803" s="3" t="s">
        <v>4124</v>
      </c>
    </row>
    <row r="1804" spans="2:23" x14ac:dyDescent="0.25">
      <c r="B1804" t="s">
        <v>1919</v>
      </c>
      <c r="C1804">
        <v>34154</v>
      </c>
      <c r="D1804" t="s">
        <v>1922</v>
      </c>
      <c r="E1804" t="s">
        <v>387</v>
      </c>
      <c r="F1804" t="s">
        <v>305</v>
      </c>
      <c r="G1804" t="s">
        <v>304</v>
      </c>
      <c r="H1804" t="s">
        <v>30</v>
      </c>
      <c r="I1804" t="s">
        <v>35</v>
      </c>
      <c r="J1804" t="s">
        <v>32</v>
      </c>
      <c r="K1804" t="s">
        <v>33</v>
      </c>
      <c r="L1804" t="s">
        <v>73</v>
      </c>
      <c r="M1804" t="s">
        <v>263</v>
      </c>
      <c r="N1804" t="s">
        <v>1923</v>
      </c>
      <c r="O1804" t="s">
        <v>1846</v>
      </c>
      <c r="P1804" t="s">
        <v>1646</v>
      </c>
      <c r="R1804" s="5">
        <v>41514.572905092595</v>
      </c>
      <c r="S1804" s="5">
        <v>42648.825590277775</v>
      </c>
      <c r="T1804" t="s">
        <v>1529</v>
      </c>
      <c r="U1804" t="s">
        <v>35</v>
      </c>
      <c r="V1804" s="3" t="s">
        <v>35</v>
      </c>
      <c r="W1804" s="3" t="s">
        <v>1634</v>
      </c>
    </row>
    <row r="1805" spans="2:23" x14ac:dyDescent="0.25">
      <c r="B1805" t="s">
        <v>1919</v>
      </c>
      <c r="C1805">
        <v>34153</v>
      </c>
      <c r="D1805" t="s">
        <v>1921</v>
      </c>
      <c r="E1805" t="s">
        <v>387</v>
      </c>
      <c r="F1805" t="s">
        <v>305</v>
      </c>
      <c r="G1805" t="s">
        <v>304</v>
      </c>
      <c r="H1805" t="s">
        <v>30</v>
      </c>
      <c r="I1805" t="s">
        <v>35</v>
      </c>
      <c r="J1805" t="s">
        <v>32</v>
      </c>
      <c r="K1805" t="s">
        <v>33</v>
      </c>
      <c r="L1805" t="s">
        <v>73</v>
      </c>
      <c r="M1805" t="s">
        <v>263</v>
      </c>
      <c r="N1805" t="s">
        <v>46</v>
      </c>
      <c r="P1805" t="s">
        <v>1646</v>
      </c>
      <c r="R1805" s="5">
        <v>41514.572789351849</v>
      </c>
      <c r="S1805" s="5">
        <v>42648.82571759259</v>
      </c>
      <c r="T1805" t="s">
        <v>1529</v>
      </c>
      <c r="U1805" t="s">
        <v>35</v>
      </c>
      <c r="V1805" s="3" t="s">
        <v>35</v>
      </c>
      <c r="W1805" s="3" t="s">
        <v>4123</v>
      </c>
    </row>
    <row r="1806" spans="2:23" x14ac:dyDescent="0.25">
      <c r="B1806" t="s">
        <v>1919</v>
      </c>
      <c r="C1806">
        <v>34152</v>
      </c>
      <c r="D1806" t="s">
        <v>1920</v>
      </c>
      <c r="E1806" t="s">
        <v>387</v>
      </c>
      <c r="F1806" t="s">
        <v>305</v>
      </c>
      <c r="G1806" t="s">
        <v>304</v>
      </c>
      <c r="H1806" t="s">
        <v>30</v>
      </c>
      <c r="I1806" t="s">
        <v>35</v>
      </c>
      <c r="J1806" t="s">
        <v>32</v>
      </c>
      <c r="K1806" t="s">
        <v>33</v>
      </c>
      <c r="L1806" t="s">
        <v>73</v>
      </c>
      <c r="M1806" t="s">
        <v>263</v>
      </c>
      <c r="N1806" t="s">
        <v>46</v>
      </c>
      <c r="P1806" t="s">
        <v>1646</v>
      </c>
      <c r="R1806" s="5">
        <v>41514.56826388889</v>
      </c>
      <c r="S1806" s="5">
        <v>42037.895243055558</v>
      </c>
      <c r="T1806" t="s">
        <v>1</v>
      </c>
      <c r="U1806" t="s">
        <v>35</v>
      </c>
      <c r="V1806" s="3" t="s">
        <v>35</v>
      </c>
      <c r="W1806" s="3" t="s">
        <v>4098</v>
      </c>
    </row>
    <row r="1807" spans="2:23" x14ac:dyDescent="0.25">
      <c r="B1807" t="s">
        <v>1915</v>
      </c>
      <c r="C1807">
        <v>33971</v>
      </c>
      <c r="D1807" t="s">
        <v>1916</v>
      </c>
      <c r="E1807" t="s">
        <v>1917</v>
      </c>
      <c r="F1807" t="s">
        <v>305</v>
      </c>
      <c r="G1807" t="s">
        <v>395</v>
      </c>
      <c r="H1807" t="s">
        <v>426</v>
      </c>
      <c r="I1807" t="s">
        <v>31</v>
      </c>
      <c r="J1807" t="s">
        <v>32</v>
      </c>
      <c r="K1807" t="s">
        <v>33</v>
      </c>
      <c r="L1807" t="s">
        <v>34</v>
      </c>
      <c r="M1807" t="s">
        <v>258</v>
      </c>
      <c r="N1807" t="s">
        <v>46</v>
      </c>
      <c r="O1807" t="s">
        <v>37</v>
      </c>
      <c r="P1807" t="s">
        <v>1530</v>
      </c>
      <c r="Q1807" t="s">
        <v>1918</v>
      </c>
      <c r="R1807" s="5">
        <v>41509.710069444445</v>
      </c>
      <c r="S1807" s="5">
        <v>42649.916284722225</v>
      </c>
      <c r="T1807" t="s">
        <v>39</v>
      </c>
      <c r="U1807" t="s">
        <v>35</v>
      </c>
      <c r="V1807" s="3" t="s">
        <v>35</v>
      </c>
      <c r="W1807" s="3" t="s">
        <v>4111</v>
      </c>
    </row>
    <row r="1808" spans="2:23" x14ac:dyDescent="0.25">
      <c r="B1808" t="s">
        <v>1899</v>
      </c>
      <c r="C1808">
        <v>33767</v>
      </c>
      <c r="D1808" t="s">
        <v>1914</v>
      </c>
      <c r="E1808" t="s">
        <v>1901</v>
      </c>
      <c r="F1808" t="s">
        <v>305</v>
      </c>
      <c r="G1808" t="s">
        <v>310</v>
      </c>
      <c r="H1808" t="s">
        <v>30</v>
      </c>
      <c r="I1808" t="s">
        <v>35</v>
      </c>
      <c r="J1808" t="s">
        <v>43</v>
      </c>
      <c r="K1808" t="s">
        <v>35</v>
      </c>
      <c r="L1808" t="s">
        <v>34</v>
      </c>
      <c r="M1808" t="s">
        <v>1853</v>
      </c>
      <c r="N1808" t="s">
        <v>46</v>
      </c>
      <c r="P1808" t="s">
        <v>1902</v>
      </c>
      <c r="R1808" s="5">
        <v>41505.657824074071</v>
      </c>
      <c r="S1808" s="5">
        <v>42044.673530092594</v>
      </c>
      <c r="T1808" t="s">
        <v>1913</v>
      </c>
      <c r="U1808" t="s">
        <v>35</v>
      </c>
      <c r="V1808" s="3" t="s">
        <v>35</v>
      </c>
      <c r="W1808" s="3" t="s">
        <v>3039</v>
      </c>
    </row>
    <row r="1809" spans="2:23" x14ac:dyDescent="0.25">
      <c r="B1809" t="s">
        <v>1899</v>
      </c>
      <c r="C1809">
        <v>33766</v>
      </c>
      <c r="D1809" t="s">
        <v>1912</v>
      </c>
      <c r="E1809" t="s">
        <v>1901</v>
      </c>
      <c r="F1809" t="s">
        <v>305</v>
      </c>
      <c r="G1809" t="s">
        <v>353</v>
      </c>
      <c r="H1809" t="s">
        <v>30</v>
      </c>
      <c r="I1809" t="s">
        <v>35</v>
      </c>
      <c r="J1809" t="s">
        <v>43</v>
      </c>
      <c r="K1809" t="s">
        <v>35</v>
      </c>
      <c r="L1809" t="s">
        <v>34</v>
      </c>
      <c r="M1809" t="s">
        <v>1853</v>
      </c>
      <c r="N1809" t="s">
        <v>46</v>
      </c>
      <c r="P1809" t="s">
        <v>1902</v>
      </c>
      <c r="R1809" s="5">
        <v>41505.65729166667</v>
      </c>
      <c r="S1809" s="5">
        <v>42044.667453703703</v>
      </c>
      <c r="T1809" t="s">
        <v>1913</v>
      </c>
      <c r="U1809" t="s">
        <v>35</v>
      </c>
      <c r="V1809" s="3" t="s">
        <v>35</v>
      </c>
      <c r="W1809" s="3" t="s">
        <v>1634</v>
      </c>
    </row>
    <row r="1810" spans="2:23" x14ac:dyDescent="0.25">
      <c r="B1810" t="s">
        <v>1899</v>
      </c>
      <c r="C1810">
        <v>33764</v>
      </c>
      <c r="D1810" t="s">
        <v>1914</v>
      </c>
      <c r="E1810" t="s">
        <v>1901</v>
      </c>
      <c r="F1810" t="s">
        <v>305</v>
      </c>
      <c r="G1810" t="s">
        <v>310</v>
      </c>
      <c r="H1810" t="s">
        <v>30</v>
      </c>
      <c r="I1810" t="s">
        <v>35</v>
      </c>
      <c r="J1810" t="s">
        <v>43</v>
      </c>
      <c r="K1810" t="s">
        <v>35</v>
      </c>
      <c r="L1810" t="s">
        <v>34</v>
      </c>
      <c r="M1810" t="s">
        <v>1853</v>
      </c>
      <c r="N1810" t="s">
        <v>46</v>
      </c>
      <c r="P1810" t="s">
        <v>1902</v>
      </c>
      <c r="R1810" s="5">
        <v>41505.652673611112</v>
      </c>
      <c r="S1810" s="5">
        <v>42044.672106481485</v>
      </c>
      <c r="T1810" t="s">
        <v>1913</v>
      </c>
      <c r="U1810" t="s">
        <v>35</v>
      </c>
      <c r="V1810" s="3" t="s">
        <v>35</v>
      </c>
      <c r="W1810" s="3" t="s">
        <v>3039</v>
      </c>
    </row>
    <row r="1811" spans="2:23" x14ac:dyDescent="0.25">
      <c r="B1811" t="s">
        <v>1899</v>
      </c>
      <c r="C1811">
        <v>33763</v>
      </c>
      <c r="D1811" t="s">
        <v>1912</v>
      </c>
      <c r="E1811" t="s">
        <v>1901</v>
      </c>
      <c r="F1811" t="s">
        <v>305</v>
      </c>
      <c r="G1811" t="s">
        <v>353</v>
      </c>
      <c r="H1811" t="s">
        <v>30</v>
      </c>
      <c r="I1811" t="s">
        <v>35</v>
      </c>
      <c r="J1811" t="s">
        <v>43</v>
      </c>
      <c r="K1811" t="s">
        <v>35</v>
      </c>
      <c r="L1811" t="s">
        <v>34</v>
      </c>
      <c r="M1811" t="s">
        <v>1853</v>
      </c>
      <c r="N1811" t="s">
        <v>46</v>
      </c>
      <c r="P1811" t="s">
        <v>1902</v>
      </c>
      <c r="R1811" s="5">
        <v>41505.652465277781</v>
      </c>
      <c r="S1811" s="5">
        <v>42044.673726851855</v>
      </c>
      <c r="T1811" t="s">
        <v>1913</v>
      </c>
      <c r="U1811" t="s">
        <v>35</v>
      </c>
      <c r="V1811" s="3" t="s">
        <v>35</v>
      </c>
      <c r="W1811" s="3" t="s">
        <v>1634</v>
      </c>
    </row>
    <row r="1812" spans="2:23" x14ac:dyDescent="0.25">
      <c r="B1812" t="s">
        <v>1811</v>
      </c>
      <c r="C1812">
        <v>33754</v>
      </c>
      <c r="D1812" t="s">
        <v>3798</v>
      </c>
      <c r="E1812" t="s">
        <v>1864</v>
      </c>
      <c r="F1812" t="s">
        <v>305</v>
      </c>
      <c r="G1812" t="s">
        <v>304</v>
      </c>
      <c r="H1812" t="s">
        <v>426</v>
      </c>
      <c r="I1812" t="s">
        <v>31</v>
      </c>
      <c r="J1812" t="s">
        <v>43</v>
      </c>
      <c r="K1812" t="s">
        <v>44</v>
      </c>
      <c r="L1812" t="s">
        <v>34</v>
      </c>
      <c r="M1812" t="s">
        <v>3780</v>
      </c>
      <c r="N1812" t="s">
        <v>46</v>
      </c>
      <c r="P1812" t="s">
        <v>1646</v>
      </c>
      <c r="R1812" s="5">
        <v>41505.621574074074</v>
      </c>
      <c r="S1812" s="5">
        <v>42039.770891203705</v>
      </c>
      <c r="T1812" t="s">
        <v>1913</v>
      </c>
      <c r="U1812" t="s">
        <v>35</v>
      </c>
      <c r="V1812" s="3" t="s">
        <v>35</v>
      </c>
      <c r="W1812" s="3" t="s">
        <v>4119</v>
      </c>
    </row>
    <row r="1813" spans="2:23" x14ac:dyDescent="0.25">
      <c r="B1813" t="s">
        <v>1811</v>
      </c>
      <c r="C1813">
        <v>33753</v>
      </c>
      <c r="D1813" t="s">
        <v>3797</v>
      </c>
      <c r="E1813" t="s">
        <v>1913</v>
      </c>
      <c r="F1813" t="s">
        <v>305</v>
      </c>
      <c r="G1813" t="s">
        <v>304</v>
      </c>
      <c r="H1813" t="s">
        <v>426</v>
      </c>
      <c r="I1813" t="s">
        <v>68</v>
      </c>
      <c r="J1813" t="s">
        <v>43</v>
      </c>
      <c r="K1813" t="s">
        <v>33</v>
      </c>
      <c r="L1813" t="s">
        <v>34</v>
      </c>
      <c r="M1813" t="s">
        <v>368</v>
      </c>
      <c r="N1813" t="s">
        <v>46</v>
      </c>
      <c r="P1813" t="s">
        <v>1646</v>
      </c>
      <c r="R1813" s="5">
        <v>41505.621342592596</v>
      </c>
      <c r="S1813" s="5">
        <v>42039.725694444445</v>
      </c>
      <c r="T1813" t="s">
        <v>1913</v>
      </c>
      <c r="U1813" t="s">
        <v>35</v>
      </c>
      <c r="V1813" s="3" t="s">
        <v>35</v>
      </c>
      <c r="W1813" s="3" t="s">
        <v>1634</v>
      </c>
    </row>
    <row r="1814" spans="2:23" x14ac:dyDescent="0.25">
      <c r="B1814" t="s">
        <v>1899</v>
      </c>
      <c r="C1814">
        <v>33752</v>
      </c>
      <c r="D1814" t="s">
        <v>1914</v>
      </c>
      <c r="E1814" t="s">
        <v>1901</v>
      </c>
      <c r="F1814" t="s">
        <v>305</v>
      </c>
      <c r="G1814" t="s">
        <v>310</v>
      </c>
      <c r="H1814" t="s">
        <v>30</v>
      </c>
      <c r="I1814" t="s">
        <v>35</v>
      </c>
      <c r="J1814" t="s">
        <v>43</v>
      </c>
      <c r="K1814" t="s">
        <v>35</v>
      </c>
      <c r="L1814" t="s">
        <v>34</v>
      </c>
      <c r="M1814" t="s">
        <v>1853</v>
      </c>
      <c r="N1814" t="s">
        <v>46</v>
      </c>
      <c r="P1814" t="s">
        <v>1902</v>
      </c>
      <c r="R1814" s="5">
        <v>41505.617881944447</v>
      </c>
      <c r="S1814" s="5">
        <v>42044.674189814818</v>
      </c>
      <c r="T1814" t="s">
        <v>1913</v>
      </c>
      <c r="U1814" t="s">
        <v>35</v>
      </c>
      <c r="V1814" s="3" t="s">
        <v>35</v>
      </c>
      <c r="W1814" s="3" t="s">
        <v>3039</v>
      </c>
    </row>
    <row r="1815" spans="2:23" x14ac:dyDescent="0.25">
      <c r="B1815" t="s">
        <v>1899</v>
      </c>
      <c r="C1815">
        <v>33751</v>
      </c>
      <c r="D1815" t="s">
        <v>1912</v>
      </c>
      <c r="E1815" t="s">
        <v>1901</v>
      </c>
      <c r="F1815" t="s">
        <v>305</v>
      </c>
      <c r="G1815" t="s">
        <v>353</v>
      </c>
      <c r="H1815" t="s">
        <v>30</v>
      </c>
      <c r="I1815" t="s">
        <v>35</v>
      </c>
      <c r="J1815" t="s">
        <v>43</v>
      </c>
      <c r="K1815" t="s">
        <v>35</v>
      </c>
      <c r="L1815" t="s">
        <v>34</v>
      </c>
      <c r="M1815" t="s">
        <v>1853</v>
      </c>
      <c r="N1815" t="s">
        <v>46</v>
      </c>
      <c r="P1815" t="s">
        <v>1902</v>
      </c>
      <c r="R1815" s="5">
        <v>41505.617708333331</v>
      </c>
      <c r="S1815" s="5">
        <v>42044.670856481483</v>
      </c>
      <c r="T1815" t="s">
        <v>1913</v>
      </c>
      <c r="U1815" t="s">
        <v>35</v>
      </c>
      <c r="V1815" s="3" t="s">
        <v>35</v>
      </c>
      <c r="W1815" s="3" t="s">
        <v>1634</v>
      </c>
    </row>
    <row r="1816" spans="2:23" x14ac:dyDescent="0.25">
      <c r="B1816" t="s">
        <v>1899</v>
      </c>
      <c r="C1816">
        <v>33750</v>
      </c>
      <c r="D1816" t="s">
        <v>1914</v>
      </c>
      <c r="E1816" t="s">
        <v>1913</v>
      </c>
      <c r="F1816" t="s">
        <v>305</v>
      </c>
      <c r="G1816" t="s">
        <v>304</v>
      </c>
      <c r="H1816" t="s">
        <v>30</v>
      </c>
      <c r="I1816" t="s">
        <v>31</v>
      </c>
      <c r="J1816" t="s">
        <v>43</v>
      </c>
      <c r="K1816" t="s">
        <v>44</v>
      </c>
      <c r="L1816" t="s">
        <v>34</v>
      </c>
      <c r="M1816" t="s">
        <v>1853</v>
      </c>
      <c r="N1816" t="s">
        <v>46</v>
      </c>
      <c r="P1816" t="s">
        <v>1902</v>
      </c>
      <c r="R1816" s="5">
        <v>41505.615451388891</v>
      </c>
      <c r="S1816" s="5">
        <v>42039.768506944441</v>
      </c>
      <c r="T1816" t="s">
        <v>1913</v>
      </c>
      <c r="U1816" t="s">
        <v>35</v>
      </c>
      <c r="V1816" s="3" t="s">
        <v>35</v>
      </c>
      <c r="W1816" s="3" t="s">
        <v>4124</v>
      </c>
    </row>
    <row r="1817" spans="2:23" x14ac:dyDescent="0.25">
      <c r="B1817" t="s">
        <v>1899</v>
      </c>
      <c r="C1817">
        <v>33749</v>
      </c>
      <c r="D1817" t="s">
        <v>1912</v>
      </c>
      <c r="E1817" t="s">
        <v>1913</v>
      </c>
      <c r="F1817" t="s">
        <v>305</v>
      </c>
      <c r="G1817" t="s">
        <v>304</v>
      </c>
      <c r="H1817" t="s">
        <v>30</v>
      </c>
      <c r="I1817" t="s">
        <v>31</v>
      </c>
      <c r="J1817" t="s">
        <v>43</v>
      </c>
      <c r="K1817" t="s">
        <v>44</v>
      </c>
      <c r="L1817" t="s">
        <v>34</v>
      </c>
      <c r="M1817" t="s">
        <v>1853</v>
      </c>
      <c r="N1817" t="s">
        <v>46</v>
      </c>
      <c r="P1817" t="s">
        <v>1902</v>
      </c>
      <c r="R1817" s="5">
        <v>41505.614062499997</v>
      </c>
      <c r="S1817" s="5">
        <v>42039.760150462964</v>
      </c>
      <c r="T1817" t="s">
        <v>1913</v>
      </c>
      <c r="U1817" t="s">
        <v>35</v>
      </c>
      <c r="V1817" s="3" t="s">
        <v>35</v>
      </c>
      <c r="W1817" s="3" t="s">
        <v>1634</v>
      </c>
    </row>
    <row r="1818" spans="2:23" x14ac:dyDescent="0.25">
      <c r="B1818" t="s">
        <v>1745</v>
      </c>
      <c r="C1818">
        <v>33748</v>
      </c>
      <c r="D1818" t="s">
        <v>1909</v>
      </c>
      <c r="E1818" t="s">
        <v>134</v>
      </c>
      <c r="F1818" t="s">
        <v>305</v>
      </c>
      <c r="G1818" t="s">
        <v>304</v>
      </c>
      <c r="H1818" t="s">
        <v>30</v>
      </c>
      <c r="I1818" t="s">
        <v>35</v>
      </c>
      <c r="J1818" t="s">
        <v>43</v>
      </c>
      <c r="K1818" t="s">
        <v>51</v>
      </c>
      <c r="L1818" t="s">
        <v>34</v>
      </c>
      <c r="M1818" t="s">
        <v>1748</v>
      </c>
      <c r="N1818" t="s">
        <v>46</v>
      </c>
      <c r="P1818" t="s">
        <v>1910</v>
      </c>
      <c r="R1818" s="5">
        <v>41505.596967592595</v>
      </c>
      <c r="S1818" s="5">
        <v>41843.499050925922</v>
      </c>
      <c r="T1818" t="s">
        <v>1911</v>
      </c>
      <c r="U1818" t="s">
        <v>35</v>
      </c>
      <c r="V1818" s="3" t="s">
        <v>35</v>
      </c>
      <c r="W1818" s="3" t="s">
        <v>4125</v>
      </c>
    </row>
    <row r="1819" spans="2:23" x14ac:dyDescent="0.25">
      <c r="B1819" t="s">
        <v>3793</v>
      </c>
      <c r="C1819">
        <v>33618</v>
      </c>
      <c r="D1819" t="s">
        <v>3794</v>
      </c>
      <c r="E1819" t="s">
        <v>3795</v>
      </c>
      <c r="F1819" t="s">
        <v>305</v>
      </c>
      <c r="G1819" t="s">
        <v>304</v>
      </c>
      <c r="H1819" t="s">
        <v>30</v>
      </c>
      <c r="I1819" t="s">
        <v>57</v>
      </c>
      <c r="J1819" t="s">
        <v>1516</v>
      </c>
      <c r="K1819" t="s">
        <v>51</v>
      </c>
      <c r="L1819" t="s">
        <v>34</v>
      </c>
      <c r="M1819" t="s">
        <v>3780</v>
      </c>
      <c r="N1819" t="s">
        <v>46</v>
      </c>
      <c r="O1819" t="s">
        <v>3796</v>
      </c>
      <c r="P1819" t="s">
        <v>1854</v>
      </c>
      <c r="R1819" s="5">
        <v>41501.677893518521</v>
      </c>
      <c r="S1819" s="5">
        <v>42118.590104166666</v>
      </c>
      <c r="T1819" t="s">
        <v>3795</v>
      </c>
      <c r="U1819" t="s">
        <v>35</v>
      </c>
      <c r="V1819" s="3" t="s">
        <v>35</v>
      </c>
      <c r="W1819" s="3" t="s">
        <v>4112</v>
      </c>
    </row>
    <row r="1820" spans="2:23" x14ac:dyDescent="0.25">
      <c r="B1820" t="s">
        <v>1903</v>
      </c>
      <c r="C1820">
        <v>33561</v>
      </c>
      <c r="D1820" t="s">
        <v>1908</v>
      </c>
      <c r="E1820" t="s">
        <v>387</v>
      </c>
      <c r="F1820" t="s">
        <v>305</v>
      </c>
      <c r="G1820" t="s">
        <v>337</v>
      </c>
      <c r="H1820" t="s">
        <v>30</v>
      </c>
      <c r="I1820" t="s">
        <v>35</v>
      </c>
      <c r="J1820" t="s">
        <v>58</v>
      </c>
      <c r="K1820" t="s">
        <v>44</v>
      </c>
      <c r="L1820" t="s">
        <v>73</v>
      </c>
      <c r="M1820" t="s">
        <v>1514</v>
      </c>
      <c r="N1820" t="s">
        <v>46</v>
      </c>
      <c r="P1820" t="s">
        <v>1530</v>
      </c>
      <c r="R1820" s="5">
        <v>41499.923009259262</v>
      </c>
      <c r="S1820" s="5">
        <v>42649.836215277777</v>
      </c>
      <c r="T1820" t="s">
        <v>1529</v>
      </c>
      <c r="U1820" t="s">
        <v>35</v>
      </c>
      <c r="V1820" s="3" t="s">
        <v>35</v>
      </c>
      <c r="W1820" s="3" t="s">
        <v>3039</v>
      </c>
    </row>
    <row r="1821" spans="2:23" x14ac:dyDescent="0.25">
      <c r="B1821" t="s">
        <v>1903</v>
      </c>
      <c r="C1821">
        <v>33560</v>
      </c>
      <c r="D1821" t="s">
        <v>1907</v>
      </c>
      <c r="E1821" t="s">
        <v>387</v>
      </c>
      <c r="F1821" t="s">
        <v>305</v>
      </c>
      <c r="G1821" t="s">
        <v>337</v>
      </c>
      <c r="H1821" t="s">
        <v>30</v>
      </c>
      <c r="I1821" t="s">
        <v>35</v>
      </c>
      <c r="J1821" t="s">
        <v>58</v>
      </c>
      <c r="K1821" t="s">
        <v>44</v>
      </c>
      <c r="L1821" t="s">
        <v>73</v>
      </c>
      <c r="M1821" t="s">
        <v>1514</v>
      </c>
      <c r="N1821" t="s">
        <v>46</v>
      </c>
      <c r="O1821" t="s">
        <v>1710</v>
      </c>
      <c r="P1821" t="s">
        <v>1530</v>
      </c>
      <c r="R1821" s="5">
        <v>41499.922812500001</v>
      </c>
      <c r="S1821" s="5">
        <v>42649.836550925924</v>
      </c>
      <c r="T1821" t="s">
        <v>1529</v>
      </c>
      <c r="U1821" t="s">
        <v>35</v>
      </c>
      <c r="V1821" s="3" t="s">
        <v>35</v>
      </c>
      <c r="W1821" s="3" t="s">
        <v>1634</v>
      </c>
    </row>
    <row r="1822" spans="2:23" x14ac:dyDescent="0.25">
      <c r="B1822" t="s">
        <v>1903</v>
      </c>
      <c r="C1822">
        <v>33559</v>
      </c>
      <c r="D1822" t="s">
        <v>1906</v>
      </c>
      <c r="E1822" t="s">
        <v>387</v>
      </c>
      <c r="F1822" t="s">
        <v>305</v>
      </c>
      <c r="G1822" t="s">
        <v>310</v>
      </c>
      <c r="H1822" t="s">
        <v>30</v>
      </c>
      <c r="I1822" t="s">
        <v>35</v>
      </c>
      <c r="J1822" t="s">
        <v>58</v>
      </c>
      <c r="K1822" t="s">
        <v>44</v>
      </c>
      <c r="L1822" t="s">
        <v>73</v>
      </c>
      <c r="M1822" t="s">
        <v>1514</v>
      </c>
      <c r="N1822" t="s">
        <v>46</v>
      </c>
      <c r="P1822" t="s">
        <v>1530</v>
      </c>
      <c r="R1822" s="5">
        <v>41499.922708333332</v>
      </c>
      <c r="S1822" s="5">
        <v>42649.836145833331</v>
      </c>
      <c r="T1822" t="s">
        <v>1529</v>
      </c>
      <c r="U1822" t="s">
        <v>35</v>
      </c>
      <c r="V1822" s="3" t="s">
        <v>35</v>
      </c>
      <c r="W1822" s="3" t="s">
        <v>394</v>
      </c>
    </row>
    <row r="1823" spans="2:23" x14ac:dyDescent="0.25">
      <c r="B1823" t="s">
        <v>1903</v>
      </c>
      <c r="C1823">
        <v>33558</v>
      </c>
      <c r="D1823" t="s">
        <v>1904</v>
      </c>
      <c r="E1823" t="s">
        <v>387</v>
      </c>
      <c r="F1823" t="s">
        <v>305</v>
      </c>
      <c r="G1823" t="s">
        <v>353</v>
      </c>
      <c r="H1823" t="s">
        <v>30</v>
      </c>
      <c r="I1823" t="s">
        <v>35</v>
      </c>
      <c r="J1823" t="s">
        <v>58</v>
      </c>
      <c r="K1823" t="s">
        <v>44</v>
      </c>
      <c r="L1823" t="s">
        <v>73</v>
      </c>
      <c r="M1823" t="s">
        <v>1514</v>
      </c>
      <c r="N1823" t="s">
        <v>46</v>
      </c>
      <c r="O1823" t="s">
        <v>1905</v>
      </c>
      <c r="P1823" t="s">
        <v>1530</v>
      </c>
      <c r="R1823" s="5">
        <v>41499.899224537039</v>
      </c>
      <c r="S1823" s="5">
        <v>42649.836273148147</v>
      </c>
      <c r="T1823" t="s">
        <v>1700</v>
      </c>
      <c r="U1823" t="s">
        <v>35</v>
      </c>
      <c r="V1823" s="3" t="s">
        <v>35</v>
      </c>
      <c r="W1823" s="3" t="s">
        <v>4098</v>
      </c>
    </row>
    <row r="1824" spans="2:23" x14ac:dyDescent="0.25">
      <c r="B1824" t="s">
        <v>1899</v>
      </c>
      <c r="C1824">
        <v>33519</v>
      </c>
      <c r="D1824" t="s">
        <v>1900</v>
      </c>
      <c r="E1824" t="s">
        <v>1901</v>
      </c>
      <c r="F1824" t="s">
        <v>305</v>
      </c>
      <c r="G1824" t="s">
        <v>304</v>
      </c>
      <c r="H1824" t="s">
        <v>30</v>
      </c>
      <c r="I1824" t="s">
        <v>35</v>
      </c>
      <c r="J1824" t="s">
        <v>43</v>
      </c>
      <c r="K1824" t="s">
        <v>44</v>
      </c>
      <c r="L1824" t="s">
        <v>34</v>
      </c>
      <c r="M1824" t="s">
        <v>1853</v>
      </c>
      <c r="N1824" t="s">
        <v>46</v>
      </c>
      <c r="P1824" t="s">
        <v>1902</v>
      </c>
      <c r="R1824" s="5">
        <v>41498.641956018517</v>
      </c>
      <c r="S1824" s="5">
        <v>41816.552488425928</v>
      </c>
      <c r="T1824" t="s">
        <v>48</v>
      </c>
      <c r="U1824" t="s">
        <v>35</v>
      </c>
      <c r="V1824" s="3" t="s">
        <v>35</v>
      </c>
      <c r="W1824" s="3" t="s">
        <v>4098</v>
      </c>
    </row>
    <row r="1825" spans="2:23" x14ac:dyDescent="0.25">
      <c r="B1825" t="s">
        <v>3791</v>
      </c>
      <c r="C1825">
        <v>33513</v>
      </c>
      <c r="D1825" t="s">
        <v>3792</v>
      </c>
      <c r="E1825" t="s">
        <v>300</v>
      </c>
      <c r="F1825" t="s">
        <v>305</v>
      </c>
      <c r="G1825" t="s">
        <v>304</v>
      </c>
      <c r="H1825" t="s">
        <v>30</v>
      </c>
      <c r="I1825" t="s">
        <v>35</v>
      </c>
      <c r="J1825" t="s">
        <v>43</v>
      </c>
      <c r="K1825" t="s">
        <v>44</v>
      </c>
      <c r="L1825" t="s">
        <v>34</v>
      </c>
      <c r="M1825" t="s">
        <v>3780</v>
      </c>
      <c r="N1825" t="s">
        <v>46</v>
      </c>
      <c r="P1825" t="s">
        <v>1749</v>
      </c>
      <c r="R1825" s="5">
        <v>41498.511574074073</v>
      </c>
      <c r="S1825" s="5">
        <v>41816.551747685182</v>
      </c>
      <c r="T1825" t="s">
        <v>300</v>
      </c>
      <c r="U1825" t="s">
        <v>35</v>
      </c>
      <c r="V1825" s="3" t="s">
        <v>35</v>
      </c>
      <c r="W1825" s="3" t="s">
        <v>4098</v>
      </c>
    </row>
    <row r="1826" spans="2:23" x14ac:dyDescent="0.25">
      <c r="B1826" t="s">
        <v>1897</v>
      </c>
      <c r="C1826">
        <v>33409</v>
      </c>
      <c r="D1826" t="s">
        <v>1898</v>
      </c>
      <c r="E1826" t="s">
        <v>387</v>
      </c>
      <c r="F1826" t="s">
        <v>305</v>
      </c>
      <c r="G1826" t="s">
        <v>310</v>
      </c>
      <c r="H1826" t="s">
        <v>30</v>
      </c>
      <c r="I1826" t="s">
        <v>35</v>
      </c>
      <c r="J1826" t="s">
        <v>58</v>
      </c>
      <c r="K1826" t="s">
        <v>51</v>
      </c>
      <c r="L1826" t="s">
        <v>73</v>
      </c>
      <c r="M1826" t="s">
        <v>263</v>
      </c>
      <c r="N1826" t="s">
        <v>46</v>
      </c>
      <c r="P1826" t="s">
        <v>1749</v>
      </c>
      <c r="R1826" s="5">
        <v>41493.903923611113</v>
      </c>
      <c r="S1826" s="5">
        <v>42649.836724537039</v>
      </c>
      <c r="T1826" t="s">
        <v>1529</v>
      </c>
      <c r="U1826" t="s">
        <v>35</v>
      </c>
      <c r="V1826" s="3" t="s">
        <v>35</v>
      </c>
      <c r="W1826" s="3" t="s">
        <v>394</v>
      </c>
    </row>
    <row r="1827" spans="2:23" x14ac:dyDescent="0.25">
      <c r="B1827" t="s">
        <v>1892</v>
      </c>
      <c r="C1827">
        <v>33384</v>
      </c>
      <c r="D1827" t="s">
        <v>1896</v>
      </c>
      <c r="E1827" t="s">
        <v>387</v>
      </c>
      <c r="F1827" t="s">
        <v>305</v>
      </c>
      <c r="G1827" t="s">
        <v>310</v>
      </c>
      <c r="H1827" t="s">
        <v>30</v>
      </c>
      <c r="I1827" t="s">
        <v>35</v>
      </c>
      <c r="J1827" t="s">
        <v>58</v>
      </c>
      <c r="K1827" t="s">
        <v>33</v>
      </c>
      <c r="L1827" t="s">
        <v>73</v>
      </c>
      <c r="M1827" t="s">
        <v>1514</v>
      </c>
      <c r="N1827" t="s">
        <v>46</v>
      </c>
      <c r="P1827" t="s">
        <v>1646</v>
      </c>
      <c r="R1827" s="5">
        <v>41493.526956018519</v>
      </c>
      <c r="S1827" s="5">
        <v>42649.836747685185</v>
      </c>
      <c r="T1827" t="s">
        <v>1529</v>
      </c>
      <c r="U1827" t="s">
        <v>35</v>
      </c>
      <c r="V1827" s="3" t="s">
        <v>35</v>
      </c>
      <c r="W1827" s="3" t="s">
        <v>3039</v>
      </c>
    </row>
    <row r="1828" spans="2:23" x14ac:dyDescent="0.25">
      <c r="B1828" t="s">
        <v>1892</v>
      </c>
      <c r="C1828">
        <v>33383</v>
      </c>
      <c r="D1828" t="s">
        <v>1895</v>
      </c>
      <c r="E1828" t="s">
        <v>387</v>
      </c>
      <c r="F1828" t="s">
        <v>305</v>
      </c>
      <c r="G1828" t="s">
        <v>310</v>
      </c>
      <c r="H1828" t="s">
        <v>30</v>
      </c>
      <c r="I1828" t="s">
        <v>35</v>
      </c>
      <c r="J1828" t="s">
        <v>58</v>
      </c>
      <c r="K1828" t="s">
        <v>33</v>
      </c>
      <c r="L1828" t="s">
        <v>73</v>
      </c>
      <c r="M1828" t="s">
        <v>1514</v>
      </c>
      <c r="N1828" t="s">
        <v>46</v>
      </c>
      <c r="O1828" t="s">
        <v>1710</v>
      </c>
      <c r="P1828" t="s">
        <v>1646</v>
      </c>
      <c r="R1828" s="5">
        <v>41493.526770833334</v>
      </c>
      <c r="S1828" s="5">
        <v>42649.836157407408</v>
      </c>
      <c r="T1828" t="s">
        <v>1529</v>
      </c>
      <c r="U1828" t="s">
        <v>35</v>
      </c>
      <c r="V1828" s="3" t="s">
        <v>35</v>
      </c>
      <c r="W1828" s="3" t="s">
        <v>1634</v>
      </c>
    </row>
    <row r="1829" spans="2:23" x14ac:dyDescent="0.25">
      <c r="B1829" t="s">
        <v>1892</v>
      </c>
      <c r="C1829">
        <v>33382</v>
      </c>
      <c r="D1829" t="s">
        <v>1894</v>
      </c>
      <c r="E1829" t="s">
        <v>387</v>
      </c>
      <c r="F1829" t="s">
        <v>305</v>
      </c>
      <c r="G1829" t="s">
        <v>310</v>
      </c>
      <c r="H1829" t="s">
        <v>30</v>
      </c>
      <c r="I1829" t="s">
        <v>35</v>
      </c>
      <c r="J1829" t="s">
        <v>58</v>
      </c>
      <c r="K1829" t="s">
        <v>33</v>
      </c>
      <c r="L1829" t="s">
        <v>73</v>
      </c>
      <c r="M1829" t="s">
        <v>1514</v>
      </c>
      <c r="N1829" t="s">
        <v>46</v>
      </c>
      <c r="P1829" t="s">
        <v>1646</v>
      </c>
      <c r="R1829" s="5">
        <v>41493.526643518519</v>
      </c>
      <c r="S1829" s="5">
        <v>42649.836296296293</v>
      </c>
      <c r="T1829" t="s">
        <v>1529</v>
      </c>
      <c r="U1829" t="s">
        <v>35</v>
      </c>
      <c r="V1829" s="3" t="s">
        <v>35</v>
      </c>
      <c r="W1829" s="3" t="s">
        <v>394</v>
      </c>
    </row>
    <row r="1830" spans="2:23" x14ac:dyDescent="0.25">
      <c r="B1830" t="s">
        <v>1892</v>
      </c>
      <c r="C1830">
        <v>33368</v>
      </c>
      <c r="D1830" t="s">
        <v>1893</v>
      </c>
      <c r="E1830" t="s">
        <v>299</v>
      </c>
      <c r="F1830" t="s">
        <v>305</v>
      </c>
      <c r="G1830" t="s">
        <v>1701</v>
      </c>
      <c r="H1830" t="s">
        <v>30</v>
      </c>
      <c r="I1830" t="s">
        <v>35</v>
      </c>
      <c r="J1830" t="s">
        <v>58</v>
      </c>
      <c r="K1830" t="s">
        <v>33</v>
      </c>
      <c r="L1830" t="s">
        <v>73</v>
      </c>
      <c r="M1830" t="s">
        <v>1514</v>
      </c>
      <c r="N1830" t="s">
        <v>46</v>
      </c>
      <c r="P1830" t="s">
        <v>1646</v>
      </c>
      <c r="R1830" s="5">
        <v>41493.253750000003</v>
      </c>
      <c r="S1830" s="5">
        <v>42649.836377314816</v>
      </c>
      <c r="T1830" t="s">
        <v>299</v>
      </c>
      <c r="U1830" t="s">
        <v>35</v>
      </c>
      <c r="V1830" s="3" t="s">
        <v>35</v>
      </c>
      <c r="W1830" s="3" t="s">
        <v>4098</v>
      </c>
    </row>
    <row r="1831" spans="2:23" x14ac:dyDescent="0.25">
      <c r="B1831" t="s">
        <v>3788</v>
      </c>
      <c r="C1831">
        <v>32880</v>
      </c>
      <c r="D1831" t="s">
        <v>3789</v>
      </c>
      <c r="E1831" t="s">
        <v>3</v>
      </c>
      <c r="F1831" t="s">
        <v>305</v>
      </c>
      <c r="G1831" t="s">
        <v>304</v>
      </c>
      <c r="H1831" t="s">
        <v>30</v>
      </c>
      <c r="I1831" t="s">
        <v>68</v>
      </c>
      <c r="J1831" t="s">
        <v>58</v>
      </c>
      <c r="K1831" t="s">
        <v>51</v>
      </c>
      <c r="L1831" t="s">
        <v>34</v>
      </c>
      <c r="M1831" t="s">
        <v>3780</v>
      </c>
      <c r="N1831" t="s">
        <v>1998</v>
      </c>
      <c r="O1831" t="s">
        <v>3790</v>
      </c>
      <c r="P1831" t="s">
        <v>1749</v>
      </c>
      <c r="R1831" s="5">
        <v>41478.523125</v>
      </c>
      <c r="S1831" s="5">
        <v>42257.769166666665</v>
      </c>
      <c r="T1831" t="s">
        <v>2063</v>
      </c>
      <c r="U1831" t="s">
        <v>35</v>
      </c>
      <c r="V1831" s="3" t="s">
        <v>35</v>
      </c>
      <c r="W1831" s="3" t="s">
        <v>4112</v>
      </c>
    </row>
    <row r="1832" spans="2:23" x14ac:dyDescent="0.25">
      <c r="B1832" t="s">
        <v>1886</v>
      </c>
      <c r="C1832">
        <v>32567</v>
      </c>
      <c r="D1832" t="s">
        <v>1891</v>
      </c>
      <c r="E1832" t="s">
        <v>1675</v>
      </c>
      <c r="F1832" t="s">
        <v>305</v>
      </c>
      <c r="G1832" t="s">
        <v>304</v>
      </c>
      <c r="H1832" t="s">
        <v>30</v>
      </c>
      <c r="I1832" t="s">
        <v>35</v>
      </c>
      <c r="J1832" t="s">
        <v>43</v>
      </c>
      <c r="K1832" t="s">
        <v>51</v>
      </c>
      <c r="L1832" t="s">
        <v>73</v>
      </c>
      <c r="M1832" t="s">
        <v>263</v>
      </c>
      <c r="N1832" t="s">
        <v>46</v>
      </c>
      <c r="P1832" t="s">
        <v>1749</v>
      </c>
      <c r="R1832" s="5">
        <v>41467.934351851851</v>
      </c>
      <c r="S1832" s="5">
        <v>42648.818807870368</v>
      </c>
      <c r="T1832" t="s">
        <v>1529</v>
      </c>
      <c r="U1832" t="s">
        <v>35</v>
      </c>
      <c r="V1832" s="3" t="s">
        <v>35</v>
      </c>
      <c r="W1832" s="3" t="s">
        <v>4124</v>
      </c>
    </row>
    <row r="1833" spans="2:23" x14ac:dyDescent="0.25">
      <c r="B1833" t="s">
        <v>1886</v>
      </c>
      <c r="C1833">
        <v>32566</v>
      </c>
      <c r="D1833" t="s">
        <v>1889</v>
      </c>
      <c r="E1833" t="s">
        <v>1675</v>
      </c>
      <c r="F1833" t="s">
        <v>305</v>
      </c>
      <c r="G1833" t="s">
        <v>304</v>
      </c>
      <c r="H1833" t="s">
        <v>30</v>
      </c>
      <c r="I1833" t="s">
        <v>35</v>
      </c>
      <c r="J1833" t="s">
        <v>43</v>
      </c>
      <c r="K1833" t="s">
        <v>51</v>
      </c>
      <c r="L1833" t="s">
        <v>73</v>
      </c>
      <c r="M1833" t="s">
        <v>263</v>
      </c>
      <c r="N1833" t="s">
        <v>46</v>
      </c>
      <c r="O1833" t="s">
        <v>1890</v>
      </c>
      <c r="P1833" t="s">
        <v>1749</v>
      </c>
      <c r="R1833" s="5">
        <v>41467.934270833335</v>
      </c>
      <c r="S1833" s="5">
        <v>42648.818668981483</v>
      </c>
      <c r="T1833" t="s">
        <v>1529</v>
      </c>
      <c r="U1833" t="s">
        <v>35</v>
      </c>
      <c r="V1833" s="3" t="s">
        <v>35</v>
      </c>
      <c r="W1833" s="3" t="s">
        <v>1634</v>
      </c>
    </row>
    <row r="1834" spans="2:23" x14ac:dyDescent="0.25">
      <c r="B1834" t="s">
        <v>1886</v>
      </c>
      <c r="C1834">
        <v>32565</v>
      </c>
      <c r="D1834" t="s">
        <v>1888</v>
      </c>
      <c r="E1834" t="s">
        <v>387</v>
      </c>
      <c r="F1834" t="s">
        <v>305</v>
      </c>
      <c r="G1834" t="s">
        <v>304</v>
      </c>
      <c r="H1834" t="s">
        <v>30</v>
      </c>
      <c r="I1834" t="s">
        <v>35</v>
      </c>
      <c r="J1834" t="s">
        <v>43</v>
      </c>
      <c r="K1834" t="s">
        <v>51</v>
      </c>
      <c r="L1834" t="s">
        <v>73</v>
      </c>
      <c r="M1834" t="s">
        <v>263</v>
      </c>
      <c r="N1834" t="s">
        <v>46</v>
      </c>
      <c r="P1834" t="s">
        <v>1749</v>
      </c>
      <c r="R1834" s="5">
        <v>41467.934189814812</v>
      </c>
      <c r="S1834" s="5">
        <v>42648.818877314814</v>
      </c>
      <c r="T1834" t="s">
        <v>1529</v>
      </c>
      <c r="U1834" t="s">
        <v>35</v>
      </c>
      <c r="V1834" s="3" t="s">
        <v>35</v>
      </c>
      <c r="W1834" s="3" t="s">
        <v>4123</v>
      </c>
    </row>
    <row r="1835" spans="2:23" x14ac:dyDescent="0.25">
      <c r="B1835" t="s">
        <v>1886</v>
      </c>
      <c r="C1835">
        <v>32564</v>
      </c>
      <c r="D1835" t="s">
        <v>1887</v>
      </c>
      <c r="E1835" t="s">
        <v>387</v>
      </c>
      <c r="F1835" t="s">
        <v>305</v>
      </c>
      <c r="G1835" t="s">
        <v>304</v>
      </c>
      <c r="H1835" t="s">
        <v>30</v>
      </c>
      <c r="I1835" t="s">
        <v>35</v>
      </c>
      <c r="J1835" t="s">
        <v>43</v>
      </c>
      <c r="K1835" t="s">
        <v>51</v>
      </c>
      <c r="L1835" t="s">
        <v>73</v>
      </c>
      <c r="M1835" t="s">
        <v>263</v>
      </c>
      <c r="N1835" t="s">
        <v>46</v>
      </c>
      <c r="P1835" t="s">
        <v>1749</v>
      </c>
      <c r="R1835" s="5">
        <v>41467.902708333335</v>
      </c>
      <c r="S1835" s="5">
        <v>41815.747777777775</v>
      </c>
      <c r="T1835" t="s">
        <v>1</v>
      </c>
      <c r="U1835" t="s">
        <v>35</v>
      </c>
      <c r="V1835" s="3" t="s">
        <v>35</v>
      </c>
      <c r="W1835" s="3" t="s">
        <v>4098</v>
      </c>
    </row>
    <row r="1836" spans="2:23" x14ac:dyDescent="0.25">
      <c r="B1836" t="s">
        <v>1880</v>
      </c>
      <c r="C1836">
        <v>32098</v>
      </c>
      <c r="D1836" t="s">
        <v>1885</v>
      </c>
      <c r="E1836" t="s">
        <v>387</v>
      </c>
      <c r="F1836" t="s">
        <v>305</v>
      </c>
      <c r="G1836" t="s">
        <v>310</v>
      </c>
      <c r="H1836" t="s">
        <v>30</v>
      </c>
      <c r="I1836" t="s">
        <v>35</v>
      </c>
      <c r="J1836" t="s">
        <v>43</v>
      </c>
      <c r="K1836" t="s">
        <v>51</v>
      </c>
      <c r="L1836" t="s">
        <v>96</v>
      </c>
      <c r="M1836" t="s">
        <v>269</v>
      </c>
      <c r="N1836" t="s">
        <v>46</v>
      </c>
      <c r="P1836" t="s">
        <v>1646</v>
      </c>
      <c r="R1836" s="5">
        <v>41452.628321759257</v>
      </c>
      <c r="S1836" s="5">
        <v>42649.837083333332</v>
      </c>
      <c r="T1836" t="s">
        <v>1529</v>
      </c>
      <c r="U1836" t="s">
        <v>35</v>
      </c>
      <c r="V1836" s="3" t="s">
        <v>35</v>
      </c>
      <c r="W1836" s="3" t="s">
        <v>3039</v>
      </c>
    </row>
    <row r="1837" spans="2:23" x14ac:dyDescent="0.25">
      <c r="B1837" t="s">
        <v>1880</v>
      </c>
      <c r="C1837">
        <v>32097</v>
      </c>
      <c r="D1837" t="s">
        <v>1883</v>
      </c>
      <c r="E1837" t="s">
        <v>387</v>
      </c>
      <c r="F1837" t="s">
        <v>305</v>
      </c>
      <c r="G1837" t="s">
        <v>310</v>
      </c>
      <c r="H1837" t="s">
        <v>30</v>
      </c>
      <c r="I1837" t="s">
        <v>35</v>
      </c>
      <c r="J1837" t="s">
        <v>43</v>
      </c>
      <c r="K1837" t="s">
        <v>51</v>
      </c>
      <c r="L1837" t="s">
        <v>96</v>
      </c>
      <c r="M1837" t="s">
        <v>269</v>
      </c>
      <c r="N1837" t="s">
        <v>46</v>
      </c>
      <c r="O1837" t="s">
        <v>1884</v>
      </c>
      <c r="P1837" t="s">
        <v>1646</v>
      </c>
      <c r="R1837" s="5">
        <v>41452.628240740742</v>
      </c>
      <c r="S1837" s="5">
        <v>42649.836481481485</v>
      </c>
      <c r="T1837" t="s">
        <v>1529</v>
      </c>
      <c r="U1837" t="s">
        <v>35</v>
      </c>
      <c r="V1837" s="3" t="s">
        <v>35</v>
      </c>
      <c r="W1837" s="3" t="s">
        <v>1634</v>
      </c>
    </row>
    <row r="1838" spans="2:23" x14ac:dyDescent="0.25">
      <c r="B1838" t="s">
        <v>1880</v>
      </c>
      <c r="C1838">
        <v>32096</v>
      </c>
      <c r="D1838" t="s">
        <v>1882</v>
      </c>
      <c r="E1838" t="s">
        <v>387</v>
      </c>
      <c r="F1838" t="s">
        <v>305</v>
      </c>
      <c r="G1838" t="s">
        <v>310</v>
      </c>
      <c r="H1838" t="s">
        <v>30</v>
      </c>
      <c r="I1838" t="s">
        <v>35</v>
      </c>
      <c r="J1838" t="s">
        <v>43</v>
      </c>
      <c r="K1838" t="s">
        <v>51</v>
      </c>
      <c r="L1838" t="s">
        <v>96</v>
      </c>
      <c r="M1838" t="s">
        <v>269</v>
      </c>
      <c r="N1838" t="s">
        <v>46</v>
      </c>
      <c r="P1838" t="s">
        <v>1646</v>
      </c>
      <c r="R1838" s="5">
        <v>41452.627060185187</v>
      </c>
      <c r="S1838" s="5">
        <v>42649.836435185185</v>
      </c>
      <c r="T1838" t="s">
        <v>1529</v>
      </c>
      <c r="U1838" t="s">
        <v>35</v>
      </c>
      <c r="V1838" s="3" t="s">
        <v>35</v>
      </c>
      <c r="W1838" s="3" t="s">
        <v>394</v>
      </c>
    </row>
    <row r="1839" spans="2:23" x14ac:dyDescent="0.25">
      <c r="B1839" t="s">
        <v>1880</v>
      </c>
      <c r="C1839">
        <v>32061</v>
      </c>
      <c r="D1839" t="s">
        <v>1881</v>
      </c>
      <c r="E1839" t="s">
        <v>387</v>
      </c>
      <c r="F1839" t="s">
        <v>305</v>
      </c>
      <c r="G1839" t="s">
        <v>328</v>
      </c>
      <c r="H1839" t="s">
        <v>30</v>
      </c>
      <c r="I1839" t="s">
        <v>35</v>
      </c>
      <c r="J1839" t="s">
        <v>43</v>
      </c>
      <c r="K1839" t="s">
        <v>51</v>
      </c>
      <c r="L1839" t="s">
        <v>96</v>
      </c>
      <c r="M1839" t="s">
        <v>269</v>
      </c>
      <c r="N1839" t="s">
        <v>46</v>
      </c>
      <c r="P1839" t="s">
        <v>1646</v>
      </c>
      <c r="R1839" s="5">
        <v>41451.8359375</v>
      </c>
      <c r="S1839" s="5">
        <v>42649.835844907408</v>
      </c>
      <c r="T1839" t="s">
        <v>48</v>
      </c>
      <c r="U1839" t="s">
        <v>35</v>
      </c>
      <c r="V1839" s="3" t="s">
        <v>35</v>
      </c>
      <c r="W1839" s="3" t="s">
        <v>4098</v>
      </c>
    </row>
    <row r="1840" spans="2:23" x14ac:dyDescent="0.25">
      <c r="B1840" t="s">
        <v>1874</v>
      </c>
      <c r="C1840">
        <v>31924</v>
      </c>
      <c r="D1840" t="s">
        <v>1879</v>
      </c>
      <c r="E1840" t="s">
        <v>1529</v>
      </c>
      <c r="F1840" t="s">
        <v>305</v>
      </c>
      <c r="G1840" t="s">
        <v>310</v>
      </c>
      <c r="H1840" t="s">
        <v>30</v>
      </c>
      <c r="I1840" t="s">
        <v>31</v>
      </c>
      <c r="J1840" t="s">
        <v>43</v>
      </c>
      <c r="K1840" t="s">
        <v>35</v>
      </c>
      <c r="L1840" t="s">
        <v>96</v>
      </c>
      <c r="M1840" t="s">
        <v>269</v>
      </c>
      <c r="N1840" t="s">
        <v>46</v>
      </c>
      <c r="P1840" t="s">
        <v>1646</v>
      </c>
      <c r="R1840" s="5">
        <v>41446.615729166668</v>
      </c>
      <c r="S1840" s="5">
        <v>42678.614351851851</v>
      </c>
      <c r="T1840" t="s">
        <v>1529</v>
      </c>
      <c r="U1840" t="s">
        <v>35</v>
      </c>
      <c r="V1840" s="3" t="s">
        <v>35</v>
      </c>
      <c r="W1840" s="3" t="s">
        <v>2552</v>
      </c>
    </row>
    <row r="1841" spans="2:23" x14ac:dyDescent="0.25">
      <c r="B1841" t="s">
        <v>1874</v>
      </c>
      <c r="C1841">
        <v>31896</v>
      </c>
      <c r="D1841" t="s">
        <v>1878</v>
      </c>
      <c r="E1841" t="s">
        <v>387</v>
      </c>
      <c r="F1841" t="s">
        <v>305</v>
      </c>
      <c r="G1841" t="s">
        <v>310</v>
      </c>
      <c r="H1841" t="s">
        <v>30</v>
      </c>
      <c r="I1841" t="s">
        <v>35</v>
      </c>
      <c r="J1841" t="s">
        <v>43</v>
      </c>
      <c r="K1841" t="s">
        <v>35</v>
      </c>
      <c r="L1841" t="s">
        <v>96</v>
      </c>
      <c r="M1841" t="s">
        <v>269</v>
      </c>
      <c r="N1841" t="s">
        <v>46</v>
      </c>
      <c r="P1841" t="s">
        <v>1646</v>
      </c>
      <c r="R1841" s="5">
        <v>41445.691423611112</v>
      </c>
      <c r="S1841" s="5">
        <v>42649.835486111115</v>
      </c>
      <c r="T1841" t="s">
        <v>1529</v>
      </c>
      <c r="U1841" t="s">
        <v>35</v>
      </c>
      <c r="V1841" s="3" t="s">
        <v>35</v>
      </c>
      <c r="W1841" s="3" t="s">
        <v>3039</v>
      </c>
    </row>
    <row r="1842" spans="2:23" x14ac:dyDescent="0.25">
      <c r="B1842" t="s">
        <v>1874</v>
      </c>
      <c r="C1842">
        <v>31895</v>
      </c>
      <c r="D1842" t="s">
        <v>1877</v>
      </c>
      <c r="E1842" t="s">
        <v>387</v>
      </c>
      <c r="F1842" t="s">
        <v>305</v>
      </c>
      <c r="G1842" t="s">
        <v>310</v>
      </c>
      <c r="H1842" t="s">
        <v>30</v>
      </c>
      <c r="I1842" t="s">
        <v>35</v>
      </c>
      <c r="J1842" t="s">
        <v>43</v>
      </c>
      <c r="K1842" t="s">
        <v>51</v>
      </c>
      <c r="L1842" t="s">
        <v>96</v>
      </c>
      <c r="M1842" t="s">
        <v>269</v>
      </c>
      <c r="N1842" t="s">
        <v>46</v>
      </c>
      <c r="O1842" t="s">
        <v>1818</v>
      </c>
      <c r="P1842" t="s">
        <v>1646</v>
      </c>
      <c r="R1842" s="5">
        <v>41445.691342592596</v>
      </c>
      <c r="S1842" s="5">
        <v>42649.836122685185</v>
      </c>
      <c r="T1842" t="s">
        <v>1529</v>
      </c>
      <c r="U1842" t="s">
        <v>35</v>
      </c>
      <c r="V1842" s="3" t="s">
        <v>35</v>
      </c>
      <c r="W1842" s="3" t="s">
        <v>1634</v>
      </c>
    </row>
    <row r="1843" spans="2:23" x14ac:dyDescent="0.25">
      <c r="B1843" t="s">
        <v>1874</v>
      </c>
      <c r="C1843">
        <v>31894</v>
      </c>
      <c r="D1843" t="s">
        <v>1876</v>
      </c>
      <c r="E1843" t="s">
        <v>387</v>
      </c>
      <c r="F1843" t="s">
        <v>305</v>
      </c>
      <c r="G1843" t="s">
        <v>310</v>
      </c>
      <c r="H1843" t="s">
        <v>30</v>
      </c>
      <c r="I1843" t="s">
        <v>35</v>
      </c>
      <c r="J1843" t="s">
        <v>43</v>
      </c>
      <c r="K1843" t="s">
        <v>51</v>
      </c>
      <c r="L1843" t="s">
        <v>96</v>
      </c>
      <c r="M1843" t="s">
        <v>269</v>
      </c>
      <c r="N1843" t="s">
        <v>46</v>
      </c>
      <c r="P1843" t="s">
        <v>1646</v>
      </c>
      <c r="R1843" s="5">
        <v>41445.690879629627</v>
      </c>
      <c r="S1843" s="5">
        <v>42649.835972222223</v>
      </c>
      <c r="T1843" t="s">
        <v>1529</v>
      </c>
      <c r="U1843" t="s">
        <v>35</v>
      </c>
      <c r="V1843" s="3" t="s">
        <v>35</v>
      </c>
      <c r="W1843" s="3" t="s">
        <v>394</v>
      </c>
    </row>
    <row r="1844" spans="2:23" x14ac:dyDescent="0.25">
      <c r="B1844" t="s">
        <v>1874</v>
      </c>
      <c r="C1844">
        <v>31893</v>
      </c>
      <c r="D1844" t="s">
        <v>1875</v>
      </c>
      <c r="E1844" t="s">
        <v>2</v>
      </c>
      <c r="F1844" t="s">
        <v>305</v>
      </c>
      <c r="G1844" t="s">
        <v>328</v>
      </c>
      <c r="H1844" t="s">
        <v>30</v>
      </c>
      <c r="I1844" t="s">
        <v>35</v>
      </c>
      <c r="J1844" t="s">
        <v>43</v>
      </c>
      <c r="K1844" t="s">
        <v>51</v>
      </c>
      <c r="L1844" t="s">
        <v>96</v>
      </c>
      <c r="M1844" t="s">
        <v>269</v>
      </c>
      <c r="N1844" t="s">
        <v>46</v>
      </c>
      <c r="P1844" t="s">
        <v>1646</v>
      </c>
      <c r="R1844" s="5">
        <v>41445.687685185185</v>
      </c>
      <c r="S1844" s="5">
        <v>42649.8356712963</v>
      </c>
      <c r="T1844" t="s">
        <v>48</v>
      </c>
      <c r="U1844" t="s">
        <v>35</v>
      </c>
      <c r="V1844" s="3" t="s">
        <v>35</v>
      </c>
      <c r="W1844" s="3" t="s">
        <v>4098</v>
      </c>
    </row>
    <row r="1845" spans="2:23" x14ac:dyDescent="0.25">
      <c r="B1845" t="s">
        <v>1869</v>
      </c>
      <c r="C1845">
        <v>31848</v>
      </c>
      <c r="D1845" t="s">
        <v>1873</v>
      </c>
      <c r="E1845" t="s">
        <v>1675</v>
      </c>
      <c r="F1845" t="s">
        <v>305</v>
      </c>
      <c r="G1845" t="s">
        <v>304</v>
      </c>
      <c r="H1845" t="s">
        <v>30</v>
      </c>
      <c r="I1845" t="s">
        <v>35</v>
      </c>
      <c r="J1845" t="s">
        <v>43</v>
      </c>
      <c r="K1845" t="s">
        <v>51</v>
      </c>
      <c r="L1845" t="s">
        <v>73</v>
      </c>
      <c r="M1845" t="s">
        <v>412</v>
      </c>
      <c r="N1845" t="s">
        <v>46</v>
      </c>
      <c r="P1845" t="s">
        <v>1749</v>
      </c>
      <c r="R1845" s="5">
        <v>41444.743101851855</v>
      </c>
      <c r="S1845" s="5">
        <v>42648.818657407406</v>
      </c>
      <c r="T1845" t="s">
        <v>1529</v>
      </c>
      <c r="U1845" t="s">
        <v>35</v>
      </c>
      <c r="V1845" s="3" t="s">
        <v>35</v>
      </c>
      <c r="W1845" s="3" t="s">
        <v>4119</v>
      </c>
    </row>
    <row r="1846" spans="2:23" x14ac:dyDescent="0.25">
      <c r="B1846" t="s">
        <v>1869</v>
      </c>
      <c r="C1846">
        <v>31847</v>
      </c>
      <c r="D1846" t="s">
        <v>1872</v>
      </c>
      <c r="E1846" t="s">
        <v>1864</v>
      </c>
      <c r="F1846" t="s">
        <v>305</v>
      </c>
      <c r="G1846" t="s">
        <v>304</v>
      </c>
      <c r="H1846" t="s">
        <v>30</v>
      </c>
      <c r="I1846" t="s">
        <v>35</v>
      </c>
      <c r="J1846" t="s">
        <v>43</v>
      </c>
      <c r="K1846" t="s">
        <v>33</v>
      </c>
      <c r="L1846" t="s">
        <v>73</v>
      </c>
      <c r="M1846" t="s">
        <v>412</v>
      </c>
      <c r="N1846" t="s">
        <v>46</v>
      </c>
      <c r="O1846" t="s">
        <v>1710</v>
      </c>
      <c r="P1846" t="s">
        <v>1749</v>
      </c>
      <c r="R1846" s="5">
        <v>41444.743032407408</v>
      </c>
      <c r="S1846" s="5">
        <v>42648.818692129629</v>
      </c>
      <c r="T1846" t="s">
        <v>1529</v>
      </c>
      <c r="U1846" t="s">
        <v>35</v>
      </c>
      <c r="V1846" s="3" t="s">
        <v>35</v>
      </c>
      <c r="W1846" s="3" t="s">
        <v>1634</v>
      </c>
    </row>
    <row r="1847" spans="2:23" x14ac:dyDescent="0.25">
      <c r="B1847" t="s">
        <v>1869</v>
      </c>
      <c r="C1847">
        <v>31846</v>
      </c>
      <c r="D1847" t="s">
        <v>1871</v>
      </c>
      <c r="E1847" t="s">
        <v>1867</v>
      </c>
      <c r="F1847" t="s">
        <v>305</v>
      </c>
      <c r="G1847" t="s">
        <v>310</v>
      </c>
      <c r="H1847" t="s">
        <v>30</v>
      </c>
      <c r="I1847" t="s">
        <v>35</v>
      </c>
      <c r="J1847" t="s">
        <v>43</v>
      </c>
      <c r="K1847" t="s">
        <v>51</v>
      </c>
      <c r="L1847" t="s">
        <v>73</v>
      </c>
      <c r="M1847" t="s">
        <v>412</v>
      </c>
      <c r="N1847" t="s">
        <v>46</v>
      </c>
      <c r="P1847" t="s">
        <v>1749</v>
      </c>
      <c r="R1847" s="5">
        <v>41444.742951388886</v>
      </c>
      <c r="S1847" s="5">
        <v>42649.900150462963</v>
      </c>
      <c r="T1847" t="s">
        <v>1529</v>
      </c>
      <c r="U1847" t="s">
        <v>35</v>
      </c>
      <c r="V1847" s="3" t="s">
        <v>35</v>
      </c>
      <c r="W1847" s="3" t="s">
        <v>4097</v>
      </c>
    </row>
    <row r="1848" spans="2:23" x14ac:dyDescent="0.25">
      <c r="B1848" t="s">
        <v>1869</v>
      </c>
      <c r="C1848">
        <v>31845</v>
      </c>
      <c r="D1848" t="s">
        <v>1870</v>
      </c>
      <c r="E1848" t="s">
        <v>1864</v>
      </c>
      <c r="F1848" t="s">
        <v>305</v>
      </c>
      <c r="G1848" t="s">
        <v>304</v>
      </c>
      <c r="H1848" t="s">
        <v>30</v>
      </c>
      <c r="I1848" t="s">
        <v>35</v>
      </c>
      <c r="J1848" t="s">
        <v>43</v>
      </c>
      <c r="K1848" t="s">
        <v>33</v>
      </c>
      <c r="L1848" t="s">
        <v>73</v>
      </c>
      <c r="M1848" t="s">
        <v>412</v>
      </c>
      <c r="N1848" t="s">
        <v>46</v>
      </c>
      <c r="P1848" t="s">
        <v>1749</v>
      </c>
      <c r="R1848" s="5">
        <v>41444.716782407406</v>
      </c>
      <c r="S1848" s="5">
        <v>41815.747071759259</v>
      </c>
      <c r="T1848" t="s">
        <v>66</v>
      </c>
      <c r="U1848" t="s">
        <v>35</v>
      </c>
      <c r="V1848" s="3" t="s">
        <v>35</v>
      </c>
      <c r="W1848" s="3" t="s">
        <v>4098</v>
      </c>
    </row>
    <row r="1849" spans="2:23" x14ac:dyDescent="0.25">
      <c r="B1849" t="s">
        <v>1862</v>
      </c>
      <c r="C1849">
        <v>31471</v>
      </c>
      <c r="D1849" t="s">
        <v>1868</v>
      </c>
      <c r="E1849" t="s">
        <v>1675</v>
      </c>
      <c r="F1849" t="s">
        <v>305</v>
      </c>
      <c r="G1849" t="s">
        <v>304</v>
      </c>
      <c r="H1849" t="s">
        <v>30</v>
      </c>
      <c r="I1849" t="s">
        <v>35</v>
      </c>
      <c r="J1849" t="s">
        <v>32</v>
      </c>
      <c r="K1849" t="s">
        <v>33</v>
      </c>
      <c r="L1849" t="s">
        <v>73</v>
      </c>
      <c r="M1849" t="s">
        <v>412</v>
      </c>
      <c r="N1849" t="s">
        <v>46</v>
      </c>
      <c r="P1849" t="s">
        <v>1646</v>
      </c>
      <c r="R1849" s="5">
        <v>41434.628738425927</v>
      </c>
      <c r="S1849" s="5">
        <v>42648.817314814813</v>
      </c>
      <c r="T1849" t="s">
        <v>1529</v>
      </c>
      <c r="U1849" t="s">
        <v>35</v>
      </c>
      <c r="V1849" s="3" t="s">
        <v>35</v>
      </c>
      <c r="W1849" s="3" t="s">
        <v>4119</v>
      </c>
    </row>
    <row r="1850" spans="2:23" x14ac:dyDescent="0.25">
      <c r="B1850" t="s">
        <v>1862</v>
      </c>
      <c r="C1850">
        <v>31470</v>
      </c>
      <c r="D1850" t="s">
        <v>1866</v>
      </c>
      <c r="E1850" t="s">
        <v>1867</v>
      </c>
      <c r="F1850" t="s">
        <v>305</v>
      </c>
      <c r="G1850" t="s">
        <v>337</v>
      </c>
      <c r="H1850" t="s">
        <v>30</v>
      </c>
      <c r="I1850" t="s">
        <v>35</v>
      </c>
      <c r="J1850" t="s">
        <v>32</v>
      </c>
      <c r="K1850" t="s">
        <v>33</v>
      </c>
      <c r="L1850" t="s">
        <v>73</v>
      </c>
      <c r="M1850" t="s">
        <v>263</v>
      </c>
      <c r="N1850" t="s">
        <v>46</v>
      </c>
      <c r="P1850" t="s">
        <v>1646</v>
      </c>
      <c r="R1850" s="5">
        <v>41434.628645833334</v>
      </c>
      <c r="S1850" s="5">
        <v>42649.835763888892</v>
      </c>
      <c r="T1850" t="s">
        <v>1529</v>
      </c>
      <c r="U1850" t="s">
        <v>35</v>
      </c>
      <c r="V1850" s="3" t="s">
        <v>35</v>
      </c>
      <c r="W1850" s="3" t="s">
        <v>1634</v>
      </c>
    </row>
    <row r="1851" spans="2:23" x14ac:dyDescent="0.25">
      <c r="B1851" t="s">
        <v>1862</v>
      </c>
      <c r="C1851">
        <v>31469</v>
      </c>
      <c r="D1851" t="s">
        <v>1865</v>
      </c>
      <c r="E1851" t="s">
        <v>1864</v>
      </c>
      <c r="F1851" t="s">
        <v>305</v>
      </c>
      <c r="G1851" t="s">
        <v>310</v>
      </c>
      <c r="H1851" t="s">
        <v>30</v>
      </c>
      <c r="I1851" t="s">
        <v>35</v>
      </c>
      <c r="J1851" t="s">
        <v>32</v>
      </c>
      <c r="K1851" t="s">
        <v>33</v>
      </c>
      <c r="L1851" t="s">
        <v>73</v>
      </c>
      <c r="M1851" t="s">
        <v>412</v>
      </c>
      <c r="N1851" t="s">
        <v>46</v>
      </c>
      <c r="P1851" t="s">
        <v>1646</v>
      </c>
      <c r="R1851" s="5">
        <v>41434.628541666665</v>
      </c>
      <c r="S1851" s="5">
        <v>42649.835868055554</v>
      </c>
      <c r="T1851" t="s">
        <v>1529</v>
      </c>
      <c r="U1851" t="s">
        <v>35</v>
      </c>
      <c r="V1851" s="3" t="s">
        <v>35</v>
      </c>
      <c r="W1851" s="3" t="s">
        <v>4097</v>
      </c>
    </row>
    <row r="1852" spans="2:23" x14ac:dyDescent="0.25">
      <c r="B1852" t="s">
        <v>1862</v>
      </c>
      <c r="C1852">
        <v>31460</v>
      </c>
      <c r="D1852" t="s">
        <v>1863</v>
      </c>
      <c r="E1852" t="s">
        <v>1864</v>
      </c>
      <c r="F1852" t="s">
        <v>305</v>
      </c>
      <c r="G1852" t="s">
        <v>304</v>
      </c>
      <c r="H1852" t="s">
        <v>30</v>
      </c>
      <c r="I1852" t="s">
        <v>35</v>
      </c>
      <c r="J1852" t="s">
        <v>32</v>
      </c>
      <c r="K1852" t="s">
        <v>33</v>
      </c>
      <c r="L1852" t="s">
        <v>73</v>
      </c>
      <c r="M1852" t="s">
        <v>412</v>
      </c>
      <c r="N1852" t="s">
        <v>46</v>
      </c>
      <c r="O1852" t="s">
        <v>1717</v>
      </c>
      <c r="P1852" t="s">
        <v>1646</v>
      </c>
      <c r="R1852" s="5">
        <v>41432.924178240741</v>
      </c>
      <c r="S1852" s="5">
        <v>41815.746817129628</v>
      </c>
      <c r="T1852" t="s">
        <v>3</v>
      </c>
      <c r="U1852" t="s">
        <v>35</v>
      </c>
      <c r="V1852" s="3" t="s">
        <v>35</v>
      </c>
      <c r="W1852" s="3" t="s">
        <v>4098</v>
      </c>
    </row>
    <row r="1853" spans="2:23" x14ac:dyDescent="0.25">
      <c r="B1853" t="s">
        <v>1856</v>
      </c>
      <c r="C1853">
        <v>31396</v>
      </c>
      <c r="D1853" t="s">
        <v>1861</v>
      </c>
      <c r="E1853" t="s">
        <v>387</v>
      </c>
      <c r="F1853" t="s">
        <v>305</v>
      </c>
      <c r="G1853" t="s">
        <v>304</v>
      </c>
      <c r="H1853" t="s">
        <v>30</v>
      </c>
      <c r="I1853" t="s">
        <v>35</v>
      </c>
      <c r="J1853" t="s">
        <v>32</v>
      </c>
      <c r="K1853" t="s">
        <v>44</v>
      </c>
      <c r="L1853" t="s">
        <v>73</v>
      </c>
      <c r="M1853" t="s">
        <v>263</v>
      </c>
      <c r="N1853" t="s">
        <v>46</v>
      </c>
      <c r="P1853" t="s">
        <v>1646</v>
      </c>
      <c r="R1853" s="5">
        <v>41431.693379629629</v>
      </c>
      <c r="S1853" s="5">
        <v>42648.817465277774</v>
      </c>
      <c r="T1853" t="s">
        <v>1529</v>
      </c>
      <c r="U1853" t="s">
        <v>35</v>
      </c>
      <c r="V1853" s="3" t="s">
        <v>35</v>
      </c>
      <c r="W1853" s="3" t="s">
        <v>4119</v>
      </c>
    </row>
    <row r="1854" spans="2:23" x14ac:dyDescent="0.25">
      <c r="B1854" t="s">
        <v>1856</v>
      </c>
      <c r="C1854">
        <v>31395</v>
      </c>
      <c r="D1854" t="s">
        <v>1859</v>
      </c>
      <c r="E1854" t="s">
        <v>1613</v>
      </c>
      <c r="F1854" t="s">
        <v>305</v>
      </c>
      <c r="G1854" t="s">
        <v>304</v>
      </c>
      <c r="H1854" t="s">
        <v>30</v>
      </c>
      <c r="I1854" t="s">
        <v>35</v>
      </c>
      <c r="J1854" t="s">
        <v>32</v>
      </c>
      <c r="K1854" t="s">
        <v>44</v>
      </c>
      <c r="L1854" t="s">
        <v>73</v>
      </c>
      <c r="M1854" t="s">
        <v>263</v>
      </c>
      <c r="N1854" t="s">
        <v>46</v>
      </c>
      <c r="O1854" t="s">
        <v>1860</v>
      </c>
      <c r="P1854" t="s">
        <v>1646</v>
      </c>
      <c r="R1854" s="5">
        <v>41431.693252314813</v>
      </c>
      <c r="S1854" s="5">
        <v>42648.81759259259</v>
      </c>
      <c r="T1854" t="s">
        <v>1529</v>
      </c>
      <c r="U1854" t="s">
        <v>35</v>
      </c>
      <c r="V1854" s="3" t="s">
        <v>35</v>
      </c>
      <c r="W1854" s="3" t="s">
        <v>1634</v>
      </c>
    </row>
    <row r="1855" spans="2:23" x14ac:dyDescent="0.25">
      <c r="B1855" t="s">
        <v>1856</v>
      </c>
      <c r="C1855">
        <v>31394</v>
      </c>
      <c r="D1855" t="s">
        <v>1858</v>
      </c>
      <c r="E1855" t="s">
        <v>387</v>
      </c>
      <c r="F1855" t="s">
        <v>305</v>
      </c>
      <c r="G1855" t="s">
        <v>304</v>
      </c>
      <c r="H1855" t="s">
        <v>30</v>
      </c>
      <c r="I1855" t="s">
        <v>35</v>
      </c>
      <c r="J1855" t="s">
        <v>32</v>
      </c>
      <c r="K1855" t="s">
        <v>44</v>
      </c>
      <c r="L1855" t="s">
        <v>73</v>
      </c>
      <c r="M1855" t="s">
        <v>263</v>
      </c>
      <c r="N1855" t="s">
        <v>46</v>
      </c>
      <c r="P1855" t="s">
        <v>1646</v>
      </c>
      <c r="R1855" s="5">
        <v>41431.693124999998</v>
      </c>
      <c r="S1855" s="5">
        <v>42649.90053240741</v>
      </c>
      <c r="T1855" t="s">
        <v>1529</v>
      </c>
      <c r="U1855" t="s">
        <v>35</v>
      </c>
      <c r="V1855" s="3" t="s">
        <v>35</v>
      </c>
      <c r="W1855" s="3" t="s">
        <v>4097</v>
      </c>
    </row>
    <row r="1856" spans="2:23" x14ac:dyDescent="0.25">
      <c r="B1856" t="s">
        <v>1856</v>
      </c>
      <c r="C1856">
        <v>31387</v>
      </c>
      <c r="D1856" t="s">
        <v>1857</v>
      </c>
      <c r="E1856" t="s">
        <v>387</v>
      </c>
      <c r="F1856" t="s">
        <v>305</v>
      </c>
      <c r="G1856" t="s">
        <v>304</v>
      </c>
      <c r="H1856" t="s">
        <v>30</v>
      </c>
      <c r="I1856" t="s">
        <v>35</v>
      </c>
      <c r="J1856" t="s">
        <v>32</v>
      </c>
      <c r="K1856" t="s">
        <v>44</v>
      </c>
      <c r="L1856" t="s">
        <v>73</v>
      </c>
      <c r="M1856" t="s">
        <v>263</v>
      </c>
      <c r="N1856" t="s">
        <v>46</v>
      </c>
      <c r="P1856" t="s">
        <v>1646</v>
      </c>
      <c r="R1856" s="5">
        <v>41431.662951388891</v>
      </c>
      <c r="S1856" s="5">
        <v>42648.817627314813</v>
      </c>
      <c r="T1856" t="s">
        <v>3</v>
      </c>
      <c r="U1856" t="s">
        <v>35</v>
      </c>
      <c r="V1856" s="3" t="s">
        <v>35</v>
      </c>
      <c r="W1856" s="3" t="s">
        <v>4098</v>
      </c>
    </row>
    <row r="1857" spans="2:23" x14ac:dyDescent="0.25">
      <c r="B1857" t="s">
        <v>1850</v>
      </c>
      <c r="C1857">
        <v>31027</v>
      </c>
      <c r="D1857" t="s">
        <v>1851</v>
      </c>
      <c r="E1857" t="s">
        <v>1852</v>
      </c>
      <c r="F1857" t="s">
        <v>305</v>
      </c>
      <c r="G1857" t="s">
        <v>304</v>
      </c>
      <c r="H1857" t="s">
        <v>54</v>
      </c>
      <c r="I1857" t="s">
        <v>35</v>
      </c>
      <c r="J1857" t="s">
        <v>43</v>
      </c>
      <c r="K1857" t="s">
        <v>33</v>
      </c>
      <c r="L1857" t="s">
        <v>34</v>
      </c>
      <c r="M1857" t="s">
        <v>1853</v>
      </c>
      <c r="N1857" t="s">
        <v>46</v>
      </c>
      <c r="P1857" t="s">
        <v>1854</v>
      </c>
      <c r="R1857" s="5">
        <v>41417.901620370372</v>
      </c>
      <c r="S1857" s="5">
        <v>41667.684710648151</v>
      </c>
      <c r="T1857" t="s">
        <v>1855</v>
      </c>
      <c r="U1857" t="s">
        <v>35</v>
      </c>
      <c r="V1857" s="3" t="s">
        <v>35</v>
      </c>
      <c r="W1857" s="3" t="s">
        <v>4122</v>
      </c>
    </row>
    <row r="1858" spans="2:23" x14ac:dyDescent="0.25">
      <c r="B1858" t="s">
        <v>1842</v>
      </c>
      <c r="C1858">
        <v>31003</v>
      </c>
      <c r="D1858" t="s">
        <v>1849</v>
      </c>
      <c r="E1858" t="s">
        <v>387</v>
      </c>
      <c r="F1858" t="s">
        <v>305</v>
      </c>
      <c r="G1858" t="s">
        <v>337</v>
      </c>
      <c r="H1858" t="s">
        <v>30</v>
      </c>
      <c r="I1858" t="s">
        <v>35</v>
      </c>
      <c r="J1858" t="s">
        <v>43</v>
      </c>
      <c r="K1858" t="s">
        <v>44</v>
      </c>
      <c r="L1858" t="s">
        <v>73</v>
      </c>
      <c r="M1858" t="s">
        <v>263</v>
      </c>
      <c r="N1858" t="s">
        <v>46</v>
      </c>
      <c r="P1858" t="s">
        <v>1646</v>
      </c>
      <c r="R1858" s="5">
        <v>41417.681064814817</v>
      </c>
      <c r="S1858" s="5">
        <v>42649.835428240738</v>
      </c>
      <c r="T1858" t="s">
        <v>1529</v>
      </c>
      <c r="U1858" t="s">
        <v>35</v>
      </c>
      <c r="V1858" s="3" t="s">
        <v>35</v>
      </c>
      <c r="W1858" s="3" t="s">
        <v>4104</v>
      </c>
    </row>
    <row r="1859" spans="2:23" x14ac:dyDescent="0.25">
      <c r="B1859" t="s">
        <v>1842</v>
      </c>
      <c r="C1859">
        <v>31002</v>
      </c>
      <c r="D1859" t="s">
        <v>1848</v>
      </c>
      <c r="E1859" t="s">
        <v>387</v>
      </c>
      <c r="F1859" t="s">
        <v>305</v>
      </c>
      <c r="G1859" t="s">
        <v>337</v>
      </c>
      <c r="H1859" t="s">
        <v>30</v>
      </c>
      <c r="I1859" t="s">
        <v>35</v>
      </c>
      <c r="J1859" t="s">
        <v>43</v>
      </c>
      <c r="K1859" t="s">
        <v>44</v>
      </c>
      <c r="L1859" t="s">
        <v>73</v>
      </c>
      <c r="M1859" t="s">
        <v>263</v>
      </c>
      <c r="N1859" t="s">
        <v>46</v>
      </c>
      <c r="P1859" t="s">
        <v>1646</v>
      </c>
      <c r="R1859" s="5">
        <v>41417.680925925924</v>
      </c>
      <c r="S1859" s="5">
        <v>41709.647962962961</v>
      </c>
      <c r="T1859" t="s">
        <v>1529</v>
      </c>
      <c r="U1859" t="s">
        <v>35</v>
      </c>
      <c r="V1859" s="3" t="s">
        <v>35</v>
      </c>
      <c r="W1859" s="3" t="s">
        <v>4113</v>
      </c>
    </row>
    <row r="1860" spans="2:23" x14ac:dyDescent="0.25">
      <c r="B1860" t="s">
        <v>1842</v>
      </c>
      <c r="C1860">
        <v>31001</v>
      </c>
      <c r="D1860" t="s">
        <v>1847</v>
      </c>
      <c r="E1860" t="s">
        <v>387</v>
      </c>
      <c r="F1860" t="s">
        <v>305</v>
      </c>
      <c r="G1860" t="s">
        <v>304</v>
      </c>
      <c r="H1860" t="s">
        <v>30</v>
      </c>
      <c r="I1860" t="s">
        <v>35</v>
      </c>
      <c r="J1860" t="s">
        <v>43</v>
      </c>
      <c r="K1860" t="s">
        <v>44</v>
      </c>
      <c r="L1860" t="s">
        <v>73</v>
      </c>
      <c r="M1860" t="s">
        <v>263</v>
      </c>
      <c r="N1860" t="s">
        <v>46</v>
      </c>
      <c r="P1860" t="s">
        <v>1646</v>
      </c>
      <c r="R1860" s="5">
        <v>41417.680821759262</v>
      </c>
      <c r="S1860" s="5">
        <v>42648.816620370373</v>
      </c>
      <c r="T1860" t="s">
        <v>1529</v>
      </c>
      <c r="U1860" t="s">
        <v>35</v>
      </c>
      <c r="V1860" s="3" t="s">
        <v>35</v>
      </c>
      <c r="W1860" s="3" t="s">
        <v>4119</v>
      </c>
    </row>
    <row r="1861" spans="2:23" x14ac:dyDescent="0.25">
      <c r="B1861" t="s">
        <v>1842</v>
      </c>
      <c r="C1861">
        <v>31000</v>
      </c>
      <c r="D1861" t="s">
        <v>1845</v>
      </c>
      <c r="E1861" t="s">
        <v>1675</v>
      </c>
      <c r="F1861" t="s">
        <v>305</v>
      </c>
      <c r="G1861" t="s">
        <v>304</v>
      </c>
      <c r="H1861" t="s">
        <v>30</v>
      </c>
      <c r="I1861" t="s">
        <v>35</v>
      </c>
      <c r="J1861" t="s">
        <v>43</v>
      </c>
      <c r="K1861" t="s">
        <v>44</v>
      </c>
      <c r="L1861" t="s">
        <v>73</v>
      </c>
      <c r="M1861" t="s">
        <v>263</v>
      </c>
      <c r="N1861" t="s">
        <v>46</v>
      </c>
      <c r="O1861" t="s">
        <v>1846</v>
      </c>
      <c r="P1861" t="s">
        <v>1646</v>
      </c>
      <c r="R1861" s="5">
        <v>41417.680694444447</v>
      </c>
      <c r="S1861" s="5">
        <v>42648.816747685189</v>
      </c>
      <c r="T1861" t="s">
        <v>1529</v>
      </c>
      <c r="U1861" t="s">
        <v>35</v>
      </c>
      <c r="V1861" s="3" t="s">
        <v>35</v>
      </c>
      <c r="W1861" s="3" t="s">
        <v>1634</v>
      </c>
    </row>
    <row r="1862" spans="2:23" x14ac:dyDescent="0.25">
      <c r="B1862" t="s">
        <v>1842</v>
      </c>
      <c r="C1862">
        <v>30999</v>
      </c>
      <c r="D1862" t="s">
        <v>1844</v>
      </c>
      <c r="E1862" t="s">
        <v>387</v>
      </c>
      <c r="F1862" t="s">
        <v>305</v>
      </c>
      <c r="G1862" t="s">
        <v>304</v>
      </c>
      <c r="H1862" t="s">
        <v>30</v>
      </c>
      <c r="I1862" t="s">
        <v>35</v>
      </c>
      <c r="J1862" t="s">
        <v>43</v>
      </c>
      <c r="K1862" t="s">
        <v>44</v>
      </c>
      <c r="L1862" t="s">
        <v>73</v>
      </c>
      <c r="M1862" t="s">
        <v>263</v>
      </c>
      <c r="N1862" t="s">
        <v>46</v>
      </c>
      <c r="P1862" t="s">
        <v>1646</v>
      </c>
      <c r="R1862" s="5">
        <v>41417.680567129632</v>
      </c>
      <c r="S1862" s="5">
        <v>42649.835844907408</v>
      </c>
      <c r="T1862" t="s">
        <v>1529</v>
      </c>
      <c r="U1862" t="s">
        <v>35</v>
      </c>
      <c r="V1862" s="3" t="s">
        <v>35</v>
      </c>
      <c r="W1862" s="3" t="s">
        <v>4097</v>
      </c>
    </row>
    <row r="1863" spans="2:23" x14ac:dyDescent="0.25">
      <c r="B1863" t="s">
        <v>1842</v>
      </c>
      <c r="C1863">
        <v>30996</v>
      </c>
      <c r="D1863" t="s">
        <v>1843</v>
      </c>
      <c r="E1863" t="s">
        <v>387</v>
      </c>
      <c r="F1863" t="s">
        <v>305</v>
      </c>
      <c r="G1863" t="s">
        <v>304</v>
      </c>
      <c r="H1863" t="s">
        <v>30</v>
      </c>
      <c r="I1863" t="s">
        <v>35</v>
      </c>
      <c r="J1863" t="s">
        <v>43</v>
      </c>
      <c r="K1863" t="s">
        <v>44</v>
      </c>
      <c r="L1863" t="s">
        <v>73</v>
      </c>
      <c r="M1863" t="s">
        <v>263</v>
      </c>
      <c r="N1863" t="s">
        <v>46</v>
      </c>
      <c r="P1863" t="s">
        <v>1646</v>
      </c>
      <c r="R1863" s="5">
        <v>41417.670428240737</v>
      </c>
      <c r="S1863" s="5">
        <v>42648.81653935185</v>
      </c>
      <c r="T1863" t="s">
        <v>1686</v>
      </c>
      <c r="U1863" t="s">
        <v>35</v>
      </c>
      <c r="V1863" s="3" t="s">
        <v>35</v>
      </c>
      <c r="W1863" s="3" t="s">
        <v>4098</v>
      </c>
    </row>
    <row r="1864" spans="2:23" x14ac:dyDescent="0.25">
      <c r="B1864" t="s">
        <v>1839</v>
      </c>
      <c r="C1864">
        <v>30933</v>
      </c>
      <c r="D1864" t="s">
        <v>1840</v>
      </c>
      <c r="E1864" t="s">
        <v>1620</v>
      </c>
      <c r="F1864" t="s">
        <v>305</v>
      </c>
      <c r="G1864" t="s">
        <v>304</v>
      </c>
      <c r="H1864" t="s">
        <v>426</v>
      </c>
      <c r="I1864" t="s">
        <v>35</v>
      </c>
      <c r="J1864" t="s">
        <v>58</v>
      </c>
      <c r="K1864" t="s">
        <v>44</v>
      </c>
      <c r="L1864" t="s">
        <v>34</v>
      </c>
      <c r="M1864" t="s">
        <v>336</v>
      </c>
      <c r="N1864" t="s">
        <v>46</v>
      </c>
      <c r="P1864" t="s">
        <v>56</v>
      </c>
      <c r="R1864" s="5">
        <v>41415.758263888885</v>
      </c>
      <c r="S1864" s="5">
        <v>41816.561678240738</v>
      </c>
      <c r="T1864" t="s">
        <v>1841</v>
      </c>
      <c r="U1864" t="s">
        <v>35</v>
      </c>
      <c r="V1864" s="3" t="s">
        <v>35</v>
      </c>
      <c r="W1864" s="3" t="s">
        <v>1749</v>
      </c>
    </row>
    <row r="1865" spans="2:23" x14ac:dyDescent="0.25">
      <c r="B1865" t="s">
        <v>197</v>
      </c>
      <c r="C1865">
        <v>30910</v>
      </c>
      <c r="D1865" t="s">
        <v>27</v>
      </c>
      <c r="E1865" t="s">
        <v>28</v>
      </c>
      <c r="F1865" t="s">
        <v>305</v>
      </c>
      <c r="G1865" t="s">
        <v>337</v>
      </c>
      <c r="H1865" t="s">
        <v>30</v>
      </c>
      <c r="I1865" t="s">
        <v>68</v>
      </c>
      <c r="J1865" t="s">
        <v>43</v>
      </c>
      <c r="K1865" t="s">
        <v>33</v>
      </c>
      <c r="L1865" t="s">
        <v>34</v>
      </c>
      <c r="M1865" t="s">
        <v>258</v>
      </c>
      <c r="N1865" t="s">
        <v>36</v>
      </c>
      <c r="O1865" t="s">
        <v>37</v>
      </c>
      <c r="P1865" t="s">
        <v>38</v>
      </c>
      <c r="Q1865" t="s">
        <v>4181</v>
      </c>
      <c r="R1865" s="5">
        <v>41414.898692129631</v>
      </c>
      <c r="S1865" s="5">
        <v>43131.72929398148</v>
      </c>
      <c r="T1865" t="s">
        <v>39</v>
      </c>
      <c r="U1865" t="s">
        <v>35</v>
      </c>
      <c r="V1865" s="3" t="s">
        <v>35</v>
      </c>
      <c r="W1865" s="3" t="s">
        <v>4111</v>
      </c>
    </row>
    <row r="1866" spans="2:23" x14ac:dyDescent="0.25">
      <c r="B1866" t="s">
        <v>1832</v>
      </c>
      <c r="C1866">
        <v>30657</v>
      </c>
      <c r="D1866" t="s">
        <v>1838</v>
      </c>
      <c r="E1866" t="s">
        <v>387</v>
      </c>
      <c r="F1866" t="s">
        <v>305</v>
      </c>
      <c r="G1866" t="s">
        <v>337</v>
      </c>
      <c r="H1866" t="s">
        <v>30</v>
      </c>
      <c r="I1866" t="s">
        <v>35</v>
      </c>
      <c r="J1866" t="s">
        <v>43</v>
      </c>
      <c r="K1866" t="s">
        <v>44</v>
      </c>
      <c r="L1866" t="s">
        <v>73</v>
      </c>
      <c r="M1866" t="s">
        <v>1514</v>
      </c>
      <c r="N1866" t="s">
        <v>46</v>
      </c>
      <c r="P1866" t="s">
        <v>1530</v>
      </c>
      <c r="R1866" s="5">
        <v>41407.709374999999</v>
      </c>
      <c r="S1866" s="5">
        <v>42649.834594907406</v>
      </c>
      <c r="T1866" t="s">
        <v>1529</v>
      </c>
      <c r="U1866" t="s">
        <v>35</v>
      </c>
      <c r="V1866" s="3" t="s">
        <v>35</v>
      </c>
      <c r="W1866" s="3" t="s">
        <v>4104</v>
      </c>
    </row>
    <row r="1867" spans="2:23" x14ac:dyDescent="0.25">
      <c r="B1867" t="s">
        <v>1832</v>
      </c>
      <c r="C1867">
        <v>30656</v>
      </c>
      <c r="D1867" t="s">
        <v>1837</v>
      </c>
      <c r="E1867" t="s">
        <v>387</v>
      </c>
      <c r="F1867" t="s">
        <v>305</v>
      </c>
      <c r="G1867" t="s">
        <v>337</v>
      </c>
      <c r="H1867" t="s">
        <v>30</v>
      </c>
      <c r="I1867" t="s">
        <v>35</v>
      </c>
      <c r="J1867" t="s">
        <v>43</v>
      </c>
      <c r="K1867" t="s">
        <v>44</v>
      </c>
      <c r="L1867" t="s">
        <v>73</v>
      </c>
      <c r="M1867" t="s">
        <v>1514</v>
      </c>
      <c r="N1867" t="s">
        <v>46</v>
      </c>
      <c r="P1867" t="s">
        <v>1530</v>
      </c>
      <c r="R1867" s="5">
        <v>41407.709224537037</v>
      </c>
      <c r="S1867" s="5">
        <v>41709.645856481482</v>
      </c>
      <c r="T1867" t="s">
        <v>1529</v>
      </c>
      <c r="U1867" t="s">
        <v>35</v>
      </c>
      <c r="V1867" s="3" t="s">
        <v>35</v>
      </c>
      <c r="W1867" s="3" t="s">
        <v>4113</v>
      </c>
    </row>
    <row r="1868" spans="2:23" x14ac:dyDescent="0.25">
      <c r="B1868" t="s">
        <v>1832</v>
      </c>
      <c r="C1868">
        <v>30655</v>
      </c>
      <c r="D1868" t="s">
        <v>1836</v>
      </c>
      <c r="E1868" t="s">
        <v>1675</v>
      </c>
      <c r="F1868" t="s">
        <v>305</v>
      </c>
      <c r="G1868" t="s">
        <v>304</v>
      </c>
      <c r="H1868" t="s">
        <v>30</v>
      </c>
      <c r="I1868" t="s">
        <v>35</v>
      </c>
      <c r="J1868" t="s">
        <v>43</v>
      </c>
      <c r="K1868" t="s">
        <v>44</v>
      </c>
      <c r="L1868" t="s">
        <v>73</v>
      </c>
      <c r="M1868" t="s">
        <v>1514</v>
      </c>
      <c r="N1868" t="s">
        <v>46</v>
      </c>
      <c r="P1868" t="s">
        <v>1530</v>
      </c>
      <c r="R1868" s="5">
        <v>41407.709143518521</v>
      </c>
      <c r="S1868" s="5">
        <v>42648.81658564815</v>
      </c>
      <c r="T1868" t="s">
        <v>1529</v>
      </c>
      <c r="U1868" t="s">
        <v>35</v>
      </c>
      <c r="V1868" s="3" t="s">
        <v>35</v>
      </c>
      <c r="W1868" s="3" t="s">
        <v>4119</v>
      </c>
    </row>
    <row r="1869" spans="2:23" x14ac:dyDescent="0.25">
      <c r="B1869" t="s">
        <v>1832</v>
      </c>
      <c r="C1869">
        <v>30654</v>
      </c>
      <c r="D1869" t="s">
        <v>1835</v>
      </c>
      <c r="E1869" t="s">
        <v>1675</v>
      </c>
      <c r="F1869" t="s">
        <v>305</v>
      </c>
      <c r="G1869" t="s">
        <v>304</v>
      </c>
      <c r="H1869" t="s">
        <v>30</v>
      </c>
      <c r="I1869" t="s">
        <v>35</v>
      </c>
      <c r="J1869" t="s">
        <v>43</v>
      </c>
      <c r="K1869" t="s">
        <v>44</v>
      </c>
      <c r="L1869" t="s">
        <v>73</v>
      </c>
      <c r="M1869" t="s">
        <v>1514</v>
      </c>
      <c r="N1869" t="s">
        <v>46</v>
      </c>
      <c r="O1869" t="s">
        <v>1710</v>
      </c>
      <c r="P1869" t="s">
        <v>1530</v>
      </c>
      <c r="R1869" s="5">
        <v>41407.709050925929</v>
      </c>
      <c r="S1869" s="5">
        <v>42648.816770833335</v>
      </c>
      <c r="T1869" t="s">
        <v>1529</v>
      </c>
      <c r="U1869" t="s">
        <v>35</v>
      </c>
      <c r="V1869" s="3" t="s">
        <v>35</v>
      </c>
      <c r="W1869" s="3" t="s">
        <v>1634</v>
      </c>
    </row>
    <row r="1870" spans="2:23" x14ac:dyDescent="0.25">
      <c r="B1870" t="s">
        <v>1832</v>
      </c>
      <c r="C1870">
        <v>30653</v>
      </c>
      <c r="D1870" t="s">
        <v>1834</v>
      </c>
      <c r="E1870" t="s">
        <v>387</v>
      </c>
      <c r="F1870" t="s">
        <v>305</v>
      </c>
      <c r="G1870" t="s">
        <v>310</v>
      </c>
      <c r="H1870" t="s">
        <v>30</v>
      </c>
      <c r="I1870" t="s">
        <v>35</v>
      </c>
      <c r="J1870" t="s">
        <v>43</v>
      </c>
      <c r="K1870" t="s">
        <v>44</v>
      </c>
      <c r="L1870" t="s">
        <v>73</v>
      </c>
      <c r="M1870" t="s">
        <v>1514</v>
      </c>
      <c r="N1870" t="s">
        <v>46</v>
      </c>
      <c r="P1870" t="s">
        <v>1530</v>
      </c>
      <c r="R1870" s="5">
        <v>41407.708969907406</v>
      </c>
      <c r="S1870" s="5">
        <v>42649.835219907407</v>
      </c>
      <c r="T1870" t="s">
        <v>1529</v>
      </c>
      <c r="U1870" t="s">
        <v>35</v>
      </c>
      <c r="V1870" s="3" t="s">
        <v>35</v>
      </c>
      <c r="W1870" s="3" t="s">
        <v>4097</v>
      </c>
    </row>
    <row r="1871" spans="2:23" x14ac:dyDescent="0.25">
      <c r="B1871" t="s">
        <v>1832</v>
      </c>
      <c r="C1871">
        <v>30652</v>
      </c>
      <c r="D1871" t="s">
        <v>1833</v>
      </c>
      <c r="E1871" t="s">
        <v>387</v>
      </c>
      <c r="F1871" t="s">
        <v>305</v>
      </c>
      <c r="G1871" t="s">
        <v>304</v>
      </c>
      <c r="H1871" t="s">
        <v>30</v>
      </c>
      <c r="I1871" t="s">
        <v>35</v>
      </c>
      <c r="J1871" t="s">
        <v>43</v>
      </c>
      <c r="K1871" t="s">
        <v>44</v>
      </c>
      <c r="L1871" t="s">
        <v>73</v>
      </c>
      <c r="M1871" t="s">
        <v>1514</v>
      </c>
      <c r="N1871" t="s">
        <v>46</v>
      </c>
      <c r="P1871" t="s">
        <v>1530</v>
      </c>
      <c r="R1871" s="5">
        <v>41407.705266203702</v>
      </c>
      <c r="S1871" s="5">
        <v>41815.747291666667</v>
      </c>
      <c r="T1871" t="s">
        <v>1686</v>
      </c>
      <c r="U1871" t="s">
        <v>35</v>
      </c>
      <c r="V1871" s="3" t="s">
        <v>35</v>
      </c>
      <c r="W1871" s="3" t="s">
        <v>4098</v>
      </c>
    </row>
    <row r="1872" spans="2:23" x14ac:dyDescent="0.25">
      <c r="B1872" t="s">
        <v>1750</v>
      </c>
      <c r="C1872">
        <v>30623</v>
      </c>
      <c r="D1872" t="s">
        <v>1831</v>
      </c>
      <c r="E1872" t="s">
        <v>387</v>
      </c>
      <c r="F1872" t="s">
        <v>305</v>
      </c>
      <c r="G1872" t="s">
        <v>304</v>
      </c>
      <c r="H1872" t="s">
        <v>54</v>
      </c>
      <c r="I1872" t="s">
        <v>35</v>
      </c>
      <c r="J1872" t="s">
        <v>43</v>
      </c>
      <c r="K1872" t="s">
        <v>44</v>
      </c>
      <c r="L1872" t="s">
        <v>73</v>
      </c>
      <c r="M1872" t="s">
        <v>263</v>
      </c>
      <c r="N1872" t="s">
        <v>1515</v>
      </c>
      <c r="P1872" t="s">
        <v>1646</v>
      </c>
      <c r="R1872" s="5">
        <v>41405.874849537038</v>
      </c>
      <c r="S1872" s="5">
        <v>42649.834664351853</v>
      </c>
      <c r="T1872" t="s">
        <v>1529</v>
      </c>
      <c r="U1872" t="s">
        <v>35</v>
      </c>
      <c r="V1872" s="3" t="s">
        <v>35</v>
      </c>
      <c r="W1872" s="3" t="s">
        <v>4097</v>
      </c>
    </row>
    <row r="1873" spans="2:23" x14ac:dyDescent="0.25">
      <c r="B1873" t="s">
        <v>1779</v>
      </c>
      <c r="C1873">
        <v>30618</v>
      </c>
      <c r="D1873" t="s">
        <v>1830</v>
      </c>
      <c r="E1873" t="s">
        <v>387</v>
      </c>
      <c r="F1873" t="s">
        <v>305</v>
      </c>
      <c r="G1873" t="s">
        <v>304</v>
      </c>
      <c r="H1873" t="s">
        <v>54</v>
      </c>
      <c r="I1873" t="s">
        <v>35</v>
      </c>
      <c r="J1873" t="s">
        <v>43</v>
      </c>
      <c r="K1873" t="s">
        <v>51</v>
      </c>
      <c r="L1873" t="s">
        <v>96</v>
      </c>
      <c r="M1873" t="s">
        <v>269</v>
      </c>
      <c r="N1873" t="s">
        <v>46</v>
      </c>
      <c r="P1873" t="s">
        <v>1646</v>
      </c>
      <c r="R1873" s="5">
        <v>41405.866597222222</v>
      </c>
      <c r="S1873" s="5">
        <v>42649.835104166668</v>
      </c>
      <c r="T1873" t="s">
        <v>1529</v>
      </c>
      <c r="U1873" t="s">
        <v>35</v>
      </c>
      <c r="V1873" s="3" t="s">
        <v>35</v>
      </c>
      <c r="W1873" s="3" t="s">
        <v>4097</v>
      </c>
    </row>
    <row r="1874" spans="2:23" x14ac:dyDescent="0.25">
      <c r="B1874" t="s">
        <v>1796</v>
      </c>
      <c r="C1874">
        <v>30617</v>
      </c>
      <c r="D1874" t="s">
        <v>1829</v>
      </c>
      <c r="E1874" t="s">
        <v>387</v>
      </c>
      <c r="F1874" t="s">
        <v>305</v>
      </c>
      <c r="G1874" t="s">
        <v>310</v>
      </c>
      <c r="H1874" t="s">
        <v>30</v>
      </c>
      <c r="I1874" t="s">
        <v>35</v>
      </c>
      <c r="J1874" t="s">
        <v>43</v>
      </c>
      <c r="K1874" t="s">
        <v>44</v>
      </c>
      <c r="L1874" t="s">
        <v>73</v>
      </c>
      <c r="M1874" t="s">
        <v>1514</v>
      </c>
      <c r="N1874" t="s">
        <v>46</v>
      </c>
      <c r="P1874" t="s">
        <v>1530</v>
      </c>
      <c r="R1874" s="5">
        <v>41405.863981481481</v>
      </c>
      <c r="S1874" s="5">
        <v>42649.834930555553</v>
      </c>
      <c r="T1874" t="s">
        <v>1529</v>
      </c>
      <c r="U1874" t="s">
        <v>35</v>
      </c>
      <c r="V1874" s="3" t="s">
        <v>35</v>
      </c>
      <c r="W1874" s="3" t="s">
        <v>4097</v>
      </c>
    </row>
    <row r="1875" spans="2:23" x14ac:dyDescent="0.25">
      <c r="B1875" t="s">
        <v>1815</v>
      </c>
      <c r="C1875">
        <v>30608</v>
      </c>
      <c r="D1875" t="s">
        <v>1828</v>
      </c>
      <c r="E1875" t="s">
        <v>387</v>
      </c>
      <c r="F1875" t="s">
        <v>305</v>
      </c>
      <c r="G1875" t="s">
        <v>304</v>
      </c>
      <c r="H1875" t="s">
        <v>30</v>
      </c>
      <c r="I1875" t="s">
        <v>35</v>
      </c>
      <c r="J1875" t="s">
        <v>43</v>
      </c>
      <c r="K1875" t="s">
        <v>51</v>
      </c>
      <c r="L1875" t="s">
        <v>73</v>
      </c>
      <c r="M1875" t="s">
        <v>263</v>
      </c>
      <c r="N1875" t="s">
        <v>46</v>
      </c>
      <c r="P1875" t="s">
        <v>1646</v>
      </c>
      <c r="R1875" s="5">
        <v>41405.836967592593</v>
      </c>
      <c r="S1875" s="5">
        <v>42649.900358796294</v>
      </c>
      <c r="T1875" t="s">
        <v>1529</v>
      </c>
      <c r="U1875" t="s">
        <v>35</v>
      </c>
      <c r="V1875" s="3" t="s">
        <v>35</v>
      </c>
      <c r="W1875" s="3" t="s">
        <v>4097</v>
      </c>
    </row>
    <row r="1876" spans="2:23" x14ac:dyDescent="0.25">
      <c r="B1876" t="s">
        <v>1822</v>
      </c>
      <c r="C1876">
        <v>30374</v>
      </c>
      <c r="D1876" t="s">
        <v>1823</v>
      </c>
      <c r="E1876" t="s">
        <v>1824</v>
      </c>
      <c r="F1876" t="s">
        <v>305</v>
      </c>
      <c r="G1876" t="s">
        <v>304</v>
      </c>
      <c r="H1876" t="s">
        <v>426</v>
      </c>
      <c r="I1876" t="s">
        <v>68</v>
      </c>
      <c r="J1876" t="s">
        <v>58</v>
      </c>
      <c r="K1876" t="s">
        <v>44</v>
      </c>
      <c r="L1876" t="s">
        <v>34</v>
      </c>
      <c r="M1876" t="s">
        <v>1825</v>
      </c>
      <c r="N1876" t="s">
        <v>46</v>
      </c>
      <c r="P1876" t="s">
        <v>38</v>
      </c>
      <c r="Q1876" t="s">
        <v>1826</v>
      </c>
      <c r="R1876" s="5">
        <v>41401.54179398148</v>
      </c>
      <c r="S1876" s="5">
        <v>42642.734259259261</v>
      </c>
      <c r="T1876" t="s">
        <v>1827</v>
      </c>
      <c r="U1876" t="s">
        <v>35</v>
      </c>
      <c r="V1876" s="3" t="s">
        <v>35</v>
      </c>
      <c r="W1876" s="3" t="s">
        <v>4098</v>
      </c>
    </row>
    <row r="1877" spans="2:23" x14ac:dyDescent="0.25">
      <c r="B1877" t="s">
        <v>1815</v>
      </c>
      <c r="C1877">
        <v>30317</v>
      </c>
      <c r="D1877" t="s">
        <v>1821</v>
      </c>
      <c r="E1877" t="s">
        <v>387</v>
      </c>
      <c r="F1877" t="s">
        <v>305</v>
      </c>
      <c r="G1877" t="s">
        <v>337</v>
      </c>
      <c r="H1877" t="s">
        <v>30</v>
      </c>
      <c r="I1877" t="s">
        <v>35</v>
      </c>
      <c r="J1877" t="s">
        <v>43</v>
      </c>
      <c r="K1877" t="s">
        <v>51</v>
      </c>
      <c r="L1877" t="s">
        <v>73</v>
      </c>
      <c r="M1877" t="s">
        <v>263</v>
      </c>
      <c r="N1877" t="s">
        <v>46</v>
      </c>
      <c r="P1877" t="s">
        <v>1646</v>
      </c>
      <c r="R1877" s="5">
        <v>41398.597430555557</v>
      </c>
      <c r="S1877" s="5">
        <v>42649.834293981483</v>
      </c>
      <c r="T1877" t="s">
        <v>1529</v>
      </c>
      <c r="U1877" t="s">
        <v>35</v>
      </c>
      <c r="V1877" s="3" t="s">
        <v>35</v>
      </c>
      <c r="W1877" s="3" t="s">
        <v>4113</v>
      </c>
    </row>
    <row r="1878" spans="2:23" x14ac:dyDescent="0.25">
      <c r="B1878" t="s">
        <v>1815</v>
      </c>
      <c r="C1878">
        <v>30316</v>
      </c>
      <c r="D1878" t="s">
        <v>1820</v>
      </c>
      <c r="E1878" t="s">
        <v>387</v>
      </c>
      <c r="F1878" t="s">
        <v>305</v>
      </c>
      <c r="G1878" t="s">
        <v>304</v>
      </c>
      <c r="H1878" t="s">
        <v>30</v>
      </c>
      <c r="I1878" t="s">
        <v>35</v>
      </c>
      <c r="J1878" t="s">
        <v>43</v>
      </c>
      <c r="K1878" t="s">
        <v>51</v>
      </c>
      <c r="L1878" t="s">
        <v>73</v>
      </c>
      <c r="M1878" t="s">
        <v>263</v>
      </c>
      <c r="N1878" t="s">
        <v>46</v>
      </c>
      <c r="P1878" t="s">
        <v>1646</v>
      </c>
      <c r="R1878" s="5">
        <v>41398.597210648149</v>
      </c>
      <c r="S1878" s="5">
        <v>42648.816481481481</v>
      </c>
      <c r="T1878" t="s">
        <v>1529</v>
      </c>
      <c r="U1878" t="s">
        <v>35</v>
      </c>
      <c r="V1878" s="3" t="s">
        <v>35</v>
      </c>
      <c r="W1878" s="3" t="s">
        <v>4119</v>
      </c>
    </row>
    <row r="1879" spans="2:23" x14ac:dyDescent="0.25">
      <c r="B1879" t="s">
        <v>1815</v>
      </c>
      <c r="C1879">
        <v>30315</v>
      </c>
      <c r="D1879" t="s">
        <v>1819</v>
      </c>
      <c r="E1879" t="s">
        <v>387</v>
      </c>
      <c r="F1879" t="s">
        <v>305</v>
      </c>
      <c r="G1879" t="s">
        <v>337</v>
      </c>
      <c r="H1879" t="s">
        <v>30</v>
      </c>
      <c r="I1879" t="s">
        <v>35</v>
      </c>
      <c r="J1879" t="s">
        <v>43</v>
      </c>
      <c r="K1879" t="s">
        <v>51</v>
      </c>
      <c r="L1879" t="s">
        <v>73</v>
      </c>
      <c r="M1879" t="s">
        <v>263</v>
      </c>
      <c r="N1879" t="s">
        <v>46</v>
      </c>
      <c r="P1879" t="s">
        <v>1646</v>
      </c>
      <c r="R1879" s="5">
        <v>41398.597025462965</v>
      </c>
      <c r="S1879" s="5">
        <v>42649.834583333337</v>
      </c>
      <c r="T1879" t="s">
        <v>1529</v>
      </c>
      <c r="U1879" t="s">
        <v>35</v>
      </c>
      <c r="V1879" s="3" t="s">
        <v>35</v>
      </c>
      <c r="W1879" s="3" t="s">
        <v>4120</v>
      </c>
    </row>
    <row r="1880" spans="2:23" x14ac:dyDescent="0.25">
      <c r="B1880" t="s">
        <v>1815</v>
      </c>
      <c r="C1880">
        <v>30314</v>
      </c>
      <c r="D1880" t="s">
        <v>1817</v>
      </c>
      <c r="E1880" t="s">
        <v>1613</v>
      </c>
      <c r="F1880" t="s">
        <v>305</v>
      </c>
      <c r="G1880" t="s">
        <v>304</v>
      </c>
      <c r="H1880" t="s">
        <v>30</v>
      </c>
      <c r="I1880" t="s">
        <v>35</v>
      </c>
      <c r="J1880" t="s">
        <v>43</v>
      </c>
      <c r="K1880" t="s">
        <v>51</v>
      </c>
      <c r="L1880" t="s">
        <v>73</v>
      </c>
      <c r="M1880" t="s">
        <v>263</v>
      </c>
      <c r="N1880" t="s">
        <v>46</v>
      </c>
      <c r="O1880" t="s">
        <v>1818</v>
      </c>
      <c r="P1880" t="s">
        <v>1646</v>
      </c>
      <c r="R1880" s="5">
        <v>41398.59679398148</v>
      </c>
      <c r="S1880" s="5">
        <v>42648.816423611112</v>
      </c>
      <c r="T1880" t="s">
        <v>1529</v>
      </c>
      <c r="U1880" t="s">
        <v>35</v>
      </c>
      <c r="V1880" s="3" t="s">
        <v>35</v>
      </c>
      <c r="W1880" s="3" t="s">
        <v>1634</v>
      </c>
    </row>
    <row r="1881" spans="2:23" x14ac:dyDescent="0.25">
      <c r="B1881" t="s">
        <v>1815</v>
      </c>
      <c r="C1881">
        <v>30311</v>
      </c>
      <c r="D1881" t="s">
        <v>1816</v>
      </c>
      <c r="E1881" t="s">
        <v>387</v>
      </c>
      <c r="F1881" t="s">
        <v>305</v>
      </c>
      <c r="G1881" t="s">
        <v>304</v>
      </c>
      <c r="H1881" t="s">
        <v>30</v>
      </c>
      <c r="I1881" t="s">
        <v>35</v>
      </c>
      <c r="J1881" t="s">
        <v>43</v>
      </c>
      <c r="K1881" t="s">
        <v>51</v>
      </c>
      <c r="L1881" t="s">
        <v>73</v>
      </c>
      <c r="M1881" t="s">
        <v>263</v>
      </c>
      <c r="N1881" t="s">
        <v>46</v>
      </c>
      <c r="P1881" t="s">
        <v>1646</v>
      </c>
      <c r="R1881" s="5">
        <v>41397.9844212963</v>
      </c>
      <c r="S1881" s="5">
        <v>41815.750358796293</v>
      </c>
      <c r="T1881" t="s">
        <v>48</v>
      </c>
      <c r="U1881" t="s">
        <v>35</v>
      </c>
      <c r="V1881" s="3" t="s">
        <v>35</v>
      </c>
      <c r="W1881" s="3" t="s">
        <v>4098</v>
      </c>
    </row>
    <row r="1882" spans="2:23" x14ac:dyDescent="0.25">
      <c r="B1882" t="s">
        <v>1811</v>
      </c>
      <c r="C1882">
        <v>30043</v>
      </c>
      <c r="D1882" t="s">
        <v>1812</v>
      </c>
      <c r="E1882" t="s">
        <v>376</v>
      </c>
      <c r="F1882" t="s">
        <v>305</v>
      </c>
      <c r="G1882" t="s">
        <v>337</v>
      </c>
      <c r="H1882" t="s">
        <v>30</v>
      </c>
      <c r="I1882" t="s">
        <v>68</v>
      </c>
      <c r="J1882" t="s">
        <v>58</v>
      </c>
      <c r="K1882" t="s">
        <v>44</v>
      </c>
      <c r="L1882" t="s">
        <v>34</v>
      </c>
      <c r="M1882" t="s">
        <v>1813</v>
      </c>
      <c r="N1882" t="s">
        <v>46</v>
      </c>
      <c r="O1882" t="s">
        <v>1814</v>
      </c>
      <c r="P1882" t="s">
        <v>1646</v>
      </c>
      <c r="R1882" s="5">
        <v>41393.644537037035</v>
      </c>
      <c r="S1882" s="5">
        <v>42678.633912037039</v>
      </c>
      <c r="T1882" t="s">
        <v>2</v>
      </c>
      <c r="U1882" t="s">
        <v>35</v>
      </c>
      <c r="V1882" s="3" t="s">
        <v>35</v>
      </c>
      <c r="W1882" s="3" t="s">
        <v>4122</v>
      </c>
    </row>
    <row r="1883" spans="2:23" x14ac:dyDescent="0.25">
      <c r="B1883" t="s">
        <v>1805</v>
      </c>
      <c r="C1883">
        <v>29973</v>
      </c>
      <c r="D1883" t="s">
        <v>1810</v>
      </c>
      <c r="E1883" t="s">
        <v>387</v>
      </c>
      <c r="F1883" t="s">
        <v>305</v>
      </c>
      <c r="G1883" t="s">
        <v>337</v>
      </c>
      <c r="H1883" t="s">
        <v>30</v>
      </c>
      <c r="I1883" t="s">
        <v>35</v>
      </c>
      <c r="J1883" t="s">
        <v>43</v>
      </c>
      <c r="K1883" t="s">
        <v>44</v>
      </c>
      <c r="L1883" t="s">
        <v>73</v>
      </c>
      <c r="M1883" t="s">
        <v>1514</v>
      </c>
      <c r="N1883" t="s">
        <v>46</v>
      </c>
      <c r="P1883" t="s">
        <v>1530</v>
      </c>
      <c r="R1883" s="5">
        <v>41389.526747685188</v>
      </c>
      <c r="S1883" s="5">
        <v>42649.833807870367</v>
      </c>
      <c r="T1883" t="s">
        <v>1529</v>
      </c>
      <c r="U1883" t="s">
        <v>35</v>
      </c>
      <c r="V1883" s="3" t="s">
        <v>35</v>
      </c>
      <c r="W1883" s="3" t="s">
        <v>4113</v>
      </c>
    </row>
    <row r="1884" spans="2:23" x14ac:dyDescent="0.25">
      <c r="B1884" t="s">
        <v>1805</v>
      </c>
      <c r="C1884">
        <v>29972</v>
      </c>
      <c r="D1884" t="s">
        <v>1809</v>
      </c>
      <c r="E1884" t="s">
        <v>387</v>
      </c>
      <c r="F1884" t="s">
        <v>305</v>
      </c>
      <c r="G1884" t="s">
        <v>337</v>
      </c>
      <c r="H1884" t="s">
        <v>30</v>
      </c>
      <c r="I1884" t="s">
        <v>35</v>
      </c>
      <c r="J1884" t="s">
        <v>43</v>
      </c>
      <c r="K1884" t="s">
        <v>44</v>
      </c>
      <c r="L1884" t="s">
        <v>73</v>
      </c>
      <c r="M1884" t="s">
        <v>1514</v>
      </c>
      <c r="N1884" t="s">
        <v>46</v>
      </c>
      <c r="P1884" t="s">
        <v>1530</v>
      </c>
      <c r="R1884" s="5">
        <v>41389.526562500003</v>
      </c>
      <c r="S1884" s="5">
        <v>42649.83421296296</v>
      </c>
      <c r="T1884" t="s">
        <v>1529</v>
      </c>
      <c r="U1884" t="s">
        <v>35</v>
      </c>
      <c r="V1884" s="3" t="s">
        <v>35</v>
      </c>
      <c r="W1884" s="3" t="s">
        <v>3039</v>
      </c>
    </row>
    <row r="1885" spans="2:23" x14ac:dyDescent="0.25">
      <c r="B1885" t="s">
        <v>1805</v>
      </c>
      <c r="C1885">
        <v>29971</v>
      </c>
      <c r="D1885" t="s">
        <v>1808</v>
      </c>
      <c r="E1885" t="s">
        <v>387</v>
      </c>
      <c r="F1885" t="s">
        <v>305</v>
      </c>
      <c r="G1885" t="s">
        <v>337</v>
      </c>
      <c r="H1885" t="s">
        <v>30</v>
      </c>
      <c r="I1885" t="s">
        <v>35</v>
      </c>
      <c r="J1885" t="s">
        <v>43</v>
      </c>
      <c r="K1885" t="s">
        <v>44</v>
      </c>
      <c r="L1885" t="s">
        <v>73</v>
      </c>
      <c r="M1885" t="s">
        <v>1514</v>
      </c>
      <c r="N1885" t="s">
        <v>46</v>
      </c>
      <c r="P1885" t="s">
        <v>1530</v>
      </c>
      <c r="R1885" s="5">
        <v>41389.526435185187</v>
      </c>
      <c r="S1885" s="5">
        <v>42649.833749999998</v>
      </c>
      <c r="T1885" t="s">
        <v>1529</v>
      </c>
      <c r="U1885" t="s">
        <v>35</v>
      </c>
      <c r="V1885" s="3" t="s">
        <v>35</v>
      </c>
      <c r="W1885" s="3" t="s">
        <v>4120</v>
      </c>
    </row>
    <row r="1886" spans="2:23" x14ac:dyDescent="0.25">
      <c r="B1886" t="s">
        <v>1805</v>
      </c>
      <c r="C1886">
        <v>29970</v>
      </c>
      <c r="D1886" t="s">
        <v>1807</v>
      </c>
      <c r="E1886" t="s">
        <v>1613</v>
      </c>
      <c r="F1886" t="s">
        <v>305</v>
      </c>
      <c r="G1886" t="s">
        <v>304</v>
      </c>
      <c r="H1886" t="s">
        <v>30</v>
      </c>
      <c r="I1886" t="s">
        <v>35</v>
      </c>
      <c r="J1886" t="s">
        <v>43</v>
      </c>
      <c r="K1886" t="s">
        <v>44</v>
      </c>
      <c r="L1886" t="s">
        <v>73</v>
      </c>
      <c r="M1886" t="s">
        <v>1514</v>
      </c>
      <c r="N1886" t="s">
        <v>46</v>
      </c>
      <c r="O1886" t="s">
        <v>1710</v>
      </c>
      <c r="P1886" t="s">
        <v>1530</v>
      </c>
      <c r="R1886" s="5">
        <v>41389.526307870372</v>
      </c>
      <c r="S1886" s="5">
        <v>42648.815555555557</v>
      </c>
      <c r="T1886" t="s">
        <v>1529</v>
      </c>
      <c r="U1886" t="s">
        <v>35</v>
      </c>
      <c r="V1886" s="3" t="s">
        <v>35</v>
      </c>
      <c r="W1886" s="3" t="s">
        <v>1634</v>
      </c>
    </row>
    <row r="1887" spans="2:23" x14ac:dyDescent="0.25">
      <c r="B1887" t="s">
        <v>1805</v>
      </c>
      <c r="C1887">
        <v>29959</v>
      </c>
      <c r="D1887" t="s">
        <v>1806</v>
      </c>
      <c r="E1887" t="s">
        <v>387</v>
      </c>
      <c r="F1887" t="s">
        <v>305</v>
      </c>
      <c r="G1887" t="s">
        <v>304</v>
      </c>
      <c r="H1887" t="s">
        <v>30</v>
      </c>
      <c r="I1887" t="s">
        <v>35</v>
      </c>
      <c r="J1887" t="s">
        <v>43</v>
      </c>
      <c r="K1887" t="s">
        <v>44</v>
      </c>
      <c r="L1887" t="s">
        <v>73</v>
      </c>
      <c r="M1887" t="s">
        <v>1514</v>
      </c>
      <c r="N1887" t="s">
        <v>46</v>
      </c>
      <c r="P1887" t="s">
        <v>1530</v>
      </c>
      <c r="R1887" s="5">
        <v>41389.399571759262</v>
      </c>
      <c r="S1887" s="5">
        <v>41815.747256944444</v>
      </c>
      <c r="T1887" t="s">
        <v>1752</v>
      </c>
      <c r="U1887" t="s">
        <v>35</v>
      </c>
      <c r="V1887" s="3" t="s">
        <v>35</v>
      </c>
      <c r="W1887" s="3" t="s">
        <v>4098</v>
      </c>
    </row>
    <row r="1888" spans="2:23" x14ac:dyDescent="0.25">
      <c r="B1888" t="s">
        <v>1714</v>
      </c>
      <c r="C1888">
        <v>29942</v>
      </c>
      <c r="D1888" t="s">
        <v>1804</v>
      </c>
      <c r="E1888" t="s">
        <v>1675</v>
      </c>
      <c r="F1888" t="s">
        <v>305</v>
      </c>
      <c r="G1888" t="s">
        <v>304</v>
      </c>
      <c r="H1888" t="s">
        <v>30</v>
      </c>
      <c r="I1888" t="s">
        <v>35</v>
      </c>
      <c r="J1888" t="s">
        <v>43</v>
      </c>
      <c r="K1888" t="s">
        <v>51</v>
      </c>
      <c r="L1888" t="s">
        <v>73</v>
      </c>
      <c r="M1888" t="s">
        <v>263</v>
      </c>
      <c r="N1888" t="s">
        <v>1515</v>
      </c>
      <c r="P1888" t="s">
        <v>1634</v>
      </c>
      <c r="R1888" s="5">
        <v>41388.926863425928</v>
      </c>
      <c r="S1888" s="5">
        <v>42648.815300925926</v>
      </c>
      <c r="T1888" t="s">
        <v>1529</v>
      </c>
      <c r="U1888" t="s">
        <v>35</v>
      </c>
      <c r="V1888" s="3" t="s">
        <v>35</v>
      </c>
      <c r="W1888" s="3" t="s">
        <v>4121</v>
      </c>
    </row>
    <row r="1889" spans="2:23" x14ac:dyDescent="0.25">
      <c r="B1889" t="s">
        <v>1750</v>
      </c>
      <c r="C1889">
        <v>29931</v>
      </c>
      <c r="D1889" t="s">
        <v>1803</v>
      </c>
      <c r="E1889" t="s">
        <v>387</v>
      </c>
      <c r="F1889" t="s">
        <v>305</v>
      </c>
      <c r="G1889" t="s">
        <v>337</v>
      </c>
      <c r="H1889" t="s">
        <v>54</v>
      </c>
      <c r="I1889" t="s">
        <v>35</v>
      </c>
      <c r="J1889" t="s">
        <v>43</v>
      </c>
      <c r="K1889" t="s">
        <v>44</v>
      </c>
      <c r="L1889" t="s">
        <v>73</v>
      </c>
      <c r="M1889" t="s">
        <v>263</v>
      </c>
      <c r="N1889" t="s">
        <v>1515</v>
      </c>
      <c r="P1889" t="s">
        <v>1646</v>
      </c>
      <c r="R1889" s="5">
        <v>41388.806562500002</v>
      </c>
      <c r="S1889" s="5">
        <v>42649.834097222221</v>
      </c>
      <c r="T1889" t="s">
        <v>1529</v>
      </c>
      <c r="U1889" t="s">
        <v>35</v>
      </c>
      <c r="V1889" s="3" t="s">
        <v>35</v>
      </c>
      <c r="W1889" s="3" t="s">
        <v>4120</v>
      </c>
    </row>
    <row r="1890" spans="2:23" x14ac:dyDescent="0.25">
      <c r="B1890" t="s">
        <v>1735</v>
      </c>
      <c r="C1890">
        <v>29929</v>
      </c>
      <c r="D1890" t="s">
        <v>1802</v>
      </c>
      <c r="E1890" t="s">
        <v>1533</v>
      </c>
      <c r="F1890" t="s">
        <v>305</v>
      </c>
      <c r="G1890" t="s">
        <v>337</v>
      </c>
      <c r="H1890" t="s">
        <v>30</v>
      </c>
      <c r="I1890" t="s">
        <v>35</v>
      </c>
      <c r="J1890" t="s">
        <v>32</v>
      </c>
      <c r="K1890" t="s">
        <v>33</v>
      </c>
      <c r="L1890" t="s">
        <v>73</v>
      </c>
      <c r="M1890" t="s">
        <v>1514</v>
      </c>
      <c r="N1890" t="s">
        <v>1515</v>
      </c>
      <c r="P1890" t="s">
        <v>1530</v>
      </c>
      <c r="R1890" s="5">
        <v>41388.794953703706</v>
      </c>
      <c r="S1890" s="5">
        <v>42649.834050925929</v>
      </c>
      <c r="T1890" t="s">
        <v>1529</v>
      </c>
      <c r="U1890" t="s">
        <v>35</v>
      </c>
      <c r="V1890" s="3" t="s">
        <v>35</v>
      </c>
      <c r="W1890" s="3" t="s">
        <v>4120</v>
      </c>
    </row>
    <row r="1891" spans="2:23" x14ac:dyDescent="0.25">
      <c r="B1891" t="s">
        <v>1796</v>
      </c>
      <c r="C1891">
        <v>29701</v>
      </c>
      <c r="D1891" t="s">
        <v>1801</v>
      </c>
      <c r="E1891" t="s">
        <v>387</v>
      </c>
      <c r="F1891" t="s">
        <v>305</v>
      </c>
      <c r="G1891" t="s">
        <v>337</v>
      </c>
      <c r="H1891" t="s">
        <v>30</v>
      </c>
      <c r="I1891" t="s">
        <v>35</v>
      </c>
      <c r="J1891" t="s">
        <v>43</v>
      </c>
      <c r="K1891" t="s">
        <v>35</v>
      </c>
      <c r="L1891" t="s">
        <v>73</v>
      </c>
      <c r="M1891" t="s">
        <v>1514</v>
      </c>
      <c r="N1891" t="s">
        <v>46</v>
      </c>
      <c r="P1891" t="s">
        <v>1530</v>
      </c>
      <c r="R1891" s="5">
        <v>41381.921458333331</v>
      </c>
      <c r="S1891" s="5">
        <v>42649.83388888889</v>
      </c>
      <c r="T1891" t="s">
        <v>1529</v>
      </c>
      <c r="U1891" t="s">
        <v>35</v>
      </c>
      <c r="V1891" s="3" t="s">
        <v>35</v>
      </c>
      <c r="W1891" s="3" t="s">
        <v>4113</v>
      </c>
    </row>
    <row r="1892" spans="2:23" x14ac:dyDescent="0.25">
      <c r="B1892" t="s">
        <v>1796</v>
      </c>
      <c r="C1892">
        <v>29700</v>
      </c>
      <c r="D1892" t="s">
        <v>1800</v>
      </c>
      <c r="E1892" t="s">
        <v>387</v>
      </c>
      <c r="F1892" t="s">
        <v>305</v>
      </c>
      <c r="G1892" t="s">
        <v>337</v>
      </c>
      <c r="H1892" t="s">
        <v>30</v>
      </c>
      <c r="I1892" t="s">
        <v>35</v>
      </c>
      <c r="J1892" t="s">
        <v>43</v>
      </c>
      <c r="K1892" t="s">
        <v>35</v>
      </c>
      <c r="L1892" t="s">
        <v>73</v>
      </c>
      <c r="M1892" t="s">
        <v>1514</v>
      </c>
      <c r="N1892" t="s">
        <v>46</v>
      </c>
      <c r="P1892" t="s">
        <v>1530</v>
      </c>
      <c r="R1892" s="5">
        <v>41381.921296296299</v>
      </c>
      <c r="S1892" s="5">
        <v>42649.834097222221</v>
      </c>
      <c r="T1892" t="s">
        <v>1529</v>
      </c>
      <c r="U1892" t="s">
        <v>35</v>
      </c>
      <c r="V1892" s="3" t="s">
        <v>35</v>
      </c>
      <c r="W1892" s="3" t="s">
        <v>3039</v>
      </c>
    </row>
    <row r="1893" spans="2:23" x14ac:dyDescent="0.25">
      <c r="B1893" t="s">
        <v>1796</v>
      </c>
      <c r="C1893">
        <v>29699</v>
      </c>
      <c r="D1893" t="s">
        <v>1799</v>
      </c>
      <c r="E1893" t="s">
        <v>387</v>
      </c>
      <c r="F1893" t="s">
        <v>305</v>
      </c>
      <c r="G1893" t="s">
        <v>337</v>
      </c>
      <c r="H1893" t="s">
        <v>30</v>
      </c>
      <c r="I1893" t="s">
        <v>35</v>
      </c>
      <c r="J1893" t="s">
        <v>43</v>
      </c>
      <c r="K1893" t="s">
        <v>35</v>
      </c>
      <c r="L1893" t="s">
        <v>73</v>
      </c>
      <c r="M1893" t="s">
        <v>1514</v>
      </c>
      <c r="N1893" t="s">
        <v>46</v>
      </c>
      <c r="P1893" t="s">
        <v>1530</v>
      </c>
      <c r="R1893" s="5">
        <v>41381.921111111114</v>
      </c>
      <c r="S1893" s="5">
        <v>42649.833680555559</v>
      </c>
      <c r="T1893" t="s">
        <v>1529</v>
      </c>
      <c r="U1893" t="s">
        <v>35</v>
      </c>
      <c r="V1893" s="3" t="s">
        <v>35</v>
      </c>
      <c r="W1893" s="3" t="s">
        <v>4120</v>
      </c>
    </row>
    <row r="1894" spans="2:23" x14ac:dyDescent="0.25">
      <c r="B1894" t="s">
        <v>1796</v>
      </c>
      <c r="C1894">
        <v>29698</v>
      </c>
      <c r="D1894" t="s">
        <v>1798</v>
      </c>
      <c r="E1894" t="s">
        <v>387</v>
      </c>
      <c r="F1894" t="s">
        <v>305</v>
      </c>
      <c r="G1894" t="s">
        <v>304</v>
      </c>
      <c r="H1894" t="s">
        <v>30</v>
      </c>
      <c r="I1894" t="s">
        <v>35</v>
      </c>
      <c r="J1894" t="s">
        <v>43</v>
      </c>
      <c r="K1894" t="s">
        <v>44</v>
      </c>
      <c r="L1894" t="s">
        <v>73</v>
      </c>
      <c r="M1894" t="s">
        <v>1514</v>
      </c>
      <c r="N1894" t="s">
        <v>46</v>
      </c>
      <c r="O1894" t="s">
        <v>1792</v>
      </c>
      <c r="P1894" t="s">
        <v>1530</v>
      </c>
      <c r="R1894" s="5">
        <v>41381.920949074076</v>
      </c>
      <c r="S1894" s="5">
        <v>42648.815520833334</v>
      </c>
      <c r="T1894" t="s">
        <v>1529</v>
      </c>
      <c r="U1894" t="s">
        <v>35</v>
      </c>
      <c r="V1894" s="3" t="s">
        <v>35</v>
      </c>
      <c r="W1894" s="3" t="s">
        <v>1634</v>
      </c>
    </row>
    <row r="1895" spans="2:23" x14ac:dyDescent="0.25">
      <c r="B1895" t="s">
        <v>1796</v>
      </c>
      <c r="C1895">
        <v>29697</v>
      </c>
      <c r="D1895" t="s">
        <v>1797</v>
      </c>
      <c r="E1895" t="s">
        <v>387</v>
      </c>
      <c r="F1895" t="s">
        <v>305</v>
      </c>
      <c r="G1895" t="s">
        <v>304</v>
      </c>
      <c r="H1895" t="s">
        <v>30</v>
      </c>
      <c r="I1895" t="s">
        <v>35</v>
      </c>
      <c r="J1895" t="s">
        <v>43</v>
      </c>
      <c r="K1895" t="s">
        <v>44</v>
      </c>
      <c r="L1895" t="s">
        <v>73</v>
      </c>
      <c r="M1895" t="s">
        <v>1514</v>
      </c>
      <c r="N1895" t="s">
        <v>46</v>
      </c>
      <c r="P1895" t="s">
        <v>1530</v>
      </c>
      <c r="R1895" s="5">
        <v>41381.899039351854</v>
      </c>
      <c r="S1895" s="5">
        <v>41816.554085648146</v>
      </c>
      <c r="T1895" t="s">
        <v>300</v>
      </c>
      <c r="U1895" t="s">
        <v>35</v>
      </c>
      <c r="V1895" s="3" t="s">
        <v>35</v>
      </c>
      <c r="W1895" s="3" t="s">
        <v>4098</v>
      </c>
    </row>
    <row r="1896" spans="2:23" x14ac:dyDescent="0.25">
      <c r="B1896" t="s">
        <v>1779</v>
      </c>
      <c r="C1896">
        <v>29668</v>
      </c>
      <c r="D1896" t="s">
        <v>1795</v>
      </c>
      <c r="E1896" t="s">
        <v>387</v>
      </c>
      <c r="F1896" t="s">
        <v>305</v>
      </c>
      <c r="G1896" t="s">
        <v>337</v>
      </c>
      <c r="H1896" t="s">
        <v>54</v>
      </c>
      <c r="I1896" t="s">
        <v>35</v>
      </c>
      <c r="J1896" t="s">
        <v>43</v>
      </c>
      <c r="K1896" t="s">
        <v>51</v>
      </c>
      <c r="L1896" t="s">
        <v>96</v>
      </c>
      <c r="M1896" t="s">
        <v>269</v>
      </c>
      <c r="N1896" t="s">
        <v>46</v>
      </c>
      <c r="P1896" t="s">
        <v>1646</v>
      </c>
      <c r="R1896" s="5">
        <v>41381.083009259259</v>
      </c>
      <c r="S1896" s="5">
        <v>41780.775312500002</v>
      </c>
      <c r="T1896" t="s">
        <v>1529</v>
      </c>
      <c r="U1896" t="s">
        <v>35</v>
      </c>
      <c r="V1896" s="3" t="s">
        <v>35</v>
      </c>
      <c r="W1896" s="3" t="s">
        <v>4113</v>
      </c>
    </row>
    <row r="1897" spans="2:23" x14ac:dyDescent="0.25">
      <c r="B1897" t="s">
        <v>1779</v>
      </c>
      <c r="C1897">
        <v>29667</v>
      </c>
      <c r="D1897" t="s">
        <v>1794</v>
      </c>
      <c r="E1897" t="s">
        <v>1675</v>
      </c>
      <c r="F1897" t="s">
        <v>305</v>
      </c>
      <c r="G1897" t="s">
        <v>304</v>
      </c>
      <c r="H1897" t="s">
        <v>54</v>
      </c>
      <c r="I1897" t="s">
        <v>35</v>
      </c>
      <c r="J1897" t="s">
        <v>43</v>
      </c>
      <c r="K1897" t="s">
        <v>51</v>
      </c>
      <c r="L1897" t="s">
        <v>96</v>
      </c>
      <c r="M1897" t="s">
        <v>269</v>
      </c>
      <c r="N1897" t="s">
        <v>46</v>
      </c>
      <c r="P1897" t="s">
        <v>1646</v>
      </c>
      <c r="R1897" s="5">
        <v>41381.082858796297</v>
      </c>
      <c r="S1897" s="5">
        <v>42648.815497685187</v>
      </c>
      <c r="T1897" t="s">
        <v>1529</v>
      </c>
      <c r="U1897" t="s">
        <v>35</v>
      </c>
      <c r="V1897" s="3" t="s">
        <v>35</v>
      </c>
      <c r="W1897" s="3" t="s">
        <v>4119</v>
      </c>
    </row>
    <row r="1898" spans="2:23" x14ac:dyDescent="0.25">
      <c r="B1898" t="s">
        <v>1779</v>
      </c>
      <c r="C1898">
        <v>29666</v>
      </c>
      <c r="D1898" t="s">
        <v>1793</v>
      </c>
      <c r="E1898" t="s">
        <v>387</v>
      </c>
      <c r="F1898" t="s">
        <v>305</v>
      </c>
      <c r="G1898" t="s">
        <v>337</v>
      </c>
      <c r="H1898" t="s">
        <v>54</v>
      </c>
      <c r="I1898" t="s">
        <v>35</v>
      </c>
      <c r="J1898" t="s">
        <v>43</v>
      </c>
      <c r="K1898" t="s">
        <v>51</v>
      </c>
      <c r="L1898" t="s">
        <v>96</v>
      </c>
      <c r="M1898" t="s">
        <v>269</v>
      </c>
      <c r="N1898" t="s">
        <v>46</v>
      </c>
      <c r="P1898" t="s">
        <v>1646</v>
      </c>
      <c r="R1898" s="5">
        <v>41381.082708333335</v>
      </c>
      <c r="S1898" s="5">
        <v>42649.833749999998</v>
      </c>
      <c r="T1898" t="s">
        <v>1529</v>
      </c>
      <c r="U1898" t="s">
        <v>35</v>
      </c>
      <c r="V1898" s="3" t="s">
        <v>35</v>
      </c>
      <c r="W1898" s="3" t="s">
        <v>4120</v>
      </c>
    </row>
    <row r="1899" spans="2:23" x14ac:dyDescent="0.25">
      <c r="B1899" t="s">
        <v>1779</v>
      </c>
      <c r="C1899">
        <v>29665</v>
      </c>
      <c r="D1899" t="s">
        <v>1791</v>
      </c>
      <c r="E1899" t="s">
        <v>1675</v>
      </c>
      <c r="F1899" t="s">
        <v>305</v>
      </c>
      <c r="G1899" t="s">
        <v>304</v>
      </c>
      <c r="H1899" t="s">
        <v>54</v>
      </c>
      <c r="I1899" t="s">
        <v>35</v>
      </c>
      <c r="J1899" t="s">
        <v>43</v>
      </c>
      <c r="K1899" t="s">
        <v>51</v>
      </c>
      <c r="L1899" t="s">
        <v>96</v>
      </c>
      <c r="M1899" t="s">
        <v>269</v>
      </c>
      <c r="N1899" t="s">
        <v>46</v>
      </c>
      <c r="O1899" t="s">
        <v>1792</v>
      </c>
      <c r="P1899" t="s">
        <v>1646</v>
      </c>
      <c r="R1899" s="5">
        <v>41381.082546296297</v>
      </c>
      <c r="S1899" s="5">
        <v>42648.815324074072</v>
      </c>
      <c r="T1899" t="s">
        <v>1529</v>
      </c>
      <c r="U1899" t="s">
        <v>35</v>
      </c>
      <c r="V1899" s="3" t="s">
        <v>35</v>
      </c>
      <c r="W1899" s="3" t="s">
        <v>1634</v>
      </c>
    </row>
    <row r="1900" spans="2:23" x14ac:dyDescent="0.25">
      <c r="B1900" t="s">
        <v>1684</v>
      </c>
      <c r="C1900">
        <v>29643</v>
      </c>
      <c r="D1900" t="s">
        <v>1790</v>
      </c>
      <c r="E1900" t="s">
        <v>387</v>
      </c>
      <c r="F1900" t="s">
        <v>305</v>
      </c>
      <c r="G1900" t="s">
        <v>304</v>
      </c>
      <c r="H1900" t="s">
        <v>30</v>
      </c>
      <c r="I1900" t="s">
        <v>35</v>
      </c>
      <c r="J1900" t="s">
        <v>43</v>
      </c>
      <c r="K1900" t="s">
        <v>35</v>
      </c>
      <c r="L1900" t="s">
        <v>73</v>
      </c>
      <c r="M1900" t="s">
        <v>263</v>
      </c>
      <c r="N1900" t="s">
        <v>46</v>
      </c>
      <c r="P1900" t="s">
        <v>1634</v>
      </c>
      <c r="R1900" s="5">
        <v>41380.748437499999</v>
      </c>
      <c r="S1900" s="5">
        <v>42648.81521990741</v>
      </c>
      <c r="T1900" t="s">
        <v>1788</v>
      </c>
      <c r="U1900" t="s">
        <v>35</v>
      </c>
      <c r="V1900" s="3" t="s">
        <v>35</v>
      </c>
      <c r="W1900" s="3" t="s">
        <v>4121</v>
      </c>
    </row>
    <row r="1901" spans="2:23" x14ac:dyDescent="0.25">
      <c r="B1901" t="s">
        <v>1670</v>
      </c>
      <c r="C1901">
        <v>29641</v>
      </c>
      <c r="D1901" t="s">
        <v>1789</v>
      </c>
      <c r="E1901" t="s">
        <v>387</v>
      </c>
      <c r="F1901" t="s">
        <v>305</v>
      </c>
      <c r="G1901" t="s">
        <v>304</v>
      </c>
      <c r="H1901" t="s">
        <v>30</v>
      </c>
      <c r="I1901" t="s">
        <v>35</v>
      </c>
      <c r="J1901" t="s">
        <v>58</v>
      </c>
      <c r="K1901" t="s">
        <v>51</v>
      </c>
      <c r="L1901" t="s">
        <v>73</v>
      </c>
      <c r="M1901" t="s">
        <v>263</v>
      </c>
      <c r="N1901" t="s">
        <v>46</v>
      </c>
      <c r="P1901" t="s">
        <v>1530</v>
      </c>
      <c r="R1901" s="5">
        <v>41380.747581018521</v>
      </c>
      <c r="S1901" s="5">
        <v>42648.814965277779</v>
      </c>
      <c r="T1901" t="s">
        <v>1788</v>
      </c>
      <c r="U1901" t="s">
        <v>35</v>
      </c>
      <c r="V1901" s="3" t="s">
        <v>35</v>
      </c>
      <c r="W1901" s="3" t="s">
        <v>4121</v>
      </c>
    </row>
    <row r="1902" spans="2:23" x14ac:dyDescent="0.25">
      <c r="B1902" t="s">
        <v>1769</v>
      </c>
      <c r="C1902">
        <v>29639</v>
      </c>
      <c r="D1902" t="s">
        <v>1787</v>
      </c>
      <c r="E1902" t="s">
        <v>1675</v>
      </c>
      <c r="F1902" t="s">
        <v>305</v>
      </c>
      <c r="G1902" t="s">
        <v>304</v>
      </c>
      <c r="H1902" t="s">
        <v>30</v>
      </c>
      <c r="I1902" t="s">
        <v>35</v>
      </c>
      <c r="J1902" t="s">
        <v>43</v>
      </c>
      <c r="K1902" t="s">
        <v>35</v>
      </c>
      <c r="L1902" t="s">
        <v>73</v>
      </c>
      <c r="M1902" t="s">
        <v>263</v>
      </c>
      <c r="N1902" t="s">
        <v>46</v>
      </c>
      <c r="P1902" t="s">
        <v>1646</v>
      </c>
      <c r="R1902" s="5">
        <v>41380.744606481479</v>
      </c>
      <c r="S1902" s="5">
        <v>42648.815115740741</v>
      </c>
      <c r="T1902" t="s">
        <v>1788</v>
      </c>
      <c r="U1902" t="s">
        <v>35</v>
      </c>
      <c r="V1902" s="3" t="s">
        <v>35</v>
      </c>
      <c r="W1902" s="3" t="s">
        <v>4121</v>
      </c>
    </row>
    <row r="1903" spans="2:23" x14ac:dyDescent="0.25">
      <c r="B1903" t="s">
        <v>1779</v>
      </c>
      <c r="C1903">
        <v>29598</v>
      </c>
      <c r="D1903" t="s">
        <v>1786</v>
      </c>
      <c r="E1903" t="s">
        <v>387</v>
      </c>
      <c r="F1903" t="s">
        <v>305</v>
      </c>
      <c r="G1903" t="s">
        <v>304</v>
      </c>
      <c r="H1903" t="s">
        <v>54</v>
      </c>
      <c r="I1903" t="s">
        <v>35</v>
      </c>
      <c r="J1903" t="s">
        <v>43</v>
      </c>
      <c r="K1903" t="s">
        <v>51</v>
      </c>
      <c r="L1903" t="s">
        <v>96</v>
      </c>
      <c r="M1903" t="s">
        <v>269</v>
      </c>
      <c r="N1903" t="s">
        <v>46</v>
      </c>
      <c r="P1903" t="s">
        <v>1646</v>
      </c>
      <c r="R1903" s="5">
        <v>41380.457557870373</v>
      </c>
      <c r="S1903" s="5">
        <v>41815.750254629631</v>
      </c>
      <c r="T1903" t="s">
        <v>1640</v>
      </c>
      <c r="U1903" t="s">
        <v>35</v>
      </c>
      <c r="V1903" s="3" t="s">
        <v>35</v>
      </c>
      <c r="W1903" s="3" t="s">
        <v>4098</v>
      </c>
    </row>
    <row r="1904" spans="2:23" x14ac:dyDescent="0.25">
      <c r="B1904" t="s">
        <v>1779</v>
      </c>
      <c r="C1904">
        <v>28922</v>
      </c>
      <c r="D1904" t="s">
        <v>1785</v>
      </c>
      <c r="E1904" t="s">
        <v>387</v>
      </c>
      <c r="F1904" t="s">
        <v>305</v>
      </c>
      <c r="G1904" t="s">
        <v>337</v>
      </c>
      <c r="H1904" t="s">
        <v>30</v>
      </c>
      <c r="I1904" t="s">
        <v>35</v>
      </c>
      <c r="J1904" t="s">
        <v>1516</v>
      </c>
      <c r="K1904" t="s">
        <v>51</v>
      </c>
      <c r="L1904" t="s">
        <v>73</v>
      </c>
      <c r="M1904" t="s">
        <v>263</v>
      </c>
      <c r="N1904" t="s">
        <v>46</v>
      </c>
      <c r="P1904" t="s">
        <v>1634</v>
      </c>
      <c r="R1904" s="5">
        <v>41354.91101851852</v>
      </c>
      <c r="S1904" s="5">
        <v>42404.712407407409</v>
      </c>
      <c r="T1904" t="s">
        <v>1529</v>
      </c>
      <c r="U1904" t="s">
        <v>35</v>
      </c>
      <c r="V1904" s="3" t="s">
        <v>35</v>
      </c>
      <c r="W1904" s="3" t="s">
        <v>4104</v>
      </c>
    </row>
    <row r="1905" spans="2:23" x14ac:dyDescent="0.25">
      <c r="B1905" t="s">
        <v>1779</v>
      </c>
      <c r="C1905">
        <v>28921</v>
      </c>
      <c r="D1905" t="s">
        <v>1784</v>
      </c>
      <c r="E1905" t="s">
        <v>387</v>
      </c>
      <c r="F1905" t="s">
        <v>305</v>
      </c>
      <c r="G1905" t="s">
        <v>337</v>
      </c>
      <c r="H1905" t="s">
        <v>30</v>
      </c>
      <c r="I1905" t="s">
        <v>35</v>
      </c>
      <c r="J1905" t="s">
        <v>1516</v>
      </c>
      <c r="K1905" t="s">
        <v>51</v>
      </c>
      <c r="L1905" t="s">
        <v>73</v>
      </c>
      <c r="M1905" t="s">
        <v>263</v>
      </c>
      <c r="N1905" t="s">
        <v>46</v>
      </c>
      <c r="P1905" t="s">
        <v>1634</v>
      </c>
      <c r="R1905" s="5">
        <v>41354.910856481481</v>
      </c>
      <c r="S1905" s="5">
        <v>42404.712939814817</v>
      </c>
      <c r="T1905" t="s">
        <v>1529</v>
      </c>
      <c r="U1905" t="s">
        <v>35</v>
      </c>
      <c r="V1905" s="3" t="s">
        <v>35</v>
      </c>
      <c r="W1905" s="3" t="s">
        <v>4113</v>
      </c>
    </row>
    <row r="1906" spans="2:23" x14ac:dyDescent="0.25">
      <c r="B1906" t="s">
        <v>1779</v>
      </c>
      <c r="C1906">
        <v>28920</v>
      </c>
      <c r="D1906" t="s">
        <v>1783</v>
      </c>
      <c r="E1906" t="s">
        <v>1675</v>
      </c>
      <c r="F1906" t="s">
        <v>305</v>
      </c>
      <c r="G1906" t="s">
        <v>304</v>
      </c>
      <c r="H1906" t="s">
        <v>30</v>
      </c>
      <c r="I1906" t="s">
        <v>35</v>
      </c>
      <c r="J1906" t="s">
        <v>1516</v>
      </c>
      <c r="K1906" t="s">
        <v>51</v>
      </c>
      <c r="L1906" t="s">
        <v>73</v>
      </c>
      <c r="M1906" t="s">
        <v>263</v>
      </c>
      <c r="N1906" t="s">
        <v>46</v>
      </c>
      <c r="P1906" t="s">
        <v>1634</v>
      </c>
      <c r="R1906" s="5">
        <v>41354.910405092596</v>
      </c>
      <c r="S1906" s="5">
        <v>42404.745335648149</v>
      </c>
      <c r="T1906" t="s">
        <v>1529</v>
      </c>
      <c r="U1906" t="s">
        <v>35</v>
      </c>
      <c r="V1906" s="3" t="s">
        <v>35</v>
      </c>
      <c r="W1906" s="3" t="s">
        <v>4119</v>
      </c>
    </row>
    <row r="1907" spans="2:23" x14ac:dyDescent="0.25">
      <c r="B1907" t="s">
        <v>1779</v>
      </c>
      <c r="C1907">
        <v>28919</v>
      </c>
      <c r="D1907" t="s">
        <v>1782</v>
      </c>
      <c r="E1907" t="s">
        <v>387</v>
      </c>
      <c r="F1907" t="s">
        <v>305</v>
      </c>
      <c r="G1907" t="s">
        <v>337</v>
      </c>
      <c r="H1907" t="s">
        <v>30</v>
      </c>
      <c r="I1907" t="s">
        <v>35</v>
      </c>
      <c r="J1907" t="s">
        <v>1516</v>
      </c>
      <c r="K1907" t="s">
        <v>51</v>
      </c>
      <c r="L1907" t="s">
        <v>73</v>
      </c>
      <c r="M1907" t="s">
        <v>263</v>
      </c>
      <c r="N1907" t="s">
        <v>46</v>
      </c>
      <c r="P1907" t="s">
        <v>1634</v>
      </c>
      <c r="R1907" s="5">
        <v>41354.909884259258</v>
      </c>
      <c r="S1907" s="5">
        <v>42404.722291666665</v>
      </c>
      <c r="T1907" t="s">
        <v>1529</v>
      </c>
      <c r="U1907" t="s">
        <v>35</v>
      </c>
      <c r="V1907" s="3" t="s">
        <v>35</v>
      </c>
      <c r="W1907" s="3" t="s">
        <v>4120</v>
      </c>
    </row>
    <row r="1908" spans="2:23" x14ac:dyDescent="0.25">
      <c r="B1908" t="s">
        <v>1779</v>
      </c>
      <c r="C1908">
        <v>28918</v>
      </c>
      <c r="D1908" t="s">
        <v>1781</v>
      </c>
      <c r="E1908" t="s">
        <v>387</v>
      </c>
      <c r="F1908" t="s">
        <v>305</v>
      </c>
      <c r="G1908" t="s">
        <v>304</v>
      </c>
      <c r="H1908" t="s">
        <v>30</v>
      </c>
      <c r="I1908" t="s">
        <v>35</v>
      </c>
      <c r="J1908" t="s">
        <v>1516</v>
      </c>
      <c r="K1908" t="s">
        <v>51</v>
      </c>
      <c r="L1908" t="s">
        <v>73</v>
      </c>
      <c r="M1908" t="s">
        <v>263</v>
      </c>
      <c r="N1908" t="s">
        <v>46</v>
      </c>
      <c r="P1908" t="s">
        <v>1634</v>
      </c>
      <c r="R1908" s="5">
        <v>41354.909479166665</v>
      </c>
      <c r="S1908" s="5">
        <v>41955.877118055556</v>
      </c>
      <c r="T1908" t="s">
        <v>1529</v>
      </c>
      <c r="U1908" t="s">
        <v>35</v>
      </c>
      <c r="V1908" s="3" t="s">
        <v>35</v>
      </c>
      <c r="W1908" s="3" t="s">
        <v>1634</v>
      </c>
    </row>
    <row r="1909" spans="2:23" x14ac:dyDescent="0.25">
      <c r="B1909" t="s">
        <v>1779</v>
      </c>
      <c r="C1909">
        <v>28914</v>
      </c>
      <c r="D1909" t="s">
        <v>1780</v>
      </c>
      <c r="E1909" t="s">
        <v>387</v>
      </c>
      <c r="F1909" t="s">
        <v>305</v>
      </c>
      <c r="G1909" t="s">
        <v>304</v>
      </c>
      <c r="H1909" t="s">
        <v>30</v>
      </c>
      <c r="I1909" t="s">
        <v>35</v>
      </c>
      <c r="J1909" t="s">
        <v>1516</v>
      </c>
      <c r="K1909" t="s">
        <v>51</v>
      </c>
      <c r="L1909" t="s">
        <v>73</v>
      </c>
      <c r="M1909" t="s">
        <v>263</v>
      </c>
      <c r="N1909" t="s">
        <v>46</v>
      </c>
      <c r="P1909" t="s">
        <v>1634</v>
      </c>
      <c r="R1909" s="5">
        <v>41354.879155092596</v>
      </c>
      <c r="S1909" s="5">
        <v>41815.747199074074</v>
      </c>
      <c r="T1909" t="s">
        <v>291</v>
      </c>
      <c r="U1909" t="s">
        <v>35</v>
      </c>
      <c r="V1909" s="3" t="s">
        <v>35</v>
      </c>
      <c r="W1909" s="3" t="s">
        <v>4098</v>
      </c>
    </row>
    <row r="1910" spans="2:23" x14ac:dyDescent="0.25">
      <c r="B1910" t="s">
        <v>3785</v>
      </c>
      <c r="C1910">
        <v>28735</v>
      </c>
      <c r="D1910" t="s">
        <v>3786</v>
      </c>
      <c r="E1910" t="s">
        <v>3787</v>
      </c>
      <c r="F1910" t="s">
        <v>305</v>
      </c>
      <c r="G1910" t="s">
        <v>304</v>
      </c>
      <c r="H1910" t="s">
        <v>30</v>
      </c>
      <c r="I1910" t="s">
        <v>35</v>
      </c>
      <c r="J1910" t="s">
        <v>43</v>
      </c>
      <c r="K1910" t="s">
        <v>51</v>
      </c>
      <c r="L1910" t="s">
        <v>34</v>
      </c>
      <c r="M1910" t="s">
        <v>3780</v>
      </c>
      <c r="N1910" t="s">
        <v>46</v>
      </c>
      <c r="P1910" t="s">
        <v>1902</v>
      </c>
      <c r="R1910" s="5">
        <v>41345.910937499997</v>
      </c>
      <c r="S1910" s="5">
        <v>41863.80232638889</v>
      </c>
      <c r="T1910" t="s">
        <v>3144</v>
      </c>
      <c r="U1910" t="s">
        <v>35</v>
      </c>
      <c r="V1910" s="3" t="s">
        <v>35</v>
      </c>
      <c r="W1910" s="3" t="s">
        <v>4118</v>
      </c>
    </row>
    <row r="1911" spans="2:23" x14ac:dyDescent="0.25">
      <c r="B1911" t="s">
        <v>1769</v>
      </c>
      <c r="C1911">
        <v>28668</v>
      </c>
      <c r="D1911" t="s">
        <v>1778</v>
      </c>
      <c r="E1911" t="s">
        <v>387</v>
      </c>
      <c r="F1911" t="s">
        <v>305</v>
      </c>
      <c r="G1911" t="s">
        <v>310</v>
      </c>
      <c r="H1911" t="s">
        <v>30</v>
      </c>
      <c r="I1911" t="s">
        <v>35</v>
      </c>
      <c r="J1911" t="s">
        <v>43</v>
      </c>
      <c r="K1911" t="s">
        <v>44</v>
      </c>
      <c r="L1911" t="s">
        <v>73</v>
      </c>
      <c r="M1911" t="s">
        <v>263</v>
      </c>
      <c r="N1911" t="s">
        <v>46</v>
      </c>
      <c r="P1911" t="s">
        <v>1646</v>
      </c>
      <c r="R1911" s="5">
        <v>41341.582395833335</v>
      </c>
      <c r="S1911" s="5">
        <v>42649.832418981481</v>
      </c>
      <c r="T1911" t="s">
        <v>1529</v>
      </c>
      <c r="U1911" t="s">
        <v>35</v>
      </c>
      <c r="V1911" s="3" t="s">
        <v>35</v>
      </c>
      <c r="W1911" s="3" t="s">
        <v>4104</v>
      </c>
    </row>
    <row r="1912" spans="2:23" x14ac:dyDescent="0.25">
      <c r="B1912" t="s">
        <v>1769</v>
      </c>
      <c r="C1912">
        <v>28667</v>
      </c>
      <c r="D1912" t="s">
        <v>1777</v>
      </c>
      <c r="E1912" t="s">
        <v>1675</v>
      </c>
      <c r="F1912" t="s">
        <v>305</v>
      </c>
      <c r="G1912" t="s">
        <v>304</v>
      </c>
      <c r="H1912" t="s">
        <v>30</v>
      </c>
      <c r="I1912" t="s">
        <v>35</v>
      </c>
      <c r="J1912" t="s">
        <v>43</v>
      </c>
      <c r="K1912" t="s">
        <v>44</v>
      </c>
      <c r="L1912" t="s">
        <v>73</v>
      </c>
      <c r="M1912" t="s">
        <v>263</v>
      </c>
      <c r="N1912" t="s">
        <v>46</v>
      </c>
      <c r="P1912" t="s">
        <v>1646</v>
      </c>
      <c r="R1912" s="5">
        <v>41341.582245370373</v>
      </c>
      <c r="S1912" s="5">
        <v>42648.81486111111</v>
      </c>
      <c r="T1912" t="s">
        <v>1529</v>
      </c>
      <c r="U1912" t="s">
        <v>35</v>
      </c>
      <c r="V1912" s="3" t="s">
        <v>35</v>
      </c>
      <c r="W1912" s="3" t="s">
        <v>4115</v>
      </c>
    </row>
    <row r="1913" spans="2:23" x14ac:dyDescent="0.25">
      <c r="B1913" t="s">
        <v>1769</v>
      </c>
      <c r="C1913">
        <v>28666</v>
      </c>
      <c r="D1913" t="s">
        <v>1776</v>
      </c>
      <c r="E1913" t="s">
        <v>387</v>
      </c>
      <c r="F1913" t="s">
        <v>305</v>
      </c>
      <c r="G1913" t="s">
        <v>304</v>
      </c>
      <c r="H1913" t="s">
        <v>30</v>
      </c>
      <c r="I1913" t="s">
        <v>35</v>
      </c>
      <c r="J1913" t="s">
        <v>43</v>
      </c>
      <c r="K1913" t="s">
        <v>44</v>
      </c>
      <c r="L1913" t="s">
        <v>73</v>
      </c>
      <c r="M1913" t="s">
        <v>263</v>
      </c>
      <c r="N1913" t="s">
        <v>46</v>
      </c>
      <c r="P1913" t="s">
        <v>1646</v>
      </c>
      <c r="R1913" s="5">
        <v>41341.582129629627</v>
      </c>
      <c r="S1913" s="5">
        <v>42648.814988425926</v>
      </c>
      <c r="T1913" t="s">
        <v>1529</v>
      </c>
      <c r="U1913" t="s">
        <v>35</v>
      </c>
      <c r="V1913" s="3" t="s">
        <v>35</v>
      </c>
      <c r="W1913" s="3" t="s">
        <v>4114</v>
      </c>
    </row>
    <row r="1914" spans="2:23" x14ac:dyDescent="0.25">
      <c r="B1914" t="s">
        <v>1769</v>
      </c>
      <c r="C1914">
        <v>28665</v>
      </c>
      <c r="D1914" t="s">
        <v>1775</v>
      </c>
      <c r="E1914" t="s">
        <v>1613</v>
      </c>
      <c r="F1914" t="s">
        <v>305</v>
      </c>
      <c r="G1914" t="s">
        <v>304</v>
      </c>
      <c r="H1914" t="s">
        <v>30</v>
      </c>
      <c r="I1914" t="s">
        <v>35</v>
      </c>
      <c r="J1914" t="s">
        <v>43</v>
      </c>
      <c r="K1914" t="s">
        <v>44</v>
      </c>
      <c r="L1914" t="s">
        <v>73</v>
      </c>
      <c r="M1914" t="s">
        <v>263</v>
      </c>
      <c r="N1914" t="s">
        <v>46</v>
      </c>
      <c r="P1914" t="s">
        <v>1646</v>
      </c>
      <c r="R1914" s="5">
        <v>41341.582025462965</v>
      </c>
      <c r="S1914" s="5">
        <v>42648.815324074072</v>
      </c>
      <c r="T1914" t="s">
        <v>1529</v>
      </c>
      <c r="U1914" t="s">
        <v>35</v>
      </c>
      <c r="V1914" s="3" t="s">
        <v>35</v>
      </c>
      <c r="W1914" s="3" t="s">
        <v>1634</v>
      </c>
    </row>
    <row r="1915" spans="2:23" x14ac:dyDescent="0.25">
      <c r="B1915" t="s">
        <v>1767</v>
      </c>
      <c r="C1915">
        <v>28664</v>
      </c>
      <c r="D1915" t="s">
        <v>1774</v>
      </c>
      <c r="E1915" t="s">
        <v>387</v>
      </c>
      <c r="F1915" t="s">
        <v>305</v>
      </c>
      <c r="G1915" t="s">
        <v>310</v>
      </c>
      <c r="H1915" t="s">
        <v>30</v>
      </c>
      <c r="I1915" t="s">
        <v>35</v>
      </c>
      <c r="J1915" t="s">
        <v>43</v>
      </c>
      <c r="K1915" t="s">
        <v>44</v>
      </c>
      <c r="L1915" t="s">
        <v>73</v>
      </c>
      <c r="M1915" t="s">
        <v>263</v>
      </c>
      <c r="N1915" t="s">
        <v>46</v>
      </c>
      <c r="P1915" t="s">
        <v>1646</v>
      </c>
      <c r="R1915" s="5">
        <v>41341.573657407411</v>
      </c>
      <c r="S1915" s="5">
        <v>42649.832650462966</v>
      </c>
      <c r="T1915" t="s">
        <v>1529</v>
      </c>
      <c r="U1915" t="s">
        <v>35</v>
      </c>
      <c r="V1915" s="3" t="s">
        <v>35</v>
      </c>
      <c r="W1915" s="3" t="s">
        <v>4104</v>
      </c>
    </row>
    <row r="1916" spans="2:23" x14ac:dyDescent="0.25">
      <c r="B1916" t="s">
        <v>1767</v>
      </c>
      <c r="C1916">
        <v>28663</v>
      </c>
      <c r="D1916" t="s">
        <v>1773</v>
      </c>
      <c r="E1916" t="s">
        <v>1675</v>
      </c>
      <c r="F1916" t="s">
        <v>305</v>
      </c>
      <c r="G1916" t="s">
        <v>304</v>
      </c>
      <c r="H1916" t="s">
        <v>30</v>
      </c>
      <c r="I1916" t="s">
        <v>35</v>
      </c>
      <c r="J1916" t="s">
        <v>43</v>
      </c>
      <c r="K1916" t="s">
        <v>44</v>
      </c>
      <c r="L1916" t="s">
        <v>73</v>
      </c>
      <c r="M1916" t="s">
        <v>263</v>
      </c>
      <c r="N1916" t="s">
        <v>46</v>
      </c>
      <c r="P1916" t="s">
        <v>1646</v>
      </c>
      <c r="R1916" s="5">
        <v>41341.573530092595</v>
      </c>
      <c r="S1916" s="5">
        <v>42648.854872685188</v>
      </c>
      <c r="T1916" t="s">
        <v>1529</v>
      </c>
      <c r="U1916" t="s">
        <v>35</v>
      </c>
      <c r="V1916" s="3" t="s">
        <v>35</v>
      </c>
      <c r="W1916" s="3" t="s">
        <v>4115</v>
      </c>
    </row>
    <row r="1917" spans="2:23" x14ac:dyDescent="0.25">
      <c r="B1917" t="s">
        <v>1767</v>
      </c>
      <c r="C1917">
        <v>28662</v>
      </c>
      <c r="D1917" t="s">
        <v>1772</v>
      </c>
      <c r="E1917" t="s">
        <v>387</v>
      </c>
      <c r="F1917" t="s">
        <v>305</v>
      </c>
      <c r="G1917" t="s">
        <v>310</v>
      </c>
      <c r="H1917" t="s">
        <v>30</v>
      </c>
      <c r="I1917" t="s">
        <v>35</v>
      </c>
      <c r="J1917" t="s">
        <v>43</v>
      </c>
      <c r="K1917" t="s">
        <v>44</v>
      </c>
      <c r="L1917" t="s">
        <v>73</v>
      </c>
      <c r="M1917" t="s">
        <v>263</v>
      </c>
      <c r="N1917" t="s">
        <v>46</v>
      </c>
      <c r="P1917" t="s">
        <v>1646</v>
      </c>
      <c r="R1917" s="5">
        <v>41341.573425925926</v>
      </c>
      <c r="S1917" s="5">
        <v>42649.832256944443</v>
      </c>
      <c r="T1917" t="s">
        <v>1529</v>
      </c>
      <c r="U1917" t="s">
        <v>35</v>
      </c>
      <c r="V1917" s="3" t="s">
        <v>35</v>
      </c>
      <c r="W1917" s="3" t="s">
        <v>3039</v>
      </c>
    </row>
    <row r="1918" spans="2:23" x14ac:dyDescent="0.25">
      <c r="B1918" t="s">
        <v>1767</v>
      </c>
      <c r="C1918">
        <v>28661</v>
      </c>
      <c r="D1918" t="s">
        <v>1771</v>
      </c>
      <c r="E1918" t="s">
        <v>387</v>
      </c>
      <c r="F1918" t="s">
        <v>305</v>
      </c>
      <c r="G1918" t="s">
        <v>310</v>
      </c>
      <c r="H1918" t="s">
        <v>30</v>
      </c>
      <c r="I1918" t="s">
        <v>35</v>
      </c>
      <c r="J1918" t="s">
        <v>43</v>
      </c>
      <c r="K1918" t="s">
        <v>44</v>
      </c>
      <c r="L1918" t="s">
        <v>73</v>
      </c>
      <c r="M1918" t="s">
        <v>263</v>
      </c>
      <c r="N1918" t="s">
        <v>46</v>
      </c>
      <c r="P1918" t="s">
        <v>1646</v>
      </c>
      <c r="R1918" s="5">
        <v>41341.573321759257</v>
      </c>
      <c r="S1918" s="5">
        <v>42649.832557870373</v>
      </c>
      <c r="T1918" t="s">
        <v>1529</v>
      </c>
      <c r="U1918" t="s">
        <v>35</v>
      </c>
      <c r="V1918" s="3" t="s">
        <v>35</v>
      </c>
      <c r="W1918" s="3" t="s">
        <v>1634</v>
      </c>
    </row>
    <row r="1919" spans="2:23" x14ac:dyDescent="0.25">
      <c r="B1919" t="s">
        <v>1769</v>
      </c>
      <c r="C1919">
        <v>28659</v>
      </c>
      <c r="D1919" t="s">
        <v>1770</v>
      </c>
      <c r="E1919" t="s">
        <v>387</v>
      </c>
      <c r="F1919" t="s">
        <v>305</v>
      </c>
      <c r="G1919" t="s">
        <v>304</v>
      </c>
      <c r="H1919" t="s">
        <v>30</v>
      </c>
      <c r="I1919" t="s">
        <v>35</v>
      </c>
      <c r="J1919" t="s">
        <v>43</v>
      </c>
      <c r="K1919" t="s">
        <v>44</v>
      </c>
      <c r="L1919" t="s">
        <v>73</v>
      </c>
      <c r="M1919" t="s">
        <v>263</v>
      </c>
      <c r="N1919" t="s">
        <v>46</v>
      </c>
      <c r="P1919" t="s">
        <v>1646</v>
      </c>
      <c r="R1919" s="5">
        <v>41341.562858796293</v>
      </c>
      <c r="S1919" s="5">
        <v>41815.747662037036</v>
      </c>
      <c r="T1919" t="s">
        <v>387</v>
      </c>
      <c r="U1919" t="s">
        <v>35</v>
      </c>
      <c r="V1919" s="3" t="s">
        <v>35</v>
      </c>
      <c r="W1919" s="3" t="s">
        <v>4098</v>
      </c>
    </row>
    <row r="1920" spans="2:23" x14ac:dyDescent="0.25">
      <c r="B1920" t="s">
        <v>1767</v>
      </c>
      <c r="C1920">
        <v>28657</v>
      </c>
      <c r="D1920" t="s">
        <v>1768</v>
      </c>
      <c r="E1920" t="s">
        <v>387</v>
      </c>
      <c r="F1920" t="s">
        <v>305</v>
      </c>
      <c r="G1920" t="s">
        <v>304</v>
      </c>
      <c r="H1920" t="s">
        <v>30</v>
      </c>
      <c r="I1920" t="s">
        <v>35</v>
      </c>
      <c r="J1920" t="s">
        <v>43</v>
      </c>
      <c r="K1920" t="s">
        <v>44</v>
      </c>
      <c r="L1920" t="s">
        <v>73</v>
      </c>
      <c r="M1920" t="s">
        <v>263</v>
      </c>
      <c r="N1920" t="s">
        <v>46</v>
      </c>
      <c r="P1920" t="s">
        <v>1646</v>
      </c>
      <c r="R1920" s="5">
        <v>41341.554409722223</v>
      </c>
      <c r="S1920" s="5">
        <v>41815.750069444446</v>
      </c>
      <c r="T1920" t="s">
        <v>387</v>
      </c>
      <c r="U1920" t="s">
        <v>35</v>
      </c>
      <c r="V1920" s="3" t="s">
        <v>35</v>
      </c>
      <c r="W1920" s="3" t="s">
        <v>4098</v>
      </c>
    </row>
    <row r="1921" spans="2:23" x14ac:dyDescent="0.25">
      <c r="B1921" t="s">
        <v>1714</v>
      </c>
      <c r="C1921">
        <v>28610</v>
      </c>
      <c r="D1921" t="s">
        <v>1766</v>
      </c>
      <c r="E1921" t="s">
        <v>387</v>
      </c>
      <c r="F1921" t="s">
        <v>305</v>
      </c>
      <c r="G1921" t="s">
        <v>337</v>
      </c>
      <c r="H1921" t="s">
        <v>30</v>
      </c>
      <c r="I1921" t="s">
        <v>35</v>
      </c>
      <c r="J1921" t="s">
        <v>43</v>
      </c>
      <c r="K1921" t="s">
        <v>51</v>
      </c>
      <c r="L1921" t="s">
        <v>73</v>
      </c>
      <c r="M1921" t="s">
        <v>263</v>
      </c>
      <c r="N1921" t="s">
        <v>1515</v>
      </c>
      <c r="P1921" t="s">
        <v>1634</v>
      </c>
      <c r="R1921" s="5">
        <v>41339.957326388889</v>
      </c>
      <c r="S1921" s="5">
        <v>42649.83258101852</v>
      </c>
      <c r="T1921" t="s">
        <v>1529</v>
      </c>
      <c r="U1921" t="s">
        <v>35</v>
      </c>
      <c r="V1921" s="3" t="s">
        <v>35</v>
      </c>
      <c r="W1921" s="3" t="s">
        <v>4104</v>
      </c>
    </row>
    <row r="1922" spans="2:23" x14ac:dyDescent="0.25">
      <c r="B1922" t="s">
        <v>1714</v>
      </c>
      <c r="C1922">
        <v>28609</v>
      </c>
      <c r="D1922" t="s">
        <v>1765</v>
      </c>
      <c r="E1922" t="s">
        <v>1675</v>
      </c>
      <c r="F1922" t="s">
        <v>305</v>
      </c>
      <c r="G1922" t="s">
        <v>304</v>
      </c>
      <c r="H1922" t="s">
        <v>30</v>
      </c>
      <c r="I1922" t="s">
        <v>35</v>
      </c>
      <c r="J1922" t="s">
        <v>43</v>
      </c>
      <c r="K1922" t="s">
        <v>51</v>
      </c>
      <c r="L1922" t="s">
        <v>73</v>
      </c>
      <c r="M1922" t="s">
        <v>263</v>
      </c>
      <c r="N1922" t="s">
        <v>1515</v>
      </c>
      <c r="P1922" t="s">
        <v>1634</v>
      </c>
      <c r="R1922" s="5">
        <v>41339.957013888888</v>
      </c>
      <c r="S1922" s="5">
        <v>42648.815081018518</v>
      </c>
      <c r="T1922" t="s">
        <v>1529</v>
      </c>
      <c r="U1922" t="s">
        <v>35</v>
      </c>
      <c r="V1922" s="3" t="s">
        <v>35</v>
      </c>
      <c r="W1922" s="3" t="s">
        <v>4115</v>
      </c>
    </row>
    <row r="1923" spans="2:23" x14ac:dyDescent="0.25">
      <c r="B1923" t="s">
        <v>1714</v>
      </c>
      <c r="C1923">
        <v>28608</v>
      </c>
      <c r="D1923" t="s">
        <v>1764</v>
      </c>
      <c r="E1923" t="s">
        <v>387</v>
      </c>
      <c r="F1923" t="s">
        <v>305</v>
      </c>
      <c r="G1923" t="s">
        <v>304</v>
      </c>
      <c r="H1923" t="s">
        <v>30</v>
      </c>
      <c r="I1923" t="s">
        <v>35</v>
      </c>
      <c r="J1923" t="s">
        <v>43</v>
      </c>
      <c r="K1923" t="s">
        <v>51</v>
      </c>
      <c r="L1923" t="s">
        <v>73</v>
      </c>
      <c r="M1923" t="s">
        <v>263</v>
      </c>
      <c r="N1923" t="s">
        <v>1515</v>
      </c>
      <c r="P1923" t="s">
        <v>1634</v>
      </c>
      <c r="R1923" s="5">
        <v>41339.95689814815</v>
      </c>
      <c r="S1923" s="5">
        <v>42648.814976851849</v>
      </c>
      <c r="T1923" t="s">
        <v>1529</v>
      </c>
      <c r="U1923" t="s">
        <v>35</v>
      </c>
      <c r="V1923" s="3" t="s">
        <v>35</v>
      </c>
      <c r="W1923" s="3" t="s">
        <v>4114</v>
      </c>
    </row>
    <row r="1924" spans="2:23" x14ac:dyDescent="0.25">
      <c r="B1924" t="s">
        <v>1714</v>
      </c>
      <c r="C1924">
        <v>28607</v>
      </c>
      <c r="D1924" t="s">
        <v>1763</v>
      </c>
      <c r="E1924" t="s">
        <v>1613</v>
      </c>
      <c r="F1924" t="s">
        <v>305</v>
      </c>
      <c r="G1924" t="s">
        <v>304</v>
      </c>
      <c r="H1924" t="s">
        <v>30</v>
      </c>
      <c r="I1924" t="s">
        <v>35</v>
      </c>
      <c r="J1924" t="s">
        <v>43</v>
      </c>
      <c r="K1924" t="s">
        <v>51</v>
      </c>
      <c r="L1924" t="s">
        <v>73</v>
      </c>
      <c r="M1924" t="s">
        <v>263</v>
      </c>
      <c r="N1924" t="s">
        <v>1515</v>
      </c>
      <c r="P1924" t="s">
        <v>1634</v>
      </c>
      <c r="R1924" s="5">
        <v>41339.956805555557</v>
      </c>
      <c r="S1924" s="5">
        <v>42648.814872685187</v>
      </c>
      <c r="T1924" t="s">
        <v>1529</v>
      </c>
      <c r="U1924" t="s">
        <v>35</v>
      </c>
      <c r="V1924" s="3" t="s">
        <v>35</v>
      </c>
      <c r="W1924" s="3" t="s">
        <v>1634</v>
      </c>
    </row>
    <row r="1925" spans="2:23" x14ac:dyDescent="0.25">
      <c r="B1925" t="s">
        <v>1714</v>
      </c>
      <c r="C1925">
        <v>28593</v>
      </c>
      <c r="D1925" t="s">
        <v>1762</v>
      </c>
      <c r="E1925" t="s">
        <v>387</v>
      </c>
      <c r="F1925" t="s">
        <v>305</v>
      </c>
      <c r="G1925" t="s">
        <v>353</v>
      </c>
      <c r="H1925" t="s">
        <v>30</v>
      </c>
      <c r="I1925" t="s">
        <v>35</v>
      </c>
      <c r="J1925" t="s">
        <v>333</v>
      </c>
      <c r="K1925" t="s">
        <v>35</v>
      </c>
      <c r="L1925" t="s">
        <v>73</v>
      </c>
      <c r="M1925" t="s">
        <v>263</v>
      </c>
      <c r="N1925" t="s">
        <v>46</v>
      </c>
      <c r="P1925" t="s">
        <v>1530</v>
      </c>
      <c r="R1925" s="5">
        <v>41339.534548611111</v>
      </c>
      <c r="S1925" s="5">
        <v>42649.832499999997</v>
      </c>
      <c r="T1925" t="s">
        <v>300</v>
      </c>
      <c r="U1925" t="s">
        <v>35</v>
      </c>
      <c r="V1925" s="3" t="s">
        <v>35</v>
      </c>
      <c r="W1925" s="3" t="s">
        <v>4098</v>
      </c>
    </row>
    <row r="1926" spans="2:23" x14ac:dyDescent="0.25">
      <c r="B1926" t="s">
        <v>1670</v>
      </c>
      <c r="C1926">
        <v>28592</v>
      </c>
      <c r="D1926" t="s">
        <v>1761</v>
      </c>
      <c r="E1926" t="s">
        <v>387</v>
      </c>
      <c r="F1926" t="s">
        <v>305</v>
      </c>
      <c r="G1926" t="s">
        <v>353</v>
      </c>
      <c r="H1926" t="s">
        <v>30</v>
      </c>
      <c r="I1926" t="s">
        <v>35</v>
      </c>
      <c r="J1926" t="s">
        <v>333</v>
      </c>
      <c r="K1926" t="s">
        <v>51</v>
      </c>
      <c r="L1926" t="s">
        <v>73</v>
      </c>
      <c r="M1926" t="s">
        <v>263</v>
      </c>
      <c r="N1926" t="s">
        <v>46</v>
      </c>
      <c r="P1926" t="s">
        <v>1530</v>
      </c>
      <c r="R1926" s="5">
        <v>41339.530787037038</v>
      </c>
      <c r="S1926" s="5">
        <v>42649.832187499997</v>
      </c>
      <c r="T1926" t="s">
        <v>300</v>
      </c>
      <c r="U1926" t="s">
        <v>35</v>
      </c>
      <c r="V1926" s="3" t="s">
        <v>35</v>
      </c>
      <c r="W1926" s="3" t="s">
        <v>4098</v>
      </c>
    </row>
    <row r="1927" spans="2:23" x14ac:dyDescent="0.25">
      <c r="B1927" t="s">
        <v>3782</v>
      </c>
      <c r="C1927">
        <v>28579</v>
      </c>
      <c r="D1927" t="s">
        <v>3784</v>
      </c>
      <c r="E1927" t="s">
        <v>1827</v>
      </c>
      <c r="F1927" t="s">
        <v>305</v>
      </c>
      <c r="G1927" t="s">
        <v>304</v>
      </c>
      <c r="H1927" t="s">
        <v>426</v>
      </c>
      <c r="I1927" t="s">
        <v>35</v>
      </c>
      <c r="J1927" t="s">
        <v>43</v>
      </c>
      <c r="K1927" t="s">
        <v>44</v>
      </c>
      <c r="L1927" t="s">
        <v>34</v>
      </c>
      <c r="M1927" t="s">
        <v>3780</v>
      </c>
      <c r="N1927" t="s">
        <v>46</v>
      </c>
      <c r="P1927" t="s">
        <v>1530</v>
      </c>
      <c r="R1927" s="5">
        <v>41338.888912037037</v>
      </c>
      <c r="S1927" s="5">
        <v>41863.802824074075</v>
      </c>
      <c r="T1927" t="s">
        <v>39</v>
      </c>
      <c r="U1927" t="s">
        <v>35</v>
      </c>
      <c r="V1927" s="3" t="s">
        <v>35</v>
      </c>
      <c r="W1927" s="3" t="s">
        <v>4118</v>
      </c>
    </row>
    <row r="1928" spans="2:23" x14ac:dyDescent="0.25">
      <c r="B1928" t="s">
        <v>3782</v>
      </c>
      <c r="C1928">
        <v>28578</v>
      </c>
      <c r="D1928" t="s">
        <v>3783</v>
      </c>
      <c r="E1928" t="s">
        <v>39</v>
      </c>
      <c r="F1928" t="s">
        <v>305</v>
      </c>
      <c r="G1928" t="s">
        <v>304</v>
      </c>
      <c r="H1928" t="s">
        <v>426</v>
      </c>
      <c r="I1928" t="s">
        <v>35</v>
      </c>
      <c r="J1928" t="s">
        <v>58</v>
      </c>
      <c r="K1928" t="s">
        <v>44</v>
      </c>
      <c r="L1928" t="s">
        <v>34</v>
      </c>
      <c r="M1928" t="s">
        <v>3780</v>
      </c>
      <c r="N1928" t="s">
        <v>46</v>
      </c>
      <c r="P1928" t="s">
        <v>1530</v>
      </c>
      <c r="R1928" s="5">
        <v>41338.885497685187</v>
      </c>
      <c r="S1928" s="5">
        <v>41816.561759259261</v>
      </c>
      <c r="T1928" t="s">
        <v>39</v>
      </c>
      <c r="U1928" t="s">
        <v>35</v>
      </c>
      <c r="V1928" s="3" t="s">
        <v>35</v>
      </c>
      <c r="W1928" s="3" t="s">
        <v>1749</v>
      </c>
    </row>
    <row r="1929" spans="2:23" x14ac:dyDescent="0.25">
      <c r="B1929" t="s">
        <v>1684</v>
      </c>
      <c r="C1929">
        <v>28575</v>
      </c>
      <c r="D1929" t="s">
        <v>1760</v>
      </c>
      <c r="E1929" t="s">
        <v>387</v>
      </c>
      <c r="F1929" t="s">
        <v>305</v>
      </c>
      <c r="G1929" t="s">
        <v>337</v>
      </c>
      <c r="H1929" t="s">
        <v>30</v>
      </c>
      <c r="I1929" t="s">
        <v>35</v>
      </c>
      <c r="J1929" t="s">
        <v>43</v>
      </c>
      <c r="K1929" t="s">
        <v>44</v>
      </c>
      <c r="L1929" t="s">
        <v>73</v>
      </c>
      <c r="M1929" t="s">
        <v>263</v>
      </c>
      <c r="N1929" t="s">
        <v>46</v>
      </c>
      <c r="P1929" t="s">
        <v>1634</v>
      </c>
      <c r="R1929" s="5">
        <v>41338.736828703702</v>
      </c>
      <c r="S1929" s="5">
        <v>42649.832476851851</v>
      </c>
      <c r="T1929" t="s">
        <v>1529</v>
      </c>
      <c r="U1929" t="s">
        <v>35</v>
      </c>
      <c r="V1929" s="3" t="s">
        <v>35</v>
      </c>
      <c r="W1929" s="3" t="s">
        <v>4104</v>
      </c>
    </row>
    <row r="1930" spans="2:23" x14ac:dyDescent="0.25">
      <c r="B1930" t="s">
        <v>1684</v>
      </c>
      <c r="C1930">
        <v>28574</v>
      </c>
      <c r="D1930" t="s">
        <v>1759</v>
      </c>
      <c r="E1930" t="s">
        <v>387</v>
      </c>
      <c r="F1930" t="s">
        <v>305</v>
      </c>
      <c r="G1930" t="s">
        <v>304</v>
      </c>
      <c r="H1930" t="s">
        <v>30</v>
      </c>
      <c r="I1930" t="s">
        <v>35</v>
      </c>
      <c r="J1930" t="s">
        <v>43</v>
      </c>
      <c r="K1930" t="s">
        <v>44</v>
      </c>
      <c r="L1930" t="s">
        <v>73</v>
      </c>
      <c r="M1930" t="s">
        <v>263</v>
      </c>
      <c r="N1930" t="s">
        <v>46</v>
      </c>
      <c r="P1930" t="s">
        <v>1634</v>
      </c>
      <c r="R1930" s="5">
        <v>41338.736724537041</v>
      </c>
      <c r="S1930" s="5">
        <v>42648.814849537041</v>
      </c>
      <c r="T1930" t="s">
        <v>1529</v>
      </c>
      <c r="U1930" t="s">
        <v>35</v>
      </c>
      <c r="V1930" s="3" t="s">
        <v>35</v>
      </c>
      <c r="W1930" s="3" t="s">
        <v>4115</v>
      </c>
    </row>
    <row r="1931" spans="2:23" x14ac:dyDescent="0.25">
      <c r="B1931" t="s">
        <v>1684</v>
      </c>
      <c r="C1931">
        <v>28573</v>
      </c>
      <c r="D1931" t="s">
        <v>1758</v>
      </c>
      <c r="E1931" t="s">
        <v>387</v>
      </c>
      <c r="F1931" t="s">
        <v>305</v>
      </c>
      <c r="G1931" t="s">
        <v>304</v>
      </c>
      <c r="H1931" t="s">
        <v>30</v>
      </c>
      <c r="I1931" t="s">
        <v>35</v>
      </c>
      <c r="J1931" t="s">
        <v>43</v>
      </c>
      <c r="K1931" t="s">
        <v>44</v>
      </c>
      <c r="L1931" t="s">
        <v>73</v>
      </c>
      <c r="M1931" t="s">
        <v>263</v>
      </c>
      <c r="N1931" t="s">
        <v>46</v>
      </c>
      <c r="P1931" t="s">
        <v>1634</v>
      </c>
      <c r="R1931" s="5">
        <v>41338.736574074072</v>
      </c>
      <c r="S1931" s="5">
        <v>42648.815023148149</v>
      </c>
      <c r="T1931" t="s">
        <v>1529</v>
      </c>
      <c r="U1931" t="s">
        <v>35</v>
      </c>
      <c r="V1931" s="3" t="s">
        <v>35</v>
      </c>
      <c r="W1931" s="3" t="s">
        <v>4114</v>
      </c>
    </row>
    <row r="1932" spans="2:23" x14ac:dyDescent="0.25">
      <c r="B1932" t="s">
        <v>1684</v>
      </c>
      <c r="C1932">
        <v>28572</v>
      </c>
      <c r="D1932" t="s">
        <v>1757</v>
      </c>
      <c r="E1932" t="s">
        <v>1613</v>
      </c>
      <c r="F1932" t="s">
        <v>305</v>
      </c>
      <c r="G1932" t="s">
        <v>304</v>
      </c>
      <c r="H1932" t="s">
        <v>30</v>
      </c>
      <c r="I1932" t="s">
        <v>35</v>
      </c>
      <c r="J1932" t="s">
        <v>43</v>
      </c>
      <c r="K1932" t="s">
        <v>44</v>
      </c>
      <c r="L1932" t="s">
        <v>73</v>
      </c>
      <c r="M1932" t="s">
        <v>263</v>
      </c>
      <c r="N1932" t="s">
        <v>46</v>
      </c>
      <c r="P1932" t="s">
        <v>1634</v>
      </c>
      <c r="R1932" s="5">
        <v>41338.736458333333</v>
      </c>
      <c r="S1932" s="5">
        <v>42648.814814814818</v>
      </c>
      <c r="T1932" t="s">
        <v>1529</v>
      </c>
      <c r="U1932" t="s">
        <v>35</v>
      </c>
      <c r="V1932" s="3" t="s">
        <v>35</v>
      </c>
      <c r="W1932" s="3" t="s">
        <v>1634</v>
      </c>
    </row>
    <row r="1933" spans="2:23" x14ac:dyDescent="0.25">
      <c r="B1933" t="s">
        <v>1750</v>
      </c>
      <c r="C1933">
        <v>28480</v>
      </c>
      <c r="D1933" t="s">
        <v>1756</v>
      </c>
      <c r="E1933" t="s">
        <v>387</v>
      </c>
      <c r="F1933" t="s">
        <v>305</v>
      </c>
      <c r="G1933" t="s">
        <v>337</v>
      </c>
      <c r="H1933" t="s">
        <v>54</v>
      </c>
      <c r="I1933" t="s">
        <v>35</v>
      </c>
      <c r="J1933" t="s">
        <v>43</v>
      </c>
      <c r="K1933" t="s">
        <v>44</v>
      </c>
      <c r="L1933" t="s">
        <v>73</v>
      </c>
      <c r="M1933" t="s">
        <v>263</v>
      </c>
      <c r="N1933" t="s">
        <v>1515</v>
      </c>
      <c r="P1933" t="s">
        <v>1646</v>
      </c>
      <c r="R1933" s="5">
        <v>41333.603773148148</v>
      </c>
      <c r="S1933" s="5">
        <v>42649.832337962966</v>
      </c>
      <c r="T1933" t="s">
        <v>1529</v>
      </c>
      <c r="U1933" t="s">
        <v>35</v>
      </c>
      <c r="V1933" s="3" t="s">
        <v>35</v>
      </c>
      <c r="W1933" s="3" t="s">
        <v>4104</v>
      </c>
    </row>
    <row r="1934" spans="2:23" x14ac:dyDescent="0.25">
      <c r="B1934" t="s">
        <v>1750</v>
      </c>
      <c r="C1934">
        <v>28479</v>
      </c>
      <c r="D1934" t="s">
        <v>1755</v>
      </c>
      <c r="E1934" t="s">
        <v>387</v>
      </c>
      <c r="F1934" t="s">
        <v>305</v>
      </c>
      <c r="G1934" t="s">
        <v>337</v>
      </c>
      <c r="H1934" t="s">
        <v>54</v>
      </c>
      <c r="I1934" t="s">
        <v>35</v>
      </c>
      <c r="J1934" t="s">
        <v>43</v>
      </c>
      <c r="K1934" t="s">
        <v>44</v>
      </c>
      <c r="L1934" t="s">
        <v>73</v>
      </c>
      <c r="M1934" t="s">
        <v>263</v>
      </c>
      <c r="N1934" t="s">
        <v>1515</v>
      </c>
      <c r="P1934" t="s">
        <v>1646</v>
      </c>
      <c r="R1934" s="5">
        <v>41333.603680555556</v>
      </c>
      <c r="S1934" s="5">
        <v>42649.900509259256</v>
      </c>
      <c r="T1934" t="s">
        <v>1529</v>
      </c>
      <c r="U1934" t="s">
        <v>35</v>
      </c>
      <c r="V1934" s="3" t="s">
        <v>35</v>
      </c>
      <c r="W1934" s="3" t="s">
        <v>4113</v>
      </c>
    </row>
    <row r="1935" spans="2:23" x14ac:dyDescent="0.25">
      <c r="B1935" t="s">
        <v>1750</v>
      </c>
      <c r="C1935">
        <v>28478</v>
      </c>
      <c r="D1935" t="s">
        <v>1754</v>
      </c>
      <c r="E1935" t="s">
        <v>387</v>
      </c>
      <c r="F1935" t="s">
        <v>305</v>
      </c>
      <c r="G1935" t="s">
        <v>304</v>
      </c>
      <c r="H1935" t="s">
        <v>54</v>
      </c>
      <c r="I1935" t="s">
        <v>35</v>
      </c>
      <c r="J1935" t="s">
        <v>43</v>
      </c>
      <c r="K1935" t="s">
        <v>44</v>
      </c>
      <c r="L1935" t="s">
        <v>73</v>
      </c>
      <c r="M1935" t="s">
        <v>263</v>
      </c>
      <c r="N1935" t="s">
        <v>1515</v>
      </c>
      <c r="P1935" t="s">
        <v>1646</v>
      </c>
      <c r="R1935" s="5">
        <v>41333.60355324074</v>
      </c>
      <c r="S1935" s="5">
        <v>42648.815034722225</v>
      </c>
      <c r="T1935" t="s">
        <v>1529</v>
      </c>
      <c r="U1935" t="s">
        <v>35</v>
      </c>
      <c r="V1935" s="3" t="s">
        <v>35</v>
      </c>
      <c r="W1935" s="3" t="s">
        <v>4119</v>
      </c>
    </row>
    <row r="1936" spans="2:23" x14ac:dyDescent="0.25">
      <c r="B1936" t="s">
        <v>1750</v>
      </c>
      <c r="C1936">
        <v>28477</v>
      </c>
      <c r="D1936" t="s">
        <v>1753</v>
      </c>
      <c r="E1936" t="s">
        <v>387</v>
      </c>
      <c r="F1936" t="s">
        <v>305</v>
      </c>
      <c r="G1936" t="s">
        <v>304</v>
      </c>
      <c r="H1936" t="s">
        <v>54</v>
      </c>
      <c r="I1936" t="s">
        <v>35</v>
      </c>
      <c r="J1936" t="s">
        <v>43</v>
      </c>
      <c r="K1936" t="s">
        <v>44</v>
      </c>
      <c r="L1936" t="s">
        <v>73</v>
      </c>
      <c r="M1936" t="s">
        <v>263</v>
      </c>
      <c r="N1936" t="s">
        <v>1515</v>
      </c>
      <c r="O1936" t="s">
        <v>1710</v>
      </c>
      <c r="P1936" t="s">
        <v>1646</v>
      </c>
      <c r="R1936" s="5">
        <v>41333.603437500002</v>
      </c>
      <c r="S1936" s="5">
        <v>42648.815057870372</v>
      </c>
      <c r="T1936" t="s">
        <v>1529</v>
      </c>
      <c r="U1936" t="s">
        <v>35</v>
      </c>
      <c r="V1936" s="3" t="s">
        <v>35</v>
      </c>
      <c r="W1936" s="3" t="s">
        <v>1634</v>
      </c>
    </row>
    <row r="1937" spans="2:23" x14ac:dyDescent="0.25">
      <c r="B1937" t="s">
        <v>1750</v>
      </c>
      <c r="C1937">
        <v>28476</v>
      </c>
      <c r="D1937" t="s">
        <v>1751</v>
      </c>
      <c r="E1937" t="s">
        <v>387</v>
      </c>
      <c r="F1937" t="s">
        <v>305</v>
      </c>
      <c r="G1937" t="s">
        <v>304</v>
      </c>
      <c r="H1937" t="s">
        <v>54</v>
      </c>
      <c r="I1937" t="s">
        <v>35</v>
      </c>
      <c r="J1937" t="s">
        <v>43</v>
      </c>
      <c r="K1937" t="s">
        <v>44</v>
      </c>
      <c r="L1937" t="s">
        <v>73</v>
      </c>
      <c r="M1937" t="s">
        <v>263</v>
      </c>
      <c r="N1937" t="s">
        <v>1515</v>
      </c>
      <c r="P1937" t="s">
        <v>1646</v>
      </c>
      <c r="R1937" s="5">
        <v>41333.58935185185</v>
      </c>
      <c r="S1937" s="5">
        <v>41815.750243055554</v>
      </c>
      <c r="T1937" t="s">
        <v>1752</v>
      </c>
      <c r="U1937" t="s">
        <v>35</v>
      </c>
      <c r="V1937" s="3" t="s">
        <v>35</v>
      </c>
      <c r="W1937" s="3" t="s">
        <v>4098</v>
      </c>
    </row>
    <row r="1938" spans="2:23" x14ac:dyDescent="0.25">
      <c r="B1938" t="s">
        <v>1745</v>
      </c>
      <c r="C1938">
        <v>28464</v>
      </c>
      <c r="D1938" t="s">
        <v>1746</v>
      </c>
      <c r="E1938" t="s">
        <v>1747</v>
      </c>
      <c r="F1938" t="s">
        <v>305</v>
      </c>
      <c r="G1938" t="s">
        <v>304</v>
      </c>
      <c r="H1938" t="s">
        <v>30</v>
      </c>
      <c r="I1938" t="s">
        <v>31</v>
      </c>
      <c r="J1938" t="s">
        <v>43</v>
      </c>
      <c r="K1938" t="s">
        <v>51</v>
      </c>
      <c r="L1938" t="s">
        <v>34</v>
      </c>
      <c r="M1938" t="s">
        <v>1748</v>
      </c>
      <c r="N1938" t="s">
        <v>46</v>
      </c>
      <c r="P1938" t="s">
        <v>1749</v>
      </c>
      <c r="R1938" s="5">
        <v>41332.864641203705</v>
      </c>
      <c r="S1938" s="5">
        <v>42039.759513888886</v>
      </c>
      <c r="T1938" t="s">
        <v>1747</v>
      </c>
      <c r="U1938" t="s">
        <v>35</v>
      </c>
      <c r="V1938" s="3" t="s">
        <v>35</v>
      </c>
      <c r="W1938" s="3" t="s">
        <v>1634</v>
      </c>
    </row>
    <row r="1939" spans="2:23" x14ac:dyDescent="0.25">
      <c r="B1939" t="s">
        <v>1741</v>
      </c>
      <c r="C1939">
        <v>27841</v>
      </c>
      <c r="D1939" t="s">
        <v>1744</v>
      </c>
      <c r="E1939" t="s">
        <v>387</v>
      </c>
      <c r="F1939" t="s">
        <v>305</v>
      </c>
      <c r="G1939" t="s">
        <v>310</v>
      </c>
      <c r="H1939" t="s">
        <v>54</v>
      </c>
      <c r="I1939" t="s">
        <v>35</v>
      </c>
      <c r="J1939" t="s">
        <v>32</v>
      </c>
      <c r="K1939" t="s">
        <v>35</v>
      </c>
      <c r="L1939" t="s">
        <v>73</v>
      </c>
      <c r="M1939" t="s">
        <v>263</v>
      </c>
      <c r="N1939" t="s">
        <v>1515</v>
      </c>
      <c r="P1939" t="s">
        <v>1530</v>
      </c>
      <c r="R1939" s="5">
        <v>41302.704895833333</v>
      </c>
      <c r="S1939" s="5">
        <v>42649.831817129627</v>
      </c>
      <c r="T1939" t="s">
        <v>1529</v>
      </c>
      <c r="U1939" t="s">
        <v>35</v>
      </c>
      <c r="V1939" s="3" t="s">
        <v>35</v>
      </c>
      <c r="W1939" s="3" t="s">
        <v>4104</v>
      </c>
    </row>
    <row r="1940" spans="2:23" x14ac:dyDescent="0.25">
      <c r="B1940" t="s">
        <v>1741</v>
      </c>
      <c r="C1940">
        <v>27840</v>
      </c>
      <c r="D1940" t="s">
        <v>1743</v>
      </c>
      <c r="E1940" t="s">
        <v>387</v>
      </c>
      <c r="F1940" t="s">
        <v>305</v>
      </c>
      <c r="G1940" t="s">
        <v>310</v>
      </c>
      <c r="H1940" t="s">
        <v>54</v>
      </c>
      <c r="I1940" t="s">
        <v>35</v>
      </c>
      <c r="J1940" t="s">
        <v>32</v>
      </c>
      <c r="K1940" t="s">
        <v>35</v>
      </c>
      <c r="L1940" t="s">
        <v>73</v>
      </c>
      <c r="M1940" t="s">
        <v>263</v>
      </c>
      <c r="N1940" t="s">
        <v>1515</v>
      </c>
      <c r="P1940" t="s">
        <v>1530</v>
      </c>
      <c r="R1940" s="5">
        <v>41302.70480324074</v>
      </c>
      <c r="S1940" s="5">
        <v>42649.831388888888</v>
      </c>
      <c r="T1940" t="s">
        <v>1529</v>
      </c>
      <c r="U1940" t="s">
        <v>35</v>
      </c>
      <c r="V1940" s="3" t="s">
        <v>35</v>
      </c>
      <c r="W1940" s="3" t="s">
        <v>4113</v>
      </c>
    </row>
    <row r="1941" spans="2:23" x14ac:dyDescent="0.25">
      <c r="B1941" t="s">
        <v>1741</v>
      </c>
      <c r="C1941">
        <v>27838</v>
      </c>
      <c r="D1941" t="s">
        <v>1742</v>
      </c>
      <c r="E1941" t="s">
        <v>387</v>
      </c>
      <c r="F1941" t="s">
        <v>305</v>
      </c>
      <c r="G1941" t="s">
        <v>310</v>
      </c>
      <c r="H1941" t="s">
        <v>54</v>
      </c>
      <c r="I1941" t="s">
        <v>35</v>
      </c>
      <c r="J1941" t="s">
        <v>32</v>
      </c>
      <c r="K1941" t="s">
        <v>35</v>
      </c>
      <c r="L1941" t="s">
        <v>73</v>
      </c>
      <c r="M1941" t="s">
        <v>263</v>
      </c>
      <c r="N1941" t="s">
        <v>1515</v>
      </c>
      <c r="P1941" t="s">
        <v>1530</v>
      </c>
      <c r="R1941" s="5">
        <v>41302.704641203702</v>
      </c>
      <c r="S1941" s="5">
        <v>42649.831724537034</v>
      </c>
      <c r="T1941" t="s">
        <v>1529</v>
      </c>
      <c r="U1941" t="s">
        <v>35</v>
      </c>
      <c r="V1941" s="3" t="s">
        <v>35</v>
      </c>
      <c r="W1941" s="3" t="s">
        <v>1634</v>
      </c>
    </row>
    <row r="1942" spans="2:23" x14ac:dyDescent="0.25">
      <c r="B1942" t="s">
        <v>1811</v>
      </c>
      <c r="C1942">
        <v>27837</v>
      </c>
      <c r="D1942" t="s">
        <v>3781</v>
      </c>
      <c r="E1942" t="s">
        <v>1913</v>
      </c>
      <c r="F1942" t="s">
        <v>305</v>
      </c>
      <c r="G1942" t="s">
        <v>304</v>
      </c>
      <c r="H1942" t="s">
        <v>426</v>
      </c>
      <c r="I1942" t="s">
        <v>35</v>
      </c>
      <c r="J1942" t="s">
        <v>43</v>
      </c>
      <c r="K1942" t="s">
        <v>44</v>
      </c>
      <c r="L1942" t="s">
        <v>34</v>
      </c>
      <c r="M1942" t="s">
        <v>368</v>
      </c>
      <c r="N1942" t="s">
        <v>46</v>
      </c>
      <c r="P1942" t="s">
        <v>1646</v>
      </c>
      <c r="R1942" s="5">
        <v>41302.697569444441</v>
      </c>
      <c r="S1942" s="5">
        <v>41816.551944444444</v>
      </c>
      <c r="T1942" t="s">
        <v>1</v>
      </c>
      <c r="U1942" t="s">
        <v>35</v>
      </c>
      <c r="V1942" s="3" t="s">
        <v>35</v>
      </c>
      <c r="W1942" s="3" t="s">
        <v>4098</v>
      </c>
    </row>
    <row r="1943" spans="2:23" x14ac:dyDescent="0.25">
      <c r="B1943" t="s">
        <v>1735</v>
      </c>
      <c r="C1943">
        <v>27587</v>
      </c>
      <c r="D1943" t="s">
        <v>1740</v>
      </c>
      <c r="E1943" t="s">
        <v>1533</v>
      </c>
      <c r="F1943" t="s">
        <v>305</v>
      </c>
      <c r="G1943" t="s">
        <v>337</v>
      </c>
      <c r="H1943" t="s">
        <v>30</v>
      </c>
      <c r="I1943" t="s">
        <v>35</v>
      </c>
      <c r="J1943" t="s">
        <v>32</v>
      </c>
      <c r="K1943" t="s">
        <v>33</v>
      </c>
      <c r="L1943" t="s">
        <v>73</v>
      </c>
      <c r="M1943" t="s">
        <v>1514</v>
      </c>
      <c r="N1943" t="s">
        <v>1515</v>
      </c>
      <c r="P1943" t="s">
        <v>1530</v>
      </c>
      <c r="R1943" s="5">
        <v>41288.916122685187</v>
      </c>
      <c r="S1943" s="5">
        <v>42649.831932870373</v>
      </c>
      <c r="T1943" t="s">
        <v>1529</v>
      </c>
      <c r="U1943" t="s">
        <v>35</v>
      </c>
      <c r="V1943" s="3" t="s">
        <v>35</v>
      </c>
      <c r="W1943" s="3" t="s">
        <v>4104</v>
      </c>
    </row>
    <row r="1944" spans="2:23" x14ac:dyDescent="0.25">
      <c r="B1944" t="s">
        <v>1735</v>
      </c>
      <c r="C1944">
        <v>27586</v>
      </c>
      <c r="D1944" t="s">
        <v>1739</v>
      </c>
      <c r="E1944" t="s">
        <v>1533</v>
      </c>
      <c r="F1944" t="s">
        <v>305</v>
      </c>
      <c r="G1944" t="s">
        <v>337</v>
      </c>
      <c r="H1944" t="s">
        <v>30</v>
      </c>
      <c r="I1944" t="s">
        <v>35</v>
      </c>
      <c r="J1944" t="s">
        <v>32</v>
      </c>
      <c r="K1944" t="s">
        <v>33</v>
      </c>
      <c r="L1944" t="s">
        <v>73</v>
      </c>
      <c r="M1944" t="s">
        <v>1514</v>
      </c>
      <c r="N1944" t="s">
        <v>1515</v>
      </c>
      <c r="P1944" t="s">
        <v>1530</v>
      </c>
      <c r="R1944" s="5">
        <v>41288.916018518517</v>
      </c>
      <c r="S1944" s="5">
        <v>42649.831435185188</v>
      </c>
      <c r="T1944" t="s">
        <v>1529</v>
      </c>
      <c r="U1944" t="s">
        <v>35</v>
      </c>
      <c r="V1944" s="3" t="s">
        <v>35</v>
      </c>
      <c r="W1944" s="3" t="s">
        <v>4113</v>
      </c>
    </row>
    <row r="1945" spans="2:23" x14ac:dyDescent="0.25">
      <c r="B1945" t="s">
        <v>1735</v>
      </c>
      <c r="C1945">
        <v>27585</v>
      </c>
      <c r="D1945" t="s">
        <v>1738</v>
      </c>
      <c r="E1945" t="s">
        <v>1533</v>
      </c>
      <c r="F1945" t="s">
        <v>305</v>
      </c>
      <c r="G1945" t="s">
        <v>304</v>
      </c>
      <c r="H1945" t="s">
        <v>30</v>
      </c>
      <c r="I1945" t="s">
        <v>35</v>
      </c>
      <c r="J1945" t="s">
        <v>32</v>
      </c>
      <c r="K1945" t="s">
        <v>33</v>
      </c>
      <c r="L1945" t="s">
        <v>73</v>
      </c>
      <c r="M1945" t="s">
        <v>1514</v>
      </c>
      <c r="N1945" t="s">
        <v>1515</v>
      </c>
      <c r="P1945" t="s">
        <v>1530</v>
      </c>
      <c r="R1945" s="5">
        <v>41288.915902777779</v>
      </c>
      <c r="S1945" s="5">
        <v>42648.814791666664</v>
      </c>
      <c r="T1945" t="s">
        <v>1529</v>
      </c>
      <c r="U1945" t="s">
        <v>35</v>
      </c>
      <c r="V1945" s="3" t="s">
        <v>35</v>
      </c>
      <c r="W1945" s="3" t="s">
        <v>4119</v>
      </c>
    </row>
    <row r="1946" spans="2:23" x14ac:dyDescent="0.25">
      <c r="B1946" t="s">
        <v>1735</v>
      </c>
      <c r="C1946">
        <v>27584</v>
      </c>
      <c r="D1946" t="s">
        <v>1737</v>
      </c>
      <c r="E1946" t="s">
        <v>1533</v>
      </c>
      <c r="F1946" t="s">
        <v>305</v>
      </c>
      <c r="G1946" t="s">
        <v>304</v>
      </c>
      <c r="H1946" t="s">
        <v>30</v>
      </c>
      <c r="I1946" t="s">
        <v>35</v>
      </c>
      <c r="J1946" t="s">
        <v>32</v>
      </c>
      <c r="K1946" t="s">
        <v>33</v>
      </c>
      <c r="L1946" t="s">
        <v>73</v>
      </c>
      <c r="M1946" t="s">
        <v>1514</v>
      </c>
      <c r="N1946" t="s">
        <v>1515</v>
      </c>
      <c r="O1946" t="s">
        <v>1710</v>
      </c>
      <c r="P1946" t="s">
        <v>1530</v>
      </c>
      <c r="R1946" s="5">
        <v>41288.91578703704</v>
      </c>
      <c r="S1946" s="5">
        <v>42648.814652777779</v>
      </c>
      <c r="T1946" t="s">
        <v>1529</v>
      </c>
      <c r="U1946" t="s">
        <v>35</v>
      </c>
      <c r="V1946" s="3" t="s">
        <v>35</v>
      </c>
      <c r="W1946" s="3" t="s">
        <v>1634</v>
      </c>
    </row>
    <row r="1947" spans="2:23" x14ac:dyDescent="0.25">
      <c r="B1947" t="s">
        <v>1735</v>
      </c>
      <c r="C1947">
        <v>27583</v>
      </c>
      <c r="D1947" t="s">
        <v>1736</v>
      </c>
      <c r="E1947" t="s">
        <v>1533</v>
      </c>
      <c r="F1947" t="s">
        <v>305</v>
      </c>
      <c r="G1947" t="s">
        <v>304</v>
      </c>
      <c r="H1947" t="s">
        <v>30</v>
      </c>
      <c r="I1947" t="s">
        <v>35</v>
      </c>
      <c r="J1947" t="s">
        <v>32</v>
      </c>
      <c r="K1947" t="s">
        <v>33</v>
      </c>
      <c r="L1947" t="s">
        <v>73</v>
      </c>
      <c r="M1947" t="s">
        <v>1514</v>
      </c>
      <c r="N1947" t="s">
        <v>1515</v>
      </c>
      <c r="P1947" t="s">
        <v>1530</v>
      </c>
      <c r="R1947" s="5">
        <v>41288.909837962965</v>
      </c>
      <c r="S1947" s="5">
        <v>42648.814699074072</v>
      </c>
      <c r="T1947" t="s">
        <v>1529</v>
      </c>
      <c r="U1947" t="s">
        <v>35</v>
      </c>
      <c r="V1947" s="3" t="s">
        <v>35</v>
      </c>
      <c r="W1947" s="3" t="s">
        <v>4098</v>
      </c>
    </row>
    <row r="1948" spans="2:23" x14ac:dyDescent="0.25">
      <c r="B1948" t="s">
        <v>1731</v>
      </c>
      <c r="C1948">
        <v>27374</v>
      </c>
      <c r="D1948" t="s">
        <v>1732</v>
      </c>
      <c r="E1948" t="s">
        <v>53</v>
      </c>
      <c r="F1948" t="s">
        <v>305</v>
      </c>
      <c r="G1948" t="s">
        <v>304</v>
      </c>
      <c r="H1948" t="s">
        <v>426</v>
      </c>
      <c r="I1948" t="s">
        <v>35</v>
      </c>
      <c r="J1948" t="s">
        <v>43</v>
      </c>
      <c r="K1948" t="s">
        <v>1733</v>
      </c>
      <c r="L1948" t="s">
        <v>34</v>
      </c>
      <c r="M1948" t="s">
        <v>1734</v>
      </c>
      <c r="N1948" t="s">
        <v>46</v>
      </c>
      <c r="P1948" t="s">
        <v>1646</v>
      </c>
      <c r="R1948" s="5">
        <v>41280.134259259263</v>
      </c>
      <c r="S1948" s="5">
        <v>41411.68273148148</v>
      </c>
      <c r="T1948" t="s">
        <v>1730</v>
      </c>
      <c r="U1948" t="s">
        <v>35</v>
      </c>
      <c r="V1948" s="3" t="s">
        <v>35</v>
      </c>
      <c r="W1948" s="3" t="s">
        <v>4118</v>
      </c>
    </row>
    <row r="1949" spans="2:23" x14ac:dyDescent="0.25">
      <c r="B1949" t="s">
        <v>1725</v>
      </c>
      <c r="C1949">
        <v>27361</v>
      </c>
      <c r="D1949" t="s">
        <v>1726</v>
      </c>
      <c r="E1949" t="s">
        <v>1727</v>
      </c>
      <c r="F1949" t="s">
        <v>305</v>
      </c>
      <c r="G1949" t="s">
        <v>304</v>
      </c>
      <c r="H1949" t="s">
        <v>30</v>
      </c>
      <c r="I1949" t="s">
        <v>31</v>
      </c>
      <c r="J1949" t="s">
        <v>43</v>
      </c>
      <c r="K1949" t="s">
        <v>51</v>
      </c>
      <c r="L1949" t="s">
        <v>34</v>
      </c>
      <c r="M1949" t="s">
        <v>1728</v>
      </c>
      <c r="N1949" t="s">
        <v>46</v>
      </c>
      <c r="P1949" t="s">
        <v>1646</v>
      </c>
      <c r="Q1949" t="s">
        <v>1729</v>
      </c>
      <c r="R1949" s="5">
        <v>41280.131076388891</v>
      </c>
      <c r="S1949" s="5">
        <v>42642.732349537036</v>
      </c>
      <c r="T1949" t="s">
        <v>1730</v>
      </c>
      <c r="U1949" t="s">
        <v>35</v>
      </c>
      <c r="V1949" s="3" t="s">
        <v>35</v>
      </c>
      <c r="W1949" s="3" t="s">
        <v>4098</v>
      </c>
    </row>
    <row r="1950" spans="2:23" x14ac:dyDescent="0.25">
      <c r="B1950" t="s">
        <v>1651</v>
      </c>
      <c r="C1950">
        <v>26299</v>
      </c>
      <c r="D1950" t="s">
        <v>1724</v>
      </c>
      <c r="E1950" t="s">
        <v>1675</v>
      </c>
      <c r="F1950" t="s">
        <v>305</v>
      </c>
      <c r="G1950" t="s">
        <v>304</v>
      </c>
      <c r="H1950" t="s">
        <v>30</v>
      </c>
      <c r="I1950" t="s">
        <v>35</v>
      </c>
      <c r="J1950" t="s">
        <v>43</v>
      </c>
      <c r="K1950" t="s">
        <v>35</v>
      </c>
      <c r="L1950" t="s">
        <v>73</v>
      </c>
      <c r="M1950" t="s">
        <v>263</v>
      </c>
      <c r="N1950" t="s">
        <v>46</v>
      </c>
      <c r="P1950" t="s">
        <v>1522</v>
      </c>
      <c r="R1950" s="5">
        <v>41277.591956018521</v>
      </c>
      <c r="S1950" s="5">
        <v>42648.813125000001</v>
      </c>
      <c r="T1950" t="s">
        <v>1529</v>
      </c>
      <c r="U1950" t="s">
        <v>35</v>
      </c>
      <c r="V1950" s="3" t="s">
        <v>35</v>
      </c>
      <c r="W1950" s="3" t="s">
        <v>4117</v>
      </c>
    </row>
    <row r="1951" spans="2:23" x14ac:dyDescent="0.25">
      <c r="B1951" t="s">
        <v>1651</v>
      </c>
      <c r="C1951">
        <v>26298</v>
      </c>
      <c r="D1951" t="s">
        <v>1723</v>
      </c>
      <c r="E1951" t="s">
        <v>387</v>
      </c>
      <c r="F1951" t="s">
        <v>305</v>
      </c>
      <c r="G1951" t="s">
        <v>337</v>
      </c>
      <c r="H1951" t="s">
        <v>30</v>
      </c>
      <c r="I1951" t="s">
        <v>35</v>
      </c>
      <c r="J1951" t="s">
        <v>43</v>
      </c>
      <c r="K1951" t="s">
        <v>35</v>
      </c>
      <c r="L1951" t="s">
        <v>73</v>
      </c>
      <c r="M1951" t="s">
        <v>263</v>
      </c>
      <c r="N1951" t="s">
        <v>46</v>
      </c>
      <c r="P1951" t="s">
        <v>1522</v>
      </c>
      <c r="R1951" s="5">
        <v>41277.591770833336</v>
      </c>
      <c r="S1951" s="5">
        <v>42649.831203703703</v>
      </c>
      <c r="T1951" t="s">
        <v>1529</v>
      </c>
      <c r="U1951" t="s">
        <v>35</v>
      </c>
      <c r="V1951" s="3" t="s">
        <v>35</v>
      </c>
      <c r="W1951" s="3" t="s">
        <v>4103</v>
      </c>
    </row>
    <row r="1952" spans="2:23" x14ac:dyDescent="0.25">
      <c r="B1952" t="s">
        <v>1651</v>
      </c>
      <c r="C1952">
        <v>26297</v>
      </c>
      <c r="D1952" t="s">
        <v>1722</v>
      </c>
      <c r="E1952" t="s">
        <v>387</v>
      </c>
      <c r="F1952" t="s">
        <v>305</v>
      </c>
      <c r="G1952" t="s">
        <v>304</v>
      </c>
      <c r="H1952" t="s">
        <v>30</v>
      </c>
      <c r="I1952" t="s">
        <v>35</v>
      </c>
      <c r="J1952" t="s">
        <v>43</v>
      </c>
      <c r="K1952" t="s">
        <v>35</v>
      </c>
      <c r="L1952" t="s">
        <v>73</v>
      </c>
      <c r="M1952" t="s">
        <v>263</v>
      </c>
      <c r="N1952" t="s">
        <v>46</v>
      </c>
      <c r="P1952" t="s">
        <v>1522</v>
      </c>
      <c r="R1952" s="5">
        <v>41277.591493055559</v>
      </c>
      <c r="S1952" s="5">
        <v>42648.813067129631</v>
      </c>
      <c r="T1952" t="s">
        <v>1529</v>
      </c>
      <c r="U1952" t="s">
        <v>35</v>
      </c>
      <c r="V1952" s="3" t="s">
        <v>35</v>
      </c>
      <c r="W1952" s="3" t="s">
        <v>4116</v>
      </c>
    </row>
    <row r="1953" spans="2:23" x14ac:dyDescent="0.25">
      <c r="B1953" t="s">
        <v>1651</v>
      </c>
      <c r="C1953">
        <v>26296</v>
      </c>
      <c r="D1953" t="s">
        <v>1721</v>
      </c>
      <c r="E1953" t="s">
        <v>1675</v>
      </c>
      <c r="F1953" t="s">
        <v>305</v>
      </c>
      <c r="G1953" t="s">
        <v>304</v>
      </c>
      <c r="H1953" t="s">
        <v>30</v>
      </c>
      <c r="I1953" t="s">
        <v>35</v>
      </c>
      <c r="J1953" t="s">
        <v>43</v>
      </c>
      <c r="K1953" t="s">
        <v>44</v>
      </c>
      <c r="L1953" t="s">
        <v>73</v>
      </c>
      <c r="M1953" t="s">
        <v>263</v>
      </c>
      <c r="N1953" t="s">
        <v>46</v>
      </c>
      <c r="P1953" t="s">
        <v>1522</v>
      </c>
      <c r="R1953" s="5">
        <v>41277.591354166667</v>
      </c>
      <c r="S1953" s="5">
        <v>42648.812800925924</v>
      </c>
      <c r="T1953" t="s">
        <v>1529</v>
      </c>
      <c r="U1953" t="s">
        <v>35</v>
      </c>
      <c r="V1953" s="3" t="s">
        <v>35</v>
      </c>
      <c r="W1953" s="3" t="s">
        <v>4115</v>
      </c>
    </row>
    <row r="1954" spans="2:23" x14ac:dyDescent="0.25">
      <c r="B1954" t="s">
        <v>1651</v>
      </c>
      <c r="C1954">
        <v>26295</v>
      </c>
      <c r="D1954" t="s">
        <v>1720</v>
      </c>
      <c r="E1954" t="s">
        <v>1675</v>
      </c>
      <c r="F1954" t="s">
        <v>305</v>
      </c>
      <c r="G1954" t="s">
        <v>304</v>
      </c>
      <c r="H1954" t="s">
        <v>30</v>
      </c>
      <c r="I1954" t="s">
        <v>35</v>
      </c>
      <c r="J1954" t="s">
        <v>43</v>
      </c>
      <c r="K1954" t="s">
        <v>44</v>
      </c>
      <c r="L1954" t="s">
        <v>73</v>
      </c>
      <c r="M1954" t="s">
        <v>263</v>
      </c>
      <c r="N1954" t="s">
        <v>46</v>
      </c>
      <c r="P1954" t="s">
        <v>1522</v>
      </c>
      <c r="R1954" s="5">
        <v>41277.591261574074</v>
      </c>
      <c r="S1954" s="5">
        <v>42648.812905092593</v>
      </c>
      <c r="T1954" t="s">
        <v>1529</v>
      </c>
      <c r="U1954" t="s">
        <v>35</v>
      </c>
      <c r="V1954" s="3" t="s">
        <v>35</v>
      </c>
      <c r="W1954" s="3" t="s">
        <v>1749</v>
      </c>
    </row>
    <row r="1955" spans="2:23" x14ac:dyDescent="0.25">
      <c r="B1955" t="s">
        <v>1651</v>
      </c>
      <c r="C1955">
        <v>26293</v>
      </c>
      <c r="D1955" t="s">
        <v>1719</v>
      </c>
      <c r="E1955" t="s">
        <v>1613</v>
      </c>
      <c r="F1955" t="s">
        <v>305</v>
      </c>
      <c r="G1955" t="s">
        <v>304</v>
      </c>
      <c r="H1955" t="s">
        <v>30</v>
      </c>
      <c r="I1955" t="s">
        <v>35</v>
      </c>
      <c r="J1955" t="s">
        <v>43</v>
      </c>
      <c r="K1955" t="s">
        <v>35</v>
      </c>
      <c r="L1955" t="s">
        <v>73</v>
      </c>
      <c r="M1955" t="s">
        <v>263</v>
      </c>
      <c r="N1955" t="s">
        <v>46</v>
      </c>
      <c r="P1955" t="s">
        <v>1522</v>
      </c>
      <c r="R1955" s="5">
        <v>41277.591053240743</v>
      </c>
      <c r="S1955" s="5">
        <v>42648.812962962962</v>
      </c>
      <c r="T1955" t="s">
        <v>1529</v>
      </c>
      <c r="U1955" t="s">
        <v>35</v>
      </c>
      <c r="V1955" s="3" t="s">
        <v>35</v>
      </c>
      <c r="W1955" s="3" t="s">
        <v>1634</v>
      </c>
    </row>
    <row r="1956" spans="2:23" x14ac:dyDescent="0.25">
      <c r="B1956" t="s">
        <v>1651</v>
      </c>
      <c r="C1956">
        <v>26286</v>
      </c>
      <c r="D1956" t="s">
        <v>1718</v>
      </c>
      <c r="E1956" t="s">
        <v>387</v>
      </c>
      <c r="F1956" t="s">
        <v>305</v>
      </c>
      <c r="G1956" t="s">
        <v>304</v>
      </c>
      <c r="H1956" t="s">
        <v>30</v>
      </c>
      <c r="I1956" t="s">
        <v>35</v>
      </c>
      <c r="J1956" t="s">
        <v>43</v>
      </c>
      <c r="K1956" t="s">
        <v>44</v>
      </c>
      <c r="L1956" t="s">
        <v>73</v>
      </c>
      <c r="M1956" t="s">
        <v>263</v>
      </c>
      <c r="N1956" t="s">
        <v>46</v>
      </c>
      <c r="P1956" t="s">
        <v>1522</v>
      </c>
      <c r="R1956" s="5">
        <v>41277.415833333333</v>
      </c>
      <c r="S1956" s="5">
        <v>41815.747569444444</v>
      </c>
      <c r="T1956" t="s">
        <v>1640</v>
      </c>
      <c r="U1956" t="s">
        <v>35</v>
      </c>
      <c r="V1956" s="3" t="s">
        <v>35</v>
      </c>
      <c r="W1956" s="3" t="s">
        <v>4098</v>
      </c>
    </row>
    <row r="1957" spans="2:23" x14ac:dyDescent="0.25">
      <c r="B1957" t="s">
        <v>1714</v>
      </c>
      <c r="C1957">
        <v>26267</v>
      </c>
      <c r="D1957" t="s">
        <v>1716</v>
      </c>
      <c r="E1957" t="s">
        <v>387</v>
      </c>
      <c r="F1957" t="s">
        <v>305</v>
      </c>
      <c r="G1957" t="s">
        <v>310</v>
      </c>
      <c r="H1957" t="s">
        <v>30</v>
      </c>
      <c r="I1957" t="s">
        <v>35</v>
      </c>
      <c r="J1957" t="s">
        <v>58</v>
      </c>
      <c r="K1957" t="s">
        <v>35</v>
      </c>
      <c r="L1957" t="s">
        <v>73</v>
      </c>
      <c r="M1957" t="s">
        <v>263</v>
      </c>
      <c r="N1957" t="s">
        <v>1515</v>
      </c>
      <c r="O1957" t="s">
        <v>1717</v>
      </c>
      <c r="P1957" t="s">
        <v>1634</v>
      </c>
      <c r="R1957" s="5">
        <v>41276.409155092595</v>
      </c>
      <c r="S1957" s="5">
        <v>42649.831099537034</v>
      </c>
      <c r="T1957" t="s">
        <v>72</v>
      </c>
      <c r="U1957" t="s">
        <v>35</v>
      </c>
      <c r="V1957" s="3" t="s">
        <v>35</v>
      </c>
      <c r="W1957" s="3" t="s">
        <v>1634</v>
      </c>
    </row>
    <row r="1958" spans="2:23" x14ac:dyDescent="0.25">
      <c r="B1958" t="s">
        <v>1714</v>
      </c>
      <c r="C1958">
        <v>26266</v>
      </c>
      <c r="D1958" t="s">
        <v>1715</v>
      </c>
      <c r="E1958" t="s">
        <v>387</v>
      </c>
      <c r="F1958" t="s">
        <v>305</v>
      </c>
      <c r="G1958" t="s">
        <v>304</v>
      </c>
      <c r="H1958" t="s">
        <v>30</v>
      </c>
      <c r="I1958" t="s">
        <v>35</v>
      </c>
      <c r="J1958" t="s">
        <v>43</v>
      </c>
      <c r="K1958" t="s">
        <v>35</v>
      </c>
      <c r="L1958" t="s">
        <v>73</v>
      </c>
      <c r="M1958" t="s">
        <v>263</v>
      </c>
      <c r="N1958" t="s">
        <v>1515</v>
      </c>
      <c r="P1958" t="s">
        <v>1634</v>
      </c>
      <c r="R1958" s="5">
        <v>41276.403483796297</v>
      </c>
      <c r="S1958" s="5">
        <v>41815.74763888889</v>
      </c>
      <c r="T1958" t="s">
        <v>72</v>
      </c>
      <c r="U1958" t="s">
        <v>35</v>
      </c>
      <c r="V1958" s="3" t="s">
        <v>35</v>
      </c>
      <c r="W1958" s="3" t="s">
        <v>4098</v>
      </c>
    </row>
    <row r="1959" spans="2:23" x14ac:dyDescent="0.25">
      <c r="B1959" t="s">
        <v>1706</v>
      </c>
      <c r="C1959">
        <v>26207</v>
      </c>
      <c r="D1959" t="s">
        <v>1713</v>
      </c>
      <c r="E1959" t="s">
        <v>387</v>
      </c>
      <c r="F1959" t="s">
        <v>305</v>
      </c>
      <c r="G1959" t="s">
        <v>337</v>
      </c>
      <c r="H1959" t="s">
        <v>30</v>
      </c>
      <c r="I1959" t="s">
        <v>35</v>
      </c>
      <c r="J1959" t="s">
        <v>43</v>
      </c>
      <c r="K1959" t="s">
        <v>44</v>
      </c>
      <c r="L1959" t="s">
        <v>96</v>
      </c>
      <c r="M1959" t="s">
        <v>269</v>
      </c>
      <c r="N1959" t="s">
        <v>46</v>
      </c>
      <c r="P1959" t="s">
        <v>1530</v>
      </c>
      <c r="R1959" s="5">
        <v>41265.006458333337</v>
      </c>
      <c r="S1959" s="5">
        <v>42649.831006944441</v>
      </c>
      <c r="T1959" t="s">
        <v>1529</v>
      </c>
      <c r="U1959" t="s">
        <v>35</v>
      </c>
      <c r="V1959" s="3" t="s">
        <v>35</v>
      </c>
      <c r="W1959" s="3" t="s">
        <v>4104</v>
      </c>
    </row>
    <row r="1960" spans="2:23" x14ac:dyDescent="0.25">
      <c r="B1960" t="s">
        <v>1706</v>
      </c>
      <c r="C1960">
        <v>26206</v>
      </c>
      <c r="D1960" t="s">
        <v>1712</v>
      </c>
      <c r="E1960" t="s">
        <v>387</v>
      </c>
      <c r="F1960" t="s">
        <v>305</v>
      </c>
      <c r="G1960" t="s">
        <v>310</v>
      </c>
      <c r="H1960" t="s">
        <v>30</v>
      </c>
      <c r="I1960" t="s">
        <v>35</v>
      </c>
      <c r="J1960" t="s">
        <v>43</v>
      </c>
      <c r="K1960" t="s">
        <v>44</v>
      </c>
      <c r="L1960" t="s">
        <v>96</v>
      </c>
      <c r="M1960" t="s">
        <v>269</v>
      </c>
      <c r="N1960" t="s">
        <v>46</v>
      </c>
      <c r="P1960" t="s">
        <v>1530</v>
      </c>
      <c r="R1960" s="5">
        <v>41265.006331018521</v>
      </c>
      <c r="S1960" s="5">
        <v>42649.831747685188</v>
      </c>
      <c r="T1960" t="s">
        <v>1529</v>
      </c>
      <c r="U1960" t="s">
        <v>35</v>
      </c>
      <c r="V1960" s="3" t="s">
        <v>35</v>
      </c>
      <c r="W1960" s="3" t="s">
        <v>4113</v>
      </c>
    </row>
    <row r="1961" spans="2:23" x14ac:dyDescent="0.25">
      <c r="B1961" t="s">
        <v>1706</v>
      </c>
      <c r="C1961">
        <v>26205</v>
      </c>
      <c r="D1961" t="s">
        <v>1711</v>
      </c>
      <c r="E1961" t="s">
        <v>1544</v>
      </c>
      <c r="F1961" t="s">
        <v>305</v>
      </c>
      <c r="G1961" t="s">
        <v>310</v>
      </c>
      <c r="H1961" t="s">
        <v>30</v>
      </c>
      <c r="I1961" t="s">
        <v>35</v>
      </c>
      <c r="J1961" t="s">
        <v>43</v>
      </c>
      <c r="K1961" t="s">
        <v>44</v>
      </c>
      <c r="L1961" t="s">
        <v>96</v>
      </c>
      <c r="M1961" t="s">
        <v>269</v>
      </c>
      <c r="N1961" t="s">
        <v>46</v>
      </c>
      <c r="P1961" t="s">
        <v>1530</v>
      </c>
      <c r="R1961" s="5">
        <v>41265.006122685183</v>
      </c>
      <c r="S1961" s="5">
        <v>42649.831377314818</v>
      </c>
      <c r="T1961" t="s">
        <v>1529</v>
      </c>
      <c r="U1961" t="s">
        <v>35</v>
      </c>
      <c r="V1961" s="3" t="s">
        <v>35</v>
      </c>
      <c r="W1961" s="3" t="s">
        <v>3039</v>
      </c>
    </row>
    <row r="1962" spans="2:23" x14ac:dyDescent="0.25">
      <c r="B1962" t="s">
        <v>1706</v>
      </c>
      <c r="C1962">
        <v>26204</v>
      </c>
      <c r="D1962" t="s">
        <v>1709</v>
      </c>
      <c r="E1962" t="s">
        <v>387</v>
      </c>
      <c r="F1962" t="s">
        <v>305</v>
      </c>
      <c r="G1962" t="s">
        <v>310</v>
      </c>
      <c r="H1962" t="s">
        <v>30</v>
      </c>
      <c r="I1962" t="s">
        <v>35</v>
      </c>
      <c r="J1962" t="s">
        <v>43</v>
      </c>
      <c r="K1962" t="s">
        <v>44</v>
      </c>
      <c r="L1962" t="s">
        <v>96</v>
      </c>
      <c r="M1962" t="s">
        <v>269</v>
      </c>
      <c r="N1962" t="s">
        <v>46</v>
      </c>
      <c r="O1962" t="s">
        <v>1710</v>
      </c>
      <c r="P1962" t="s">
        <v>1530</v>
      </c>
      <c r="R1962" s="5">
        <v>41265.005983796298</v>
      </c>
      <c r="S1962" s="5">
        <v>42649.831574074073</v>
      </c>
      <c r="T1962" t="s">
        <v>1529</v>
      </c>
      <c r="U1962" t="s">
        <v>35</v>
      </c>
      <c r="V1962" s="3" t="s">
        <v>35</v>
      </c>
      <c r="W1962" s="3" t="s">
        <v>1634</v>
      </c>
    </row>
    <row r="1963" spans="2:23" x14ac:dyDescent="0.25">
      <c r="B1963" t="s">
        <v>1706</v>
      </c>
      <c r="C1963">
        <v>26201</v>
      </c>
      <c r="D1963" t="s">
        <v>1707</v>
      </c>
      <c r="E1963" t="s">
        <v>387</v>
      </c>
      <c r="F1963" t="s">
        <v>305</v>
      </c>
      <c r="G1963" t="s">
        <v>337</v>
      </c>
      <c r="H1963" t="s">
        <v>30</v>
      </c>
      <c r="I1963" t="s">
        <v>35</v>
      </c>
      <c r="J1963" t="s">
        <v>43</v>
      </c>
      <c r="K1963" t="s">
        <v>44</v>
      </c>
      <c r="L1963" t="s">
        <v>96</v>
      </c>
      <c r="M1963" t="s">
        <v>269</v>
      </c>
      <c r="N1963" t="s">
        <v>46</v>
      </c>
      <c r="O1963" t="s">
        <v>1708</v>
      </c>
      <c r="P1963" t="s">
        <v>1530</v>
      </c>
      <c r="R1963" s="5">
        <v>41264.837175925924</v>
      </c>
      <c r="S1963" s="5">
        <v>42649.831469907411</v>
      </c>
      <c r="T1963" t="s">
        <v>1544</v>
      </c>
      <c r="U1963" t="s">
        <v>35</v>
      </c>
      <c r="V1963" s="3" t="s">
        <v>35</v>
      </c>
      <c r="W1963" s="3" t="s">
        <v>4098</v>
      </c>
    </row>
    <row r="1964" spans="2:23" x14ac:dyDescent="0.25">
      <c r="B1964" t="s">
        <v>1631</v>
      </c>
      <c r="C1964">
        <v>26060</v>
      </c>
      <c r="D1964" t="s">
        <v>1705</v>
      </c>
      <c r="E1964" t="s">
        <v>387</v>
      </c>
      <c r="F1964" t="s">
        <v>305</v>
      </c>
      <c r="G1964" t="s">
        <v>310</v>
      </c>
      <c r="H1964" t="s">
        <v>30</v>
      </c>
      <c r="I1964" t="s">
        <v>35</v>
      </c>
      <c r="J1964" t="s">
        <v>43</v>
      </c>
      <c r="K1964" t="s">
        <v>35</v>
      </c>
      <c r="L1964" t="s">
        <v>73</v>
      </c>
      <c r="M1964" t="s">
        <v>1514</v>
      </c>
      <c r="N1964" t="s">
        <v>46</v>
      </c>
      <c r="P1964" t="s">
        <v>1530</v>
      </c>
      <c r="R1964" s="5">
        <v>41257.769062500003</v>
      </c>
      <c r="S1964" s="5">
        <v>42649.83116898148</v>
      </c>
      <c r="T1964" t="s">
        <v>70</v>
      </c>
      <c r="U1964" t="s">
        <v>35</v>
      </c>
      <c r="V1964" s="3" t="s">
        <v>35</v>
      </c>
      <c r="W1964" s="3" t="s">
        <v>4104</v>
      </c>
    </row>
    <row r="1965" spans="2:23" x14ac:dyDescent="0.25">
      <c r="B1965" t="s">
        <v>1631</v>
      </c>
      <c r="C1965">
        <v>26059</v>
      </c>
      <c r="D1965" t="s">
        <v>1704</v>
      </c>
      <c r="E1965" t="s">
        <v>387</v>
      </c>
      <c r="F1965" t="s">
        <v>305</v>
      </c>
      <c r="G1965" t="s">
        <v>310</v>
      </c>
      <c r="H1965" t="s">
        <v>30</v>
      </c>
      <c r="I1965" t="s">
        <v>35</v>
      </c>
      <c r="J1965" t="s">
        <v>43</v>
      </c>
      <c r="K1965" t="s">
        <v>35</v>
      </c>
      <c r="L1965" t="s">
        <v>73</v>
      </c>
      <c r="M1965" t="s">
        <v>1514</v>
      </c>
      <c r="N1965" t="s">
        <v>46</v>
      </c>
      <c r="P1965" t="s">
        <v>1530</v>
      </c>
      <c r="R1965" s="5">
        <v>41257.768958333334</v>
      </c>
      <c r="S1965" s="5">
        <v>42649.830763888887</v>
      </c>
      <c r="T1965" t="s">
        <v>70</v>
      </c>
      <c r="U1965" t="s">
        <v>35</v>
      </c>
      <c r="V1965" s="3" t="s">
        <v>35</v>
      </c>
      <c r="W1965" s="3" t="s">
        <v>4113</v>
      </c>
    </row>
    <row r="1966" spans="2:23" x14ac:dyDescent="0.25">
      <c r="B1966" t="s">
        <v>1631</v>
      </c>
      <c r="C1966">
        <v>26058</v>
      </c>
      <c r="D1966" t="s">
        <v>1703</v>
      </c>
      <c r="E1966" t="s">
        <v>387</v>
      </c>
      <c r="F1966" t="s">
        <v>305</v>
      </c>
      <c r="G1966" t="s">
        <v>310</v>
      </c>
      <c r="H1966" t="s">
        <v>30</v>
      </c>
      <c r="I1966" t="s">
        <v>35</v>
      </c>
      <c r="J1966" t="s">
        <v>43</v>
      </c>
      <c r="K1966" t="s">
        <v>35</v>
      </c>
      <c r="L1966" t="s">
        <v>73</v>
      </c>
      <c r="M1966" t="s">
        <v>1514</v>
      </c>
      <c r="N1966" t="s">
        <v>46</v>
      </c>
      <c r="P1966" t="s">
        <v>1530</v>
      </c>
      <c r="R1966" s="5">
        <v>41257.768842592595</v>
      </c>
      <c r="S1966" s="5">
        <v>42649.831377314818</v>
      </c>
      <c r="T1966" t="s">
        <v>70</v>
      </c>
      <c r="U1966" t="s">
        <v>35</v>
      </c>
      <c r="V1966" s="3" t="s">
        <v>35</v>
      </c>
      <c r="W1966" s="3" t="s">
        <v>3039</v>
      </c>
    </row>
    <row r="1967" spans="2:23" x14ac:dyDescent="0.25">
      <c r="B1967" t="s">
        <v>1631</v>
      </c>
      <c r="C1967">
        <v>26057</v>
      </c>
      <c r="D1967" t="s">
        <v>1702</v>
      </c>
      <c r="E1967" t="s">
        <v>387</v>
      </c>
      <c r="F1967" t="s">
        <v>305</v>
      </c>
      <c r="G1967" t="s">
        <v>310</v>
      </c>
      <c r="H1967" t="s">
        <v>30</v>
      </c>
      <c r="I1967" t="s">
        <v>35</v>
      </c>
      <c r="J1967" t="s">
        <v>43</v>
      </c>
      <c r="K1967" t="s">
        <v>35</v>
      </c>
      <c r="L1967" t="s">
        <v>73</v>
      </c>
      <c r="M1967" t="s">
        <v>1514</v>
      </c>
      <c r="N1967" t="s">
        <v>46</v>
      </c>
      <c r="P1967" t="s">
        <v>1530</v>
      </c>
      <c r="R1967" s="5">
        <v>41257.768773148149</v>
      </c>
      <c r="S1967" s="5">
        <v>42649.831273148149</v>
      </c>
      <c r="T1967" t="s">
        <v>70</v>
      </c>
      <c r="U1967" t="s">
        <v>35</v>
      </c>
      <c r="V1967" s="3" t="s">
        <v>35</v>
      </c>
      <c r="W1967" s="3" t="s">
        <v>1634</v>
      </c>
    </row>
    <row r="1968" spans="2:23" x14ac:dyDescent="0.25">
      <c r="B1968" t="s">
        <v>1631</v>
      </c>
      <c r="C1968">
        <v>26056</v>
      </c>
      <c r="D1968" t="s">
        <v>1699</v>
      </c>
      <c r="E1968" t="s">
        <v>1700</v>
      </c>
      <c r="F1968" t="s">
        <v>305</v>
      </c>
      <c r="G1968" t="s">
        <v>1701</v>
      </c>
      <c r="H1968" t="s">
        <v>30</v>
      </c>
      <c r="I1968" t="s">
        <v>35</v>
      </c>
      <c r="J1968" t="s">
        <v>43</v>
      </c>
      <c r="K1968" t="s">
        <v>35</v>
      </c>
      <c r="L1968" t="s">
        <v>73</v>
      </c>
      <c r="M1968" t="s">
        <v>1514</v>
      </c>
      <c r="N1968" t="s">
        <v>46</v>
      </c>
      <c r="P1968" t="s">
        <v>1530</v>
      </c>
      <c r="R1968" s="5">
        <v>41257.754016203704</v>
      </c>
      <c r="S1968" s="5">
        <v>42649.830821759257</v>
      </c>
      <c r="T1968" t="s">
        <v>1700</v>
      </c>
      <c r="U1968" t="s">
        <v>35</v>
      </c>
      <c r="V1968" s="3" t="s">
        <v>35</v>
      </c>
      <c r="W1968" s="3" t="s">
        <v>4098</v>
      </c>
    </row>
    <row r="1969" spans="2:23" x14ac:dyDescent="0.25">
      <c r="B1969" t="s">
        <v>1693</v>
      </c>
      <c r="C1969">
        <v>25965</v>
      </c>
      <c r="D1969" t="s">
        <v>1698</v>
      </c>
      <c r="E1969" t="s">
        <v>387</v>
      </c>
      <c r="F1969" t="s">
        <v>305</v>
      </c>
      <c r="G1969" t="s">
        <v>304</v>
      </c>
      <c r="H1969" t="s">
        <v>30</v>
      </c>
      <c r="I1969" t="s">
        <v>35</v>
      </c>
      <c r="J1969" t="s">
        <v>43</v>
      </c>
      <c r="K1969" t="s">
        <v>51</v>
      </c>
      <c r="L1969" t="s">
        <v>96</v>
      </c>
      <c r="M1969" t="s">
        <v>269</v>
      </c>
      <c r="N1969" t="s">
        <v>46</v>
      </c>
      <c r="P1969" t="s">
        <v>1530</v>
      </c>
      <c r="R1969" s="5">
        <v>41254.836446759262</v>
      </c>
      <c r="S1969" s="5">
        <v>42648.813217592593</v>
      </c>
      <c r="T1969" t="s">
        <v>1529</v>
      </c>
      <c r="U1969" t="s">
        <v>35</v>
      </c>
      <c r="V1969" s="3" t="s">
        <v>35</v>
      </c>
      <c r="W1969" s="3" t="s">
        <v>4108</v>
      </c>
    </row>
    <row r="1970" spans="2:23" x14ac:dyDescent="0.25">
      <c r="B1970" t="s">
        <v>1693</v>
      </c>
      <c r="C1970">
        <v>25964</v>
      </c>
      <c r="D1970" t="s">
        <v>1697</v>
      </c>
      <c r="E1970" t="s">
        <v>387</v>
      </c>
      <c r="F1970" t="s">
        <v>305</v>
      </c>
      <c r="G1970" t="s">
        <v>310</v>
      </c>
      <c r="H1970" t="s">
        <v>30</v>
      </c>
      <c r="I1970" t="s">
        <v>35</v>
      </c>
      <c r="J1970" t="s">
        <v>43</v>
      </c>
      <c r="K1970" t="s">
        <v>35</v>
      </c>
      <c r="L1970" t="s">
        <v>96</v>
      </c>
      <c r="M1970" t="s">
        <v>269</v>
      </c>
      <c r="N1970" t="s">
        <v>46</v>
      </c>
      <c r="P1970" t="s">
        <v>1530</v>
      </c>
      <c r="R1970" s="5">
        <v>41254.836261574077</v>
      </c>
      <c r="S1970" s="5">
        <v>42649.830891203703</v>
      </c>
      <c r="T1970" t="s">
        <v>1529</v>
      </c>
      <c r="U1970" t="s">
        <v>35</v>
      </c>
      <c r="V1970" s="3" t="s">
        <v>35</v>
      </c>
      <c r="W1970" s="3" t="s">
        <v>4113</v>
      </c>
    </row>
    <row r="1971" spans="2:23" x14ac:dyDescent="0.25">
      <c r="B1971" t="s">
        <v>1693</v>
      </c>
      <c r="C1971">
        <v>25963</v>
      </c>
      <c r="D1971" t="s">
        <v>1696</v>
      </c>
      <c r="E1971" t="s">
        <v>387</v>
      </c>
      <c r="F1971" t="s">
        <v>305</v>
      </c>
      <c r="G1971" t="s">
        <v>310</v>
      </c>
      <c r="H1971" t="s">
        <v>30</v>
      </c>
      <c r="I1971" t="s">
        <v>35</v>
      </c>
      <c r="J1971" t="s">
        <v>43</v>
      </c>
      <c r="K1971" t="s">
        <v>33</v>
      </c>
      <c r="L1971" t="s">
        <v>96</v>
      </c>
      <c r="M1971" t="s">
        <v>269</v>
      </c>
      <c r="N1971" t="s">
        <v>46</v>
      </c>
      <c r="P1971" t="s">
        <v>1530</v>
      </c>
      <c r="R1971" s="5">
        <v>41254.836145833331</v>
      </c>
      <c r="S1971" s="5">
        <v>42649.830995370372</v>
      </c>
      <c r="T1971" t="s">
        <v>1529</v>
      </c>
      <c r="U1971" t="s">
        <v>35</v>
      </c>
      <c r="V1971" s="3" t="s">
        <v>35</v>
      </c>
      <c r="W1971" s="3" t="s">
        <v>1749</v>
      </c>
    </row>
    <row r="1972" spans="2:23" x14ac:dyDescent="0.25">
      <c r="B1972" t="s">
        <v>1693</v>
      </c>
      <c r="C1972">
        <v>25962</v>
      </c>
      <c r="D1972" t="s">
        <v>1695</v>
      </c>
      <c r="E1972" t="s">
        <v>387</v>
      </c>
      <c r="F1972" t="s">
        <v>305</v>
      </c>
      <c r="G1972" t="s">
        <v>310</v>
      </c>
      <c r="H1972" t="s">
        <v>30</v>
      </c>
      <c r="I1972" t="s">
        <v>35</v>
      </c>
      <c r="J1972" t="s">
        <v>43</v>
      </c>
      <c r="K1972" t="s">
        <v>35</v>
      </c>
      <c r="L1972" t="s">
        <v>96</v>
      </c>
      <c r="M1972" t="s">
        <v>269</v>
      </c>
      <c r="N1972" t="s">
        <v>46</v>
      </c>
      <c r="P1972" t="s">
        <v>1530</v>
      </c>
      <c r="R1972" s="5">
        <v>41254.835960648146</v>
      </c>
      <c r="S1972" s="5">
        <v>42649.831087962964</v>
      </c>
      <c r="T1972" t="s">
        <v>1529</v>
      </c>
      <c r="U1972" t="s">
        <v>35</v>
      </c>
      <c r="V1972" s="3" t="s">
        <v>35</v>
      </c>
      <c r="W1972" s="3" t="s">
        <v>1634</v>
      </c>
    </row>
    <row r="1973" spans="2:23" x14ac:dyDescent="0.25">
      <c r="B1973" t="s">
        <v>1693</v>
      </c>
      <c r="C1973">
        <v>25959</v>
      </c>
      <c r="D1973" t="s">
        <v>1694</v>
      </c>
      <c r="E1973" t="s">
        <v>387</v>
      </c>
      <c r="F1973" t="s">
        <v>305</v>
      </c>
      <c r="G1973" t="s">
        <v>304</v>
      </c>
      <c r="H1973" t="s">
        <v>30</v>
      </c>
      <c r="I1973" t="s">
        <v>35</v>
      </c>
      <c r="J1973" t="s">
        <v>43</v>
      </c>
      <c r="K1973" t="s">
        <v>35</v>
      </c>
      <c r="L1973" t="s">
        <v>96</v>
      </c>
      <c r="M1973" t="s">
        <v>269</v>
      </c>
      <c r="N1973" t="s">
        <v>46</v>
      </c>
      <c r="P1973" t="s">
        <v>1530</v>
      </c>
      <c r="R1973" s="5">
        <v>41254.793761574074</v>
      </c>
      <c r="S1973" s="5">
        <v>41815.74695601852</v>
      </c>
      <c r="T1973" t="s">
        <v>1517</v>
      </c>
      <c r="U1973" t="s">
        <v>35</v>
      </c>
      <c r="V1973" s="3" t="s">
        <v>35</v>
      </c>
      <c r="W1973" s="3" t="s">
        <v>4098</v>
      </c>
    </row>
    <row r="1974" spans="2:23" x14ac:dyDescent="0.25">
      <c r="B1974" t="s">
        <v>1681</v>
      </c>
      <c r="C1974">
        <v>25693</v>
      </c>
      <c r="D1974" t="s">
        <v>1692</v>
      </c>
      <c r="E1974" t="s">
        <v>387</v>
      </c>
      <c r="F1974" t="s">
        <v>305</v>
      </c>
      <c r="G1974" t="s">
        <v>328</v>
      </c>
      <c r="H1974" t="s">
        <v>30</v>
      </c>
      <c r="I1974" t="s">
        <v>35</v>
      </c>
      <c r="J1974" t="s">
        <v>32</v>
      </c>
      <c r="K1974" t="s">
        <v>35</v>
      </c>
      <c r="L1974" t="s">
        <v>73</v>
      </c>
      <c r="M1974" t="s">
        <v>263</v>
      </c>
      <c r="N1974" t="s">
        <v>46</v>
      </c>
      <c r="P1974" t="s">
        <v>1530</v>
      </c>
      <c r="R1974" s="5">
        <v>41242.589675925927</v>
      </c>
      <c r="S1974" s="5">
        <v>42649.830474537041</v>
      </c>
      <c r="T1974" t="s">
        <v>1529</v>
      </c>
      <c r="U1974" t="s">
        <v>35</v>
      </c>
      <c r="V1974" s="3" t="s">
        <v>35</v>
      </c>
      <c r="W1974" s="3" t="s">
        <v>4104</v>
      </c>
    </row>
    <row r="1975" spans="2:23" x14ac:dyDescent="0.25">
      <c r="B1975" t="s">
        <v>1681</v>
      </c>
      <c r="C1975">
        <v>25691</v>
      </c>
      <c r="D1975" t="s">
        <v>1691</v>
      </c>
      <c r="E1975" t="s">
        <v>387</v>
      </c>
      <c r="F1975" t="s">
        <v>305</v>
      </c>
      <c r="G1975" t="s">
        <v>328</v>
      </c>
      <c r="H1975" t="s">
        <v>30</v>
      </c>
      <c r="I1975" t="s">
        <v>35</v>
      </c>
      <c r="J1975" t="s">
        <v>32</v>
      </c>
      <c r="K1975" t="s">
        <v>35</v>
      </c>
      <c r="L1975" t="s">
        <v>73</v>
      </c>
      <c r="M1975" t="s">
        <v>263</v>
      </c>
      <c r="N1975" t="s">
        <v>46</v>
      </c>
      <c r="P1975" t="s">
        <v>1530</v>
      </c>
      <c r="R1975" s="5">
        <v>41242.584513888891</v>
      </c>
      <c r="S1975" s="5">
        <v>42649.830949074072</v>
      </c>
      <c r="T1975" t="s">
        <v>1529</v>
      </c>
      <c r="U1975" t="s">
        <v>35</v>
      </c>
      <c r="V1975" s="3" t="s">
        <v>35</v>
      </c>
      <c r="W1975" s="3" t="s">
        <v>4102</v>
      </c>
    </row>
    <row r="1976" spans="2:23" x14ac:dyDescent="0.25">
      <c r="B1976" t="s">
        <v>1681</v>
      </c>
      <c r="C1976">
        <v>25690</v>
      </c>
      <c r="D1976" t="s">
        <v>1690</v>
      </c>
      <c r="E1976" t="s">
        <v>387</v>
      </c>
      <c r="F1976" t="s">
        <v>305</v>
      </c>
      <c r="G1976" t="s">
        <v>310</v>
      </c>
      <c r="H1976" t="s">
        <v>30</v>
      </c>
      <c r="I1976" t="s">
        <v>35</v>
      </c>
      <c r="J1976" t="s">
        <v>32</v>
      </c>
      <c r="K1976" t="s">
        <v>35</v>
      </c>
      <c r="L1976" t="s">
        <v>73</v>
      </c>
      <c r="M1976" t="s">
        <v>263</v>
      </c>
      <c r="N1976" t="s">
        <v>46</v>
      </c>
      <c r="P1976" t="s">
        <v>1530</v>
      </c>
      <c r="R1976" s="5">
        <v>41242.584363425929</v>
      </c>
      <c r="S1976" s="5">
        <v>42649.830740740741</v>
      </c>
      <c r="T1976" t="s">
        <v>1529</v>
      </c>
      <c r="U1976" t="s">
        <v>35</v>
      </c>
      <c r="V1976" s="3" t="s">
        <v>35</v>
      </c>
      <c r="W1976" s="3" t="s">
        <v>4113</v>
      </c>
    </row>
    <row r="1977" spans="2:23" x14ac:dyDescent="0.25">
      <c r="B1977" t="s">
        <v>1681</v>
      </c>
      <c r="C1977">
        <v>25689</v>
      </c>
      <c r="D1977" t="s">
        <v>1688</v>
      </c>
      <c r="E1977" t="s">
        <v>1683</v>
      </c>
      <c r="F1977" t="s">
        <v>305</v>
      </c>
      <c r="G1977" t="s">
        <v>310</v>
      </c>
      <c r="H1977" t="s">
        <v>30</v>
      </c>
      <c r="I1977" t="s">
        <v>35</v>
      </c>
      <c r="J1977" t="s">
        <v>32</v>
      </c>
      <c r="K1977" t="s">
        <v>33</v>
      </c>
      <c r="L1977" t="s">
        <v>73</v>
      </c>
      <c r="M1977" t="s">
        <v>263</v>
      </c>
      <c r="N1977" t="s">
        <v>46</v>
      </c>
      <c r="O1977" t="s">
        <v>1689</v>
      </c>
      <c r="P1977" t="s">
        <v>1530</v>
      </c>
      <c r="R1977" s="5">
        <v>41242.583726851852</v>
      </c>
      <c r="S1977" s="5">
        <v>42649.830555555556</v>
      </c>
      <c r="T1977" t="s">
        <v>1529</v>
      </c>
      <c r="U1977" t="s">
        <v>35</v>
      </c>
      <c r="V1977" s="3" t="s">
        <v>35</v>
      </c>
      <c r="W1977" s="3" t="s">
        <v>3039</v>
      </c>
    </row>
    <row r="1978" spans="2:23" x14ac:dyDescent="0.25">
      <c r="B1978" t="s">
        <v>1681</v>
      </c>
      <c r="C1978">
        <v>25688</v>
      </c>
      <c r="D1978" t="s">
        <v>1687</v>
      </c>
      <c r="E1978" t="s">
        <v>387</v>
      </c>
      <c r="F1978" t="s">
        <v>305</v>
      </c>
      <c r="G1978" t="s">
        <v>310</v>
      </c>
      <c r="H1978" t="s">
        <v>30</v>
      </c>
      <c r="I1978" t="s">
        <v>35</v>
      </c>
      <c r="J1978" t="s">
        <v>32</v>
      </c>
      <c r="K1978" t="s">
        <v>35</v>
      </c>
      <c r="L1978" t="s">
        <v>73</v>
      </c>
      <c r="M1978" t="s">
        <v>263</v>
      </c>
      <c r="N1978" t="s">
        <v>46</v>
      </c>
      <c r="P1978" t="s">
        <v>1530</v>
      </c>
      <c r="R1978" s="5">
        <v>41242.583599537036</v>
      </c>
      <c r="S1978" s="5">
        <v>42649.830833333333</v>
      </c>
      <c r="T1978" t="s">
        <v>1529</v>
      </c>
      <c r="U1978" t="s">
        <v>35</v>
      </c>
      <c r="V1978" s="3" t="s">
        <v>35</v>
      </c>
      <c r="W1978" s="3" t="s">
        <v>1634</v>
      </c>
    </row>
    <row r="1979" spans="2:23" x14ac:dyDescent="0.25">
      <c r="B1979" t="s">
        <v>1684</v>
      </c>
      <c r="C1979">
        <v>25680</v>
      </c>
      <c r="D1979" t="s">
        <v>1685</v>
      </c>
      <c r="E1979" t="s">
        <v>387</v>
      </c>
      <c r="F1979" t="s">
        <v>305</v>
      </c>
      <c r="G1979" t="s">
        <v>304</v>
      </c>
      <c r="H1979" t="s">
        <v>30</v>
      </c>
      <c r="I1979" t="s">
        <v>35</v>
      </c>
      <c r="J1979" t="s">
        <v>43</v>
      </c>
      <c r="K1979" t="s">
        <v>44</v>
      </c>
      <c r="L1979" t="s">
        <v>73</v>
      </c>
      <c r="M1979" t="s">
        <v>263</v>
      </c>
      <c r="N1979" t="s">
        <v>46</v>
      </c>
      <c r="P1979" t="s">
        <v>1634</v>
      </c>
      <c r="R1979" s="5">
        <v>41242.076805555553</v>
      </c>
      <c r="S1979" s="5">
        <v>41815.750324074077</v>
      </c>
      <c r="T1979" t="s">
        <v>1686</v>
      </c>
      <c r="U1979" t="s">
        <v>35</v>
      </c>
      <c r="V1979" s="3" t="s">
        <v>35</v>
      </c>
      <c r="W1979" s="3" t="s">
        <v>4098</v>
      </c>
    </row>
    <row r="1980" spans="2:23" x14ac:dyDescent="0.25">
      <c r="B1980" t="s">
        <v>1681</v>
      </c>
      <c r="C1980">
        <v>25679</v>
      </c>
      <c r="D1980" t="s">
        <v>1682</v>
      </c>
      <c r="E1980" t="s">
        <v>1683</v>
      </c>
      <c r="F1980" t="s">
        <v>305</v>
      </c>
      <c r="G1980" t="s">
        <v>328</v>
      </c>
      <c r="H1980" t="s">
        <v>30</v>
      </c>
      <c r="I1980" t="s">
        <v>35</v>
      </c>
      <c r="J1980" t="s">
        <v>32</v>
      </c>
      <c r="K1980" t="s">
        <v>35</v>
      </c>
      <c r="L1980" t="s">
        <v>73</v>
      </c>
      <c r="M1980" t="s">
        <v>263</v>
      </c>
      <c r="N1980" t="s">
        <v>46</v>
      </c>
      <c r="P1980" t="s">
        <v>1530</v>
      </c>
      <c r="R1980" s="5">
        <v>41241.983217592591</v>
      </c>
      <c r="S1980" s="5">
        <v>42649.830868055556</v>
      </c>
      <c r="T1980" t="s">
        <v>1683</v>
      </c>
      <c r="U1980" t="s">
        <v>35</v>
      </c>
      <c r="V1980" s="3" t="s">
        <v>35</v>
      </c>
      <c r="W1980" s="3" t="s">
        <v>4098</v>
      </c>
    </row>
    <row r="1981" spans="2:23" x14ac:dyDescent="0.25">
      <c r="B1981" t="s">
        <v>1603</v>
      </c>
      <c r="C1981">
        <v>25528</v>
      </c>
      <c r="D1981" t="s">
        <v>1679</v>
      </c>
      <c r="E1981" t="s">
        <v>1525</v>
      </c>
      <c r="F1981" t="s">
        <v>305</v>
      </c>
      <c r="G1981" t="s">
        <v>304</v>
      </c>
      <c r="H1981" t="s">
        <v>54</v>
      </c>
      <c r="I1981" t="s">
        <v>35</v>
      </c>
      <c r="J1981" t="s">
        <v>32</v>
      </c>
      <c r="K1981" t="s">
        <v>35</v>
      </c>
      <c r="L1981" t="s">
        <v>73</v>
      </c>
      <c r="M1981" t="s">
        <v>1514</v>
      </c>
      <c r="N1981" t="s">
        <v>46</v>
      </c>
      <c r="O1981" t="s">
        <v>1680</v>
      </c>
      <c r="P1981" t="s">
        <v>1530</v>
      </c>
      <c r="R1981" s="5">
        <v>41232.856446759259</v>
      </c>
      <c r="S1981" s="5">
        <v>42648.812361111108</v>
      </c>
      <c r="T1981" t="s">
        <v>1529</v>
      </c>
      <c r="U1981" t="s">
        <v>35</v>
      </c>
      <c r="V1981" s="3" t="s">
        <v>35</v>
      </c>
      <c r="W1981" s="3" t="s">
        <v>1749</v>
      </c>
    </row>
    <row r="1982" spans="2:23" x14ac:dyDescent="0.25">
      <c r="B1982" t="s">
        <v>1603</v>
      </c>
      <c r="C1982">
        <v>25527</v>
      </c>
      <c r="D1982" t="s">
        <v>1678</v>
      </c>
      <c r="E1982" t="s">
        <v>1533</v>
      </c>
      <c r="F1982" t="s">
        <v>305</v>
      </c>
      <c r="G1982" t="s">
        <v>304</v>
      </c>
      <c r="H1982" t="s">
        <v>54</v>
      </c>
      <c r="I1982" t="s">
        <v>35</v>
      </c>
      <c r="J1982" t="s">
        <v>32</v>
      </c>
      <c r="K1982" t="s">
        <v>35</v>
      </c>
      <c r="L1982" t="s">
        <v>73</v>
      </c>
      <c r="M1982" t="s">
        <v>1514</v>
      </c>
      <c r="N1982" t="s">
        <v>46</v>
      </c>
      <c r="P1982" t="s">
        <v>1530</v>
      </c>
      <c r="R1982" s="5">
        <v>41232.85601851852</v>
      </c>
      <c r="S1982" s="5">
        <v>42648.81212962963</v>
      </c>
      <c r="T1982" t="s">
        <v>1529</v>
      </c>
      <c r="U1982" t="s">
        <v>35</v>
      </c>
      <c r="V1982" s="3" t="s">
        <v>35</v>
      </c>
      <c r="W1982" s="3" t="s">
        <v>1634</v>
      </c>
    </row>
    <row r="1983" spans="2:23" x14ac:dyDescent="0.25">
      <c r="B1983" t="s">
        <v>1670</v>
      </c>
      <c r="C1983">
        <v>25322</v>
      </c>
      <c r="D1983" t="s">
        <v>1677</v>
      </c>
      <c r="E1983" t="s">
        <v>387</v>
      </c>
      <c r="F1983" t="s">
        <v>305</v>
      </c>
      <c r="G1983" t="s">
        <v>304</v>
      </c>
      <c r="H1983" t="s">
        <v>30</v>
      </c>
      <c r="I1983" t="s">
        <v>35</v>
      </c>
      <c r="J1983" t="s">
        <v>58</v>
      </c>
      <c r="K1983" t="s">
        <v>51</v>
      </c>
      <c r="L1983" t="s">
        <v>73</v>
      </c>
      <c r="M1983" t="s">
        <v>263</v>
      </c>
      <c r="N1983" t="s">
        <v>46</v>
      </c>
      <c r="P1983" t="s">
        <v>1530</v>
      </c>
      <c r="R1983" s="5">
        <v>41219.58011574074</v>
      </c>
      <c r="S1983" s="5">
        <v>42648.812303240738</v>
      </c>
      <c r="T1983" t="s">
        <v>1529</v>
      </c>
      <c r="U1983" t="s">
        <v>35</v>
      </c>
      <c r="V1983" s="3" t="s">
        <v>35</v>
      </c>
      <c r="W1983" s="3" t="s">
        <v>4116</v>
      </c>
    </row>
    <row r="1984" spans="2:23" x14ac:dyDescent="0.25">
      <c r="B1984" t="s">
        <v>1670</v>
      </c>
      <c r="C1984">
        <v>25321</v>
      </c>
      <c r="D1984" t="s">
        <v>1676</v>
      </c>
      <c r="E1984" t="s">
        <v>387</v>
      </c>
      <c r="F1984" t="s">
        <v>305</v>
      </c>
      <c r="G1984" t="s">
        <v>304</v>
      </c>
      <c r="H1984" t="s">
        <v>30</v>
      </c>
      <c r="I1984" t="s">
        <v>35</v>
      </c>
      <c r="J1984" t="s">
        <v>58</v>
      </c>
      <c r="K1984" t="s">
        <v>51</v>
      </c>
      <c r="L1984" t="s">
        <v>73</v>
      </c>
      <c r="M1984" t="s">
        <v>263</v>
      </c>
      <c r="N1984" t="s">
        <v>46</v>
      </c>
      <c r="P1984" t="s">
        <v>1530</v>
      </c>
      <c r="R1984" s="5">
        <v>41219.580023148148</v>
      </c>
      <c r="S1984" s="5">
        <v>42648.812013888892</v>
      </c>
      <c r="T1984" t="s">
        <v>1529</v>
      </c>
      <c r="U1984" t="s">
        <v>35</v>
      </c>
      <c r="V1984" s="3" t="s">
        <v>35</v>
      </c>
      <c r="W1984" s="3" t="s">
        <v>4115</v>
      </c>
    </row>
    <row r="1985" spans="2:23" x14ac:dyDescent="0.25">
      <c r="B1985" t="s">
        <v>1670</v>
      </c>
      <c r="C1985">
        <v>25320</v>
      </c>
      <c r="D1985" t="s">
        <v>1674</v>
      </c>
      <c r="E1985" t="s">
        <v>1675</v>
      </c>
      <c r="F1985" t="s">
        <v>305</v>
      </c>
      <c r="G1985" t="s">
        <v>304</v>
      </c>
      <c r="H1985" t="s">
        <v>30</v>
      </c>
      <c r="I1985" t="s">
        <v>35</v>
      </c>
      <c r="J1985" t="s">
        <v>58</v>
      </c>
      <c r="K1985" t="s">
        <v>51</v>
      </c>
      <c r="L1985" t="s">
        <v>73</v>
      </c>
      <c r="M1985" t="s">
        <v>263</v>
      </c>
      <c r="N1985" t="s">
        <v>46</v>
      </c>
      <c r="P1985" t="s">
        <v>1530</v>
      </c>
      <c r="R1985" s="5">
        <v>41219.579942129632</v>
      </c>
      <c r="S1985" s="5">
        <v>42648.812326388892</v>
      </c>
      <c r="T1985" t="s">
        <v>1529</v>
      </c>
      <c r="U1985" t="s">
        <v>35</v>
      </c>
      <c r="V1985" s="3" t="s">
        <v>35</v>
      </c>
      <c r="W1985" s="3" t="s">
        <v>4114</v>
      </c>
    </row>
    <row r="1986" spans="2:23" x14ac:dyDescent="0.25">
      <c r="B1986" t="s">
        <v>1670</v>
      </c>
      <c r="C1986">
        <v>25319</v>
      </c>
      <c r="D1986" t="s">
        <v>1673</v>
      </c>
      <c r="E1986" t="s">
        <v>387</v>
      </c>
      <c r="F1986" t="s">
        <v>305</v>
      </c>
      <c r="G1986" t="s">
        <v>304</v>
      </c>
      <c r="H1986" t="s">
        <v>30</v>
      </c>
      <c r="I1986" t="s">
        <v>35</v>
      </c>
      <c r="J1986" t="s">
        <v>58</v>
      </c>
      <c r="K1986" t="s">
        <v>51</v>
      </c>
      <c r="L1986" t="s">
        <v>73</v>
      </c>
      <c r="M1986" t="s">
        <v>263</v>
      </c>
      <c r="N1986" t="s">
        <v>46</v>
      </c>
      <c r="P1986" t="s">
        <v>1530</v>
      </c>
      <c r="R1986" s="5">
        <v>41219.579699074071</v>
      </c>
      <c r="S1986" s="5">
        <v>41838.557824074072</v>
      </c>
      <c r="T1986" t="s">
        <v>1529</v>
      </c>
      <c r="U1986" t="s">
        <v>35</v>
      </c>
      <c r="V1986" s="3" t="s">
        <v>35</v>
      </c>
      <c r="W1986" s="3" t="s">
        <v>1634</v>
      </c>
    </row>
    <row r="1987" spans="2:23" x14ac:dyDescent="0.25">
      <c r="B1987" t="s">
        <v>1670</v>
      </c>
      <c r="C1987">
        <v>25309</v>
      </c>
      <c r="D1987" t="s">
        <v>1671</v>
      </c>
      <c r="E1987" t="s">
        <v>387</v>
      </c>
      <c r="F1987" t="s">
        <v>305</v>
      </c>
      <c r="G1987" t="s">
        <v>304</v>
      </c>
      <c r="H1987" t="s">
        <v>30</v>
      </c>
      <c r="I1987" t="s">
        <v>35</v>
      </c>
      <c r="J1987" t="s">
        <v>58</v>
      </c>
      <c r="K1987" t="s">
        <v>35</v>
      </c>
      <c r="L1987" t="s">
        <v>73</v>
      </c>
      <c r="M1987" t="s">
        <v>263</v>
      </c>
      <c r="N1987" t="s">
        <v>46</v>
      </c>
      <c r="P1987" t="s">
        <v>1530</v>
      </c>
      <c r="R1987" s="5">
        <v>41219.275694444441</v>
      </c>
      <c r="S1987" s="5">
        <v>41815.750231481485</v>
      </c>
      <c r="T1987" t="s">
        <v>1672</v>
      </c>
      <c r="U1987" t="s">
        <v>35</v>
      </c>
      <c r="V1987" s="3" t="s">
        <v>35</v>
      </c>
      <c r="W1987" s="3" t="s">
        <v>4098</v>
      </c>
    </row>
    <row r="1988" spans="2:23" x14ac:dyDescent="0.25">
      <c r="B1988" t="s">
        <v>1665</v>
      </c>
      <c r="C1988">
        <v>25211</v>
      </c>
      <c r="D1988" t="s">
        <v>1669</v>
      </c>
      <c r="E1988" t="s">
        <v>387</v>
      </c>
      <c r="F1988" t="s">
        <v>305</v>
      </c>
      <c r="G1988" t="s">
        <v>310</v>
      </c>
      <c r="H1988" t="s">
        <v>30</v>
      </c>
      <c r="I1988" t="s">
        <v>35</v>
      </c>
      <c r="J1988" t="s">
        <v>43</v>
      </c>
      <c r="K1988" t="s">
        <v>35</v>
      </c>
      <c r="L1988" t="s">
        <v>73</v>
      </c>
      <c r="M1988" t="s">
        <v>263</v>
      </c>
      <c r="N1988" t="s">
        <v>46</v>
      </c>
      <c r="P1988" t="s">
        <v>1530</v>
      </c>
      <c r="R1988" s="5">
        <v>41213.619050925925</v>
      </c>
      <c r="S1988" s="5">
        <v>42649.829988425925</v>
      </c>
      <c r="T1988" t="s">
        <v>1529</v>
      </c>
      <c r="U1988" t="s">
        <v>35</v>
      </c>
      <c r="V1988" s="3" t="s">
        <v>35</v>
      </c>
      <c r="W1988" s="3" t="s">
        <v>4113</v>
      </c>
    </row>
    <row r="1989" spans="2:23" x14ac:dyDescent="0.25">
      <c r="B1989" t="s">
        <v>1665</v>
      </c>
      <c r="C1989">
        <v>25210</v>
      </c>
      <c r="D1989" t="s">
        <v>1668</v>
      </c>
      <c r="E1989" t="s">
        <v>387</v>
      </c>
      <c r="F1989" t="s">
        <v>305</v>
      </c>
      <c r="G1989" t="s">
        <v>310</v>
      </c>
      <c r="H1989" t="s">
        <v>30</v>
      </c>
      <c r="I1989" t="s">
        <v>35</v>
      </c>
      <c r="J1989" t="s">
        <v>43</v>
      </c>
      <c r="K1989" t="s">
        <v>35</v>
      </c>
      <c r="L1989" t="s">
        <v>73</v>
      </c>
      <c r="M1989" t="s">
        <v>263</v>
      </c>
      <c r="N1989" t="s">
        <v>46</v>
      </c>
      <c r="P1989" t="s">
        <v>1530</v>
      </c>
      <c r="R1989" s="5">
        <v>41213.618877314817</v>
      </c>
      <c r="S1989" s="5">
        <v>42649.83017361111</v>
      </c>
      <c r="T1989" t="s">
        <v>1529</v>
      </c>
      <c r="U1989" t="s">
        <v>35</v>
      </c>
      <c r="V1989" s="3" t="s">
        <v>35</v>
      </c>
      <c r="W1989" s="3" t="s">
        <v>1749</v>
      </c>
    </row>
    <row r="1990" spans="2:23" x14ac:dyDescent="0.25">
      <c r="B1990" t="s">
        <v>1665</v>
      </c>
      <c r="C1990">
        <v>25209</v>
      </c>
      <c r="D1990" t="s">
        <v>1667</v>
      </c>
      <c r="E1990" t="s">
        <v>387</v>
      </c>
      <c r="F1990" t="s">
        <v>305</v>
      </c>
      <c r="G1990" t="s">
        <v>310</v>
      </c>
      <c r="H1990" t="s">
        <v>30</v>
      </c>
      <c r="I1990" t="s">
        <v>35</v>
      </c>
      <c r="J1990" t="s">
        <v>43</v>
      </c>
      <c r="K1990" t="s">
        <v>35</v>
      </c>
      <c r="L1990" t="s">
        <v>73</v>
      </c>
      <c r="M1990" t="s">
        <v>263</v>
      </c>
      <c r="N1990" t="s">
        <v>46</v>
      </c>
      <c r="P1990" t="s">
        <v>1530</v>
      </c>
      <c r="R1990" s="5">
        <v>41213.618796296294</v>
      </c>
      <c r="S1990" s="5">
        <v>42649.830231481479</v>
      </c>
      <c r="T1990" t="s">
        <v>1529</v>
      </c>
      <c r="U1990" t="s">
        <v>35</v>
      </c>
      <c r="V1990" s="3" t="s">
        <v>35</v>
      </c>
      <c r="W1990" s="3" t="s">
        <v>1634</v>
      </c>
    </row>
    <row r="1991" spans="2:23" x14ac:dyDescent="0.25">
      <c r="B1991" t="s">
        <v>1665</v>
      </c>
      <c r="C1991">
        <v>25192</v>
      </c>
      <c r="D1991" t="s">
        <v>1666</v>
      </c>
      <c r="E1991" t="s">
        <v>387</v>
      </c>
      <c r="F1991" t="s">
        <v>305</v>
      </c>
      <c r="G1991" t="s">
        <v>353</v>
      </c>
      <c r="H1991" t="s">
        <v>30</v>
      </c>
      <c r="I1991" t="s">
        <v>35</v>
      </c>
      <c r="J1991" t="s">
        <v>43</v>
      </c>
      <c r="K1991" t="s">
        <v>35</v>
      </c>
      <c r="L1991" t="s">
        <v>73</v>
      </c>
      <c r="M1991" t="s">
        <v>263</v>
      </c>
      <c r="N1991" t="s">
        <v>46</v>
      </c>
      <c r="P1991" t="s">
        <v>1530</v>
      </c>
      <c r="R1991" s="5">
        <v>41213.101793981485</v>
      </c>
      <c r="S1991" s="5">
        <v>42649.829745370371</v>
      </c>
      <c r="T1991" t="s">
        <v>48</v>
      </c>
      <c r="U1991" t="s">
        <v>35</v>
      </c>
      <c r="V1991" s="3" t="s">
        <v>35</v>
      </c>
      <c r="W1991" s="3" t="s">
        <v>4098</v>
      </c>
    </row>
    <row r="1992" spans="2:23" x14ac:dyDescent="0.25">
      <c r="B1992" t="s">
        <v>1638</v>
      </c>
      <c r="C1992">
        <v>25117</v>
      </c>
      <c r="D1992" t="s">
        <v>1664</v>
      </c>
      <c r="E1992" t="s">
        <v>387</v>
      </c>
      <c r="F1992" t="s">
        <v>305</v>
      </c>
      <c r="G1992" t="s">
        <v>337</v>
      </c>
      <c r="H1992" t="s">
        <v>30</v>
      </c>
      <c r="I1992" t="s">
        <v>35</v>
      </c>
      <c r="J1992" t="s">
        <v>43</v>
      </c>
      <c r="K1992" t="s">
        <v>35</v>
      </c>
      <c r="L1992" t="s">
        <v>73</v>
      </c>
      <c r="M1992" t="s">
        <v>263</v>
      </c>
      <c r="N1992" t="s">
        <v>46</v>
      </c>
      <c r="P1992" t="s">
        <v>1530</v>
      </c>
      <c r="R1992" s="5">
        <v>41208.878958333335</v>
      </c>
      <c r="S1992" s="5">
        <v>42649.829618055555</v>
      </c>
      <c r="T1992" t="s">
        <v>1529</v>
      </c>
      <c r="U1992" t="s">
        <v>35</v>
      </c>
      <c r="V1992" s="3" t="s">
        <v>35</v>
      </c>
      <c r="W1992" s="3" t="s">
        <v>1749</v>
      </c>
    </row>
    <row r="1993" spans="2:23" x14ac:dyDescent="0.25">
      <c r="B1993" t="s">
        <v>1651</v>
      </c>
      <c r="C1993">
        <v>25114</v>
      </c>
      <c r="D1993" t="s">
        <v>1663</v>
      </c>
      <c r="E1993" t="s">
        <v>387</v>
      </c>
      <c r="F1993" t="s">
        <v>305</v>
      </c>
      <c r="G1993" t="s">
        <v>337</v>
      </c>
      <c r="H1993" t="s">
        <v>30</v>
      </c>
      <c r="I1993" t="s">
        <v>35</v>
      </c>
      <c r="J1993" t="s">
        <v>43</v>
      </c>
      <c r="K1993" t="s">
        <v>35</v>
      </c>
      <c r="L1993" t="s">
        <v>73</v>
      </c>
      <c r="M1993" t="s">
        <v>263</v>
      </c>
      <c r="N1993" t="s">
        <v>46</v>
      </c>
      <c r="P1993" t="s">
        <v>1520</v>
      </c>
      <c r="R1993" s="5">
        <v>41208.87096064815</v>
      </c>
      <c r="S1993" s="5">
        <v>42649.829375000001</v>
      </c>
      <c r="T1993" t="s">
        <v>1529</v>
      </c>
      <c r="U1993" t="s">
        <v>35</v>
      </c>
      <c r="V1993" s="3" t="s">
        <v>35</v>
      </c>
      <c r="W1993" s="3" t="s">
        <v>1749</v>
      </c>
    </row>
    <row r="1994" spans="2:23" x14ac:dyDescent="0.25">
      <c r="B1994" t="s">
        <v>1631</v>
      </c>
      <c r="C1994">
        <v>25102</v>
      </c>
      <c r="D1994" t="s">
        <v>1661</v>
      </c>
      <c r="E1994" t="s">
        <v>1525</v>
      </c>
      <c r="F1994" t="s">
        <v>305</v>
      </c>
      <c r="G1994" t="s">
        <v>304</v>
      </c>
      <c r="H1994" t="s">
        <v>30</v>
      </c>
      <c r="I1994" t="s">
        <v>35</v>
      </c>
      <c r="J1994" t="s">
        <v>43</v>
      </c>
      <c r="K1994" t="s">
        <v>35</v>
      </c>
      <c r="L1994" t="s">
        <v>73</v>
      </c>
      <c r="M1994" t="s">
        <v>1514</v>
      </c>
      <c r="N1994" t="s">
        <v>46</v>
      </c>
      <c r="O1994" t="s">
        <v>1662</v>
      </c>
      <c r="P1994" t="s">
        <v>1530</v>
      </c>
      <c r="R1994" s="5">
        <v>41208.767094907409</v>
      </c>
      <c r="S1994" s="5">
        <v>41716.582638888889</v>
      </c>
      <c r="T1994" t="s">
        <v>1529</v>
      </c>
      <c r="U1994" t="s">
        <v>35</v>
      </c>
      <c r="V1994" s="3" t="s">
        <v>35</v>
      </c>
      <c r="W1994" s="3" t="s">
        <v>1749</v>
      </c>
    </row>
    <row r="1995" spans="2:23" x14ac:dyDescent="0.25">
      <c r="B1995" t="s">
        <v>1575</v>
      </c>
      <c r="C1995">
        <v>25097</v>
      </c>
      <c r="D1995" t="s">
        <v>1660</v>
      </c>
      <c r="E1995" t="s">
        <v>387</v>
      </c>
      <c r="F1995" t="s">
        <v>305</v>
      </c>
      <c r="G1995" t="s">
        <v>337</v>
      </c>
      <c r="H1995" t="s">
        <v>54</v>
      </c>
      <c r="I1995" t="s">
        <v>35</v>
      </c>
      <c r="J1995" t="s">
        <v>43</v>
      </c>
      <c r="K1995" t="s">
        <v>35</v>
      </c>
      <c r="L1995" t="s">
        <v>73</v>
      </c>
      <c r="M1995" t="s">
        <v>263</v>
      </c>
      <c r="N1995" t="s">
        <v>46</v>
      </c>
      <c r="P1995" t="s">
        <v>1530</v>
      </c>
      <c r="R1995" s="5">
        <v>41208.749236111114</v>
      </c>
      <c r="S1995" s="5">
        <v>42649.829525462963</v>
      </c>
      <c r="T1995" t="s">
        <v>1529</v>
      </c>
      <c r="U1995" t="s">
        <v>35</v>
      </c>
      <c r="V1995" s="3" t="s">
        <v>35</v>
      </c>
      <c r="W1995" s="3" t="s">
        <v>4113</v>
      </c>
    </row>
    <row r="1996" spans="2:23" x14ac:dyDescent="0.25">
      <c r="B1996" t="s">
        <v>1575</v>
      </c>
      <c r="C1996">
        <v>25096</v>
      </c>
      <c r="D1996" t="s">
        <v>1659</v>
      </c>
      <c r="E1996" t="s">
        <v>387</v>
      </c>
      <c r="F1996" t="s">
        <v>305</v>
      </c>
      <c r="G1996" t="s">
        <v>310</v>
      </c>
      <c r="H1996" t="s">
        <v>54</v>
      </c>
      <c r="I1996" t="s">
        <v>35</v>
      </c>
      <c r="J1996" t="s">
        <v>43</v>
      </c>
      <c r="K1996" t="s">
        <v>35</v>
      </c>
      <c r="L1996" t="s">
        <v>73</v>
      </c>
      <c r="M1996" t="s">
        <v>263</v>
      </c>
      <c r="N1996" t="s">
        <v>46</v>
      </c>
      <c r="P1996" t="s">
        <v>1530</v>
      </c>
      <c r="R1996" s="5">
        <v>41208.749155092592</v>
      </c>
      <c r="S1996" s="5">
        <v>42649.829502314817</v>
      </c>
      <c r="T1996" t="s">
        <v>1529</v>
      </c>
      <c r="U1996" t="s">
        <v>35</v>
      </c>
      <c r="V1996" s="3" t="s">
        <v>35</v>
      </c>
      <c r="W1996" s="3" t="s">
        <v>1634</v>
      </c>
    </row>
    <row r="1997" spans="2:23" x14ac:dyDescent="0.25">
      <c r="B1997" t="s">
        <v>1575</v>
      </c>
      <c r="C1997">
        <v>25064</v>
      </c>
      <c r="D1997" t="s">
        <v>1658</v>
      </c>
      <c r="E1997" t="s">
        <v>1613</v>
      </c>
      <c r="F1997" t="s">
        <v>305</v>
      </c>
      <c r="G1997" t="s">
        <v>304</v>
      </c>
      <c r="H1997" t="s">
        <v>54</v>
      </c>
      <c r="I1997" t="s">
        <v>35</v>
      </c>
      <c r="J1997" t="s">
        <v>43</v>
      </c>
      <c r="K1997" t="s">
        <v>35</v>
      </c>
      <c r="L1997" t="s">
        <v>73</v>
      </c>
      <c r="M1997" t="s">
        <v>263</v>
      </c>
      <c r="N1997" t="s">
        <v>46</v>
      </c>
      <c r="P1997" t="s">
        <v>1530</v>
      </c>
      <c r="R1997" s="5">
        <v>41208.683634259258</v>
      </c>
      <c r="S1997" s="5">
        <v>42648.811979166669</v>
      </c>
      <c r="T1997" t="s">
        <v>1529</v>
      </c>
      <c r="U1997" t="s">
        <v>35</v>
      </c>
      <c r="V1997" s="3" t="s">
        <v>35</v>
      </c>
      <c r="W1997" s="3" t="s">
        <v>1634</v>
      </c>
    </row>
    <row r="1998" spans="2:23" x14ac:dyDescent="0.25">
      <c r="B1998" t="s">
        <v>1575</v>
      </c>
      <c r="C1998">
        <v>25060</v>
      </c>
      <c r="D1998" t="s">
        <v>1657</v>
      </c>
      <c r="E1998" t="s">
        <v>387</v>
      </c>
      <c r="F1998" t="s">
        <v>305</v>
      </c>
      <c r="G1998" t="s">
        <v>337</v>
      </c>
      <c r="H1998" t="s">
        <v>54</v>
      </c>
      <c r="I1998" t="s">
        <v>35</v>
      </c>
      <c r="J1998" t="s">
        <v>43</v>
      </c>
      <c r="K1998" t="s">
        <v>35</v>
      </c>
      <c r="L1998" t="s">
        <v>73</v>
      </c>
      <c r="M1998" t="s">
        <v>263</v>
      </c>
      <c r="N1998" t="s">
        <v>46</v>
      </c>
      <c r="P1998" t="s">
        <v>1530</v>
      </c>
      <c r="R1998" s="5">
        <v>41208.67696759259</v>
      </c>
      <c r="S1998" s="5">
        <v>42649.829710648148</v>
      </c>
      <c r="T1998" t="s">
        <v>1529</v>
      </c>
      <c r="U1998" t="s">
        <v>35</v>
      </c>
      <c r="V1998" s="3" t="s">
        <v>35</v>
      </c>
      <c r="W1998" s="3" t="s">
        <v>1749</v>
      </c>
    </row>
    <row r="1999" spans="2:23" x14ac:dyDescent="0.25">
      <c r="B1999" t="s">
        <v>1644</v>
      </c>
      <c r="C1999">
        <v>25041</v>
      </c>
      <c r="D1999" t="s">
        <v>1656</v>
      </c>
      <c r="E1999" t="s">
        <v>387</v>
      </c>
      <c r="F1999" t="s">
        <v>305</v>
      </c>
      <c r="G1999" t="s">
        <v>304</v>
      </c>
      <c r="H1999" t="s">
        <v>30</v>
      </c>
      <c r="I1999" t="s">
        <v>35</v>
      </c>
      <c r="J1999" t="s">
        <v>43</v>
      </c>
      <c r="K1999" t="s">
        <v>35</v>
      </c>
      <c r="L1999" t="s">
        <v>73</v>
      </c>
      <c r="M1999" t="s">
        <v>264</v>
      </c>
      <c r="N1999" t="s">
        <v>46</v>
      </c>
      <c r="P1999" t="s">
        <v>1646</v>
      </c>
      <c r="R1999" s="5">
        <v>41208.442766203705</v>
      </c>
      <c r="S1999" s="5">
        <v>41362.803055555552</v>
      </c>
      <c r="T1999" t="s">
        <v>435</v>
      </c>
      <c r="U1999" t="s">
        <v>35</v>
      </c>
      <c r="V1999" s="3" t="s">
        <v>35</v>
      </c>
      <c r="W1999" s="3" t="s">
        <v>1749</v>
      </c>
    </row>
    <row r="2000" spans="2:23" x14ac:dyDescent="0.25">
      <c r="B2000" t="s">
        <v>1531</v>
      </c>
      <c r="C2000">
        <v>25034</v>
      </c>
      <c r="D2000" t="s">
        <v>1655</v>
      </c>
      <c r="E2000" t="s">
        <v>1533</v>
      </c>
      <c r="F2000" t="s">
        <v>305</v>
      </c>
      <c r="G2000" t="s">
        <v>337</v>
      </c>
      <c r="H2000" t="s">
        <v>30</v>
      </c>
      <c r="I2000" t="s">
        <v>35</v>
      </c>
      <c r="J2000" t="s">
        <v>43</v>
      </c>
      <c r="K2000" t="s">
        <v>35</v>
      </c>
      <c r="L2000" t="s">
        <v>73</v>
      </c>
      <c r="M2000" t="s">
        <v>1514</v>
      </c>
      <c r="N2000" t="s">
        <v>46</v>
      </c>
      <c r="P2000" t="s">
        <v>1528</v>
      </c>
      <c r="R2000" s="5">
        <v>41207.941805555558</v>
      </c>
      <c r="S2000" s="5">
        <v>42649.829467592594</v>
      </c>
      <c r="T2000" t="s">
        <v>1529</v>
      </c>
      <c r="U2000" t="s">
        <v>35</v>
      </c>
      <c r="V2000" s="3" t="s">
        <v>35</v>
      </c>
      <c r="W2000" s="3" t="s">
        <v>1749</v>
      </c>
    </row>
    <row r="2001" spans="2:23" x14ac:dyDescent="0.25">
      <c r="B2001" t="s">
        <v>1651</v>
      </c>
      <c r="C2001">
        <v>24955</v>
      </c>
      <c r="D2001" t="s">
        <v>1654</v>
      </c>
      <c r="E2001" t="s">
        <v>387</v>
      </c>
      <c r="F2001" t="s">
        <v>305</v>
      </c>
      <c r="G2001" t="s">
        <v>337</v>
      </c>
      <c r="H2001" t="s">
        <v>30</v>
      </c>
      <c r="I2001" t="s">
        <v>35</v>
      </c>
      <c r="J2001" t="s">
        <v>58</v>
      </c>
      <c r="K2001" t="s">
        <v>35</v>
      </c>
      <c r="L2001" t="s">
        <v>73</v>
      </c>
      <c r="M2001" t="s">
        <v>263</v>
      </c>
      <c r="N2001" t="s">
        <v>46</v>
      </c>
      <c r="P2001" t="s">
        <v>1520</v>
      </c>
      <c r="R2001" s="5">
        <v>41204.550879629627</v>
      </c>
      <c r="S2001" s="5">
        <v>42649.82917824074</v>
      </c>
      <c r="T2001" t="s">
        <v>1529</v>
      </c>
      <c r="U2001" t="s">
        <v>35</v>
      </c>
      <c r="V2001" s="3" t="s">
        <v>35</v>
      </c>
      <c r="W2001" s="3" t="s">
        <v>4103</v>
      </c>
    </row>
    <row r="2002" spans="2:23" x14ac:dyDescent="0.25">
      <c r="B2002" t="s">
        <v>1651</v>
      </c>
      <c r="C2002">
        <v>24954</v>
      </c>
      <c r="D2002" t="s">
        <v>1653</v>
      </c>
      <c r="E2002" t="s">
        <v>387</v>
      </c>
      <c r="F2002" t="s">
        <v>305</v>
      </c>
      <c r="G2002" t="s">
        <v>310</v>
      </c>
      <c r="H2002" t="s">
        <v>30</v>
      </c>
      <c r="I2002" t="s">
        <v>35</v>
      </c>
      <c r="J2002" t="s">
        <v>58</v>
      </c>
      <c r="K2002" t="s">
        <v>35</v>
      </c>
      <c r="L2002" t="s">
        <v>73</v>
      </c>
      <c r="M2002" t="s">
        <v>263</v>
      </c>
      <c r="N2002" t="s">
        <v>46</v>
      </c>
      <c r="P2002" t="s">
        <v>1520</v>
      </c>
      <c r="R2002" s="5">
        <v>41204.550763888888</v>
      </c>
      <c r="S2002" s="5">
        <v>42649.829340277778</v>
      </c>
      <c r="T2002" t="s">
        <v>1529</v>
      </c>
      <c r="U2002" t="s">
        <v>35</v>
      </c>
      <c r="V2002" s="3" t="s">
        <v>35</v>
      </c>
      <c r="W2002" s="3" t="s">
        <v>4104</v>
      </c>
    </row>
    <row r="2003" spans="2:23" x14ac:dyDescent="0.25">
      <c r="B2003" t="s">
        <v>1651</v>
      </c>
      <c r="C2003">
        <v>24953</v>
      </c>
      <c r="D2003" t="s">
        <v>1652</v>
      </c>
      <c r="E2003" t="s">
        <v>387</v>
      </c>
      <c r="F2003" t="s">
        <v>305</v>
      </c>
      <c r="G2003" t="s">
        <v>337</v>
      </c>
      <c r="H2003" t="s">
        <v>30</v>
      </c>
      <c r="I2003" t="s">
        <v>35</v>
      </c>
      <c r="J2003" t="s">
        <v>58</v>
      </c>
      <c r="K2003" t="s">
        <v>35</v>
      </c>
      <c r="L2003" t="s">
        <v>73</v>
      </c>
      <c r="M2003" t="s">
        <v>263</v>
      </c>
      <c r="N2003" t="s">
        <v>46</v>
      </c>
      <c r="P2003" t="s">
        <v>1520</v>
      </c>
      <c r="R2003" s="5">
        <v>41204.550659722219</v>
      </c>
      <c r="S2003" s="5">
        <v>42649.829236111109</v>
      </c>
      <c r="T2003" t="s">
        <v>1529</v>
      </c>
      <c r="U2003" t="s">
        <v>35</v>
      </c>
      <c r="V2003" s="3" t="s">
        <v>35</v>
      </c>
      <c r="W2003" s="3" t="s">
        <v>4113</v>
      </c>
    </row>
    <row r="2004" spans="2:23" x14ac:dyDescent="0.25">
      <c r="B2004" t="s">
        <v>1644</v>
      </c>
      <c r="C2004">
        <v>24926</v>
      </c>
      <c r="D2004" t="s">
        <v>1650</v>
      </c>
      <c r="E2004" t="s">
        <v>387</v>
      </c>
      <c r="F2004" t="s">
        <v>305</v>
      </c>
      <c r="G2004" t="s">
        <v>310</v>
      </c>
      <c r="H2004" t="s">
        <v>30</v>
      </c>
      <c r="I2004" t="s">
        <v>35</v>
      </c>
      <c r="J2004" t="s">
        <v>32</v>
      </c>
      <c r="K2004" t="s">
        <v>35</v>
      </c>
      <c r="L2004" t="s">
        <v>73</v>
      </c>
      <c r="M2004" t="s">
        <v>264</v>
      </c>
      <c r="N2004" t="s">
        <v>46</v>
      </c>
      <c r="P2004" t="s">
        <v>1646</v>
      </c>
      <c r="R2004" s="5">
        <v>41201.527870370373</v>
      </c>
      <c r="S2004" s="5">
        <v>42649.829467592594</v>
      </c>
      <c r="T2004" t="s">
        <v>1529</v>
      </c>
      <c r="U2004" t="s">
        <v>35</v>
      </c>
      <c r="V2004" s="3" t="s">
        <v>35</v>
      </c>
      <c r="W2004" s="3" t="s">
        <v>4104</v>
      </c>
    </row>
    <row r="2005" spans="2:23" x14ac:dyDescent="0.25">
      <c r="B2005" t="s">
        <v>1644</v>
      </c>
      <c r="C2005">
        <v>24925</v>
      </c>
      <c r="D2005" t="s">
        <v>1649</v>
      </c>
      <c r="E2005" t="s">
        <v>387</v>
      </c>
      <c r="F2005" t="s">
        <v>305</v>
      </c>
      <c r="G2005" t="s">
        <v>304</v>
      </c>
      <c r="H2005" t="s">
        <v>30</v>
      </c>
      <c r="I2005" t="s">
        <v>35</v>
      </c>
      <c r="J2005" t="s">
        <v>32</v>
      </c>
      <c r="K2005" t="s">
        <v>35</v>
      </c>
      <c r="L2005" t="s">
        <v>73</v>
      </c>
      <c r="M2005" t="s">
        <v>264</v>
      </c>
      <c r="N2005" t="s">
        <v>46</v>
      </c>
      <c r="P2005" t="s">
        <v>1646</v>
      </c>
      <c r="R2005" s="5">
        <v>41201.527789351851</v>
      </c>
      <c r="S2005" s="5">
        <v>41815.736527777779</v>
      </c>
      <c r="T2005" t="s">
        <v>1529</v>
      </c>
      <c r="U2005" t="s">
        <v>35</v>
      </c>
      <c r="V2005" s="3" t="s">
        <v>35</v>
      </c>
      <c r="W2005" s="3" t="s">
        <v>1646</v>
      </c>
    </row>
    <row r="2006" spans="2:23" x14ac:dyDescent="0.25">
      <c r="B2006" t="s">
        <v>1644</v>
      </c>
      <c r="C2006">
        <v>24924</v>
      </c>
      <c r="D2006" t="s">
        <v>1648</v>
      </c>
      <c r="E2006" t="s">
        <v>387</v>
      </c>
      <c r="F2006" t="s">
        <v>305</v>
      </c>
      <c r="G2006" t="s">
        <v>310</v>
      </c>
      <c r="H2006" t="s">
        <v>30</v>
      </c>
      <c r="I2006" t="s">
        <v>35</v>
      </c>
      <c r="J2006" t="s">
        <v>32</v>
      </c>
      <c r="K2006" t="s">
        <v>35</v>
      </c>
      <c r="L2006" t="s">
        <v>73</v>
      </c>
      <c r="M2006" t="s">
        <v>264</v>
      </c>
      <c r="N2006" t="s">
        <v>46</v>
      </c>
      <c r="P2006" t="s">
        <v>1646</v>
      </c>
      <c r="R2006" s="5">
        <v>41201.527685185189</v>
      </c>
      <c r="S2006" s="5">
        <v>42649.829027777778</v>
      </c>
      <c r="T2006" t="s">
        <v>1529</v>
      </c>
      <c r="U2006" t="s">
        <v>35</v>
      </c>
      <c r="V2006" s="3" t="s">
        <v>35</v>
      </c>
      <c r="W2006" s="3" t="s">
        <v>1634</v>
      </c>
    </row>
    <row r="2007" spans="2:23" x14ac:dyDescent="0.25">
      <c r="B2007" t="s">
        <v>1644</v>
      </c>
      <c r="C2007">
        <v>24920</v>
      </c>
      <c r="D2007" t="s">
        <v>1645</v>
      </c>
      <c r="E2007" t="s">
        <v>387</v>
      </c>
      <c r="F2007" t="s">
        <v>305</v>
      </c>
      <c r="G2007" t="s">
        <v>304</v>
      </c>
      <c r="H2007" t="s">
        <v>30</v>
      </c>
      <c r="I2007" t="s">
        <v>35</v>
      </c>
      <c r="J2007" t="s">
        <v>32</v>
      </c>
      <c r="K2007" t="s">
        <v>35</v>
      </c>
      <c r="L2007" t="s">
        <v>73</v>
      </c>
      <c r="M2007" t="s">
        <v>264</v>
      </c>
      <c r="N2007" t="s">
        <v>46</v>
      </c>
      <c r="P2007" t="s">
        <v>1646</v>
      </c>
      <c r="R2007" s="5">
        <v>41201.288414351853</v>
      </c>
      <c r="S2007" s="5">
        <v>41362.806562500002</v>
      </c>
      <c r="T2007" t="s">
        <v>1647</v>
      </c>
      <c r="U2007" t="s">
        <v>35</v>
      </c>
      <c r="V2007" s="3" t="s">
        <v>35</v>
      </c>
      <c r="W2007" s="3" t="s">
        <v>4098</v>
      </c>
    </row>
    <row r="2008" spans="2:23" x14ac:dyDescent="0.25">
      <c r="B2008" t="s">
        <v>1638</v>
      </c>
      <c r="C2008">
        <v>24799</v>
      </c>
      <c r="D2008" t="s">
        <v>1643</v>
      </c>
      <c r="E2008" t="s">
        <v>387</v>
      </c>
      <c r="F2008" t="s">
        <v>305</v>
      </c>
      <c r="G2008" t="s">
        <v>328</v>
      </c>
      <c r="H2008" t="s">
        <v>30</v>
      </c>
      <c r="I2008" t="s">
        <v>35</v>
      </c>
      <c r="J2008" t="s">
        <v>43</v>
      </c>
      <c r="K2008" t="s">
        <v>35</v>
      </c>
      <c r="L2008" t="s">
        <v>73</v>
      </c>
      <c r="M2008" t="s">
        <v>263</v>
      </c>
      <c r="N2008" t="s">
        <v>46</v>
      </c>
      <c r="P2008" t="s">
        <v>1530</v>
      </c>
      <c r="R2008" s="5">
        <v>41194.740543981483</v>
      </c>
      <c r="S2008" s="5">
        <v>42649.829074074078</v>
      </c>
      <c r="T2008" t="s">
        <v>1529</v>
      </c>
      <c r="U2008" t="s">
        <v>35</v>
      </c>
      <c r="V2008" s="3" t="s">
        <v>35</v>
      </c>
      <c r="W2008" s="3" t="s">
        <v>4104</v>
      </c>
    </row>
    <row r="2009" spans="2:23" x14ac:dyDescent="0.25">
      <c r="B2009" t="s">
        <v>1638</v>
      </c>
      <c r="C2009">
        <v>24798</v>
      </c>
      <c r="D2009" t="s">
        <v>1642</v>
      </c>
      <c r="E2009" t="s">
        <v>387</v>
      </c>
      <c r="F2009" t="s">
        <v>305</v>
      </c>
      <c r="G2009" t="s">
        <v>310</v>
      </c>
      <c r="H2009" t="s">
        <v>30</v>
      </c>
      <c r="I2009" t="s">
        <v>35</v>
      </c>
      <c r="J2009" t="s">
        <v>43</v>
      </c>
      <c r="K2009" t="s">
        <v>35</v>
      </c>
      <c r="L2009" t="s">
        <v>73</v>
      </c>
      <c r="M2009" t="s">
        <v>263</v>
      </c>
      <c r="N2009" t="s">
        <v>46</v>
      </c>
      <c r="P2009" t="s">
        <v>1530</v>
      </c>
      <c r="R2009" s="5">
        <v>41194.740312499998</v>
      </c>
      <c r="S2009" s="5">
        <v>42649.829189814816</v>
      </c>
      <c r="T2009" t="s">
        <v>1529</v>
      </c>
      <c r="U2009" t="s">
        <v>35</v>
      </c>
      <c r="V2009" s="3" t="s">
        <v>35</v>
      </c>
      <c r="W2009" s="3" t="s">
        <v>4113</v>
      </c>
    </row>
    <row r="2010" spans="2:23" x14ac:dyDescent="0.25">
      <c r="B2010" t="s">
        <v>1638</v>
      </c>
      <c r="C2010">
        <v>24797</v>
      </c>
      <c r="D2010" t="s">
        <v>1641</v>
      </c>
      <c r="E2010" t="s">
        <v>387</v>
      </c>
      <c r="F2010" t="s">
        <v>305</v>
      </c>
      <c r="G2010" t="s">
        <v>310</v>
      </c>
      <c r="H2010" t="s">
        <v>30</v>
      </c>
      <c r="I2010" t="s">
        <v>35</v>
      </c>
      <c r="J2010" t="s">
        <v>43</v>
      </c>
      <c r="K2010" t="s">
        <v>35</v>
      </c>
      <c r="L2010" t="s">
        <v>73</v>
      </c>
      <c r="M2010" t="s">
        <v>263</v>
      </c>
      <c r="N2010" t="s">
        <v>46</v>
      </c>
      <c r="P2010" t="s">
        <v>1530</v>
      </c>
      <c r="R2010" s="5">
        <v>41194.740046296298</v>
      </c>
      <c r="S2010" s="5">
        <v>42649.829664351855</v>
      </c>
      <c r="T2010" t="s">
        <v>1529</v>
      </c>
      <c r="U2010" t="s">
        <v>35</v>
      </c>
      <c r="V2010" s="3" t="s">
        <v>35</v>
      </c>
      <c r="W2010" s="3" t="s">
        <v>1634</v>
      </c>
    </row>
    <row r="2011" spans="2:23" x14ac:dyDescent="0.25">
      <c r="B2011" t="s">
        <v>1638</v>
      </c>
      <c r="C2011">
        <v>24796</v>
      </c>
      <c r="D2011" t="s">
        <v>1639</v>
      </c>
      <c r="E2011" t="s">
        <v>387</v>
      </c>
      <c r="F2011" t="s">
        <v>305</v>
      </c>
      <c r="G2011" t="s">
        <v>328</v>
      </c>
      <c r="H2011" t="s">
        <v>30</v>
      </c>
      <c r="I2011" t="s">
        <v>35</v>
      </c>
      <c r="J2011" t="s">
        <v>43</v>
      </c>
      <c r="K2011" t="s">
        <v>35</v>
      </c>
      <c r="L2011" t="s">
        <v>73</v>
      </c>
      <c r="M2011" t="s">
        <v>263</v>
      </c>
      <c r="N2011" t="s">
        <v>46</v>
      </c>
      <c r="P2011" t="s">
        <v>1530</v>
      </c>
      <c r="R2011" s="5">
        <v>41194.72996527778</v>
      </c>
      <c r="S2011" s="5">
        <v>42649.829305555555</v>
      </c>
      <c r="T2011" t="s">
        <v>1640</v>
      </c>
      <c r="U2011" t="s">
        <v>35</v>
      </c>
      <c r="V2011" s="3" t="s">
        <v>35</v>
      </c>
      <c r="W2011" s="3" t="s">
        <v>4098</v>
      </c>
    </row>
    <row r="2012" spans="2:23" x14ac:dyDescent="0.25">
      <c r="B2012" t="s">
        <v>1631</v>
      </c>
      <c r="C2012">
        <v>24655</v>
      </c>
      <c r="D2012" t="s">
        <v>1637</v>
      </c>
      <c r="E2012" t="s">
        <v>1533</v>
      </c>
      <c r="F2012" t="s">
        <v>305</v>
      </c>
      <c r="G2012" t="s">
        <v>304</v>
      </c>
      <c r="H2012" t="s">
        <v>30</v>
      </c>
      <c r="I2012" t="s">
        <v>35</v>
      </c>
      <c r="J2012" t="s">
        <v>43</v>
      </c>
      <c r="K2012" t="s">
        <v>35</v>
      </c>
      <c r="L2012" t="s">
        <v>73</v>
      </c>
      <c r="M2012" t="s">
        <v>1514</v>
      </c>
      <c r="N2012" t="s">
        <v>46</v>
      </c>
      <c r="P2012" t="s">
        <v>1530</v>
      </c>
      <c r="R2012" s="5">
        <v>41189.855138888888</v>
      </c>
      <c r="S2012" s="5">
        <v>42648.811701388891</v>
      </c>
      <c r="T2012" t="s">
        <v>1529</v>
      </c>
      <c r="U2012" t="s">
        <v>35</v>
      </c>
      <c r="V2012" s="3" t="s">
        <v>35</v>
      </c>
      <c r="W2012" s="3" t="s">
        <v>4108</v>
      </c>
    </row>
    <row r="2013" spans="2:23" x14ac:dyDescent="0.25">
      <c r="B2013" t="s">
        <v>1631</v>
      </c>
      <c r="C2013">
        <v>24654</v>
      </c>
      <c r="D2013" t="s">
        <v>1636</v>
      </c>
      <c r="E2013" t="s">
        <v>1533</v>
      </c>
      <c r="F2013" t="s">
        <v>305</v>
      </c>
      <c r="G2013" t="s">
        <v>304</v>
      </c>
      <c r="H2013" t="s">
        <v>30</v>
      </c>
      <c r="I2013" t="s">
        <v>35</v>
      </c>
      <c r="J2013" t="s">
        <v>43</v>
      </c>
      <c r="K2013" t="s">
        <v>35</v>
      </c>
      <c r="L2013" t="s">
        <v>73</v>
      </c>
      <c r="M2013" t="s">
        <v>1514</v>
      </c>
      <c r="N2013" t="s">
        <v>46</v>
      </c>
      <c r="P2013" t="s">
        <v>1530</v>
      </c>
      <c r="R2013" s="5">
        <v>41189.855057870373</v>
      </c>
      <c r="S2013" s="5">
        <v>42648.811909722222</v>
      </c>
      <c r="T2013" t="s">
        <v>1529</v>
      </c>
      <c r="U2013" t="s">
        <v>35</v>
      </c>
      <c r="V2013" s="3" t="s">
        <v>35</v>
      </c>
      <c r="W2013" s="3" t="s">
        <v>4109</v>
      </c>
    </row>
    <row r="2014" spans="2:23" x14ac:dyDescent="0.25">
      <c r="B2014" t="s">
        <v>1631</v>
      </c>
      <c r="C2014">
        <v>24653</v>
      </c>
      <c r="D2014" t="s">
        <v>1635</v>
      </c>
      <c r="E2014" t="s">
        <v>1533</v>
      </c>
      <c r="F2014" t="s">
        <v>305</v>
      </c>
      <c r="G2014" t="s">
        <v>304</v>
      </c>
      <c r="H2014" t="s">
        <v>30</v>
      </c>
      <c r="I2014" t="s">
        <v>35</v>
      </c>
      <c r="J2014" t="s">
        <v>43</v>
      </c>
      <c r="K2014" t="s">
        <v>51</v>
      </c>
      <c r="L2014" t="s">
        <v>73</v>
      </c>
      <c r="M2014" t="s">
        <v>1514</v>
      </c>
      <c r="N2014" t="s">
        <v>46</v>
      </c>
      <c r="P2014" t="s">
        <v>1530</v>
      </c>
      <c r="R2014" s="5">
        <v>41189.854988425926</v>
      </c>
      <c r="S2014" s="5">
        <v>41955.858275462961</v>
      </c>
      <c r="T2014" t="s">
        <v>1529</v>
      </c>
      <c r="U2014" t="s">
        <v>35</v>
      </c>
      <c r="V2014" s="3" t="s">
        <v>35</v>
      </c>
      <c r="W2014" s="3" t="s">
        <v>1634</v>
      </c>
    </row>
    <row r="2015" spans="2:23" x14ac:dyDescent="0.25">
      <c r="B2015" t="s">
        <v>1631</v>
      </c>
      <c r="C2015">
        <v>24651</v>
      </c>
      <c r="D2015" t="s">
        <v>1632</v>
      </c>
      <c r="E2015" t="s">
        <v>1633</v>
      </c>
      <c r="F2015" t="s">
        <v>305</v>
      </c>
      <c r="G2015" t="s">
        <v>304</v>
      </c>
      <c r="H2015" t="s">
        <v>30</v>
      </c>
      <c r="I2015" t="s">
        <v>35</v>
      </c>
      <c r="J2015" t="s">
        <v>43</v>
      </c>
      <c r="K2015" t="s">
        <v>35</v>
      </c>
      <c r="L2015" t="s">
        <v>73</v>
      </c>
      <c r="M2015" t="s">
        <v>1514</v>
      </c>
      <c r="N2015" t="s">
        <v>46</v>
      </c>
      <c r="P2015" t="s">
        <v>1634</v>
      </c>
      <c r="R2015" s="5">
        <v>41189.643692129626</v>
      </c>
      <c r="S2015" s="5">
        <v>42648.811863425923</v>
      </c>
      <c r="T2015" t="s">
        <v>1521</v>
      </c>
      <c r="U2015" t="s">
        <v>35</v>
      </c>
      <c r="V2015" s="3" t="s">
        <v>35</v>
      </c>
      <c r="W2015" s="3" t="s">
        <v>4098</v>
      </c>
    </row>
    <row r="2016" spans="2:23" x14ac:dyDescent="0.25">
      <c r="B2016" t="s">
        <v>1625</v>
      </c>
      <c r="C2016">
        <v>24598</v>
      </c>
      <c r="D2016" t="s">
        <v>1630</v>
      </c>
      <c r="E2016" t="s">
        <v>387</v>
      </c>
      <c r="F2016" t="s">
        <v>305</v>
      </c>
      <c r="G2016" t="s">
        <v>310</v>
      </c>
      <c r="H2016" t="s">
        <v>30</v>
      </c>
      <c r="I2016" t="s">
        <v>35</v>
      </c>
      <c r="J2016" t="s">
        <v>58</v>
      </c>
      <c r="K2016" t="s">
        <v>35</v>
      </c>
      <c r="L2016" t="s">
        <v>73</v>
      </c>
      <c r="M2016" t="s">
        <v>263</v>
      </c>
      <c r="N2016" t="s">
        <v>46</v>
      </c>
      <c r="P2016" t="s">
        <v>1520</v>
      </c>
      <c r="R2016" s="5">
        <v>41186.523530092592</v>
      </c>
      <c r="S2016" s="5">
        <v>42649.828912037039</v>
      </c>
      <c r="T2016" t="s">
        <v>1529</v>
      </c>
      <c r="U2016" t="s">
        <v>35</v>
      </c>
      <c r="V2016" s="3" t="s">
        <v>35</v>
      </c>
      <c r="W2016" s="3" t="s">
        <v>4103</v>
      </c>
    </row>
    <row r="2017" spans="2:23" x14ac:dyDescent="0.25">
      <c r="B2017" t="s">
        <v>1625</v>
      </c>
      <c r="C2017">
        <v>24597</v>
      </c>
      <c r="D2017" t="s">
        <v>1629</v>
      </c>
      <c r="E2017" t="s">
        <v>387</v>
      </c>
      <c r="F2017" t="s">
        <v>305</v>
      </c>
      <c r="G2017" t="s">
        <v>310</v>
      </c>
      <c r="H2017" t="s">
        <v>30</v>
      </c>
      <c r="I2017" t="s">
        <v>35</v>
      </c>
      <c r="J2017" t="s">
        <v>43</v>
      </c>
      <c r="K2017" t="s">
        <v>35</v>
      </c>
      <c r="L2017" t="s">
        <v>73</v>
      </c>
      <c r="M2017" t="s">
        <v>263</v>
      </c>
      <c r="N2017" t="s">
        <v>46</v>
      </c>
      <c r="P2017" t="s">
        <v>1520</v>
      </c>
      <c r="R2017" s="5">
        <v>41186.5234375</v>
      </c>
      <c r="S2017" s="5">
        <v>42649.828750000001</v>
      </c>
      <c r="T2017" t="s">
        <v>1529</v>
      </c>
      <c r="U2017" t="s">
        <v>35</v>
      </c>
      <c r="V2017" s="3" t="s">
        <v>35</v>
      </c>
      <c r="W2017" s="3" t="s">
        <v>4104</v>
      </c>
    </row>
    <row r="2018" spans="2:23" x14ac:dyDescent="0.25">
      <c r="B2018" t="s">
        <v>1625</v>
      </c>
      <c r="C2018">
        <v>24596</v>
      </c>
      <c r="D2018" t="s">
        <v>1628</v>
      </c>
      <c r="E2018" t="s">
        <v>387</v>
      </c>
      <c r="F2018" t="s">
        <v>305</v>
      </c>
      <c r="G2018" t="s">
        <v>310</v>
      </c>
      <c r="H2018" t="s">
        <v>30</v>
      </c>
      <c r="I2018" t="s">
        <v>35</v>
      </c>
      <c r="J2018" t="s">
        <v>58</v>
      </c>
      <c r="K2018" t="s">
        <v>35</v>
      </c>
      <c r="L2018" t="s">
        <v>73</v>
      </c>
      <c r="M2018" t="s">
        <v>263</v>
      </c>
      <c r="N2018" t="s">
        <v>46</v>
      </c>
      <c r="P2018" t="s">
        <v>1520</v>
      </c>
      <c r="R2018" s="5">
        <v>41186.523344907408</v>
      </c>
      <c r="S2018" s="5">
        <v>42649.828969907408</v>
      </c>
      <c r="T2018" t="s">
        <v>1529</v>
      </c>
      <c r="U2018" t="s">
        <v>35</v>
      </c>
      <c r="V2018" s="3" t="s">
        <v>35</v>
      </c>
      <c r="W2018" s="3" t="s">
        <v>1646</v>
      </c>
    </row>
    <row r="2019" spans="2:23" x14ac:dyDescent="0.25">
      <c r="B2019" t="s">
        <v>1625</v>
      </c>
      <c r="C2019">
        <v>24595</v>
      </c>
      <c r="D2019" t="s">
        <v>1627</v>
      </c>
      <c r="E2019" t="s">
        <v>387</v>
      </c>
      <c r="F2019" t="s">
        <v>305</v>
      </c>
      <c r="G2019" t="s">
        <v>310</v>
      </c>
      <c r="H2019" t="s">
        <v>30</v>
      </c>
      <c r="I2019" t="s">
        <v>35</v>
      </c>
      <c r="J2019" t="s">
        <v>58</v>
      </c>
      <c r="K2019" t="s">
        <v>35</v>
      </c>
      <c r="L2019" t="s">
        <v>73</v>
      </c>
      <c r="M2019" t="s">
        <v>263</v>
      </c>
      <c r="N2019" t="s">
        <v>46</v>
      </c>
      <c r="P2019" t="s">
        <v>56</v>
      </c>
      <c r="R2019" s="5">
        <v>41186.5231712963</v>
      </c>
      <c r="S2019" s="5">
        <v>42649.828692129631</v>
      </c>
      <c r="T2019" t="s">
        <v>1529</v>
      </c>
      <c r="U2019" t="s">
        <v>35</v>
      </c>
      <c r="V2019" s="3" t="s">
        <v>35</v>
      </c>
      <c r="W2019" s="3" t="s">
        <v>1634</v>
      </c>
    </row>
    <row r="2020" spans="2:23" x14ac:dyDescent="0.25">
      <c r="B2020" t="s">
        <v>1625</v>
      </c>
      <c r="C2020">
        <v>24588</v>
      </c>
      <c r="D2020" t="s">
        <v>1626</v>
      </c>
      <c r="E2020" t="s">
        <v>387</v>
      </c>
      <c r="F2020" t="s">
        <v>305</v>
      </c>
      <c r="G2020" t="s">
        <v>337</v>
      </c>
      <c r="H2020" t="s">
        <v>30</v>
      </c>
      <c r="I2020" t="s">
        <v>35</v>
      </c>
      <c r="J2020" t="s">
        <v>43</v>
      </c>
      <c r="K2020" t="s">
        <v>35</v>
      </c>
      <c r="L2020" t="s">
        <v>73</v>
      </c>
      <c r="M2020" t="s">
        <v>263</v>
      </c>
      <c r="N2020" t="s">
        <v>46</v>
      </c>
      <c r="P2020" t="s">
        <v>1520</v>
      </c>
      <c r="R2020" s="5">
        <v>41186.238356481481</v>
      </c>
      <c r="S2020" s="5">
        <v>42649.828668981485</v>
      </c>
      <c r="T2020" t="s">
        <v>299</v>
      </c>
      <c r="U2020" t="s">
        <v>35</v>
      </c>
      <c r="V2020" s="3" t="s">
        <v>35</v>
      </c>
      <c r="W2020" s="3" t="s">
        <v>4098</v>
      </c>
    </row>
    <row r="2021" spans="2:23" x14ac:dyDescent="0.25">
      <c r="B2021" t="s">
        <v>1531</v>
      </c>
      <c r="C2021">
        <v>24148</v>
      </c>
      <c r="D2021" t="s">
        <v>1624</v>
      </c>
      <c r="E2021" t="s">
        <v>1533</v>
      </c>
      <c r="F2021" t="s">
        <v>305</v>
      </c>
      <c r="G2021" t="s">
        <v>337</v>
      </c>
      <c r="H2021" t="s">
        <v>30</v>
      </c>
      <c r="I2021" t="s">
        <v>35</v>
      </c>
      <c r="J2021" t="s">
        <v>43</v>
      </c>
      <c r="K2021" t="s">
        <v>35</v>
      </c>
      <c r="L2021" t="s">
        <v>73</v>
      </c>
      <c r="M2021" t="s">
        <v>1514</v>
      </c>
      <c r="N2021" t="s">
        <v>46</v>
      </c>
      <c r="P2021" t="s">
        <v>1528</v>
      </c>
      <c r="R2021" s="5">
        <v>41165.676655092589</v>
      </c>
      <c r="S2021" s="5">
        <v>42649.828483796293</v>
      </c>
      <c r="T2021" t="s">
        <v>1529</v>
      </c>
      <c r="U2021" t="s">
        <v>35</v>
      </c>
      <c r="V2021" s="3" t="s">
        <v>35</v>
      </c>
      <c r="W2021" s="3" t="s">
        <v>4104</v>
      </c>
    </row>
    <row r="2022" spans="2:23" x14ac:dyDescent="0.25">
      <c r="B2022" t="s">
        <v>1531</v>
      </c>
      <c r="C2022">
        <v>24147</v>
      </c>
      <c r="D2022" t="s">
        <v>1623</v>
      </c>
      <c r="E2022" t="s">
        <v>1533</v>
      </c>
      <c r="F2022" t="s">
        <v>305</v>
      </c>
      <c r="G2022" t="s">
        <v>337</v>
      </c>
      <c r="H2022" t="s">
        <v>30</v>
      </c>
      <c r="I2022" t="s">
        <v>35</v>
      </c>
      <c r="J2022" t="s">
        <v>43</v>
      </c>
      <c r="K2022" t="s">
        <v>35</v>
      </c>
      <c r="L2022" t="s">
        <v>73</v>
      </c>
      <c r="M2022" t="s">
        <v>1514</v>
      </c>
      <c r="N2022" t="s">
        <v>46</v>
      </c>
      <c r="P2022" t="s">
        <v>1528</v>
      </c>
      <c r="R2022" s="5">
        <v>41165.676458333335</v>
      </c>
      <c r="S2022" s="5">
        <v>42649.828541666669</v>
      </c>
      <c r="T2022" t="s">
        <v>1529</v>
      </c>
      <c r="U2022" t="s">
        <v>35</v>
      </c>
      <c r="V2022" s="3" t="s">
        <v>35</v>
      </c>
      <c r="W2022" s="3" t="s">
        <v>4113</v>
      </c>
    </row>
    <row r="2023" spans="2:23" x14ac:dyDescent="0.25">
      <c r="B2023" t="s">
        <v>1531</v>
      </c>
      <c r="C2023">
        <v>24146</v>
      </c>
      <c r="D2023" t="s">
        <v>1622</v>
      </c>
      <c r="E2023" t="s">
        <v>1613</v>
      </c>
      <c r="F2023" t="s">
        <v>305</v>
      </c>
      <c r="G2023" t="s">
        <v>304</v>
      </c>
      <c r="H2023" t="s">
        <v>30</v>
      </c>
      <c r="I2023" t="s">
        <v>35</v>
      </c>
      <c r="J2023" t="s">
        <v>43</v>
      </c>
      <c r="K2023" t="s">
        <v>35</v>
      </c>
      <c r="L2023" t="s">
        <v>73</v>
      </c>
      <c r="M2023" t="s">
        <v>1514</v>
      </c>
      <c r="N2023" t="s">
        <v>46</v>
      </c>
      <c r="P2023" t="s">
        <v>1528</v>
      </c>
      <c r="R2023" s="5">
        <v>41165.676342592589</v>
      </c>
      <c r="S2023" s="5">
        <v>42648.811331018522</v>
      </c>
      <c r="T2023" t="s">
        <v>1529</v>
      </c>
      <c r="U2023" t="s">
        <v>35</v>
      </c>
      <c r="V2023" s="3" t="s">
        <v>35</v>
      </c>
      <c r="W2023" s="3" t="s">
        <v>1634</v>
      </c>
    </row>
    <row r="2024" spans="2:23" x14ac:dyDescent="0.25">
      <c r="B2024" t="s">
        <v>1618</v>
      </c>
      <c r="C2024">
        <v>23934</v>
      </c>
      <c r="D2024" t="s">
        <v>1619</v>
      </c>
      <c r="E2024" t="s">
        <v>1620</v>
      </c>
      <c r="F2024" t="s">
        <v>305</v>
      </c>
      <c r="G2024" t="s">
        <v>1621</v>
      </c>
      <c r="H2024" t="s">
        <v>30</v>
      </c>
      <c r="I2024" t="s">
        <v>31</v>
      </c>
      <c r="J2024" t="s">
        <v>32</v>
      </c>
      <c r="K2024" t="s">
        <v>33</v>
      </c>
      <c r="L2024" t="s">
        <v>34</v>
      </c>
      <c r="M2024" t="s">
        <v>336</v>
      </c>
      <c r="N2024" t="s">
        <v>46</v>
      </c>
      <c r="P2024" t="s">
        <v>1530</v>
      </c>
      <c r="R2024" s="5">
        <v>41156.653368055559</v>
      </c>
      <c r="S2024" s="5">
        <v>42034.642002314817</v>
      </c>
      <c r="T2024" t="s">
        <v>39</v>
      </c>
      <c r="U2024" t="s">
        <v>35</v>
      </c>
      <c r="V2024" s="3" t="s">
        <v>35</v>
      </c>
      <c r="W2024" s="3" t="s">
        <v>4112</v>
      </c>
    </row>
    <row r="2025" spans="2:23" x14ac:dyDescent="0.25">
      <c r="B2025" t="s">
        <v>3778</v>
      </c>
      <c r="C2025">
        <v>23599</v>
      </c>
      <c r="D2025" t="s">
        <v>3779</v>
      </c>
      <c r="E2025" t="s">
        <v>39</v>
      </c>
      <c r="F2025" t="s">
        <v>305</v>
      </c>
      <c r="G2025" t="s">
        <v>337</v>
      </c>
      <c r="H2025" t="s">
        <v>426</v>
      </c>
      <c r="I2025" t="s">
        <v>68</v>
      </c>
      <c r="J2025" t="s">
        <v>58</v>
      </c>
      <c r="K2025" t="s">
        <v>51</v>
      </c>
      <c r="L2025" t="s">
        <v>34</v>
      </c>
      <c r="M2025" t="s">
        <v>3780</v>
      </c>
      <c r="N2025" t="s">
        <v>2226</v>
      </c>
      <c r="P2025" t="s">
        <v>1530</v>
      </c>
      <c r="R2025" s="5">
        <v>41135.659479166665</v>
      </c>
      <c r="S2025" s="5">
        <v>42649.915543981479</v>
      </c>
      <c r="T2025" t="s">
        <v>39</v>
      </c>
      <c r="U2025" t="s">
        <v>35</v>
      </c>
      <c r="V2025" s="3" t="s">
        <v>35</v>
      </c>
      <c r="W2025" s="3" t="s">
        <v>4111</v>
      </c>
    </row>
    <row r="2026" spans="2:23" x14ac:dyDescent="0.25">
      <c r="B2026" t="s">
        <v>1596</v>
      </c>
      <c r="C2026">
        <v>23353</v>
      </c>
      <c r="D2026" t="s">
        <v>1617</v>
      </c>
      <c r="E2026" t="s">
        <v>387</v>
      </c>
      <c r="F2026" t="s">
        <v>305</v>
      </c>
      <c r="G2026" t="s">
        <v>304</v>
      </c>
      <c r="H2026" t="s">
        <v>30</v>
      </c>
      <c r="I2026" t="s">
        <v>35</v>
      </c>
      <c r="J2026" t="s">
        <v>32</v>
      </c>
      <c r="K2026" t="s">
        <v>35</v>
      </c>
      <c r="L2026" t="s">
        <v>73</v>
      </c>
      <c r="M2026" t="s">
        <v>263</v>
      </c>
      <c r="N2026" t="s">
        <v>46</v>
      </c>
      <c r="P2026" t="s">
        <v>1520</v>
      </c>
      <c r="R2026" s="5">
        <v>41124.560115740744</v>
      </c>
      <c r="S2026" s="5">
        <v>42648.810150462959</v>
      </c>
      <c r="T2026" t="s">
        <v>1529</v>
      </c>
      <c r="U2026" t="s">
        <v>35</v>
      </c>
      <c r="V2026" s="3" t="s">
        <v>35</v>
      </c>
      <c r="W2026" s="3" t="s">
        <v>4101</v>
      </c>
    </row>
    <row r="2027" spans="2:23" x14ac:dyDescent="0.25">
      <c r="B2027" t="s">
        <v>1596</v>
      </c>
      <c r="C2027">
        <v>23352</v>
      </c>
      <c r="D2027" t="s">
        <v>1616</v>
      </c>
      <c r="E2027" t="s">
        <v>387</v>
      </c>
      <c r="F2027" t="s">
        <v>305</v>
      </c>
      <c r="G2027" t="s">
        <v>304</v>
      </c>
      <c r="H2027" t="s">
        <v>30</v>
      </c>
      <c r="I2027" t="s">
        <v>35</v>
      </c>
      <c r="J2027" t="s">
        <v>32</v>
      </c>
      <c r="K2027" t="s">
        <v>35</v>
      </c>
      <c r="L2027" t="s">
        <v>73</v>
      </c>
      <c r="M2027" t="s">
        <v>263</v>
      </c>
      <c r="N2027" t="s">
        <v>46</v>
      </c>
      <c r="P2027" t="s">
        <v>1520</v>
      </c>
      <c r="R2027" s="5">
        <v>41124.559618055559</v>
      </c>
      <c r="S2027" s="5">
        <v>42648.810046296298</v>
      </c>
      <c r="T2027" t="s">
        <v>1529</v>
      </c>
      <c r="U2027" t="s">
        <v>35</v>
      </c>
      <c r="V2027" s="3" t="s">
        <v>35</v>
      </c>
      <c r="W2027" s="3" t="s">
        <v>4099</v>
      </c>
    </row>
    <row r="2028" spans="2:23" x14ac:dyDescent="0.25">
      <c r="B2028" t="s">
        <v>1596</v>
      </c>
      <c r="C2028">
        <v>23351</v>
      </c>
      <c r="D2028" t="s">
        <v>1615</v>
      </c>
      <c r="E2028" t="s">
        <v>387</v>
      </c>
      <c r="F2028" t="s">
        <v>305</v>
      </c>
      <c r="G2028" t="s">
        <v>304</v>
      </c>
      <c r="H2028" t="s">
        <v>30</v>
      </c>
      <c r="I2028" t="s">
        <v>35</v>
      </c>
      <c r="J2028" t="s">
        <v>32</v>
      </c>
      <c r="K2028" t="s">
        <v>35</v>
      </c>
      <c r="L2028" t="s">
        <v>73</v>
      </c>
      <c r="M2028" t="s">
        <v>263</v>
      </c>
      <c r="N2028" t="s">
        <v>46</v>
      </c>
      <c r="P2028" t="s">
        <v>1520</v>
      </c>
      <c r="R2028" s="5">
        <v>41124.558680555558</v>
      </c>
      <c r="S2028" s="5">
        <v>41815.73641203704</v>
      </c>
      <c r="T2028" t="s">
        <v>1529</v>
      </c>
      <c r="U2028" t="s">
        <v>35</v>
      </c>
      <c r="V2028" s="3" t="s">
        <v>35</v>
      </c>
      <c r="W2028" s="3" t="s">
        <v>4110</v>
      </c>
    </row>
    <row r="2029" spans="2:23" x14ac:dyDescent="0.25">
      <c r="B2029" t="s">
        <v>1596</v>
      </c>
      <c r="C2029">
        <v>23350</v>
      </c>
      <c r="D2029" t="s">
        <v>1614</v>
      </c>
      <c r="E2029" t="s">
        <v>387</v>
      </c>
      <c r="F2029" t="s">
        <v>305</v>
      </c>
      <c r="G2029" t="s">
        <v>304</v>
      </c>
      <c r="H2029" t="s">
        <v>30</v>
      </c>
      <c r="I2029" t="s">
        <v>35</v>
      </c>
      <c r="J2029" t="s">
        <v>32</v>
      </c>
      <c r="K2029" t="s">
        <v>35</v>
      </c>
      <c r="L2029" t="s">
        <v>73</v>
      </c>
      <c r="M2029" t="s">
        <v>263</v>
      </c>
      <c r="N2029" t="s">
        <v>46</v>
      </c>
      <c r="P2029" t="s">
        <v>1520</v>
      </c>
      <c r="R2029" s="5">
        <v>41124.557719907411</v>
      </c>
      <c r="S2029" s="5">
        <v>41815.736886574072</v>
      </c>
      <c r="T2029" t="s">
        <v>1529</v>
      </c>
      <c r="U2029" t="s">
        <v>35</v>
      </c>
      <c r="V2029" s="3" t="s">
        <v>35</v>
      </c>
      <c r="W2029" s="3" t="s">
        <v>1646</v>
      </c>
    </row>
    <row r="2030" spans="2:23" x14ac:dyDescent="0.25">
      <c r="B2030" t="s">
        <v>1596</v>
      </c>
      <c r="C2030">
        <v>23349</v>
      </c>
      <c r="D2030" t="s">
        <v>1612</v>
      </c>
      <c r="E2030" t="s">
        <v>1613</v>
      </c>
      <c r="F2030" t="s">
        <v>305</v>
      </c>
      <c r="G2030" t="s">
        <v>304</v>
      </c>
      <c r="H2030" t="s">
        <v>30</v>
      </c>
      <c r="I2030" t="s">
        <v>35</v>
      </c>
      <c r="J2030" t="s">
        <v>32</v>
      </c>
      <c r="K2030" t="s">
        <v>35</v>
      </c>
      <c r="L2030" t="s">
        <v>73</v>
      </c>
      <c r="M2030" t="s">
        <v>263</v>
      </c>
      <c r="N2030" t="s">
        <v>46</v>
      </c>
      <c r="P2030" t="s">
        <v>1520</v>
      </c>
      <c r="R2030" s="5">
        <v>41124.556620370371</v>
      </c>
      <c r="S2030" s="5">
        <v>42648.809965277775</v>
      </c>
      <c r="T2030" t="s">
        <v>1529</v>
      </c>
      <c r="U2030" t="s">
        <v>35</v>
      </c>
      <c r="V2030" s="3" t="s">
        <v>35</v>
      </c>
      <c r="W2030" s="3" t="s">
        <v>1634</v>
      </c>
    </row>
    <row r="2031" spans="2:23" x14ac:dyDescent="0.25">
      <c r="B2031" t="s">
        <v>1596</v>
      </c>
      <c r="C2031">
        <v>23238</v>
      </c>
      <c r="D2031" t="s">
        <v>1610</v>
      </c>
      <c r="E2031" t="s">
        <v>387</v>
      </c>
      <c r="F2031" t="s">
        <v>305</v>
      </c>
      <c r="G2031" t="s">
        <v>304</v>
      </c>
      <c r="H2031" t="s">
        <v>30</v>
      </c>
      <c r="I2031" t="s">
        <v>35</v>
      </c>
      <c r="J2031" t="s">
        <v>32</v>
      </c>
      <c r="K2031" t="s">
        <v>35</v>
      </c>
      <c r="L2031" t="s">
        <v>73</v>
      </c>
      <c r="M2031" t="s">
        <v>263</v>
      </c>
      <c r="N2031" t="s">
        <v>46</v>
      </c>
      <c r="P2031" t="s">
        <v>1520</v>
      </c>
      <c r="R2031" s="5">
        <v>41121.010081018518</v>
      </c>
      <c r="S2031" s="5">
        <v>41815.750138888892</v>
      </c>
      <c r="T2031" t="s">
        <v>1611</v>
      </c>
      <c r="U2031" t="s">
        <v>35</v>
      </c>
      <c r="V2031" s="3" t="s">
        <v>35</v>
      </c>
      <c r="W2031" s="3" t="s">
        <v>4098</v>
      </c>
    </row>
    <row r="2032" spans="2:23" x14ac:dyDescent="0.25">
      <c r="B2032" t="s">
        <v>1603</v>
      </c>
      <c r="C2032">
        <v>22788</v>
      </c>
      <c r="D2032" t="s">
        <v>1609</v>
      </c>
      <c r="E2032" t="s">
        <v>387</v>
      </c>
      <c r="F2032" t="s">
        <v>305</v>
      </c>
      <c r="G2032" t="s">
        <v>337</v>
      </c>
      <c r="H2032" t="s">
        <v>30</v>
      </c>
      <c r="I2032" t="s">
        <v>35</v>
      </c>
      <c r="J2032" t="s">
        <v>32</v>
      </c>
      <c r="K2032" t="s">
        <v>35</v>
      </c>
      <c r="L2032" t="s">
        <v>96</v>
      </c>
      <c r="M2032" t="s">
        <v>269</v>
      </c>
      <c r="N2032" t="s">
        <v>46</v>
      </c>
      <c r="P2032" t="s">
        <v>1530</v>
      </c>
      <c r="R2032" s="5">
        <v>41094.608634259261</v>
      </c>
      <c r="S2032" s="5">
        <v>42649.82644675926</v>
      </c>
      <c r="T2032" t="s">
        <v>1529</v>
      </c>
      <c r="U2032" t="s">
        <v>35</v>
      </c>
      <c r="V2032" s="3" t="s">
        <v>35</v>
      </c>
      <c r="W2032" s="3" t="s">
        <v>4105</v>
      </c>
    </row>
    <row r="2033" spans="2:23" x14ac:dyDescent="0.25">
      <c r="B2033" t="s">
        <v>1603</v>
      </c>
      <c r="C2033">
        <v>22787</v>
      </c>
      <c r="D2033" t="s">
        <v>1608</v>
      </c>
      <c r="E2033" t="s">
        <v>387</v>
      </c>
      <c r="F2033" t="s">
        <v>305</v>
      </c>
      <c r="G2033" t="s">
        <v>337</v>
      </c>
      <c r="H2033" t="s">
        <v>30</v>
      </c>
      <c r="I2033" t="s">
        <v>35</v>
      </c>
      <c r="J2033" t="s">
        <v>32</v>
      </c>
      <c r="K2033" t="s">
        <v>35</v>
      </c>
      <c r="L2033" t="s">
        <v>96</v>
      </c>
      <c r="M2033" t="s">
        <v>269</v>
      </c>
      <c r="N2033" t="s">
        <v>46</v>
      </c>
      <c r="P2033" t="s">
        <v>1530</v>
      </c>
      <c r="R2033" s="5">
        <v>41094.607222222221</v>
      </c>
      <c r="S2033" s="5">
        <v>42649.82640046296</v>
      </c>
      <c r="T2033" t="s">
        <v>1529</v>
      </c>
      <c r="U2033" t="s">
        <v>35</v>
      </c>
      <c r="V2033" s="3" t="s">
        <v>35</v>
      </c>
      <c r="W2033" s="3" t="s">
        <v>4103</v>
      </c>
    </row>
    <row r="2034" spans="2:23" x14ac:dyDescent="0.25">
      <c r="B2034" t="s">
        <v>1603</v>
      </c>
      <c r="C2034">
        <v>22786</v>
      </c>
      <c r="D2034" t="s">
        <v>1607</v>
      </c>
      <c r="E2034" t="s">
        <v>1533</v>
      </c>
      <c r="F2034" t="s">
        <v>305</v>
      </c>
      <c r="G2034" t="s">
        <v>304</v>
      </c>
      <c r="H2034" t="s">
        <v>30</v>
      </c>
      <c r="I2034" t="s">
        <v>35</v>
      </c>
      <c r="J2034" t="s">
        <v>32</v>
      </c>
      <c r="K2034" t="s">
        <v>35</v>
      </c>
      <c r="L2034" t="s">
        <v>96</v>
      </c>
      <c r="M2034" t="s">
        <v>269</v>
      </c>
      <c r="N2034" t="s">
        <v>46</v>
      </c>
      <c r="P2034" t="s">
        <v>1530</v>
      </c>
      <c r="R2034" s="5">
        <v>41094.606145833335</v>
      </c>
      <c r="S2034" s="5">
        <v>41815.736666666664</v>
      </c>
      <c r="T2034" t="s">
        <v>1529</v>
      </c>
      <c r="U2034" t="s">
        <v>35</v>
      </c>
      <c r="V2034" s="3" t="s">
        <v>35</v>
      </c>
      <c r="W2034" s="3" t="s">
        <v>4108</v>
      </c>
    </row>
    <row r="2035" spans="2:23" x14ac:dyDescent="0.25">
      <c r="B2035" t="s">
        <v>1603</v>
      </c>
      <c r="C2035">
        <v>22785</v>
      </c>
      <c r="D2035" t="s">
        <v>1606</v>
      </c>
      <c r="E2035" t="s">
        <v>1533</v>
      </c>
      <c r="F2035" t="s">
        <v>305</v>
      </c>
      <c r="G2035" t="s">
        <v>304</v>
      </c>
      <c r="H2035" t="s">
        <v>30</v>
      </c>
      <c r="I2035" t="s">
        <v>35</v>
      </c>
      <c r="J2035" t="s">
        <v>32</v>
      </c>
      <c r="K2035" t="s">
        <v>35</v>
      </c>
      <c r="L2035" t="s">
        <v>96</v>
      </c>
      <c r="M2035" t="s">
        <v>269</v>
      </c>
      <c r="N2035" t="s">
        <v>46</v>
      </c>
      <c r="P2035" t="s">
        <v>1530</v>
      </c>
      <c r="R2035" s="5">
        <v>41094.604201388887</v>
      </c>
      <c r="S2035" s="5">
        <v>41815.736817129633</v>
      </c>
      <c r="T2035" t="s">
        <v>1529</v>
      </c>
      <c r="U2035" t="s">
        <v>35</v>
      </c>
      <c r="V2035" s="3" t="s">
        <v>35</v>
      </c>
      <c r="W2035" s="3" t="s">
        <v>4109</v>
      </c>
    </row>
    <row r="2036" spans="2:23" x14ac:dyDescent="0.25">
      <c r="B2036" t="s">
        <v>1603</v>
      </c>
      <c r="C2036">
        <v>22783</v>
      </c>
      <c r="D2036" t="s">
        <v>1604</v>
      </c>
      <c r="E2036" t="s">
        <v>1533</v>
      </c>
      <c r="F2036" t="s">
        <v>305</v>
      </c>
      <c r="G2036" t="s">
        <v>304</v>
      </c>
      <c r="H2036" t="s">
        <v>54</v>
      </c>
      <c r="I2036" t="s">
        <v>35</v>
      </c>
      <c r="J2036" t="s">
        <v>32</v>
      </c>
      <c r="K2036" t="s">
        <v>35</v>
      </c>
      <c r="L2036" t="s">
        <v>73</v>
      </c>
      <c r="M2036" t="s">
        <v>1514</v>
      </c>
      <c r="N2036" t="s">
        <v>46</v>
      </c>
      <c r="P2036" t="s">
        <v>1530</v>
      </c>
      <c r="R2036" s="5">
        <v>41094.336458333331</v>
      </c>
      <c r="S2036" s="5">
        <v>41705.871944444443</v>
      </c>
      <c r="T2036" t="s">
        <v>1605</v>
      </c>
      <c r="U2036" t="s">
        <v>35</v>
      </c>
      <c r="V2036" s="3" t="s">
        <v>35</v>
      </c>
      <c r="W2036" s="3" t="s">
        <v>4098</v>
      </c>
    </row>
    <row r="2037" spans="2:23" x14ac:dyDescent="0.25">
      <c r="B2037" t="s">
        <v>1596</v>
      </c>
      <c r="C2037">
        <v>22679</v>
      </c>
      <c r="D2037" t="s">
        <v>1602</v>
      </c>
      <c r="E2037" t="s">
        <v>387</v>
      </c>
      <c r="F2037" t="s">
        <v>305</v>
      </c>
      <c r="G2037" t="s">
        <v>310</v>
      </c>
      <c r="H2037" t="s">
        <v>30</v>
      </c>
      <c r="I2037" t="s">
        <v>35</v>
      </c>
      <c r="J2037" t="s">
        <v>32</v>
      </c>
      <c r="K2037" t="s">
        <v>35</v>
      </c>
      <c r="L2037" t="s">
        <v>73</v>
      </c>
      <c r="M2037" t="s">
        <v>263</v>
      </c>
      <c r="N2037" t="s">
        <v>46</v>
      </c>
      <c r="P2037" t="s">
        <v>1520</v>
      </c>
      <c r="R2037" s="5">
        <v>41087.934513888889</v>
      </c>
      <c r="S2037" s="5">
        <v>42649.826377314814</v>
      </c>
      <c r="T2037" t="s">
        <v>1529</v>
      </c>
      <c r="U2037" t="s">
        <v>35</v>
      </c>
      <c r="V2037" s="3" t="s">
        <v>35</v>
      </c>
      <c r="W2037" s="3" t="s">
        <v>4102</v>
      </c>
    </row>
    <row r="2038" spans="2:23" x14ac:dyDescent="0.25">
      <c r="B2038" t="s">
        <v>1596</v>
      </c>
      <c r="C2038">
        <v>22678</v>
      </c>
      <c r="D2038" t="s">
        <v>1601</v>
      </c>
      <c r="E2038" t="s">
        <v>387</v>
      </c>
      <c r="F2038" t="s">
        <v>305</v>
      </c>
      <c r="G2038" t="s">
        <v>310</v>
      </c>
      <c r="H2038" t="s">
        <v>30</v>
      </c>
      <c r="I2038" t="s">
        <v>35</v>
      </c>
      <c r="J2038" t="s">
        <v>32</v>
      </c>
      <c r="K2038" t="s">
        <v>35</v>
      </c>
      <c r="L2038" t="s">
        <v>73</v>
      </c>
      <c r="M2038" t="s">
        <v>263</v>
      </c>
      <c r="N2038" t="s">
        <v>46</v>
      </c>
      <c r="P2038" t="s">
        <v>1520</v>
      </c>
      <c r="R2038" s="5">
        <v>41087.933437500003</v>
      </c>
      <c r="S2038" s="5">
        <v>42649.826284722221</v>
      </c>
      <c r="T2038" t="s">
        <v>1529</v>
      </c>
      <c r="U2038" t="s">
        <v>35</v>
      </c>
      <c r="V2038" s="3" t="s">
        <v>35</v>
      </c>
      <c r="W2038" s="3" t="s">
        <v>4103</v>
      </c>
    </row>
    <row r="2039" spans="2:23" x14ac:dyDescent="0.25">
      <c r="B2039" t="s">
        <v>1596</v>
      </c>
      <c r="C2039">
        <v>22677</v>
      </c>
      <c r="D2039" t="s">
        <v>1600</v>
      </c>
      <c r="E2039" t="s">
        <v>387</v>
      </c>
      <c r="F2039" t="s">
        <v>305</v>
      </c>
      <c r="G2039" t="s">
        <v>310</v>
      </c>
      <c r="H2039" t="s">
        <v>30</v>
      </c>
      <c r="I2039" t="s">
        <v>35</v>
      </c>
      <c r="J2039" t="s">
        <v>32</v>
      </c>
      <c r="K2039" t="s">
        <v>35</v>
      </c>
      <c r="L2039" t="s">
        <v>73</v>
      </c>
      <c r="M2039" t="s">
        <v>263</v>
      </c>
      <c r="N2039" t="s">
        <v>46</v>
      </c>
      <c r="P2039" t="s">
        <v>1520</v>
      </c>
      <c r="R2039" s="5">
        <v>41087.932175925926</v>
      </c>
      <c r="S2039" s="5">
        <v>42649.826122685183</v>
      </c>
      <c r="T2039" t="s">
        <v>1529</v>
      </c>
      <c r="U2039" t="s">
        <v>35</v>
      </c>
      <c r="V2039" s="3" t="s">
        <v>35</v>
      </c>
      <c r="W2039" s="3" t="s">
        <v>4104</v>
      </c>
    </row>
    <row r="2040" spans="2:23" x14ac:dyDescent="0.25">
      <c r="B2040" t="s">
        <v>1596</v>
      </c>
      <c r="C2040">
        <v>22676</v>
      </c>
      <c r="D2040" t="s">
        <v>1599</v>
      </c>
      <c r="E2040" t="s">
        <v>387</v>
      </c>
      <c r="F2040" t="s">
        <v>305</v>
      </c>
      <c r="G2040" t="s">
        <v>310</v>
      </c>
      <c r="H2040" t="s">
        <v>30</v>
      </c>
      <c r="I2040" t="s">
        <v>35</v>
      </c>
      <c r="J2040" t="s">
        <v>32</v>
      </c>
      <c r="K2040" t="s">
        <v>35</v>
      </c>
      <c r="L2040" t="s">
        <v>73</v>
      </c>
      <c r="M2040" t="s">
        <v>263</v>
      </c>
      <c r="N2040" t="s">
        <v>46</v>
      </c>
      <c r="P2040" t="s">
        <v>1520</v>
      </c>
      <c r="R2040" s="5">
        <v>41087.93037037037</v>
      </c>
      <c r="S2040" s="5">
        <v>42649.826423611114</v>
      </c>
      <c r="T2040" t="s">
        <v>1529</v>
      </c>
      <c r="U2040" t="s">
        <v>35</v>
      </c>
      <c r="V2040" s="3" t="s">
        <v>35</v>
      </c>
      <c r="W2040" s="3" t="s">
        <v>1646</v>
      </c>
    </row>
    <row r="2041" spans="2:23" x14ac:dyDescent="0.25">
      <c r="B2041" t="s">
        <v>1596</v>
      </c>
      <c r="C2041">
        <v>22674</v>
      </c>
      <c r="D2041" t="s">
        <v>1597</v>
      </c>
      <c r="E2041" t="s">
        <v>1598</v>
      </c>
      <c r="F2041" t="s">
        <v>305</v>
      </c>
      <c r="G2041" t="s">
        <v>337</v>
      </c>
      <c r="H2041" t="s">
        <v>30</v>
      </c>
      <c r="I2041" t="s">
        <v>35</v>
      </c>
      <c r="J2041" t="s">
        <v>32</v>
      </c>
      <c r="K2041" t="s">
        <v>35</v>
      </c>
      <c r="L2041" t="s">
        <v>73</v>
      </c>
      <c r="M2041" t="s">
        <v>263</v>
      </c>
      <c r="N2041" t="s">
        <v>46</v>
      </c>
      <c r="P2041" t="s">
        <v>1520</v>
      </c>
      <c r="R2041" s="5">
        <v>41087.889918981484</v>
      </c>
      <c r="S2041" s="5">
        <v>42649.826249999998</v>
      </c>
      <c r="T2041" t="s">
        <v>1598</v>
      </c>
      <c r="U2041" t="s">
        <v>35</v>
      </c>
      <c r="V2041" s="3" t="s">
        <v>35</v>
      </c>
      <c r="W2041" s="3" t="s">
        <v>4098</v>
      </c>
    </row>
    <row r="2042" spans="2:23" x14ac:dyDescent="0.25">
      <c r="B2042" t="s">
        <v>1561</v>
      </c>
      <c r="C2042">
        <v>22437</v>
      </c>
      <c r="D2042" t="s">
        <v>1595</v>
      </c>
      <c r="E2042" t="s">
        <v>387</v>
      </c>
      <c r="F2042" t="s">
        <v>305</v>
      </c>
      <c r="G2042" t="s">
        <v>310</v>
      </c>
      <c r="H2042" t="s">
        <v>30</v>
      </c>
      <c r="I2042" t="s">
        <v>35</v>
      </c>
      <c r="J2042" t="s">
        <v>43</v>
      </c>
      <c r="K2042" t="s">
        <v>35</v>
      </c>
      <c r="L2042" t="s">
        <v>96</v>
      </c>
      <c r="M2042" t="s">
        <v>269</v>
      </c>
      <c r="N2042" t="s">
        <v>46</v>
      </c>
      <c r="P2042" t="s">
        <v>1520</v>
      </c>
      <c r="R2042" s="5">
        <v>41072.91300925926</v>
      </c>
      <c r="S2042" s="5">
        <v>42649.826365740744</v>
      </c>
      <c r="T2042" t="s">
        <v>1529</v>
      </c>
      <c r="U2042" t="s">
        <v>35</v>
      </c>
      <c r="V2042" s="3" t="s">
        <v>35</v>
      </c>
      <c r="W2042" s="3" t="s">
        <v>4105</v>
      </c>
    </row>
    <row r="2043" spans="2:23" x14ac:dyDescent="0.25">
      <c r="B2043" t="s">
        <v>1561</v>
      </c>
      <c r="C2043">
        <v>22436</v>
      </c>
      <c r="D2043" t="s">
        <v>1594</v>
      </c>
      <c r="E2043" t="s">
        <v>387</v>
      </c>
      <c r="F2043" t="s">
        <v>305</v>
      </c>
      <c r="G2043" t="s">
        <v>310</v>
      </c>
      <c r="H2043" t="s">
        <v>30</v>
      </c>
      <c r="I2043" t="s">
        <v>35</v>
      </c>
      <c r="J2043" t="s">
        <v>43</v>
      </c>
      <c r="K2043" t="s">
        <v>35</v>
      </c>
      <c r="L2043" t="s">
        <v>96</v>
      </c>
      <c r="M2043" t="s">
        <v>269</v>
      </c>
      <c r="N2043" t="s">
        <v>46</v>
      </c>
      <c r="P2043" t="s">
        <v>1520</v>
      </c>
      <c r="R2043" s="5">
        <v>41072.911921296298</v>
      </c>
      <c r="S2043" s="5">
        <v>42649.826377314814</v>
      </c>
      <c r="T2043" t="s">
        <v>1529</v>
      </c>
      <c r="U2043" t="s">
        <v>35</v>
      </c>
      <c r="V2043" s="3" t="s">
        <v>35</v>
      </c>
      <c r="W2043" s="3" t="s">
        <v>4103</v>
      </c>
    </row>
    <row r="2044" spans="2:23" x14ac:dyDescent="0.25">
      <c r="B2044" t="s">
        <v>1561</v>
      </c>
      <c r="C2044">
        <v>22435</v>
      </c>
      <c r="D2044" t="s">
        <v>1593</v>
      </c>
      <c r="E2044" t="s">
        <v>387</v>
      </c>
      <c r="F2044" t="s">
        <v>305</v>
      </c>
      <c r="G2044" t="s">
        <v>310</v>
      </c>
      <c r="H2044" t="s">
        <v>30</v>
      </c>
      <c r="I2044" t="s">
        <v>35</v>
      </c>
      <c r="J2044" t="s">
        <v>43</v>
      </c>
      <c r="K2044" t="s">
        <v>35</v>
      </c>
      <c r="L2044" t="s">
        <v>96</v>
      </c>
      <c r="M2044" t="s">
        <v>269</v>
      </c>
      <c r="N2044" t="s">
        <v>46</v>
      </c>
      <c r="P2044" t="s">
        <v>1520</v>
      </c>
      <c r="R2044" s="5">
        <v>41072.910879629628</v>
      </c>
      <c r="S2044" s="5">
        <v>42649.826249999998</v>
      </c>
      <c r="T2044" t="s">
        <v>1529</v>
      </c>
      <c r="U2044" t="s">
        <v>35</v>
      </c>
      <c r="V2044" s="3" t="s">
        <v>35</v>
      </c>
      <c r="W2044" s="3" t="s">
        <v>4104</v>
      </c>
    </row>
    <row r="2045" spans="2:23" x14ac:dyDescent="0.25">
      <c r="B2045" t="s">
        <v>1561</v>
      </c>
      <c r="C2045">
        <v>22434</v>
      </c>
      <c r="D2045" t="s">
        <v>1592</v>
      </c>
      <c r="E2045" t="s">
        <v>387</v>
      </c>
      <c r="F2045" t="s">
        <v>305</v>
      </c>
      <c r="G2045" t="s">
        <v>310</v>
      </c>
      <c r="H2045" t="s">
        <v>30</v>
      </c>
      <c r="I2045" t="s">
        <v>35</v>
      </c>
      <c r="J2045" t="s">
        <v>43</v>
      </c>
      <c r="K2045" t="s">
        <v>35</v>
      </c>
      <c r="L2045" t="s">
        <v>96</v>
      </c>
      <c r="M2045" t="s">
        <v>269</v>
      </c>
      <c r="N2045" t="s">
        <v>46</v>
      </c>
      <c r="P2045" t="s">
        <v>1520</v>
      </c>
      <c r="R2045" s="5">
        <v>41072.908726851849</v>
      </c>
      <c r="S2045" s="5">
        <v>42649.826041666667</v>
      </c>
      <c r="T2045" t="s">
        <v>1529</v>
      </c>
      <c r="U2045" t="s">
        <v>35</v>
      </c>
      <c r="V2045" s="3" t="s">
        <v>35</v>
      </c>
      <c r="W2045" s="3" t="s">
        <v>1646</v>
      </c>
    </row>
    <row r="2046" spans="2:23" x14ac:dyDescent="0.25">
      <c r="B2046" t="s">
        <v>1561</v>
      </c>
      <c r="C2046">
        <v>22432</v>
      </c>
      <c r="D2046" t="s">
        <v>1591</v>
      </c>
      <c r="E2046" t="s">
        <v>387</v>
      </c>
      <c r="F2046" t="s">
        <v>305</v>
      </c>
      <c r="G2046" t="s">
        <v>353</v>
      </c>
      <c r="H2046" t="s">
        <v>30</v>
      </c>
      <c r="I2046" t="s">
        <v>35</v>
      </c>
      <c r="J2046" t="s">
        <v>43</v>
      </c>
      <c r="K2046" t="s">
        <v>35</v>
      </c>
      <c r="L2046" t="s">
        <v>96</v>
      </c>
      <c r="M2046" t="s">
        <v>269</v>
      </c>
      <c r="N2046" t="s">
        <v>46</v>
      </c>
      <c r="P2046" t="s">
        <v>1520</v>
      </c>
      <c r="R2046" s="5">
        <v>41072.846284722225</v>
      </c>
      <c r="S2046" s="5">
        <v>42649.82608796296</v>
      </c>
      <c r="T2046" t="s">
        <v>1544</v>
      </c>
      <c r="U2046" t="s">
        <v>35</v>
      </c>
      <c r="V2046" s="3" t="s">
        <v>35</v>
      </c>
      <c r="W2046" s="3" t="s">
        <v>4098</v>
      </c>
    </row>
    <row r="2047" spans="2:23" x14ac:dyDescent="0.25">
      <c r="B2047" t="s">
        <v>1585</v>
      </c>
      <c r="C2047">
        <v>22009</v>
      </c>
      <c r="D2047" t="s">
        <v>1590</v>
      </c>
      <c r="E2047" t="s">
        <v>387</v>
      </c>
      <c r="F2047" t="s">
        <v>305</v>
      </c>
      <c r="G2047" t="s">
        <v>304</v>
      </c>
      <c r="H2047" t="s">
        <v>30</v>
      </c>
      <c r="I2047" t="s">
        <v>35</v>
      </c>
      <c r="J2047" t="s">
        <v>43</v>
      </c>
      <c r="K2047" t="s">
        <v>35</v>
      </c>
      <c r="L2047" t="s">
        <v>73</v>
      </c>
      <c r="M2047" t="s">
        <v>263</v>
      </c>
      <c r="N2047" t="s">
        <v>46</v>
      </c>
      <c r="P2047" t="s">
        <v>1520</v>
      </c>
      <c r="R2047" s="5">
        <v>41045.513796296298</v>
      </c>
      <c r="S2047" s="5">
        <v>42648.810081018521</v>
      </c>
      <c r="T2047" t="s">
        <v>1529</v>
      </c>
      <c r="U2047" t="s">
        <v>35</v>
      </c>
      <c r="V2047" s="3" t="s">
        <v>35</v>
      </c>
      <c r="W2047" s="3" t="s">
        <v>4101</v>
      </c>
    </row>
    <row r="2048" spans="2:23" x14ac:dyDescent="0.25">
      <c r="B2048" t="s">
        <v>1585</v>
      </c>
      <c r="C2048">
        <v>22008</v>
      </c>
      <c r="D2048" t="s">
        <v>1589</v>
      </c>
      <c r="E2048" t="s">
        <v>387</v>
      </c>
      <c r="F2048" t="s">
        <v>305</v>
      </c>
      <c r="G2048" t="s">
        <v>304</v>
      </c>
      <c r="H2048" t="s">
        <v>30</v>
      </c>
      <c r="I2048" t="s">
        <v>35</v>
      </c>
      <c r="J2048" t="s">
        <v>43</v>
      </c>
      <c r="K2048" t="s">
        <v>35</v>
      </c>
      <c r="L2048" t="s">
        <v>73</v>
      </c>
      <c r="M2048" t="s">
        <v>263</v>
      </c>
      <c r="N2048" t="s">
        <v>46</v>
      </c>
      <c r="P2048" t="s">
        <v>1520</v>
      </c>
      <c r="R2048" s="5">
        <v>41045.512997685182</v>
      </c>
      <c r="S2048" s="5">
        <v>42648.810069444444</v>
      </c>
      <c r="T2048" t="s">
        <v>1529</v>
      </c>
      <c r="U2048" t="s">
        <v>35</v>
      </c>
      <c r="V2048" s="3" t="s">
        <v>35</v>
      </c>
      <c r="W2048" s="3" t="s">
        <v>4099</v>
      </c>
    </row>
    <row r="2049" spans="2:23" x14ac:dyDescent="0.25">
      <c r="B2049" t="s">
        <v>1585</v>
      </c>
      <c r="C2049">
        <v>22007</v>
      </c>
      <c r="D2049" t="s">
        <v>1588</v>
      </c>
      <c r="E2049" t="s">
        <v>387</v>
      </c>
      <c r="F2049" t="s">
        <v>305</v>
      </c>
      <c r="G2049" t="s">
        <v>304</v>
      </c>
      <c r="H2049" t="s">
        <v>30</v>
      </c>
      <c r="I2049" t="s">
        <v>35</v>
      </c>
      <c r="J2049" t="s">
        <v>43</v>
      </c>
      <c r="K2049" t="s">
        <v>35</v>
      </c>
      <c r="L2049" t="s">
        <v>73</v>
      </c>
      <c r="M2049" t="s">
        <v>263</v>
      </c>
      <c r="N2049" t="s">
        <v>46</v>
      </c>
      <c r="P2049" t="s">
        <v>1520</v>
      </c>
      <c r="R2049" s="5">
        <v>41045.511956018519</v>
      </c>
      <c r="S2049" s="5">
        <v>42648.810208333336</v>
      </c>
      <c r="T2049" t="s">
        <v>1529</v>
      </c>
      <c r="U2049" t="s">
        <v>35</v>
      </c>
      <c r="V2049" s="3" t="s">
        <v>35</v>
      </c>
      <c r="W2049" s="3" t="s">
        <v>4107</v>
      </c>
    </row>
    <row r="2050" spans="2:23" x14ac:dyDescent="0.25">
      <c r="B2050" t="s">
        <v>1585</v>
      </c>
      <c r="C2050">
        <v>22006</v>
      </c>
      <c r="D2050" t="s">
        <v>1587</v>
      </c>
      <c r="E2050" t="s">
        <v>387</v>
      </c>
      <c r="F2050" t="s">
        <v>305</v>
      </c>
      <c r="G2050" t="s">
        <v>304</v>
      </c>
      <c r="H2050" t="s">
        <v>30</v>
      </c>
      <c r="I2050" t="s">
        <v>35</v>
      </c>
      <c r="J2050" t="s">
        <v>43</v>
      </c>
      <c r="K2050" t="s">
        <v>35</v>
      </c>
      <c r="L2050" t="s">
        <v>73</v>
      </c>
      <c r="M2050" t="s">
        <v>263</v>
      </c>
      <c r="N2050" t="s">
        <v>46</v>
      </c>
      <c r="P2050" t="s">
        <v>1520</v>
      </c>
      <c r="R2050" s="5">
        <v>41045.510196759256</v>
      </c>
      <c r="S2050" s="5">
        <v>41815.736527777779</v>
      </c>
      <c r="T2050" t="s">
        <v>1529</v>
      </c>
      <c r="U2050" t="s">
        <v>35</v>
      </c>
      <c r="V2050" s="3" t="s">
        <v>35</v>
      </c>
      <c r="W2050" s="3" t="s">
        <v>1646</v>
      </c>
    </row>
    <row r="2051" spans="2:23" x14ac:dyDescent="0.25">
      <c r="B2051" t="s">
        <v>1585</v>
      </c>
      <c r="C2051">
        <v>22000</v>
      </c>
      <c r="D2051" t="s">
        <v>1586</v>
      </c>
      <c r="E2051" t="s">
        <v>387</v>
      </c>
      <c r="F2051" t="s">
        <v>305</v>
      </c>
      <c r="G2051" t="s">
        <v>304</v>
      </c>
      <c r="H2051" t="s">
        <v>30</v>
      </c>
      <c r="I2051" t="s">
        <v>35</v>
      </c>
      <c r="J2051" t="s">
        <v>43</v>
      </c>
      <c r="K2051" t="s">
        <v>35</v>
      </c>
      <c r="L2051" t="s">
        <v>73</v>
      </c>
      <c r="M2051" t="s">
        <v>263</v>
      </c>
      <c r="N2051" t="s">
        <v>46</v>
      </c>
      <c r="P2051" t="s">
        <v>1520</v>
      </c>
      <c r="R2051" s="5">
        <v>41045.117418981485</v>
      </c>
      <c r="S2051" s="5">
        <v>41815.750381944446</v>
      </c>
      <c r="T2051" t="s">
        <v>2</v>
      </c>
      <c r="U2051" t="s">
        <v>35</v>
      </c>
      <c r="V2051" s="3" t="s">
        <v>35</v>
      </c>
      <c r="W2051" s="3" t="s">
        <v>4098</v>
      </c>
    </row>
    <row r="2052" spans="2:23" x14ac:dyDescent="0.25">
      <c r="B2052" t="s">
        <v>1579</v>
      </c>
      <c r="C2052">
        <v>21451</v>
      </c>
      <c r="D2052" t="s">
        <v>1584</v>
      </c>
      <c r="E2052" t="s">
        <v>387</v>
      </c>
      <c r="F2052" t="s">
        <v>305</v>
      </c>
      <c r="G2052" t="s">
        <v>310</v>
      </c>
      <c r="H2052" t="s">
        <v>30</v>
      </c>
      <c r="I2052" t="s">
        <v>35</v>
      </c>
      <c r="J2052" t="s">
        <v>43</v>
      </c>
      <c r="K2052" t="s">
        <v>35</v>
      </c>
      <c r="L2052" t="s">
        <v>96</v>
      </c>
      <c r="M2052" t="s">
        <v>269</v>
      </c>
      <c r="N2052" t="s">
        <v>46</v>
      </c>
      <c r="P2052" t="s">
        <v>1520</v>
      </c>
      <c r="R2052" s="5">
        <v>41018.609247685185</v>
      </c>
      <c r="S2052" s="5">
        <v>42649.825150462966</v>
      </c>
      <c r="T2052" t="s">
        <v>1529</v>
      </c>
      <c r="U2052" t="s">
        <v>35</v>
      </c>
      <c r="V2052" s="3" t="s">
        <v>35</v>
      </c>
      <c r="W2052" s="3" t="s">
        <v>4105</v>
      </c>
    </row>
    <row r="2053" spans="2:23" x14ac:dyDescent="0.25">
      <c r="B2053" t="s">
        <v>1579</v>
      </c>
      <c r="C2053">
        <v>21450</v>
      </c>
      <c r="D2053" t="s">
        <v>1583</v>
      </c>
      <c r="E2053" t="s">
        <v>387</v>
      </c>
      <c r="F2053" t="s">
        <v>305</v>
      </c>
      <c r="G2053" t="s">
        <v>304</v>
      </c>
      <c r="H2053" t="s">
        <v>30</v>
      </c>
      <c r="I2053" t="s">
        <v>35</v>
      </c>
      <c r="J2053" t="s">
        <v>43</v>
      </c>
      <c r="K2053" t="s">
        <v>35</v>
      </c>
      <c r="L2053" t="s">
        <v>96</v>
      </c>
      <c r="M2053" t="s">
        <v>269</v>
      </c>
      <c r="N2053" t="s">
        <v>46</v>
      </c>
      <c r="P2053" t="s">
        <v>1520</v>
      </c>
      <c r="R2053" s="5">
        <v>41018.608148148145</v>
      </c>
      <c r="S2053" s="5">
        <v>41815.73678240741</v>
      </c>
      <c r="T2053" t="s">
        <v>1529</v>
      </c>
      <c r="U2053" t="s">
        <v>35</v>
      </c>
      <c r="V2053" s="3" t="s">
        <v>35</v>
      </c>
      <c r="W2053" s="3" t="s">
        <v>1646</v>
      </c>
    </row>
    <row r="2054" spans="2:23" x14ac:dyDescent="0.25">
      <c r="B2054" t="s">
        <v>1579</v>
      </c>
      <c r="C2054">
        <v>21449</v>
      </c>
      <c r="D2054" t="s">
        <v>1582</v>
      </c>
      <c r="E2054" t="s">
        <v>387</v>
      </c>
      <c r="F2054" t="s">
        <v>305</v>
      </c>
      <c r="G2054" t="s">
        <v>304</v>
      </c>
      <c r="H2054" t="s">
        <v>30</v>
      </c>
      <c r="I2054" t="s">
        <v>35</v>
      </c>
      <c r="J2054" t="s">
        <v>43</v>
      </c>
      <c r="K2054" t="s">
        <v>35</v>
      </c>
      <c r="L2054" t="s">
        <v>96</v>
      </c>
      <c r="M2054" t="s">
        <v>269</v>
      </c>
      <c r="N2054" t="s">
        <v>46</v>
      </c>
      <c r="P2054" t="s">
        <v>1520</v>
      </c>
      <c r="R2054" s="5">
        <v>41018.606782407405</v>
      </c>
      <c r="S2054" s="5">
        <v>41815.736909722225</v>
      </c>
      <c r="T2054" t="s">
        <v>1529</v>
      </c>
      <c r="U2054" t="s">
        <v>35</v>
      </c>
      <c r="V2054" s="3" t="s">
        <v>35</v>
      </c>
      <c r="W2054" s="3" t="s">
        <v>4104</v>
      </c>
    </row>
    <row r="2055" spans="2:23" x14ac:dyDescent="0.25">
      <c r="B2055" t="s">
        <v>1579</v>
      </c>
      <c r="C2055">
        <v>21448</v>
      </c>
      <c r="D2055" t="s">
        <v>1581</v>
      </c>
      <c r="E2055" t="s">
        <v>387</v>
      </c>
      <c r="F2055" t="s">
        <v>305</v>
      </c>
      <c r="G2055" t="s">
        <v>337</v>
      </c>
      <c r="H2055" t="s">
        <v>30</v>
      </c>
      <c r="I2055" t="s">
        <v>35</v>
      </c>
      <c r="J2055" t="s">
        <v>43</v>
      </c>
      <c r="K2055" t="s">
        <v>35</v>
      </c>
      <c r="L2055" t="s">
        <v>96</v>
      </c>
      <c r="M2055" t="s">
        <v>269</v>
      </c>
      <c r="N2055" t="s">
        <v>46</v>
      </c>
      <c r="P2055" t="s">
        <v>1520</v>
      </c>
      <c r="R2055" s="5">
        <v>41018.602731481478</v>
      </c>
      <c r="S2055" s="5">
        <v>42649.825428240743</v>
      </c>
      <c r="T2055" t="s">
        <v>1529</v>
      </c>
      <c r="U2055" t="s">
        <v>35</v>
      </c>
      <c r="V2055" s="3" t="s">
        <v>35</v>
      </c>
      <c r="W2055" s="3" t="s">
        <v>4103</v>
      </c>
    </row>
    <row r="2056" spans="2:23" x14ac:dyDescent="0.25">
      <c r="B2056" t="s">
        <v>1579</v>
      </c>
      <c r="C2056">
        <v>21447</v>
      </c>
      <c r="D2056" t="s">
        <v>1580</v>
      </c>
      <c r="E2056" t="s">
        <v>387</v>
      </c>
      <c r="F2056" t="s">
        <v>305</v>
      </c>
      <c r="G2056" t="s">
        <v>304</v>
      </c>
      <c r="H2056" t="s">
        <v>30</v>
      </c>
      <c r="I2056" t="s">
        <v>35</v>
      </c>
      <c r="J2056" t="s">
        <v>43</v>
      </c>
      <c r="K2056" t="s">
        <v>35</v>
      </c>
      <c r="L2056" t="s">
        <v>96</v>
      </c>
      <c r="M2056" t="s">
        <v>269</v>
      </c>
      <c r="N2056" t="s">
        <v>46</v>
      </c>
      <c r="P2056" t="s">
        <v>1520</v>
      </c>
      <c r="R2056" s="5">
        <v>41018.583784722221</v>
      </c>
      <c r="S2056" s="5">
        <v>41815.750208333331</v>
      </c>
      <c r="T2056" t="s">
        <v>48</v>
      </c>
      <c r="U2056" t="s">
        <v>35</v>
      </c>
      <c r="V2056" s="3" t="s">
        <v>35</v>
      </c>
      <c r="W2056" s="3" t="s">
        <v>4098</v>
      </c>
    </row>
    <row r="2057" spans="2:23" x14ac:dyDescent="0.25">
      <c r="B2057" t="s">
        <v>1575</v>
      </c>
      <c r="C2057">
        <v>21427</v>
      </c>
      <c r="D2057" t="s">
        <v>1578</v>
      </c>
      <c r="E2057" t="s">
        <v>387</v>
      </c>
      <c r="F2057" t="s">
        <v>305</v>
      </c>
      <c r="G2057" t="s">
        <v>310</v>
      </c>
      <c r="H2057" t="s">
        <v>30</v>
      </c>
      <c r="I2057" t="s">
        <v>35</v>
      </c>
      <c r="J2057" t="s">
        <v>43</v>
      </c>
      <c r="K2057" t="s">
        <v>35</v>
      </c>
      <c r="L2057" t="s">
        <v>73</v>
      </c>
      <c r="M2057" t="s">
        <v>263</v>
      </c>
      <c r="N2057" t="s">
        <v>46</v>
      </c>
      <c r="P2057" t="s">
        <v>1530</v>
      </c>
      <c r="R2057" s="5">
        <v>41017.731458333335</v>
      </c>
      <c r="S2057" s="5">
        <v>42649.82508101852</v>
      </c>
      <c r="T2057" t="s">
        <v>1529</v>
      </c>
      <c r="U2057" t="s">
        <v>35</v>
      </c>
      <c r="V2057" s="3" t="s">
        <v>35</v>
      </c>
      <c r="W2057" s="3" t="s">
        <v>1646</v>
      </c>
    </row>
    <row r="2058" spans="2:23" x14ac:dyDescent="0.25">
      <c r="B2058" t="s">
        <v>1575</v>
      </c>
      <c r="C2058">
        <v>21426</v>
      </c>
      <c r="D2058" t="s">
        <v>1577</v>
      </c>
      <c r="E2058" t="s">
        <v>387</v>
      </c>
      <c r="F2058" t="s">
        <v>305</v>
      </c>
      <c r="G2058" t="s">
        <v>304</v>
      </c>
      <c r="H2058" t="s">
        <v>30</v>
      </c>
      <c r="I2058" t="s">
        <v>35</v>
      </c>
      <c r="J2058" t="s">
        <v>43</v>
      </c>
      <c r="K2058" t="s">
        <v>35</v>
      </c>
      <c r="L2058" t="s">
        <v>73</v>
      </c>
      <c r="M2058" t="s">
        <v>263</v>
      </c>
      <c r="N2058" t="s">
        <v>46</v>
      </c>
      <c r="P2058" t="s">
        <v>1530</v>
      </c>
      <c r="R2058" s="5">
        <v>41017.730590277781</v>
      </c>
      <c r="S2058" s="5">
        <v>42648.809872685182</v>
      </c>
      <c r="T2058" t="s">
        <v>1529</v>
      </c>
      <c r="U2058" t="s">
        <v>35</v>
      </c>
      <c r="V2058" s="3" t="s">
        <v>35</v>
      </c>
      <c r="W2058" s="3" t="s">
        <v>4108</v>
      </c>
    </row>
    <row r="2059" spans="2:23" x14ac:dyDescent="0.25">
      <c r="B2059" t="s">
        <v>1575</v>
      </c>
      <c r="C2059">
        <v>21420</v>
      </c>
      <c r="D2059" t="s">
        <v>1576</v>
      </c>
      <c r="E2059" t="s">
        <v>387</v>
      </c>
      <c r="F2059" t="s">
        <v>305</v>
      </c>
      <c r="G2059" t="s">
        <v>304</v>
      </c>
      <c r="H2059" t="s">
        <v>54</v>
      </c>
      <c r="I2059" t="s">
        <v>35</v>
      </c>
      <c r="J2059" t="s">
        <v>43</v>
      </c>
      <c r="K2059" t="s">
        <v>35</v>
      </c>
      <c r="L2059" t="s">
        <v>73</v>
      </c>
      <c r="M2059" t="s">
        <v>263</v>
      </c>
      <c r="N2059" t="s">
        <v>46</v>
      </c>
      <c r="P2059" t="s">
        <v>1530</v>
      </c>
      <c r="R2059" s="5">
        <v>41017.68445601852</v>
      </c>
      <c r="S2059" s="5">
        <v>41815.75037037037</v>
      </c>
      <c r="T2059" t="s">
        <v>1521</v>
      </c>
      <c r="U2059" t="s">
        <v>35</v>
      </c>
      <c r="V2059" s="3" t="s">
        <v>35</v>
      </c>
      <c r="W2059" s="3" t="s">
        <v>4098</v>
      </c>
    </row>
    <row r="2060" spans="2:23" x14ac:dyDescent="0.25">
      <c r="B2060" t="s">
        <v>1569</v>
      </c>
      <c r="C2060">
        <v>21311</v>
      </c>
      <c r="D2060" t="s">
        <v>1574</v>
      </c>
      <c r="E2060" t="s">
        <v>387</v>
      </c>
      <c r="F2060" t="s">
        <v>305</v>
      </c>
      <c r="G2060" t="s">
        <v>304</v>
      </c>
      <c r="H2060" t="s">
        <v>30</v>
      </c>
      <c r="I2060" t="s">
        <v>35</v>
      </c>
      <c r="J2060" t="s">
        <v>43</v>
      </c>
      <c r="K2060" t="s">
        <v>35</v>
      </c>
      <c r="L2060" t="s">
        <v>73</v>
      </c>
      <c r="M2060" t="s">
        <v>1514</v>
      </c>
      <c r="N2060" t="s">
        <v>46</v>
      </c>
      <c r="P2060" t="s">
        <v>1520</v>
      </c>
      <c r="R2060" s="5">
        <v>41011.954675925925</v>
      </c>
      <c r="S2060" s="5">
        <v>42648.809837962966</v>
      </c>
      <c r="T2060" t="s">
        <v>1529</v>
      </c>
      <c r="U2060" t="s">
        <v>35</v>
      </c>
      <c r="V2060" s="3" t="s">
        <v>35</v>
      </c>
      <c r="W2060" s="3" t="s">
        <v>4101</v>
      </c>
    </row>
    <row r="2061" spans="2:23" x14ac:dyDescent="0.25">
      <c r="B2061" t="s">
        <v>1569</v>
      </c>
      <c r="C2061">
        <v>21310</v>
      </c>
      <c r="D2061" t="s">
        <v>1573</v>
      </c>
      <c r="E2061" t="s">
        <v>387</v>
      </c>
      <c r="F2061" t="s">
        <v>305</v>
      </c>
      <c r="G2061" t="s">
        <v>304</v>
      </c>
      <c r="H2061" t="s">
        <v>30</v>
      </c>
      <c r="I2061" t="s">
        <v>35</v>
      </c>
      <c r="J2061" t="s">
        <v>43</v>
      </c>
      <c r="K2061" t="s">
        <v>35</v>
      </c>
      <c r="L2061" t="s">
        <v>73</v>
      </c>
      <c r="M2061" t="s">
        <v>1514</v>
      </c>
      <c r="N2061" t="s">
        <v>46</v>
      </c>
      <c r="P2061" t="s">
        <v>1520</v>
      </c>
      <c r="R2061" s="5">
        <v>41011.953611111108</v>
      </c>
      <c r="S2061" s="5">
        <v>41815.736875000002</v>
      </c>
      <c r="T2061" t="s">
        <v>1529</v>
      </c>
      <c r="U2061" t="s">
        <v>35</v>
      </c>
      <c r="V2061" s="3" t="s">
        <v>35</v>
      </c>
      <c r="W2061" s="3" t="s">
        <v>1646</v>
      </c>
    </row>
    <row r="2062" spans="2:23" x14ac:dyDescent="0.25">
      <c r="B2062" t="s">
        <v>1569</v>
      </c>
      <c r="C2062">
        <v>21309</v>
      </c>
      <c r="D2062" t="s">
        <v>1572</v>
      </c>
      <c r="E2062" t="s">
        <v>387</v>
      </c>
      <c r="F2062" t="s">
        <v>305</v>
      </c>
      <c r="G2062" t="s">
        <v>304</v>
      </c>
      <c r="H2062" t="s">
        <v>30</v>
      </c>
      <c r="I2062" t="s">
        <v>35</v>
      </c>
      <c r="J2062" t="s">
        <v>43</v>
      </c>
      <c r="K2062" t="s">
        <v>35</v>
      </c>
      <c r="L2062" t="s">
        <v>73</v>
      </c>
      <c r="M2062" t="s">
        <v>1514</v>
      </c>
      <c r="N2062" t="s">
        <v>46</v>
      </c>
      <c r="P2062" t="s">
        <v>1520</v>
      </c>
      <c r="R2062" s="5">
        <v>41011.952326388891</v>
      </c>
      <c r="S2062" s="5">
        <v>42648.809895833336</v>
      </c>
      <c r="T2062" t="s">
        <v>1529</v>
      </c>
      <c r="U2062" t="s">
        <v>35</v>
      </c>
      <c r="V2062" s="3" t="s">
        <v>35</v>
      </c>
      <c r="W2062" s="3" t="s">
        <v>4107</v>
      </c>
    </row>
    <row r="2063" spans="2:23" x14ac:dyDescent="0.25">
      <c r="B2063" t="s">
        <v>1569</v>
      </c>
      <c r="C2063">
        <v>21308</v>
      </c>
      <c r="D2063" t="s">
        <v>1571</v>
      </c>
      <c r="E2063" t="s">
        <v>387</v>
      </c>
      <c r="F2063" t="s">
        <v>305</v>
      </c>
      <c r="G2063" t="s">
        <v>304</v>
      </c>
      <c r="H2063" t="s">
        <v>30</v>
      </c>
      <c r="I2063" t="s">
        <v>35</v>
      </c>
      <c r="J2063" t="s">
        <v>43</v>
      </c>
      <c r="K2063" t="s">
        <v>35</v>
      </c>
      <c r="L2063" t="s">
        <v>73</v>
      </c>
      <c r="M2063" t="s">
        <v>1514</v>
      </c>
      <c r="N2063" t="s">
        <v>46</v>
      </c>
      <c r="P2063" t="s">
        <v>1520</v>
      </c>
      <c r="R2063" s="5">
        <v>41011.951111111113</v>
      </c>
      <c r="S2063" s="5">
        <v>42648.854699074072</v>
      </c>
      <c r="T2063" t="s">
        <v>1529</v>
      </c>
      <c r="U2063" t="s">
        <v>35</v>
      </c>
      <c r="V2063" s="3" t="s">
        <v>35</v>
      </c>
      <c r="W2063" s="3" t="s">
        <v>4099</v>
      </c>
    </row>
    <row r="2064" spans="2:23" x14ac:dyDescent="0.25">
      <c r="B2064" t="s">
        <v>1569</v>
      </c>
      <c r="C2064">
        <v>21306</v>
      </c>
      <c r="D2064" t="s">
        <v>1570</v>
      </c>
      <c r="E2064" t="s">
        <v>387</v>
      </c>
      <c r="F2064" t="s">
        <v>305</v>
      </c>
      <c r="G2064" t="s">
        <v>304</v>
      </c>
      <c r="H2064" t="s">
        <v>30</v>
      </c>
      <c r="I2064" t="s">
        <v>35</v>
      </c>
      <c r="J2064" t="s">
        <v>32</v>
      </c>
      <c r="K2064" t="s">
        <v>35</v>
      </c>
      <c r="L2064" t="s">
        <v>73</v>
      </c>
      <c r="M2064" t="s">
        <v>1514</v>
      </c>
      <c r="N2064" t="s">
        <v>46</v>
      </c>
      <c r="P2064" t="s">
        <v>1520</v>
      </c>
      <c r="R2064" s="5">
        <v>41011.924085648148</v>
      </c>
      <c r="S2064" s="5">
        <v>41815.746724537035</v>
      </c>
      <c r="T2064" t="s">
        <v>1525</v>
      </c>
      <c r="U2064" t="s">
        <v>35</v>
      </c>
      <c r="V2064" s="3" t="s">
        <v>35</v>
      </c>
      <c r="W2064" s="3" t="s">
        <v>4098</v>
      </c>
    </row>
    <row r="2065" spans="2:23" x14ac:dyDescent="0.25">
      <c r="B2065" t="s">
        <v>1541</v>
      </c>
      <c r="C2065">
        <v>20649</v>
      </c>
      <c r="D2065" t="s">
        <v>1568</v>
      </c>
      <c r="E2065" t="s">
        <v>387</v>
      </c>
      <c r="F2065" t="s">
        <v>305</v>
      </c>
      <c r="G2065" t="s">
        <v>328</v>
      </c>
      <c r="H2065" t="s">
        <v>54</v>
      </c>
      <c r="I2065" t="s">
        <v>35</v>
      </c>
      <c r="J2065" t="s">
        <v>43</v>
      </c>
      <c r="K2065" t="s">
        <v>35</v>
      </c>
      <c r="L2065" t="s">
        <v>73</v>
      </c>
      <c r="M2065" t="s">
        <v>263</v>
      </c>
      <c r="N2065" t="s">
        <v>46</v>
      </c>
      <c r="P2065" t="s">
        <v>1543</v>
      </c>
      <c r="R2065" s="5">
        <v>40985.968009259261</v>
      </c>
      <c r="S2065" s="5">
        <v>42649.823935185188</v>
      </c>
      <c r="T2065" t="s">
        <v>1529</v>
      </c>
      <c r="U2065" t="s">
        <v>35</v>
      </c>
      <c r="V2065" s="3" t="s">
        <v>35</v>
      </c>
      <c r="W2065" s="3" t="s">
        <v>1646</v>
      </c>
    </row>
    <row r="2066" spans="2:23" x14ac:dyDescent="0.25">
      <c r="B2066" t="s">
        <v>1561</v>
      </c>
      <c r="C2066">
        <v>20399</v>
      </c>
      <c r="D2066" t="s">
        <v>1567</v>
      </c>
      <c r="E2066" t="s">
        <v>387</v>
      </c>
      <c r="F2066" t="s">
        <v>305</v>
      </c>
      <c r="G2066" t="s">
        <v>304</v>
      </c>
      <c r="H2066" t="s">
        <v>30</v>
      </c>
      <c r="I2066" t="s">
        <v>35</v>
      </c>
      <c r="J2066" t="s">
        <v>43</v>
      </c>
      <c r="K2066" t="s">
        <v>35</v>
      </c>
      <c r="L2066" t="s">
        <v>73</v>
      </c>
      <c r="M2066" t="s">
        <v>264</v>
      </c>
      <c r="N2066" t="s">
        <v>46</v>
      </c>
      <c r="P2066" t="s">
        <v>1530</v>
      </c>
      <c r="R2066" s="5">
        <v>40976.717453703706</v>
      </c>
      <c r="S2066" s="5">
        <v>41815.736458333333</v>
      </c>
      <c r="T2066" t="s">
        <v>1529</v>
      </c>
      <c r="U2066" t="s">
        <v>35</v>
      </c>
      <c r="V2066" s="3" t="s">
        <v>35</v>
      </c>
      <c r="W2066" s="3" t="s">
        <v>1646</v>
      </c>
    </row>
    <row r="2067" spans="2:23" x14ac:dyDescent="0.25">
      <c r="B2067" t="s">
        <v>1561</v>
      </c>
      <c r="C2067">
        <v>20398</v>
      </c>
      <c r="D2067" t="s">
        <v>1566</v>
      </c>
      <c r="E2067" t="s">
        <v>1563</v>
      </c>
      <c r="F2067" t="s">
        <v>305</v>
      </c>
      <c r="G2067" t="s">
        <v>304</v>
      </c>
      <c r="H2067" t="s">
        <v>30</v>
      </c>
      <c r="I2067" t="s">
        <v>35</v>
      </c>
      <c r="J2067" t="s">
        <v>43</v>
      </c>
      <c r="K2067" t="s">
        <v>35</v>
      </c>
      <c r="L2067" t="s">
        <v>73</v>
      </c>
      <c r="M2067" t="s">
        <v>264</v>
      </c>
      <c r="N2067" t="s">
        <v>46</v>
      </c>
      <c r="P2067" t="s">
        <v>1530</v>
      </c>
      <c r="R2067" s="5">
        <v>40976.716249999998</v>
      </c>
      <c r="S2067" s="5">
        <v>41799.769490740742</v>
      </c>
      <c r="T2067" t="s">
        <v>1529</v>
      </c>
      <c r="U2067" t="s">
        <v>35</v>
      </c>
      <c r="V2067" s="3" t="s">
        <v>35</v>
      </c>
      <c r="W2067" s="3" t="s">
        <v>4106</v>
      </c>
    </row>
    <row r="2068" spans="2:23" x14ac:dyDescent="0.25">
      <c r="B2068" t="s">
        <v>1561</v>
      </c>
      <c r="C2068">
        <v>20397</v>
      </c>
      <c r="D2068" t="s">
        <v>1565</v>
      </c>
      <c r="E2068" t="s">
        <v>387</v>
      </c>
      <c r="F2068" t="s">
        <v>305</v>
      </c>
      <c r="G2068" t="s">
        <v>304</v>
      </c>
      <c r="H2068" t="s">
        <v>30</v>
      </c>
      <c r="I2068" t="s">
        <v>35</v>
      </c>
      <c r="J2068" t="s">
        <v>43</v>
      </c>
      <c r="K2068" t="s">
        <v>35</v>
      </c>
      <c r="L2068" t="s">
        <v>73</v>
      </c>
      <c r="M2068" t="s">
        <v>264</v>
      </c>
      <c r="N2068" t="s">
        <v>46</v>
      </c>
      <c r="P2068" t="s">
        <v>1530</v>
      </c>
      <c r="R2068" s="5">
        <v>40976.714780092596</v>
      </c>
      <c r="S2068" s="5">
        <v>41815.736932870372</v>
      </c>
      <c r="T2068" t="s">
        <v>1529</v>
      </c>
      <c r="U2068" t="s">
        <v>35</v>
      </c>
      <c r="V2068" s="3" t="s">
        <v>35</v>
      </c>
      <c r="W2068" s="3" t="s">
        <v>4103</v>
      </c>
    </row>
    <row r="2069" spans="2:23" x14ac:dyDescent="0.25">
      <c r="B2069" t="s">
        <v>1561</v>
      </c>
      <c r="C2069">
        <v>20396</v>
      </c>
      <c r="D2069" t="s">
        <v>1564</v>
      </c>
      <c r="E2069" t="s">
        <v>387</v>
      </c>
      <c r="F2069" t="s">
        <v>305</v>
      </c>
      <c r="G2069" t="s">
        <v>337</v>
      </c>
      <c r="H2069" t="s">
        <v>30</v>
      </c>
      <c r="I2069" t="s">
        <v>35</v>
      </c>
      <c r="J2069" t="s">
        <v>43</v>
      </c>
      <c r="K2069" t="s">
        <v>35</v>
      </c>
      <c r="L2069" t="s">
        <v>73</v>
      </c>
      <c r="M2069" t="s">
        <v>264</v>
      </c>
      <c r="N2069" t="s">
        <v>46</v>
      </c>
      <c r="P2069" t="s">
        <v>1530</v>
      </c>
      <c r="R2069" s="5">
        <v>40976.712280092594</v>
      </c>
      <c r="S2069" s="5">
        <v>42649.823414351849</v>
      </c>
      <c r="T2069" t="s">
        <v>1529</v>
      </c>
      <c r="U2069" t="s">
        <v>35</v>
      </c>
      <c r="V2069" s="3" t="s">
        <v>35</v>
      </c>
      <c r="W2069" s="3" t="s">
        <v>4102</v>
      </c>
    </row>
    <row r="2070" spans="2:23" x14ac:dyDescent="0.25">
      <c r="B2070" t="s">
        <v>1561</v>
      </c>
      <c r="C2070">
        <v>20382</v>
      </c>
      <c r="D2070" t="s">
        <v>1562</v>
      </c>
      <c r="E2070" t="s">
        <v>387</v>
      </c>
      <c r="F2070" t="s">
        <v>305</v>
      </c>
      <c r="G2070" t="s">
        <v>304</v>
      </c>
      <c r="H2070" t="s">
        <v>30</v>
      </c>
      <c r="I2070" t="s">
        <v>35</v>
      </c>
      <c r="J2070" t="s">
        <v>43</v>
      </c>
      <c r="K2070" t="s">
        <v>35</v>
      </c>
      <c r="L2070" t="s">
        <v>73</v>
      </c>
      <c r="M2070" t="s">
        <v>264</v>
      </c>
      <c r="N2070" t="s">
        <v>46</v>
      </c>
      <c r="P2070" t="s">
        <v>1530</v>
      </c>
      <c r="R2070" s="5">
        <v>40975.951574074075</v>
      </c>
      <c r="S2070" s="5">
        <v>41815.747164351851</v>
      </c>
      <c r="T2070" t="s">
        <v>1563</v>
      </c>
      <c r="U2070" t="s">
        <v>35</v>
      </c>
      <c r="V2070" s="3" t="s">
        <v>35</v>
      </c>
      <c r="W2070" s="3" t="s">
        <v>4098</v>
      </c>
    </row>
    <row r="2071" spans="2:23" x14ac:dyDescent="0.25">
      <c r="B2071" t="s">
        <v>1519</v>
      </c>
      <c r="C2071">
        <v>20313</v>
      </c>
      <c r="D2071" t="s">
        <v>1560</v>
      </c>
      <c r="E2071" t="s">
        <v>387</v>
      </c>
      <c r="F2071" t="s">
        <v>305</v>
      </c>
      <c r="G2071" t="s">
        <v>304</v>
      </c>
      <c r="H2071" t="s">
        <v>30</v>
      </c>
      <c r="I2071" t="s">
        <v>35</v>
      </c>
      <c r="J2071" t="s">
        <v>43</v>
      </c>
      <c r="K2071" t="s">
        <v>35</v>
      </c>
      <c r="L2071" t="s">
        <v>96</v>
      </c>
      <c r="M2071" t="s">
        <v>269</v>
      </c>
      <c r="N2071" t="s">
        <v>46</v>
      </c>
      <c r="P2071" t="s">
        <v>1520</v>
      </c>
      <c r="R2071" s="5">
        <v>40973.916608796295</v>
      </c>
      <c r="S2071" s="5">
        <v>41815.736805555556</v>
      </c>
      <c r="T2071" t="s">
        <v>1529</v>
      </c>
      <c r="U2071" t="s">
        <v>35</v>
      </c>
      <c r="V2071" s="3" t="s">
        <v>35</v>
      </c>
      <c r="W2071" s="3" t="s">
        <v>1646</v>
      </c>
    </row>
    <row r="2072" spans="2:23" x14ac:dyDescent="0.25">
      <c r="B2072" t="s">
        <v>1519</v>
      </c>
      <c r="C2072">
        <v>20312</v>
      </c>
      <c r="D2072" t="s">
        <v>1559</v>
      </c>
      <c r="E2072" t="s">
        <v>387</v>
      </c>
      <c r="F2072" t="s">
        <v>305</v>
      </c>
      <c r="G2072" t="s">
        <v>337</v>
      </c>
      <c r="H2072" t="s">
        <v>30</v>
      </c>
      <c r="I2072" t="s">
        <v>35</v>
      </c>
      <c r="J2072" t="s">
        <v>43</v>
      </c>
      <c r="K2072" t="s">
        <v>35</v>
      </c>
      <c r="L2072" t="s">
        <v>96</v>
      </c>
      <c r="M2072" t="s">
        <v>269</v>
      </c>
      <c r="N2072" t="s">
        <v>46</v>
      </c>
      <c r="P2072" t="s">
        <v>1520</v>
      </c>
      <c r="R2072" s="5">
        <v>40973.915092592593</v>
      </c>
      <c r="S2072" s="5">
        <v>42649.823634259257</v>
      </c>
      <c r="T2072" t="s">
        <v>1529</v>
      </c>
      <c r="U2072" t="s">
        <v>35</v>
      </c>
      <c r="V2072" s="3" t="s">
        <v>35</v>
      </c>
      <c r="W2072" s="3" t="s">
        <v>4104</v>
      </c>
    </row>
    <row r="2073" spans="2:23" x14ac:dyDescent="0.25">
      <c r="B2073" t="s">
        <v>1519</v>
      </c>
      <c r="C2073">
        <v>20311</v>
      </c>
      <c r="D2073" t="s">
        <v>1558</v>
      </c>
      <c r="E2073" t="s">
        <v>387</v>
      </c>
      <c r="F2073" t="s">
        <v>305</v>
      </c>
      <c r="G2073" t="s">
        <v>337</v>
      </c>
      <c r="H2073" t="s">
        <v>30</v>
      </c>
      <c r="I2073" t="s">
        <v>35</v>
      </c>
      <c r="J2073" t="s">
        <v>43</v>
      </c>
      <c r="K2073" t="s">
        <v>35</v>
      </c>
      <c r="L2073" t="s">
        <v>96</v>
      </c>
      <c r="M2073" t="s">
        <v>269</v>
      </c>
      <c r="N2073" t="s">
        <v>46</v>
      </c>
      <c r="P2073" t="s">
        <v>1520</v>
      </c>
      <c r="R2073" s="5">
        <v>40973.9137962963</v>
      </c>
      <c r="S2073" s="5">
        <v>42649.822928240741</v>
      </c>
      <c r="T2073" t="s">
        <v>1529</v>
      </c>
      <c r="U2073" t="s">
        <v>35</v>
      </c>
      <c r="V2073" s="3" t="s">
        <v>35</v>
      </c>
      <c r="W2073" s="3" t="s">
        <v>4103</v>
      </c>
    </row>
    <row r="2074" spans="2:23" x14ac:dyDescent="0.25">
      <c r="B2074" t="s">
        <v>1519</v>
      </c>
      <c r="C2074">
        <v>20310</v>
      </c>
      <c r="D2074" t="s">
        <v>1557</v>
      </c>
      <c r="E2074" t="s">
        <v>387</v>
      </c>
      <c r="F2074" t="s">
        <v>305</v>
      </c>
      <c r="G2074" t="s">
        <v>337</v>
      </c>
      <c r="H2074" t="s">
        <v>30</v>
      </c>
      <c r="I2074" t="s">
        <v>35</v>
      </c>
      <c r="J2074" t="s">
        <v>43</v>
      </c>
      <c r="K2074" t="s">
        <v>35</v>
      </c>
      <c r="L2074" t="s">
        <v>96</v>
      </c>
      <c r="M2074" t="s">
        <v>269</v>
      </c>
      <c r="N2074" t="s">
        <v>46</v>
      </c>
      <c r="P2074" t="s">
        <v>1520</v>
      </c>
      <c r="R2074" s="5">
        <v>40973.912291666667</v>
      </c>
      <c r="S2074" s="5">
        <v>42649.823252314818</v>
      </c>
      <c r="T2074" t="s">
        <v>1529</v>
      </c>
      <c r="U2074" t="s">
        <v>35</v>
      </c>
      <c r="V2074" s="3" t="s">
        <v>35</v>
      </c>
      <c r="W2074" s="3" t="s">
        <v>4105</v>
      </c>
    </row>
    <row r="2075" spans="2:23" x14ac:dyDescent="0.25">
      <c r="B2075" t="s">
        <v>1552</v>
      </c>
      <c r="C2075">
        <v>19701</v>
      </c>
      <c r="D2075" t="s">
        <v>1556</v>
      </c>
      <c r="E2075" t="s">
        <v>387</v>
      </c>
      <c r="F2075" t="s">
        <v>305</v>
      </c>
      <c r="G2075" t="s">
        <v>310</v>
      </c>
      <c r="H2075" t="s">
        <v>54</v>
      </c>
      <c r="I2075" t="s">
        <v>35</v>
      </c>
      <c r="J2075" t="s">
        <v>32</v>
      </c>
      <c r="K2075" t="s">
        <v>35</v>
      </c>
      <c r="L2075" t="s">
        <v>73</v>
      </c>
      <c r="M2075" t="s">
        <v>263</v>
      </c>
      <c r="N2075" t="s">
        <v>46</v>
      </c>
      <c r="P2075" t="s">
        <v>1520</v>
      </c>
      <c r="R2075" s="5">
        <v>40953.740914351853</v>
      </c>
      <c r="S2075" s="5">
        <v>42649.822592592594</v>
      </c>
      <c r="T2075" t="s">
        <v>1529</v>
      </c>
      <c r="U2075" t="s">
        <v>35</v>
      </c>
      <c r="V2075" s="3" t="s">
        <v>35</v>
      </c>
      <c r="W2075" s="3" t="s">
        <v>4102</v>
      </c>
    </row>
    <row r="2076" spans="2:23" x14ac:dyDescent="0.25">
      <c r="B2076" t="s">
        <v>1552</v>
      </c>
      <c r="C2076">
        <v>19700</v>
      </c>
      <c r="D2076" t="s">
        <v>1555</v>
      </c>
      <c r="E2076" t="s">
        <v>387</v>
      </c>
      <c r="F2076" t="s">
        <v>305</v>
      </c>
      <c r="G2076" t="s">
        <v>310</v>
      </c>
      <c r="H2076" t="s">
        <v>54</v>
      </c>
      <c r="I2076" t="s">
        <v>35</v>
      </c>
      <c r="J2076" t="s">
        <v>32</v>
      </c>
      <c r="K2076" t="s">
        <v>35</v>
      </c>
      <c r="L2076" t="s">
        <v>73</v>
      </c>
      <c r="M2076" t="s">
        <v>263</v>
      </c>
      <c r="N2076" t="s">
        <v>46</v>
      </c>
      <c r="P2076" t="s">
        <v>1520</v>
      </c>
      <c r="R2076" s="5">
        <v>40953.739537037036</v>
      </c>
      <c r="S2076" s="5">
        <v>42649.822685185187</v>
      </c>
      <c r="T2076" t="s">
        <v>1529</v>
      </c>
      <c r="U2076" t="s">
        <v>35</v>
      </c>
      <c r="V2076" s="3" t="s">
        <v>35</v>
      </c>
      <c r="W2076" s="3" t="s">
        <v>4103</v>
      </c>
    </row>
    <row r="2077" spans="2:23" x14ac:dyDescent="0.25">
      <c r="B2077" t="s">
        <v>1552</v>
      </c>
      <c r="C2077">
        <v>19699</v>
      </c>
      <c r="D2077" t="s">
        <v>1554</v>
      </c>
      <c r="E2077" t="s">
        <v>387</v>
      </c>
      <c r="F2077" t="s">
        <v>305</v>
      </c>
      <c r="G2077" t="s">
        <v>310</v>
      </c>
      <c r="H2077" t="s">
        <v>54</v>
      </c>
      <c r="I2077" t="s">
        <v>35</v>
      </c>
      <c r="J2077" t="s">
        <v>32</v>
      </c>
      <c r="K2077" t="s">
        <v>35</v>
      </c>
      <c r="L2077" t="s">
        <v>73</v>
      </c>
      <c r="M2077" t="s">
        <v>263</v>
      </c>
      <c r="N2077" t="s">
        <v>46</v>
      </c>
      <c r="P2077" t="s">
        <v>1520</v>
      </c>
      <c r="R2077" s="5">
        <v>40953.737974537034</v>
      </c>
      <c r="S2077" s="5">
        <v>42649.822615740741</v>
      </c>
      <c r="T2077" t="s">
        <v>1529</v>
      </c>
      <c r="U2077" t="s">
        <v>35</v>
      </c>
      <c r="V2077" s="3" t="s">
        <v>35</v>
      </c>
      <c r="W2077" s="3" t="s">
        <v>1530</v>
      </c>
    </row>
    <row r="2078" spans="2:23" x14ac:dyDescent="0.25">
      <c r="B2078" t="s">
        <v>1552</v>
      </c>
      <c r="C2078">
        <v>19698</v>
      </c>
      <c r="D2078" t="s">
        <v>1553</v>
      </c>
      <c r="E2078" t="s">
        <v>387</v>
      </c>
      <c r="F2078" t="s">
        <v>305</v>
      </c>
      <c r="G2078" t="s">
        <v>353</v>
      </c>
      <c r="H2078" t="s">
        <v>54</v>
      </c>
      <c r="I2078" t="s">
        <v>35</v>
      </c>
      <c r="J2078" t="s">
        <v>32</v>
      </c>
      <c r="K2078" t="s">
        <v>35</v>
      </c>
      <c r="L2078" t="s">
        <v>73</v>
      </c>
      <c r="M2078" t="s">
        <v>263</v>
      </c>
      <c r="N2078" t="s">
        <v>46</v>
      </c>
      <c r="P2078" t="s">
        <v>1520</v>
      </c>
      <c r="R2078" s="5">
        <v>40953.730115740742</v>
      </c>
      <c r="S2078" s="5">
        <v>42649.822962962964</v>
      </c>
      <c r="T2078" t="s">
        <v>1523</v>
      </c>
      <c r="U2078" t="s">
        <v>35</v>
      </c>
      <c r="V2078" s="3" t="s">
        <v>35</v>
      </c>
      <c r="W2078" s="3" t="s">
        <v>4098</v>
      </c>
    </row>
    <row r="2079" spans="2:23" x14ac:dyDescent="0.25">
      <c r="B2079" t="s">
        <v>1526</v>
      </c>
      <c r="C2079">
        <v>19684</v>
      </c>
      <c r="D2079" t="s">
        <v>1551</v>
      </c>
      <c r="E2079" t="s">
        <v>1527</v>
      </c>
      <c r="F2079" t="s">
        <v>305</v>
      </c>
      <c r="G2079" t="s">
        <v>304</v>
      </c>
      <c r="H2079" t="s">
        <v>54</v>
      </c>
      <c r="I2079" t="s">
        <v>35</v>
      </c>
      <c r="J2079" t="s">
        <v>43</v>
      </c>
      <c r="K2079" t="s">
        <v>35</v>
      </c>
      <c r="L2079" t="s">
        <v>73</v>
      </c>
      <c r="M2079" t="s">
        <v>263</v>
      </c>
      <c r="N2079" t="s">
        <v>46</v>
      </c>
      <c r="P2079" t="s">
        <v>1528</v>
      </c>
      <c r="R2079" s="5">
        <v>40952.971782407411</v>
      </c>
      <c r="S2079" s="5">
        <v>41815.736956018518</v>
      </c>
      <c r="T2079" t="s">
        <v>70</v>
      </c>
      <c r="U2079" t="s">
        <v>35</v>
      </c>
      <c r="V2079" s="3" t="s">
        <v>35</v>
      </c>
      <c r="W2079" s="3" t="s">
        <v>1530</v>
      </c>
    </row>
    <row r="2080" spans="2:23" x14ac:dyDescent="0.25">
      <c r="B2080" t="s">
        <v>1524</v>
      </c>
      <c r="C2080">
        <v>19600</v>
      </c>
      <c r="D2080" t="s">
        <v>1550</v>
      </c>
      <c r="E2080" t="s">
        <v>387</v>
      </c>
      <c r="F2080" t="s">
        <v>305</v>
      </c>
      <c r="G2080" t="s">
        <v>310</v>
      </c>
      <c r="H2080" t="s">
        <v>30</v>
      </c>
      <c r="I2080" t="s">
        <v>35</v>
      </c>
      <c r="J2080" t="s">
        <v>43</v>
      </c>
      <c r="K2080" t="s">
        <v>35</v>
      </c>
      <c r="L2080" t="s">
        <v>73</v>
      </c>
      <c r="M2080" t="s">
        <v>1514</v>
      </c>
      <c r="N2080" t="s">
        <v>46</v>
      </c>
      <c r="P2080" t="s">
        <v>1520</v>
      </c>
      <c r="R2080" s="5">
        <v>40947.976134259261</v>
      </c>
      <c r="S2080" s="5">
        <v>42649.822777777779</v>
      </c>
      <c r="T2080" t="s">
        <v>1529</v>
      </c>
      <c r="U2080" t="s">
        <v>35</v>
      </c>
      <c r="V2080" s="3" t="s">
        <v>35</v>
      </c>
      <c r="W2080" s="3" t="s">
        <v>4102</v>
      </c>
    </row>
    <row r="2081" spans="2:23" x14ac:dyDescent="0.25">
      <c r="B2081" t="s">
        <v>1526</v>
      </c>
      <c r="C2081">
        <v>19587</v>
      </c>
      <c r="D2081" t="s">
        <v>1549</v>
      </c>
      <c r="E2081" t="s">
        <v>387</v>
      </c>
      <c r="F2081" t="s">
        <v>305</v>
      </c>
      <c r="G2081" t="s">
        <v>310</v>
      </c>
      <c r="H2081" t="s">
        <v>54</v>
      </c>
      <c r="I2081" t="s">
        <v>35</v>
      </c>
      <c r="J2081" t="s">
        <v>43</v>
      </c>
      <c r="K2081" t="s">
        <v>35</v>
      </c>
      <c r="L2081" t="s">
        <v>73</v>
      </c>
      <c r="M2081" t="s">
        <v>263</v>
      </c>
      <c r="N2081" t="s">
        <v>46</v>
      </c>
      <c r="P2081" t="s">
        <v>1520</v>
      </c>
      <c r="R2081" s="5">
        <v>40947.89880787037</v>
      </c>
      <c r="S2081" s="5">
        <v>42649.822800925926</v>
      </c>
      <c r="T2081" t="s">
        <v>1529</v>
      </c>
      <c r="U2081" t="s">
        <v>35</v>
      </c>
      <c r="V2081" s="3" t="s">
        <v>35</v>
      </c>
      <c r="W2081" s="3" t="s">
        <v>4102</v>
      </c>
    </row>
    <row r="2082" spans="2:23" x14ac:dyDescent="0.25">
      <c r="B2082" t="s">
        <v>1541</v>
      </c>
      <c r="C2082">
        <v>19534</v>
      </c>
      <c r="D2082" t="s">
        <v>1547</v>
      </c>
      <c r="E2082" t="s">
        <v>387</v>
      </c>
      <c r="F2082" t="s">
        <v>305</v>
      </c>
      <c r="G2082" t="s">
        <v>328</v>
      </c>
      <c r="H2082" t="s">
        <v>54</v>
      </c>
      <c r="I2082" t="s">
        <v>35</v>
      </c>
      <c r="J2082" t="s">
        <v>43</v>
      </c>
      <c r="K2082" t="s">
        <v>35</v>
      </c>
      <c r="L2082" t="s">
        <v>73</v>
      </c>
      <c r="M2082" t="s">
        <v>263</v>
      </c>
      <c r="N2082" t="s">
        <v>46</v>
      </c>
      <c r="O2082" t="s">
        <v>1548</v>
      </c>
      <c r="P2082" t="s">
        <v>1543</v>
      </c>
      <c r="R2082" s="5">
        <v>40945.903067129628</v>
      </c>
      <c r="S2082" s="5">
        <v>42649.822824074072</v>
      </c>
      <c r="T2082" t="s">
        <v>1529</v>
      </c>
      <c r="U2082" t="s">
        <v>35</v>
      </c>
      <c r="V2082" s="3" t="s">
        <v>35</v>
      </c>
      <c r="W2082" s="3" t="s">
        <v>4104</v>
      </c>
    </row>
    <row r="2083" spans="2:23" x14ac:dyDescent="0.25">
      <c r="B2083" t="s">
        <v>1541</v>
      </c>
      <c r="C2083">
        <v>19533</v>
      </c>
      <c r="D2083" t="s">
        <v>1546</v>
      </c>
      <c r="E2083" t="s">
        <v>387</v>
      </c>
      <c r="F2083" t="s">
        <v>305</v>
      </c>
      <c r="G2083" t="s">
        <v>328</v>
      </c>
      <c r="H2083" t="s">
        <v>54</v>
      </c>
      <c r="I2083" t="s">
        <v>35</v>
      </c>
      <c r="J2083" t="s">
        <v>43</v>
      </c>
      <c r="K2083" t="s">
        <v>35</v>
      </c>
      <c r="L2083" t="s">
        <v>73</v>
      </c>
      <c r="M2083" t="s">
        <v>263</v>
      </c>
      <c r="N2083" t="s">
        <v>46</v>
      </c>
      <c r="P2083" t="s">
        <v>1543</v>
      </c>
      <c r="R2083" s="5">
        <v>40945.901805555557</v>
      </c>
      <c r="S2083" s="5">
        <v>42649.822500000002</v>
      </c>
      <c r="T2083" t="s">
        <v>1529</v>
      </c>
      <c r="U2083" t="s">
        <v>35</v>
      </c>
      <c r="V2083" s="3" t="s">
        <v>35</v>
      </c>
      <c r="W2083" s="3" t="s">
        <v>4103</v>
      </c>
    </row>
    <row r="2084" spans="2:23" x14ac:dyDescent="0.25">
      <c r="B2084" t="s">
        <v>1541</v>
      </c>
      <c r="C2084">
        <v>19532</v>
      </c>
      <c r="D2084" t="s">
        <v>1545</v>
      </c>
      <c r="E2084" t="s">
        <v>387</v>
      </c>
      <c r="F2084" t="s">
        <v>305</v>
      </c>
      <c r="G2084" t="s">
        <v>328</v>
      </c>
      <c r="H2084" t="s">
        <v>54</v>
      </c>
      <c r="I2084" t="s">
        <v>35</v>
      </c>
      <c r="J2084" t="s">
        <v>43</v>
      </c>
      <c r="K2084" t="s">
        <v>35</v>
      </c>
      <c r="L2084" t="s">
        <v>73</v>
      </c>
      <c r="M2084" t="s">
        <v>263</v>
      </c>
      <c r="N2084" t="s">
        <v>46</v>
      </c>
      <c r="P2084" t="s">
        <v>1543</v>
      </c>
      <c r="R2084" s="5">
        <v>40945.900613425925</v>
      </c>
      <c r="S2084" s="5">
        <v>42649.82309027778</v>
      </c>
      <c r="T2084" t="s">
        <v>1529</v>
      </c>
      <c r="U2084" t="s">
        <v>35</v>
      </c>
      <c r="V2084" s="3" t="s">
        <v>35</v>
      </c>
      <c r="W2084" s="3" t="s">
        <v>4102</v>
      </c>
    </row>
    <row r="2085" spans="2:23" x14ac:dyDescent="0.25">
      <c r="B2085" t="s">
        <v>1541</v>
      </c>
      <c r="C2085">
        <v>19462</v>
      </c>
      <c r="D2085" t="s">
        <v>1542</v>
      </c>
      <c r="E2085" t="s">
        <v>387</v>
      </c>
      <c r="F2085" t="s">
        <v>305</v>
      </c>
      <c r="G2085" t="s">
        <v>328</v>
      </c>
      <c r="H2085" t="s">
        <v>54</v>
      </c>
      <c r="I2085" t="s">
        <v>35</v>
      </c>
      <c r="J2085" t="s">
        <v>43</v>
      </c>
      <c r="K2085" t="s">
        <v>35</v>
      </c>
      <c r="L2085" t="s">
        <v>73</v>
      </c>
      <c r="M2085" t="s">
        <v>263</v>
      </c>
      <c r="N2085" t="s">
        <v>46</v>
      </c>
      <c r="P2085" t="s">
        <v>1543</v>
      </c>
      <c r="R2085" s="5">
        <v>40940.710775462961</v>
      </c>
      <c r="S2085" s="5">
        <v>42649.822754629633</v>
      </c>
      <c r="T2085" t="s">
        <v>1544</v>
      </c>
      <c r="U2085" t="s">
        <v>35</v>
      </c>
      <c r="V2085" s="3" t="s">
        <v>35</v>
      </c>
      <c r="W2085" s="3" t="s">
        <v>4098</v>
      </c>
    </row>
    <row r="2086" spans="2:23" x14ac:dyDescent="0.25">
      <c r="B2086" t="s">
        <v>1524</v>
      </c>
      <c r="C2086">
        <v>19233</v>
      </c>
      <c r="D2086" t="s">
        <v>1539</v>
      </c>
      <c r="E2086" t="s">
        <v>387</v>
      </c>
      <c r="F2086" t="s">
        <v>305</v>
      </c>
      <c r="G2086" t="s">
        <v>304</v>
      </c>
      <c r="H2086" t="s">
        <v>30</v>
      </c>
      <c r="I2086" t="s">
        <v>35</v>
      </c>
      <c r="J2086" t="s">
        <v>43</v>
      </c>
      <c r="K2086" t="s">
        <v>35</v>
      </c>
      <c r="L2086" t="s">
        <v>73</v>
      </c>
      <c r="M2086" t="s">
        <v>263</v>
      </c>
      <c r="N2086" t="s">
        <v>46</v>
      </c>
      <c r="P2086" t="s">
        <v>1520</v>
      </c>
      <c r="R2086" s="5">
        <v>40927.959594907406</v>
      </c>
      <c r="S2086" s="5">
        <v>41815.73646990741</v>
      </c>
      <c r="T2086" t="s">
        <v>1540</v>
      </c>
      <c r="U2086" t="s">
        <v>35</v>
      </c>
      <c r="V2086" s="3" t="s">
        <v>35</v>
      </c>
      <c r="W2086" s="3" t="s">
        <v>4100</v>
      </c>
    </row>
    <row r="2087" spans="2:23" x14ac:dyDescent="0.25">
      <c r="B2087" t="s">
        <v>1536</v>
      </c>
      <c r="C2087">
        <v>19133</v>
      </c>
      <c r="D2087" t="s">
        <v>1537</v>
      </c>
      <c r="E2087" t="s">
        <v>387</v>
      </c>
      <c r="F2087" t="s">
        <v>305</v>
      </c>
      <c r="G2087" t="s">
        <v>353</v>
      </c>
      <c r="H2087" t="s">
        <v>54</v>
      </c>
      <c r="I2087" t="s">
        <v>35</v>
      </c>
      <c r="J2087" t="s">
        <v>1516</v>
      </c>
      <c r="K2087" t="s">
        <v>51</v>
      </c>
      <c r="L2087" t="s">
        <v>73</v>
      </c>
      <c r="M2087" t="s">
        <v>263</v>
      </c>
      <c r="N2087" t="s">
        <v>1538</v>
      </c>
      <c r="P2087" t="s">
        <v>1530</v>
      </c>
      <c r="R2087" s="5">
        <v>40920.715451388889</v>
      </c>
      <c r="S2087" s="5">
        <v>42404.653611111113</v>
      </c>
      <c r="T2087" t="s">
        <v>1518</v>
      </c>
      <c r="U2087" t="s">
        <v>35</v>
      </c>
      <c r="V2087" s="3" t="s">
        <v>35</v>
      </c>
      <c r="W2087" s="3" t="s">
        <v>4097</v>
      </c>
    </row>
    <row r="2088" spans="2:23" x14ac:dyDescent="0.25">
      <c r="B2088" t="s">
        <v>1524</v>
      </c>
      <c r="C2088">
        <v>19088</v>
      </c>
      <c r="D2088" t="s">
        <v>1535</v>
      </c>
      <c r="E2088" t="s">
        <v>387</v>
      </c>
      <c r="F2088" t="s">
        <v>305</v>
      </c>
      <c r="G2088" t="s">
        <v>304</v>
      </c>
      <c r="H2088" t="s">
        <v>30</v>
      </c>
      <c r="I2088" t="s">
        <v>35</v>
      </c>
      <c r="J2088" t="s">
        <v>43</v>
      </c>
      <c r="K2088" t="s">
        <v>35</v>
      </c>
      <c r="L2088" t="s">
        <v>73</v>
      </c>
      <c r="M2088" t="s">
        <v>1514</v>
      </c>
      <c r="N2088" t="s">
        <v>46</v>
      </c>
      <c r="P2088" t="s">
        <v>1520</v>
      </c>
      <c r="R2088" s="5">
        <v>40918.935694444444</v>
      </c>
      <c r="S2088" s="5">
        <v>41815.736712962964</v>
      </c>
      <c r="T2088" t="s">
        <v>1529</v>
      </c>
      <c r="U2088" t="s">
        <v>35</v>
      </c>
      <c r="V2088" s="3" t="s">
        <v>35</v>
      </c>
      <c r="W2088" s="3" t="s">
        <v>1530</v>
      </c>
    </row>
    <row r="2089" spans="2:23" x14ac:dyDescent="0.25">
      <c r="B2089" t="s">
        <v>1531</v>
      </c>
      <c r="C2089">
        <v>19031</v>
      </c>
      <c r="D2089" t="s">
        <v>1534</v>
      </c>
      <c r="E2089" t="s">
        <v>387</v>
      </c>
      <c r="F2089" t="s">
        <v>305</v>
      </c>
      <c r="G2089" t="s">
        <v>310</v>
      </c>
      <c r="H2089" t="s">
        <v>30</v>
      </c>
      <c r="I2089" t="s">
        <v>35</v>
      </c>
      <c r="J2089" t="s">
        <v>43</v>
      </c>
      <c r="K2089" t="s">
        <v>35</v>
      </c>
      <c r="L2089" t="s">
        <v>73</v>
      </c>
      <c r="M2089" t="s">
        <v>1514</v>
      </c>
      <c r="N2089" t="s">
        <v>46</v>
      </c>
      <c r="P2089" t="s">
        <v>1528</v>
      </c>
      <c r="R2089" s="5">
        <v>40918.544699074075</v>
      </c>
      <c r="S2089" s="5">
        <v>42649.822337962964</v>
      </c>
      <c r="T2089" t="s">
        <v>1529</v>
      </c>
      <c r="U2089" t="s">
        <v>35</v>
      </c>
      <c r="V2089" s="3" t="s">
        <v>35</v>
      </c>
      <c r="W2089" s="3" t="s">
        <v>1530</v>
      </c>
    </row>
    <row r="2090" spans="2:23" x14ac:dyDescent="0.25">
      <c r="B2090" t="s">
        <v>1531</v>
      </c>
      <c r="C2090">
        <v>19002</v>
      </c>
      <c r="D2090" t="s">
        <v>1532</v>
      </c>
      <c r="E2090" t="s">
        <v>1533</v>
      </c>
      <c r="F2090" t="s">
        <v>305</v>
      </c>
      <c r="G2090" t="s">
        <v>304</v>
      </c>
      <c r="H2090" t="s">
        <v>30</v>
      </c>
      <c r="I2090" t="s">
        <v>35</v>
      </c>
      <c r="J2090" t="s">
        <v>43</v>
      </c>
      <c r="K2090" t="s">
        <v>35</v>
      </c>
      <c r="L2090" t="s">
        <v>73</v>
      </c>
      <c r="M2090" t="s">
        <v>1514</v>
      </c>
      <c r="N2090" t="s">
        <v>46</v>
      </c>
      <c r="P2090" t="s">
        <v>1528</v>
      </c>
      <c r="R2090" s="5">
        <v>40914.894004629627</v>
      </c>
      <c r="S2090" s="5">
        <v>41815.750277777777</v>
      </c>
      <c r="T2090" t="s">
        <v>332</v>
      </c>
      <c r="U2090" t="s">
        <v>35</v>
      </c>
      <c r="V2090" s="3" t="s">
        <v>35</v>
      </c>
      <c r="W2090" s="3" t="s">
        <v>4098</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B15"/>
  <sheetViews>
    <sheetView workbookViewId="0"/>
  </sheetViews>
  <sheetFormatPr defaultRowHeight="15" x14ac:dyDescent="0.25"/>
  <sheetData>
    <row r="1" spans="1:2" x14ac:dyDescent="0.25">
      <c r="A1" t="s">
        <v>9</v>
      </c>
      <c r="B1" s="2" t="s">
        <v>6</v>
      </c>
    </row>
    <row r="2" spans="1:2" x14ac:dyDescent="0.25">
      <c r="A2" t="s">
        <v>8</v>
      </c>
      <c r="B2" s="2" t="s">
        <v>7</v>
      </c>
    </row>
    <row r="3" spans="1:2" x14ac:dyDescent="0.25">
      <c r="A3" t="s">
        <v>297</v>
      </c>
      <c r="B3" t="s">
        <v>298</v>
      </c>
    </row>
    <row r="6" spans="1:2" x14ac:dyDescent="0.25">
      <c r="B6">
        <f>MOD(B7,60)</f>
        <v>10</v>
      </c>
    </row>
    <row r="7" spans="1:2" x14ac:dyDescent="0.25">
      <c r="B7">
        <v>70</v>
      </c>
    </row>
    <row r="9" spans="1:2" x14ac:dyDescent="0.25">
      <c r="B9" t="s">
        <v>3767</v>
      </c>
    </row>
    <row r="10" spans="1:2" x14ac:dyDescent="0.25">
      <c r="B10" t="s">
        <v>3768</v>
      </c>
    </row>
    <row r="11" spans="1:2" x14ac:dyDescent="0.25">
      <c r="B11" t="s">
        <v>3769</v>
      </c>
    </row>
    <row r="12" spans="1:2" x14ac:dyDescent="0.25">
      <c r="B12" t="s">
        <v>3770</v>
      </c>
    </row>
    <row r="13" spans="1:2" x14ac:dyDescent="0.25">
      <c r="B13" t="s">
        <v>3771</v>
      </c>
    </row>
    <row r="14" spans="1:2" x14ac:dyDescent="0.25">
      <c r="B14" t="s">
        <v>3772</v>
      </c>
    </row>
    <row r="15" spans="1:2" x14ac:dyDescent="0.25">
      <c r="B15" t="s">
        <v>3773</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H49"/>
  <sheetViews>
    <sheetView topLeftCell="A13" workbookViewId="0">
      <selection activeCell="O38" sqref="O38"/>
    </sheetView>
  </sheetViews>
  <sheetFormatPr defaultRowHeight="15" x14ac:dyDescent="0.25"/>
  <sheetData>
    <row r="1" spans="1:3" x14ac:dyDescent="0.25">
      <c r="B1" s="2" t="s">
        <v>454</v>
      </c>
    </row>
    <row r="3" spans="1:3" x14ac:dyDescent="0.25">
      <c r="B3" t="s">
        <v>453</v>
      </c>
    </row>
    <row r="5" spans="1:3" x14ac:dyDescent="0.25">
      <c r="B5" s="2" t="s">
        <v>455</v>
      </c>
    </row>
    <row r="7" spans="1:3" x14ac:dyDescent="0.25">
      <c r="A7" t="s">
        <v>456</v>
      </c>
      <c r="B7" s="2" t="s">
        <v>457</v>
      </c>
    </row>
    <row r="9" spans="1:3" x14ac:dyDescent="0.25">
      <c r="A9" t="s">
        <v>458</v>
      </c>
      <c r="B9" s="2" t="s">
        <v>459</v>
      </c>
    </row>
    <row r="11" spans="1:3" x14ac:dyDescent="0.25">
      <c r="A11" t="s">
        <v>460</v>
      </c>
      <c r="B11" s="2" t="s">
        <v>466</v>
      </c>
    </row>
    <row r="14" spans="1:3" x14ac:dyDescent="0.25">
      <c r="A14" t="s">
        <v>461</v>
      </c>
      <c r="B14" t="s">
        <v>464</v>
      </c>
      <c r="C14" t="s">
        <v>465</v>
      </c>
    </row>
    <row r="15" spans="1:3" x14ac:dyDescent="0.25">
      <c r="A15" t="s">
        <v>462</v>
      </c>
      <c r="B15" s="4" t="s">
        <v>463</v>
      </c>
    </row>
    <row r="17" spans="1:8" x14ac:dyDescent="0.25">
      <c r="A17" t="s">
        <v>0</v>
      </c>
      <c r="B17" s="2" t="s">
        <v>3755</v>
      </c>
    </row>
    <row r="18" spans="1:8" x14ac:dyDescent="0.25">
      <c r="A18" t="s">
        <v>467</v>
      </c>
      <c r="B18" s="2" t="s">
        <v>849</v>
      </c>
    </row>
    <row r="19" spans="1:8" x14ac:dyDescent="0.25">
      <c r="A19" t="s">
        <v>468</v>
      </c>
      <c r="B19" t="s">
        <v>469</v>
      </c>
    </row>
    <row r="20" spans="1:8" x14ac:dyDescent="0.25">
      <c r="A20" t="s">
        <v>471</v>
      </c>
      <c r="B20" t="s">
        <v>470</v>
      </c>
    </row>
    <row r="21" spans="1:8" x14ac:dyDescent="0.25">
      <c r="A21" t="s">
        <v>473</v>
      </c>
      <c r="B21" t="s">
        <v>472</v>
      </c>
    </row>
    <row r="22" spans="1:8" x14ac:dyDescent="0.25">
      <c r="A22" t="s">
        <v>474</v>
      </c>
      <c r="B22" t="s">
        <v>476</v>
      </c>
    </row>
    <row r="23" spans="1:8" x14ac:dyDescent="0.25">
      <c r="A23" t="s">
        <v>475</v>
      </c>
      <c r="B23" t="s">
        <v>477</v>
      </c>
    </row>
    <row r="24" spans="1:8" x14ac:dyDescent="0.25">
      <c r="A24" t="s">
        <v>479</v>
      </c>
      <c r="B24" t="s">
        <v>478</v>
      </c>
    </row>
    <row r="25" spans="1:8" x14ac:dyDescent="0.25">
      <c r="A25" t="s">
        <v>480</v>
      </c>
      <c r="B25" t="s">
        <v>481</v>
      </c>
    </row>
    <row r="26" spans="1:8" x14ac:dyDescent="0.25">
      <c r="A26" t="s">
        <v>482</v>
      </c>
      <c r="B26" t="s">
        <v>483</v>
      </c>
    </row>
    <row r="27" spans="1:8" x14ac:dyDescent="0.25">
      <c r="A27" t="s">
        <v>486</v>
      </c>
      <c r="B27" s="2" t="s">
        <v>485</v>
      </c>
      <c r="H27" s="8" t="s">
        <v>3759</v>
      </c>
    </row>
    <row r="30" spans="1:8" x14ac:dyDescent="0.25">
      <c r="A30" t="s">
        <v>496</v>
      </c>
      <c r="B30" s="2" t="s">
        <v>499</v>
      </c>
    </row>
    <row r="31" spans="1:8" x14ac:dyDescent="0.25">
      <c r="A31" t="s">
        <v>497</v>
      </c>
      <c r="B31">
        <v>17510</v>
      </c>
    </row>
    <row r="32" spans="1:8" x14ac:dyDescent="0.25">
      <c r="A32" t="s">
        <v>498</v>
      </c>
      <c r="B32" t="s">
        <v>500</v>
      </c>
    </row>
    <row r="34" spans="1:7" x14ac:dyDescent="0.25">
      <c r="A34" t="s">
        <v>501</v>
      </c>
      <c r="B34" s="2">
        <f>HYPERLINK(CONCATENATE($B$30,$B$31,$B$32),$B$31)</f>
        <v>17510</v>
      </c>
    </row>
    <row r="36" spans="1:7" x14ac:dyDescent="0.25">
      <c r="A36" t="s">
        <v>504</v>
      </c>
      <c r="B36" t="s">
        <v>502</v>
      </c>
    </row>
    <row r="37" spans="1:7" x14ac:dyDescent="0.25">
      <c r="A37" t="s">
        <v>505</v>
      </c>
      <c r="B37" t="s">
        <v>503</v>
      </c>
    </row>
    <row r="39" spans="1:7" x14ac:dyDescent="0.25">
      <c r="A39" t="s">
        <v>597</v>
      </c>
      <c r="B39" t="s">
        <v>598</v>
      </c>
    </row>
    <row r="41" spans="1:7" x14ac:dyDescent="0.25">
      <c r="A41" t="s">
        <v>600</v>
      </c>
      <c r="B41" t="s">
        <v>3757</v>
      </c>
    </row>
    <row r="42" spans="1:7" x14ac:dyDescent="0.25">
      <c r="A42" t="s">
        <v>602</v>
      </c>
      <c r="B42" t="s">
        <v>4473</v>
      </c>
      <c r="G42" s="8" t="s">
        <v>3758</v>
      </c>
    </row>
    <row r="43" spans="1:7" x14ac:dyDescent="0.25">
      <c r="B43" t="s">
        <v>603</v>
      </c>
    </row>
    <row r="44" spans="1:7" x14ac:dyDescent="0.25">
      <c r="B44" t="s">
        <v>601</v>
      </c>
    </row>
    <row r="45" spans="1:7" x14ac:dyDescent="0.25">
      <c r="B45" t="s">
        <v>3756</v>
      </c>
    </row>
    <row r="47" spans="1:7" x14ac:dyDescent="0.25">
      <c r="A47" t="s">
        <v>4053</v>
      </c>
      <c r="B47" t="str">
        <f>B18 &amp; B25 &amp; B21</f>
        <v>http://vasa0097.cxo.storage.hpecorp.net/Cfi/CFIIssues?gridIssues-page=1&amp;gridIssues-pageSize=500&amp;gridIssues-filter=ProductFamily~contains~%27persona%27~or~ProductFamily~contains~%27StoreOnce%20%28G3%27~and~(PowerSearch~contains~%27du%3A1%27)</v>
      </c>
    </row>
    <row r="48" spans="1:7" x14ac:dyDescent="0.25">
      <c r="A48" t="s">
        <v>4054</v>
      </c>
      <c r="B48" t="str">
        <f>B18 &amp; B25 &amp; B22</f>
        <v>http://vasa0097.cxo.storage.hpecorp.net/Cfi/CFIIssues?gridIssues-page=1&amp;gridIssues-pageSize=500&amp;gridIssues-filter=ProductFamily~contains~%27persona%27~or~ProductFamily~contains~%27StoreOnce%20%28G3%27~and~(PowerSearch~contains~%27in%3A1%27)</v>
      </c>
    </row>
    <row r="49" spans="1:2" x14ac:dyDescent="0.25">
      <c r="A49" t="s">
        <v>464</v>
      </c>
      <c r="B49" t="str">
        <f>B18 &amp; B25 &amp; B23</f>
        <v>http://vasa0097.cxo.storage.hpecorp.net/Cfi/CFIIssues?gridIssues-page=1&amp;gridIssues-pageSize=500&amp;gridIssues-filter=ProductFamily~contains~%27persona%27~or~ProductFamily~contains~%27StoreOnce%20%28G3%27~and~(PowerSearch~contains~%27lo%3A1%27)</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B1:P293"/>
  <sheetViews>
    <sheetView workbookViewId="0">
      <pane ySplit="1" topLeftCell="A2" activePane="bottomLeft" state="frozen"/>
      <selection pane="bottomLeft" activeCell="A2" sqref="A2"/>
    </sheetView>
  </sheetViews>
  <sheetFormatPr defaultRowHeight="15" x14ac:dyDescent="0.25"/>
  <cols>
    <col min="11" max="12" width="15.85546875" bestFit="1" customWidth="1"/>
  </cols>
  <sheetData>
    <row r="1" spans="2:16" x14ac:dyDescent="0.25">
      <c r="B1" t="s">
        <v>604</v>
      </c>
      <c r="C1" t="s">
        <v>605</v>
      </c>
      <c r="D1" t="s">
        <v>4055</v>
      </c>
      <c r="E1" t="s">
        <v>606</v>
      </c>
      <c r="F1" t="s">
        <v>607</v>
      </c>
      <c r="G1" t="s">
        <v>608</v>
      </c>
      <c r="H1" t="s">
        <v>609</v>
      </c>
      <c r="I1" t="s">
        <v>610</v>
      </c>
      <c r="J1" t="s">
        <v>611</v>
      </c>
      <c r="K1" t="s">
        <v>612</v>
      </c>
      <c r="L1" t="s">
        <v>613</v>
      </c>
      <c r="M1" t="s">
        <v>614</v>
      </c>
      <c r="N1" t="s">
        <v>615</v>
      </c>
      <c r="O1" t="s">
        <v>616</v>
      </c>
      <c r="P1" t="s">
        <v>617</v>
      </c>
    </row>
    <row r="2" spans="2:16" x14ac:dyDescent="0.25">
      <c r="B2">
        <v>21362</v>
      </c>
      <c r="C2" t="s">
        <v>618</v>
      </c>
      <c r="D2" t="s">
        <v>619</v>
      </c>
      <c r="E2" t="s">
        <v>850</v>
      </c>
      <c r="F2" t="s">
        <v>621</v>
      </c>
      <c r="G2" t="s">
        <v>889</v>
      </c>
      <c r="H2" t="s">
        <v>890</v>
      </c>
      <c r="I2" t="s">
        <v>624</v>
      </c>
      <c r="J2" t="s">
        <v>629</v>
      </c>
      <c r="K2" s="5">
        <v>43434.40960648148</v>
      </c>
      <c r="M2" t="s">
        <v>621</v>
      </c>
      <c r="N2" t="s">
        <v>626</v>
      </c>
      <c r="O2" t="s">
        <v>621</v>
      </c>
      <c r="P2" t="s">
        <v>5116</v>
      </c>
    </row>
    <row r="3" spans="2:16" x14ac:dyDescent="0.25">
      <c r="B3">
        <v>21346</v>
      </c>
      <c r="C3" t="s">
        <v>618</v>
      </c>
      <c r="D3" t="s">
        <v>619</v>
      </c>
      <c r="E3" t="s">
        <v>850</v>
      </c>
      <c r="F3" t="s">
        <v>621</v>
      </c>
      <c r="G3" t="s">
        <v>889</v>
      </c>
      <c r="H3" t="s">
        <v>890</v>
      </c>
      <c r="I3" t="s">
        <v>624</v>
      </c>
      <c r="J3" t="s">
        <v>625</v>
      </c>
      <c r="K3" s="5">
        <v>43432.631388888891</v>
      </c>
      <c r="M3">
        <v>122198</v>
      </c>
      <c r="N3" t="s">
        <v>637</v>
      </c>
      <c r="O3" t="s">
        <v>621</v>
      </c>
      <c r="P3" t="s">
        <v>5119</v>
      </c>
    </row>
    <row r="4" spans="2:16" x14ac:dyDescent="0.25">
      <c r="B4">
        <v>21288</v>
      </c>
      <c r="C4" t="s">
        <v>641</v>
      </c>
      <c r="D4" t="s">
        <v>619</v>
      </c>
      <c r="E4" t="s">
        <v>620</v>
      </c>
      <c r="F4" t="s">
        <v>621</v>
      </c>
      <c r="G4" t="s">
        <v>622</v>
      </c>
      <c r="H4" t="s">
        <v>623</v>
      </c>
      <c r="I4" t="s">
        <v>624</v>
      </c>
      <c r="J4" t="s">
        <v>625</v>
      </c>
      <c r="K4" s="5">
        <v>43419.598946759259</v>
      </c>
      <c r="M4">
        <v>253079</v>
      </c>
      <c r="N4" t="s">
        <v>637</v>
      </c>
      <c r="O4" t="s">
        <v>621</v>
      </c>
      <c r="P4" t="s">
        <v>5107</v>
      </c>
    </row>
    <row r="5" spans="2:16" x14ac:dyDescent="0.25">
      <c r="B5">
        <v>21263</v>
      </c>
      <c r="C5" t="s">
        <v>641</v>
      </c>
      <c r="D5" t="s">
        <v>619</v>
      </c>
      <c r="E5" t="s">
        <v>620</v>
      </c>
      <c r="F5" t="s">
        <v>621</v>
      </c>
      <c r="G5" t="s">
        <v>622</v>
      </c>
      <c r="H5" t="s">
        <v>623</v>
      </c>
      <c r="I5" t="s">
        <v>624</v>
      </c>
      <c r="J5" t="s">
        <v>625</v>
      </c>
      <c r="K5" s="5">
        <v>43417.63826388889</v>
      </c>
      <c r="M5">
        <v>252954</v>
      </c>
      <c r="N5" t="s">
        <v>637</v>
      </c>
      <c r="O5" t="s">
        <v>621</v>
      </c>
      <c r="P5" t="s">
        <v>5109</v>
      </c>
    </row>
    <row r="6" spans="2:16" x14ac:dyDescent="0.25">
      <c r="B6">
        <v>21257</v>
      </c>
      <c r="C6" t="s">
        <v>618</v>
      </c>
      <c r="D6" t="s">
        <v>619</v>
      </c>
      <c r="E6" t="s">
        <v>850</v>
      </c>
      <c r="F6" t="s">
        <v>621</v>
      </c>
      <c r="G6" t="s">
        <v>855</v>
      </c>
      <c r="H6" t="s">
        <v>856</v>
      </c>
      <c r="I6" t="s">
        <v>624</v>
      </c>
      <c r="J6" t="s">
        <v>625</v>
      </c>
      <c r="K6" s="5">
        <v>43417.399618055555</v>
      </c>
      <c r="M6">
        <v>122019</v>
      </c>
      <c r="N6" t="s">
        <v>637</v>
      </c>
      <c r="O6" t="s">
        <v>621</v>
      </c>
      <c r="P6" t="s">
        <v>5086</v>
      </c>
    </row>
    <row r="7" spans="2:16" x14ac:dyDescent="0.25">
      <c r="B7">
        <v>21227</v>
      </c>
      <c r="C7" t="s">
        <v>641</v>
      </c>
      <c r="D7" t="s">
        <v>619</v>
      </c>
      <c r="E7" t="s">
        <v>850</v>
      </c>
      <c r="F7" t="s">
        <v>621</v>
      </c>
      <c r="G7" t="s">
        <v>889</v>
      </c>
      <c r="H7" t="s">
        <v>890</v>
      </c>
      <c r="I7" t="s">
        <v>624</v>
      </c>
      <c r="J7" t="s">
        <v>642</v>
      </c>
      <c r="K7" s="5">
        <v>43410.53429398148</v>
      </c>
      <c r="M7" t="s">
        <v>621</v>
      </c>
      <c r="N7" t="s">
        <v>649</v>
      </c>
      <c r="O7" t="s">
        <v>621</v>
      </c>
      <c r="P7" t="s">
        <v>5051</v>
      </c>
    </row>
    <row r="8" spans="2:16" x14ac:dyDescent="0.25">
      <c r="B8">
        <v>21171</v>
      </c>
      <c r="C8" t="s">
        <v>641</v>
      </c>
      <c r="D8" t="s">
        <v>619</v>
      </c>
      <c r="E8" t="s">
        <v>620</v>
      </c>
      <c r="F8" t="s">
        <v>621</v>
      </c>
      <c r="G8" t="s">
        <v>622</v>
      </c>
      <c r="H8" t="s">
        <v>623</v>
      </c>
      <c r="I8" t="s">
        <v>624</v>
      </c>
      <c r="J8" t="s">
        <v>625</v>
      </c>
      <c r="K8" s="5">
        <v>43402.622812499998</v>
      </c>
      <c r="M8">
        <v>121564</v>
      </c>
      <c r="N8" t="s">
        <v>640</v>
      </c>
      <c r="O8" t="s">
        <v>621</v>
      </c>
      <c r="P8" t="s">
        <v>5032</v>
      </c>
    </row>
    <row r="9" spans="2:16" x14ac:dyDescent="0.25">
      <c r="B9">
        <v>21147</v>
      </c>
      <c r="C9" t="s">
        <v>641</v>
      </c>
      <c r="D9" t="s">
        <v>619</v>
      </c>
      <c r="E9" t="s">
        <v>620</v>
      </c>
      <c r="F9" t="s">
        <v>621</v>
      </c>
      <c r="G9" t="s">
        <v>622</v>
      </c>
      <c r="H9" t="s">
        <v>623</v>
      </c>
      <c r="I9" t="s">
        <v>624</v>
      </c>
      <c r="J9" t="s">
        <v>625</v>
      </c>
      <c r="K9" s="5">
        <v>43396.674976851849</v>
      </c>
      <c r="M9">
        <v>117103</v>
      </c>
      <c r="N9" t="s">
        <v>1360</v>
      </c>
      <c r="O9" t="s">
        <v>621</v>
      </c>
      <c r="P9" t="s">
        <v>5033</v>
      </c>
    </row>
    <row r="10" spans="2:16" x14ac:dyDescent="0.25">
      <c r="B10">
        <v>21143</v>
      </c>
      <c r="C10" t="s">
        <v>641</v>
      </c>
      <c r="D10" t="s">
        <v>619</v>
      </c>
      <c r="E10" t="s">
        <v>850</v>
      </c>
      <c r="F10" t="s">
        <v>621</v>
      </c>
      <c r="G10" t="s">
        <v>855</v>
      </c>
      <c r="H10" t="s">
        <v>856</v>
      </c>
      <c r="I10" t="s">
        <v>624</v>
      </c>
      <c r="J10" t="s">
        <v>625</v>
      </c>
      <c r="K10" s="5">
        <v>43396.266446759262</v>
      </c>
      <c r="M10">
        <v>121313</v>
      </c>
      <c r="N10" t="s">
        <v>637</v>
      </c>
      <c r="O10" t="s">
        <v>621</v>
      </c>
      <c r="P10" t="s">
        <v>4913</v>
      </c>
    </row>
    <row r="11" spans="2:16" x14ac:dyDescent="0.25">
      <c r="B11">
        <v>21104</v>
      </c>
      <c r="C11" t="s">
        <v>618</v>
      </c>
      <c r="D11" t="s">
        <v>619</v>
      </c>
      <c r="E11" t="s">
        <v>850</v>
      </c>
      <c r="F11" t="s">
        <v>621</v>
      </c>
      <c r="G11" t="s">
        <v>855</v>
      </c>
      <c r="H11" t="s">
        <v>856</v>
      </c>
      <c r="I11" t="s">
        <v>624</v>
      </c>
      <c r="J11" t="s">
        <v>625</v>
      </c>
      <c r="K11" s="5">
        <v>43389.387175925927</v>
      </c>
      <c r="M11">
        <v>120743</v>
      </c>
      <c r="N11" t="s">
        <v>637</v>
      </c>
      <c r="O11" t="s">
        <v>621</v>
      </c>
      <c r="P11" t="s">
        <v>4915</v>
      </c>
    </row>
    <row r="12" spans="2:16" x14ac:dyDescent="0.25">
      <c r="B12">
        <v>21017</v>
      </c>
      <c r="C12" t="s">
        <v>618</v>
      </c>
      <c r="D12" t="s">
        <v>619</v>
      </c>
      <c r="E12" t="s">
        <v>850</v>
      </c>
      <c r="F12" t="s">
        <v>621</v>
      </c>
      <c r="G12" t="s">
        <v>855</v>
      </c>
      <c r="H12" t="s">
        <v>856</v>
      </c>
      <c r="I12" t="s">
        <v>624</v>
      </c>
      <c r="J12" t="s">
        <v>625</v>
      </c>
      <c r="K12" s="5">
        <v>43371.354259259257</v>
      </c>
      <c r="M12">
        <v>120267</v>
      </c>
      <c r="N12" t="s">
        <v>637</v>
      </c>
      <c r="O12" t="s">
        <v>621</v>
      </c>
      <c r="P12" t="s">
        <v>4812</v>
      </c>
    </row>
    <row r="13" spans="2:16" x14ac:dyDescent="0.25">
      <c r="B13">
        <v>20940</v>
      </c>
      <c r="C13" t="s">
        <v>641</v>
      </c>
      <c r="D13" t="s">
        <v>619</v>
      </c>
      <c r="E13" t="s">
        <v>850</v>
      </c>
      <c r="F13" t="s">
        <v>621</v>
      </c>
      <c r="G13" t="s">
        <v>855</v>
      </c>
      <c r="H13" t="s">
        <v>856</v>
      </c>
      <c r="I13" t="s">
        <v>624</v>
      </c>
      <c r="J13" t="s">
        <v>625</v>
      </c>
      <c r="K13" s="5">
        <v>43357.324652777781</v>
      </c>
      <c r="M13">
        <v>116814</v>
      </c>
      <c r="N13" t="s">
        <v>640</v>
      </c>
      <c r="O13" t="s">
        <v>621</v>
      </c>
      <c r="P13" t="s">
        <v>4795</v>
      </c>
    </row>
    <row r="14" spans="2:16" x14ac:dyDescent="0.25">
      <c r="B14">
        <v>20767</v>
      </c>
      <c r="C14" t="s">
        <v>665</v>
      </c>
      <c r="D14" t="s">
        <v>619</v>
      </c>
      <c r="E14" t="s">
        <v>850</v>
      </c>
      <c r="F14" t="s">
        <v>621</v>
      </c>
      <c r="G14" t="s">
        <v>855</v>
      </c>
      <c r="H14" t="s">
        <v>856</v>
      </c>
      <c r="I14" t="s">
        <v>624</v>
      </c>
      <c r="J14" t="s">
        <v>625</v>
      </c>
      <c r="K14" s="5">
        <v>43326.411192129628</v>
      </c>
      <c r="L14" s="5">
        <v>43398.738194444442</v>
      </c>
      <c r="M14">
        <v>118041</v>
      </c>
      <c r="N14" t="s">
        <v>636</v>
      </c>
      <c r="O14" t="s">
        <v>621</v>
      </c>
      <c r="P14" t="s">
        <v>4726</v>
      </c>
    </row>
    <row r="15" spans="2:16" x14ac:dyDescent="0.25">
      <c r="B15">
        <v>20730</v>
      </c>
      <c r="C15" t="s">
        <v>641</v>
      </c>
      <c r="D15" t="s">
        <v>619</v>
      </c>
      <c r="E15" t="s">
        <v>850</v>
      </c>
      <c r="F15" t="s">
        <v>621</v>
      </c>
      <c r="G15" t="s">
        <v>855</v>
      </c>
      <c r="H15" t="s">
        <v>856</v>
      </c>
      <c r="I15" t="s">
        <v>624</v>
      </c>
      <c r="J15" t="s">
        <v>625</v>
      </c>
      <c r="K15" s="5">
        <v>43319.291226851848</v>
      </c>
      <c r="M15">
        <v>118074</v>
      </c>
      <c r="N15" t="s">
        <v>637</v>
      </c>
      <c r="O15" t="s">
        <v>621</v>
      </c>
      <c r="P15" t="s">
        <v>4719</v>
      </c>
    </row>
    <row r="16" spans="2:16" x14ac:dyDescent="0.25">
      <c r="B16">
        <v>20664</v>
      </c>
      <c r="C16" t="s">
        <v>665</v>
      </c>
      <c r="D16" t="s">
        <v>619</v>
      </c>
      <c r="E16" t="s">
        <v>620</v>
      </c>
      <c r="F16" t="s">
        <v>621</v>
      </c>
      <c r="G16" t="s">
        <v>622</v>
      </c>
      <c r="H16" t="s">
        <v>623</v>
      </c>
      <c r="I16" t="s">
        <v>624</v>
      </c>
      <c r="J16" t="s">
        <v>625</v>
      </c>
      <c r="K16" s="5">
        <v>43307.589456018519</v>
      </c>
      <c r="L16" s="5">
        <v>43432.612500000003</v>
      </c>
      <c r="M16">
        <v>117351</v>
      </c>
      <c r="N16" t="s">
        <v>636</v>
      </c>
      <c r="O16" t="s">
        <v>621</v>
      </c>
      <c r="P16" t="s">
        <v>4722</v>
      </c>
    </row>
    <row r="17" spans="2:16" x14ac:dyDescent="0.25">
      <c r="B17">
        <v>20640</v>
      </c>
      <c r="C17" t="s">
        <v>641</v>
      </c>
      <c r="D17" t="s">
        <v>619</v>
      </c>
      <c r="E17" t="s">
        <v>850</v>
      </c>
      <c r="F17" t="s">
        <v>621</v>
      </c>
      <c r="G17" t="s">
        <v>851</v>
      </c>
      <c r="H17" t="s">
        <v>890</v>
      </c>
      <c r="I17" t="s">
        <v>624</v>
      </c>
      <c r="J17" t="s">
        <v>625</v>
      </c>
      <c r="K17" s="5">
        <v>43305.586597222224</v>
      </c>
      <c r="M17">
        <v>117387</v>
      </c>
      <c r="N17" t="s">
        <v>637</v>
      </c>
      <c r="O17" t="s">
        <v>621</v>
      </c>
      <c r="P17" t="s">
        <v>4566</v>
      </c>
    </row>
    <row r="18" spans="2:16" x14ac:dyDescent="0.25">
      <c r="B18">
        <v>20622</v>
      </c>
      <c r="C18" t="s">
        <v>641</v>
      </c>
      <c r="D18" t="s">
        <v>619</v>
      </c>
      <c r="E18" t="s">
        <v>850</v>
      </c>
      <c r="F18" t="s">
        <v>621</v>
      </c>
      <c r="G18" t="s">
        <v>855</v>
      </c>
      <c r="H18" t="s">
        <v>856</v>
      </c>
      <c r="I18" t="s">
        <v>624</v>
      </c>
      <c r="J18" t="s">
        <v>625</v>
      </c>
      <c r="K18" s="5">
        <v>43301.36041666667</v>
      </c>
      <c r="M18">
        <v>117327</v>
      </c>
      <c r="N18" t="s">
        <v>637</v>
      </c>
      <c r="O18" t="s">
        <v>621</v>
      </c>
      <c r="P18" t="s">
        <v>4568</v>
      </c>
    </row>
    <row r="19" spans="2:16" x14ac:dyDescent="0.25">
      <c r="B19">
        <v>20621</v>
      </c>
      <c r="C19" t="s">
        <v>641</v>
      </c>
      <c r="D19" t="s">
        <v>619</v>
      </c>
      <c r="E19" t="s">
        <v>850</v>
      </c>
      <c r="F19" t="s">
        <v>621</v>
      </c>
      <c r="G19" t="s">
        <v>855</v>
      </c>
      <c r="H19" t="s">
        <v>856</v>
      </c>
      <c r="I19" t="s">
        <v>624</v>
      </c>
      <c r="J19" t="s">
        <v>625</v>
      </c>
      <c r="K19" s="5">
        <v>43301.320613425924</v>
      </c>
      <c r="M19">
        <v>117007</v>
      </c>
      <c r="N19" t="s">
        <v>637</v>
      </c>
      <c r="O19" t="s">
        <v>621</v>
      </c>
      <c r="P19" t="s">
        <v>4569</v>
      </c>
    </row>
    <row r="20" spans="2:16" x14ac:dyDescent="0.25">
      <c r="B20">
        <v>20577</v>
      </c>
      <c r="C20" t="s">
        <v>633</v>
      </c>
      <c r="D20" t="s">
        <v>619</v>
      </c>
      <c r="E20" t="s">
        <v>850</v>
      </c>
      <c r="F20" t="s">
        <v>621</v>
      </c>
      <c r="G20" t="s">
        <v>855</v>
      </c>
      <c r="H20" t="s">
        <v>856</v>
      </c>
      <c r="I20" t="s">
        <v>624</v>
      </c>
      <c r="J20" t="s">
        <v>625</v>
      </c>
      <c r="K20" s="5">
        <v>43297.202997685185</v>
      </c>
      <c r="L20" s="5">
        <v>43398.6408912037</v>
      </c>
      <c r="M20">
        <v>114605</v>
      </c>
      <c r="N20" t="s">
        <v>636</v>
      </c>
      <c r="O20" t="s">
        <v>621</v>
      </c>
      <c r="P20" t="s">
        <v>4574</v>
      </c>
    </row>
    <row r="21" spans="2:16" x14ac:dyDescent="0.25">
      <c r="B21">
        <v>20571</v>
      </c>
      <c r="C21" t="s">
        <v>618</v>
      </c>
      <c r="D21" t="s">
        <v>619</v>
      </c>
      <c r="E21" t="s">
        <v>620</v>
      </c>
      <c r="F21" t="s">
        <v>621</v>
      </c>
      <c r="G21" t="s">
        <v>622</v>
      </c>
      <c r="H21" t="s">
        <v>623</v>
      </c>
      <c r="I21" t="s">
        <v>624</v>
      </c>
      <c r="J21" t="s">
        <v>625</v>
      </c>
      <c r="K21" s="5">
        <v>43294.439259259256</v>
      </c>
      <c r="M21">
        <v>116805</v>
      </c>
      <c r="N21" t="s">
        <v>640</v>
      </c>
      <c r="O21" t="s">
        <v>621</v>
      </c>
      <c r="P21" t="s">
        <v>4575</v>
      </c>
    </row>
    <row r="22" spans="2:16" x14ac:dyDescent="0.25">
      <c r="B22">
        <v>20506</v>
      </c>
      <c r="C22" t="s">
        <v>641</v>
      </c>
      <c r="D22" t="s">
        <v>619</v>
      </c>
      <c r="E22" t="s">
        <v>850</v>
      </c>
      <c r="F22" t="s">
        <v>621</v>
      </c>
      <c r="G22" t="s">
        <v>855</v>
      </c>
      <c r="H22" t="s">
        <v>856</v>
      </c>
      <c r="I22" t="s">
        <v>624</v>
      </c>
      <c r="J22" t="s">
        <v>625</v>
      </c>
      <c r="K22" s="5">
        <v>43285.061620370368</v>
      </c>
      <c r="M22">
        <v>119604</v>
      </c>
      <c r="N22" t="s">
        <v>637</v>
      </c>
      <c r="O22" t="s">
        <v>621</v>
      </c>
      <c r="P22" t="s">
        <v>4475</v>
      </c>
    </row>
    <row r="23" spans="2:16" x14ac:dyDescent="0.25">
      <c r="B23">
        <v>20503</v>
      </c>
      <c r="C23" t="s">
        <v>641</v>
      </c>
      <c r="D23" t="s">
        <v>619</v>
      </c>
      <c r="E23" t="s">
        <v>850</v>
      </c>
      <c r="F23" t="s">
        <v>621</v>
      </c>
      <c r="G23" t="s">
        <v>889</v>
      </c>
      <c r="H23" t="s">
        <v>890</v>
      </c>
      <c r="I23" t="s">
        <v>624</v>
      </c>
      <c r="J23" t="s">
        <v>642</v>
      </c>
      <c r="K23" s="5">
        <v>43284.634212962963</v>
      </c>
      <c r="L23" s="5">
        <v>43364.524305555555</v>
      </c>
      <c r="M23" t="s">
        <v>621</v>
      </c>
      <c r="N23" t="s">
        <v>649</v>
      </c>
      <c r="O23" t="s">
        <v>621</v>
      </c>
      <c r="P23" t="s">
        <v>4578</v>
      </c>
    </row>
    <row r="24" spans="2:16" x14ac:dyDescent="0.25">
      <c r="B24">
        <v>20501</v>
      </c>
      <c r="C24" t="s">
        <v>665</v>
      </c>
      <c r="D24" t="s">
        <v>619</v>
      </c>
      <c r="E24" t="s">
        <v>620</v>
      </c>
      <c r="F24" t="s">
        <v>621</v>
      </c>
      <c r="G24" t="s">
        <v>622</v>
      </c>
      <c r="H24" t="s">
        <v>623</v>
      </c>
      <c r="I24" t="s">
        <v>624</v>
      </c>
      <c r="J24" t="s">
        <v>625</v>
      </c>
      <c r="K24" s="5">
        <v>43284.565694444442</v>
      </c>
      <c r="L24" s="5">
        <v>43432.62777777778</v>
      </c>
      <c r="M24">
        <v>116735</v>
      </c>
      <c r="N24" t="s">
        <v>636</v>
      </c>
      <c r="O24" t="s">
        <v>621</v>
      </c>
      <c r="P24" t="s">
        <v>4579</v>
      </c>
    </row>
    <row r="25" spans="2:16" x14ac:dyDescent="0.25">
      <c r="B25">
        <v>20487</v>
      </c>
      <c r="C25" t="s">
        <v>665</v>
      </c>
      <c r="D25" t="s">
        <v>619</v>
      </c>
      <c r="E25" t="s">
        <v>850</v>
      </c>
      <c r="F25" t="s">
        <v>621</v>
      </c>
      <c r="G25" t="s">
        <v>855</v>
      </c>
      <c r="H25" t="s">
        <v>856</v>
      </c>
      <c r="I25" t="s">
        <v>624</v>
      </c>
      <c r="J25" t="s">
        <v>625</v>
      </c>
      <c r="K25" s="5">
        <v>43283.205671296295</v>
      </c>
      <c r="L25" s="5">
        <v>43332.374305555553</v>
      </c>
      <c r="M25">
        <v>110465</v>
      </c>
      <c r="N25" t="s">
        <v>636</v>
      </c>
      <c r="O25" t="s">
        <v>4478</v>
      </c>
      <c r="P25" t="s">
        <v>4479</v>
      </c>
    </row>
    <row r="26" spans="2:16" x14ac:dyDescent="0.25">
      <c r="B26">
        <v>20407</v>
      </c>
      <c r="C26" t="s">
        <v>641</v>
      </c>
      <c r="D26" t="s">
        <v>619</v>
      </c>
      <c r="E26" t="s">
        <v>850</v>
      </c>
      <c r="F26" t="s">
        <v>621</v>
      </c>
      <c r="G26" t="s">
        <v>858</v>
      </c>
      <c r="H26" t="s">
        <v>859</v>
      </c>
      <c r="I26" t="s">
        <v>624</v>
      </c>
      <c r="J26" t="s">
        <v>629</v>
      </c>
      <c r="K26" s="5">
        <v>43268.774965277778</v>
      </c>
      <c r="M26">
        <v>115777</v>
      </c>
      <c r="N26" t="s">
        <v>637</v>
      </c>
      <c r="O26" t="s">
        <v>621</v>
      </c>
      <c r="P26" t="s">
        <v>4484</v>
      </c>
    </row>
    <row r="27" spans="2:16" x14ac:dyDescent="0.25">
      <c r="B27">
        <v>20297</v>
      </c>
      <c r="C27" t="s">
        <v>665</v>
      </c>
      <c r="D27" t="s">
        <v>619</v>
      </c>
      <c r="E27" t="s">
        <v>850</v>
      </c>
      <c r="F27" t="s">
        <v>621</v>
      </c>
      <c r="G27" t="s">
        <v>855</v>
      </c>
      <c r="H27" t="s">
        <v>856</v>
      </c>
      <c r="I27" t="s">
        <v>624</v>
      </c>
      <c r="J27" t="s">
        <v>625</v>
      </c>
      <c r="K27" s="5">
        <v>43251.341585648152</v>
      </c>
      <c r="L27" s="5">
        <v>43398.720138888886</v>
      </c>
      <c r="M27">
        <v>116456</v>
      </c>
      <c r="N27" t="s">
        <v>636</v>
      </c>
      <c r="O27" t="s">
        <v>621</v>
      </c>
      <c r="P27" t="s">
        <v>4489</v>
      </c>
    </row>
    <row r="28" spans="2:16" x14ac:dyDescent="0.25">
      <c r="B28">
        <v>20254</v>
      </c>
      <c r="C28" t="s">
        <v>665</v>
      </c>
      <c r="D28" t="s">
        <v>619</v>
      </c>
      <c r="E28" t="s">
        <v>850</v>
      </c>
      <c r="F28" t="s">
        <v>621</v>
      </c>
      <c r="G28" t="s">
        <v>855</v>
      </c>
      <c r="H28" t="s">
        <v>856</v>
      </c>
      <c r="I28" t="s">
        <v>624</v>
      </c>
      <c r="J28" t="s">
        <v>625</v>
      </c>
      <c r="K28" s="5">
        <v>43244.078622685185</v>
      </c>
      <c r="L28" s="5">
        <v>43311.594444444447</v>
      </c>
      <c r="M28">
        <v>104706</v>
      </c>
      <c r="N28" t="s">
        <v>645</v>
      </c>
      <c r="O28" t="s">
        <v>621</v>
      </c>
      <c r="P28" t="s">
        <v>4492</v>
      </c>
    </row>
    <row r="29" spans="2:16" x14ac:dyDescent="0.25">
      <c r="B29">
        <v>20096</v>
      </c>
      <c r="C29" t="s">
        <v>618</v>
      </c>
      <c r="D29" t="s">
        <v>619</v>
      </c>
      <c r="E29" t="s">
        <v>850</v>
      </c>
      <c r="F29" t="s">
        <v>621</v>
      </c>
      <c r="G29" t="s">
        <v>875</v>
      </c>
      <c r="H29" t="s">
        <v>876</v>
      </c>
      <c r="I29" t="s">
        <v>624</v>
      </c>
      <c r="J29" t="s">
        <v>642</v>
      </c>
      <c r="K29" s="5">
        <v>43216.493055555555</v>
      </c>
      <c r="M29">
        <v>109263</v>
      </c>
      <c r="N29" t="s">
        <v>637</v>
      </c>
      <c r="O29" t="s">
        <v>621</v>
      </c>
      <c r="P29" t="s">
        <v>4504</v>
      </c>
    </row>
    <row r="30" spans="2:16" x14ac:dyDescent="0.25">
      <c r="B30">
        <v>20087</v>
      </c>
      <c r="C30" t="s">
        <v>665</v>
      </c>
      <c r="D30" t="s">
        <v>619</v>
      </c>
      <c r="E30" t="s">
        <v>850</v>
      </c>
      <c r="F30" t="s">
        <v>621</v>
      </c>
      <c r="G30" t="s">
        <v>889</v>
      </c>
      <c r="H30" t="s">
        <v>890</v>
      </c>
      <c r="I30" t="s">
        <v>624</v>
      </c>
      <c r="J30" t="s">
        <v>629</v>
      </c>
      <c r="K30" s="5">
        <v>43215.677997685183</v>
      </c>
      <c r="L30" s="5">
        <v>43398.71597222222</v>
      </c>
      <c r="M30">
        <v>107735</v>
      </c>
      <c r="N30" t="s">
        <v>636</v>
      </c>
      <c r="O30" t="s">
        <v>621</v>
      </c>
      <c r="P30" t="s">
        <v>4505</v>
      </c>
    </row>
    <row r="31" spans="2:16" x14ac:dyDescent="0.25">
      <c r="B31">
        <v>20013</v>
      </c>
      <c r="C31" t="s">
        <v>641</v>
      </c>
      <c r="D31" t="s">
        <v>619</v>
      </c>
      <c r="E31" t="s">
        <v>850</v>
      </c>
      <c r="F31" t="s">
        <v>621</v>
      </c>
      <c r="G31" t="s">
        <v>875</v>
      </c>
      <c r="H31" t="s">
        <v>876</v>
      </c>
      <c r="I31" t="s">
        <v>624</v>
      </c>
      <c r="J31" t="s">
        <v>629</v>
      </c>
      <c r="K31" s="5">
        <v>43206.445833333331</v>
      </c>
      <c r="M31">
        <v>113003</v>
      </c>
      <c r="N31" t="s">
        <v>637</v>
      </c>
      <c r="O31" t="s">
        <v>621</v>
      </c>
      <c r="P31" t="s">
        <v>4701</v>
      </c>
    </row>
    <row r="32" spans="2:16" x14ac:dyDescent="0.25">
      <c r="B32">
        <v>19992</v>
      </c>
      <c r="C32" t="s">
        <v>618</v>
      </c>
      <c r="D32" t="s">
        <v>619</v>
      </c>
      <c r="E32" t="s">
        <v>850</v>
      </c>
      <c r="F32" t="s">
        <v>621</v>
      </c>
      <c r="G32" t="s">
        <v>855</v>
      </c>
      <c r="H32" t="s">
        <v>856</v>
      </c>
      <c r="I32" t="s">
        <v>624</v>
      </c>
      <c r="J32" t="s">
        <v>625</v>
      </c>
      <c r="K32" s="5">
        <v>43202.123680555553</v>
      </c>
      <c r="M32">
        <v>113294</v>
      </c>
      <c r="N32" t="s">
        <v>637</v>
      </c>
      <c r="O32" t="s">
        <v>621</v>
      </c>
      <c r="P32" t="s">
        <v>4511</v>
      </c>
    </row>
    <row r="33" spans="2:16" x14ac:dyDescent="0.25">
      <c r="B33">
        <v>19976</v>
      </c>
      <c r="C33" t="s">
        <v>665</v>
      </c>
      <c r="D33" t="s">
        <v>619</v>
      </c>
      <c r="E33" t="s">
        <v>850</v>
      </c>
      <c r="F33" t="s">
        <v>621</v>
      </c>
      <c r="G33" t="s">
        <v>858</v>
      </c>
      <c r="H33" t="s">
        <v>859</v>
      </c>
      <c r="I33" t="s">
        <v>624</v>
      </c>
      <c r="J33" t="s">
        <v>642</v>
      </c>
      <c r="K33" s="5">
        <v>43199.451631944445</v>
      </c>
      <c r="L33" s="5">
        <v>43209.626388888886</v>
      </c>
      <c r="M33">
        <v>111841</v>
      </c>
      <c r="N33" t="s">
        <v>636</v>
      </c>
      <c r="O33" t="s">
        <v>621</v>
      </c>
      <c r="P33" t="s">
        <v>4513</v>
      </c>
    </row>
    <row r="34" spans="2:16" x14ac:dyDescent="0.25">
      <c r="B34">
        <v>19973</v>
      </c>
      <c r="C34" t="s">
        <v>641</v>
      </c>
      <c r="D34" t="s">
        <v>619</v>
      </c>
      <c r="E34" t="s">
        <v>850</v>
      </c>
      <c r="F34" t="s">
        <v>621</v>
      </c>
      <c r="G34" t="s">
        <v>886</v>
      </c>
      <c r="H34" t="s">
        <v>887</v>
      </c>
      <c r="I34" t="s">
        <v>624</v>
      </c>
      <c r="J34" t="s">
        <v>629</v>
      </c>
      <c r="K34" s="5">
        <v>43199.387349537035</v>
      </c>
      <c r="M34">
        <v>112106</v>
      </c>
      <c r="N34" t="s">
        <v>640</v>
      </c>
      <c r="O34" t="s">
        <v>621</v>
      </c>
      <c r="P34" t="s">
        <v>4514</v>
      </c>
    </row>
    <row r="35" spans="2:16" x14ac:dyDescent="0.25">
      <c r="B35">
        <v>19968</v>
      </c>
      <c r="C35" t="s">
        <v>633</v>
      </c>
      <c r="D35" t="s">
        <v>619</v>
      </c>
      <c r="E35" t="s">
        <v>850</v>
      </c>
      <c r="F35" t="s">
        <v>621</v>
      </c>
      <c r="G35" t="s">
        <v>855</v>
      </c>
      <c r="H35" t="s">
        <v>856</v>
      </c>
      <c r="I35" t="s">
        <v>624</v>
      </c>
      <c r="J35" t="s">
        <v>642</v>
      </c>
      <c r="K35" s="5">
        <v>43199.172627314816</v>
      </c>
      <c r="L35" s="5">
        <v>43235.257465277777</v>
      </c>
      <c r="M35">
        <v>108584</v>
      </c>
      <c r="N35" t="s">
        <v>645</v>
      </c>
      <c r="O35" t="s">
        <v>621</v>
      </c>
      <c r="P35" t="s">
        <v>4515</v>
      </c>
    </row>
    <row r="36" spans="2:16" x14ac:dyDescent="0.25">
      <c r="B36">
        <v>19941</v>
      </c>
      <c r="C36" t="s">
        <v>633</v>
      </c>
      <c r="D36" t="s">
        <v>619</v>
      </c>
      <c r="E36" t="s">
        <v>620</v>
      </c>
      <c r="F36" t="s">
        <v>621</v>
      </c>
      <c r="G36" t="s">
        <v>622</v>
      </c>
      <c r="H36" t="s">
        <v>623</v>
      </c>
      <c r="I36" t="s">
        <v>624</v>
      </c>
      <c r="J36" t="s">
        <v>625</v>
      </c>
      <c r="K36" s="5">
        <v>43193.461504629631</v>
      </c>
      <c r="L36" s="5">
        <v>43301.736377314817</v>
      </c>
      <c r="M36">
        <v>111958</v>
      </c>
      <c r="N36" t="s">
        <v>636</v>
      </c>
      <c r="O36" t="s">
        <v>621</v>
      </c>
      <c r="P36" t="s">
        <v>4591</v>
      </c>
    </row>
    <row r="37" spans="2:16" x14ac:dyDescent="0.25">
      <c r="B37">
        <v>19811</v>
      </c>
      <c r="C37" t="s">
        <v>641</v>
      </c>
      <c r="D37" t="s">
        <v>619</v>
      </c>
      <c r="E37" t="s">
        <v>850</v>
      </c>
      <c r="F37" t="s">
        <v>621</v>
      </c>
      <c r="G37" t="s">
        <v>855</v>
      </c>
      <c r="H37" t="s">
        <v>856</v>
      </c>
      <c r="I37" t="s">
        <v>624</v>
      </c>
      <c r="J37" t="s">
        <v>625</v>
      </c>
      <c r="K37" s="5">
        <v>43173.36917824074</v>
      </c>
      <c r="M37">
        <v>110037</v>
      </c>
      <c r="N37" t="s">
        <v>637</v>
      </c>
      <c r="O37" t="s">
        <v>621</v>
      </c>
      <c r="P37" t="s">
        <v>4523</v>
      </c>
    </row>
    <row r="38" spans="2:16" x14ac:dyDescent="0.25">
      <c r="B38">
        <v>19803</v>
      </c>
      <c r="C38" t="s">
        <v>618</v>
      </c>
      <c r="D38" t="s">
        <v>619</v>
      </c>
      <c r="E38" t="s">
        <v>620</v>
      </c>
      <c r="F38" t="s">
        <v>621</v>
      </c>
      <c r="G38" t="s">
        <v>622</v>
      </c>
      <c r="H38" t="s">
        <v>623</v>
      </c>
      <c r="I38" t="s">
        <v>624</v>
      </c>
      <c r="J38" t="s">
        <v>625</v>
      </c>
      <c r="K38" s="5">
        <v>43171.6484375</v>
      </c>
      <c r="M38">
        <v>111173</v>
      </c>
      <c r="N38" t="s">
        <v>1360</v>
      </c>
      <c r="O38" t="s">
        <v>621</v>
      </c>
      <c r="P38" t="s">
        <v>4596</v>
      </c>
    </row>
    <row r="39" spans="2:16" x14ac:dyDescent="0.25">
      <c r="B39">
        <v>19783</v>
      </c>
      <c r="C39" t="s">
        <v>665</v>
      </c>
      <c r="D39" t="s">
        <v>619</v>
      </c>
      <c r="E39" t="s">
        <v>850</v>
      </c>
      <c r="F39" t="s">
        <v>621</v>
      </c>
      <c r="G39" t="s">
        <v>886</v>
      </c>
      <c r="H39" t="s">
        <v>887</v>
      </c>
      <c r="I39" t="s">
        <v>624</v>
      </c>
      <c r="J39" t="s">
        <v>625</v>
      </c>
      <c r="K39" s="5">
        <v>43168.430763888886</v>
      </c>
      <c r="L39" s="5">
        <v>43398.707638888889</v>
      </c>
      <c r="M39">
        <v>106559</v>
      </c>
      <c r="N39" t="s">
        <v>636</v>
      </c>
      <c r="O39" t="s">
        <v>621</v>
      </c>
      <c r="P39" t="s">
        <v>4524</v>
      </c>
    </row>
    <row r="40" spans="2:16" x14ac:dyDescent="0.25">
      <c r="B40">
        <v>19761</v>
      </c>
      <c r="C40" t="s">
        <v>665</v>
      </c>
      <c r="D40" t="s">
        <v>619</v>
      </c>
      <c r="E40" t="s">
        <v>850</v>
      </c>
      <c r="F40" t="s">
        <v>621</v>
      </c>
      <c r="G40" t="s">
        <v>889</v>
      </c>
      <c r="H40" t="s">
        <v>890</v>
      </c>
      <c r="I40" t="s">
        <v>624</v>
      </c>
      <c r="J40" t="s">
        <v>642</v>
      </c>
      <c r="K40" s="5">
        <v>43165.632800925923</v>
      </c>
      <c r="L40" s="5">
        <v>43332.364583333336</v>
      </c>
      <c r="M40">
        <v>111383</v>
      </c>
      <c r="N40" t="s">
        <v>636</v>
      </c>
      <c r="O40" t="s">
        <v>621</v>
      </c>
      <c r="P40" t="s">
        <v>4526</v>
      </c>
    </row>
    <row r="41" spans="2:16" x14ac:dyDescent="0.25">
      <c r="B41">
        <v>19688</v>
      </c>
      <c r="C41" t="s">
        <v>665</v>
      </c>
      <c r="D41" t="s">
        <v>619</v>
      </c>
      <c r="E41" t="s">
        <v>850</v>
      </c>
      <c r="F41" t="s">
        <v>621</v>
      </c>
      <c r="G41" t="s">
        <v>851</v>
      </c>
      <c r="H41" t="s">
        <v>852</v>
      </c>
      <c r="I41" t="s">
        <v>624</v>
      </c>
      <c r="J41" t="s">
        <v>625</v>
      </c>
      <c r="K41" s="5">
        <v>43154.028993055559</v>
      </c>
      <c r="L41" s="5">
        <v>43206.713194444441</v>
      </c>
      <c r="M41" t="s">
        <v>621</v>
      </c>
      <c r="N41" t="s">
        <v>636</v>
      </c>
      <c r="O41" t="s">
        <v>621</v>
      </c>
      <c r="P41" t="s">
        <v>4531</v>
      </c>
    </row>
    <row r="42" spans="2:16" x14ac:dyDescent="0.25">
      <c r="B42">
        <v>19654</v>
      </c>
      <c r="C42" t="s">
        <v>641</v>
      </c>
      <c r="D42" t="s">
        <v>619</v>
      </c>
      <c r="E42" t="s">
        <v>850</v>
      </c>
      <c r="F42" t="s">
        <v>621</v>
      </c>
      <c r="G42" t="s">
        <v>870</v>
      </c>
      <c r="H42" t="s">
        <v>859</v>
      </c>
      <c r="I42" t="s">
        <v>624</v>
      </c>
      <c r="J42" t="s">
        <v>625</v>
      </c>
      <c r="K42" s="5">
        <v>43147.283206018517</v>
      </c>
      <c r="M42">
        <v>116218</v>
      </c>
      <c r="N42" t="s">
        <v>640</v>
      </c>
      <c r="O42" t="s">
        <v>621</v>
      </c>
      <c r="P42" t="s">
        <v>4535</v>
      </c>
    </row>
    <row r="43" spans="2:16" x14ac:dyDescent="0.25">
      <c r="B43">
        <v>19653</v>
      </c>
      <c r="C43" t="s">
        <v>665</v>
      </c>
      <c r="D43" t="s">
        <v>619</v>
      </c>
      <c r="E43" t="s">
        <v>850</v>
      </c>
      <c r="F43" t="s">
        <v>621</v>
      </c>
      <c r="G43" t="s">
        <v>855</v>
      </c>
      <c r="H43" t="s">
        <v>856</v>
      </c>
      <c r="I43" t="s">
        <v>624</v>
      </c>
      <c r="J43" t="s">
        <v>625</v>
      </c>
      <c r="K43" s="5">
        <v>43147.085763888892</v>
      </c>
      <c r="L43" s="5">
        <v>43332.361111111109</v>
      </c>
      <c r="M43">
        <v>111511</v>
      </c>
      <c r="N43" t="s">
        <v>636</v>
      </c>
      <c r="O43" t="s">
        <v>621</v>
      </c>
      <c r="P43" t="s">
        <v>4536</v>
      </c>
    </row>
    <row r="44" spans="2:16" x14ac:dyDescent="0.25">
      <c r="B44">
        <v>19643</v>
      </c>
      <c r="C44" t="s">
        <v>641</v>
      </c>
      <c r="D44" t="s">
        <v>619</v>
      </c>
      <c r="E44" t="s">
        <v>850</v>
      </c>
      <c r="F44" t="s">
        <v>621</v>
      </c>
      <c r="G44" t="s">
        <v>851</v>
      </c>
      <c r="H44" t="s">
        <v>859</v>
      </c>
      <c r="I44" t="s">
        <v>624</v>
      </c>
      <c r="J44" t="s">
        <v>625</v>
      </c>
      <c r="K44" s="5">
        <v>43146.071435185186</v>
      </c>
      <c r="M44">
        <v>112169</v>
      </c>
      <c r="N44" t="s">
        <v>649</v>
      </c>
      <c r="O44" t="s">
        <v>621</v>
      </c>
      <c r="P44" t="s">
        <v>4537</v>
      </c>
    </row>
    <row r="45" spans="2:16" x14ac:dyDescent="0.25">
      <c r="B45">
        <v>19612</v>
      </c>
      <c r="C45" t="s">
        <v>665</v>
      </c>
      <c r="D45" t="s">
        <v>619</v>
      </c>
      <c r="E45" t="s">
        <v>850</v>
      </c>
      <c r="F45" t="s">
        <v>621</v>
      </c>
      <c r="G45" t="s">
        <v>855</v>
      </c>
      <c r="H45" t="s">
        <v>856</v>
      </c>
      <c r="I45" t="s">
        <v>624</v>
      </c>
      <c r="J45" t="s">
        <v>625</v>
      </c>
      <c r="K45" s="5">
        <v>43140.207673611112</v>
      </c>
      <c r="L45" s="5">
        <v>43332.35833333333</v>
      </c>
      <c r="M45">
        <v>108525</v>
      </c>
      <c r="N45" t="s">
        <v>636</v>
      </c>
      <c r="O45" t="s">
        <v>621</v>
      </c>
      <c r="P45" t="s">
        <v>4540</v>
      </c>
    </row>
    <row r="46" spans="2:16" x14ac:dyDescent="0.25">
      <c r="B46">
        <v>19563</v>
      </c>
      <c r="C46" t="s">
        <v>618</v>
      </c>
      <c r="D46" t="s">
        <v>619</v>
      </c>
      <c r="E46" t="s">
        <v>620</v>
      </c>
      <c r="F46" t="s">
        <v>621</v>
      </c>
      <c r="G46" t="s">
        <v>622</v>
      </c>
      <c r="H46" t="s">
        <v>623</v>
      </c>
      <c r="I46" t="s">
        <v>624</v>
      </c>
      <c r="J46" t="s">
        <v>625</v>
      </c>
      <c r="K46" s="5">
        <v>43137.383437500001</v>
      </c>
      <c r="M46">
        <v>229706</v>
      </c>
      <c r="N46" t="s">
        <v>637</v>
      </c>
      <c r="O46" t="s">
        <v>621</v>
      </c>
      <c r="P46" t="s">
        <v>4542</v>
      </c>
    </row>
    <row r="47" spans="2:16" x14ac:dyDescent="0.25">
      <c r="B47">
        <v>19536</v>
      </c>
      <c r="C47" t="s">
        <v>633</v>
      </c>
      <c r="D47" t="s">
        <v>619</v>
      </c>
      <c r="E47" t="s">
        <v>620</v>
      </c>
      <c r="F47" t="s">
        <v>621</v>
      </c>
      <c r="G47" t="s">
        <v>622</v>
      </c>
      <c r="H47" t="s">
        <v>623</v>
      </c>
      <c r="I47" t="s">
        <v>624</v>
      </c>
      <c r="J47" t="s">
        <v>625</v>
      </c>
      <c r="K47" s="5">
        <v>43132.5393287037</v>
      </c>
      <c r="L47" s="5">
        <v>43301.734201388892</v>
      </c>
      <c r="M47">
        <v>110032</v>
      </c>
      <c r="N47" t="s">
        <v>645</v>
      </c>
      <c r="O47" t="s">
        <v>621</v>
      </c>
      <c r="P47" t="s">
        <v>4543</v>
      </c>
    </row>
    <row r="48" spans="2:16" x14ac:dyDescent="0.25">
      <c r="B48">
        <v>19530</v>
      </c>
      <c r="C48" t="s">
        <v>633</v>
      </c>
      <c r="D48" t="s">
        <v>619</v>
      </c>
      <c r="E48" t="s">
        <v>850</v>
      </c>
      <c r="F48" t="s">
        <v>621</v>
      </c>
      <c r="G48" t="s">
        <v>855</v>
      </c>
      <c r="H48" t="s">
        <v>856</v>
      </c>
      <c r="I48" t="s">
        <v>624</v>
      </c>
      <c r="J48" t="s">
        <v>629</v>
      </c>
      <c r="K48" s="5">
        <v>43132.299027777779</v>
      </c>
      <c r="L48" s="5">
        <v>43332.272812499999</v>
      </c>
      <c r="M48">
        <v>108525</v>
      </c>
      <c r="N48" t="s">
        <v>636</v>
      </c>
      <c r="O48" t="s">
        <v>621</v>
      </c>
      <c r="P48" t="s">
        <v>4545</v>
      </c>
    </row>
    <row r="49" spans="2:16" x14ac:dyDescent="0.25">
      <c r="B49">
        <v>19529</v>
      </c>
      <c r="C49" t="s">
        <v>633</v>
      </c>
      <c r="D49" t="s">
        <v>619</v>
      </c>
      <c r="E49" t="s">
        <v>850</v>
      </c>
      <c r="F49" t="s">
        <v>621</v>
      </c>
      <c r="G49" t="s">
        <v>855</v>
      </c>
      <c r="H49" t="s">
        <v>856</v>
      </c>
      <c r="I49" t="s">
        <v>624</v>
      </c>
      <c r="J49" t="s">
        <v>625</v>
      </c>
      <c r="K49" s="5">
        <v>43132.290937500002</v>
      </c>
      <c r="L49" s="5">
        <v>43290.400509259256</v>
      </c>
      <c r="M49">
        <v>109905</v>
      </c>
      <c r="N49" t="s">
        <v>645</v>
      </c>
      <c r="O49" t="s">
        <v>621</v>
      </c>
      <c r="P49" t="s">
        <v>4546</v>
      </c>
    </row>
    <row r="50" spans="2:16" x14ac:dyDescent="0.25">
      <c r="B50">
        <v>19517</v>
      </c>
      <c r="C50" t="s">
        <v>641</v>
      </c>
      <c r="D50" t="s">
        <v>619</v>
      </c>
      <c r="E50" t="s">
        <v>850</v>
      </c>
      <c r="F50" t="s">
        <v>621</v>
      </c>
      <c r="G50" t="s">
        <v>851</v>
      </c>
      <c r="H50" t="s">
        <v>890</v>
      </c>
      <c r="I50" t="s">
        <v>624</v>
      </c>
      <c r="J50" t="s">
        <v>625</v>
      </c>
      <c r="K50" s="5">
        <v>43130.426736111112</v>
      </c>
      <c r="M50">
        <v>110177</v>
      </c>
      <c r="N50" t="s">
        <v>1360</v>
      </c>
      <c r="O50" t="s">
        <v>621</v>
      </c>
      <c r="P50" t="s">
        <v>4547</v>
      </c>
    </row>
    <row r="51" spans="2:16" x14ac:dyDescent="0.25">
      <c r="B51">
        <v>19490</v>
      </c>
      <c r="C51" t="s">
        <v>665</v>
      </c>
      <c r="D51" t="s">
        <v>619</v>
      </c>
      <c r="E51" t="s">
        <v>850</v>
      </c>
      <c r="F51" t="s">
        <v>621</v>
      </c>
      <c r="G51" t="s">
        <v>889</v>
      </c>
      <c r="H51" t="s">
        <v>890</v>
      </c>
      <c r="I51" t="s">
        <v>624</v>
      </c>
      <c r="J51" t="s">
        <v>625</v>
      </c>
      <c r="K51" s="5">
        <v>43125.532812500001</v>
      </c>
      <c r="L51" s="5">
        <v>43395.590277777781</v>
      </c>
      <c r="M51">
        <v>94325</v>
      </c>
      <c r="N51" t="s">
        <v>645</v>
      </c>
      <c r="O51" t="s">
        <v>621</v>
      </c>
      <c r="P51" t="s">
        <v>4549</v>
      </c>
    </row>
    <row r="52" spans="2:16" x14ac:dyDescent="0.25">
      <c r="B52">
        <v>19486</v>
      </c>
      <c r="C52" t="s">
        <v>665</v>
      </c>
      <c r="D52" t="s">
        <v>619</v>
      </c>
      <c r="E52" t="s">
        <v>850</v>
      </c>
      <c r="F52" t="s">
        <v>621</v>
      </c>
      <c r="G52" t="s">
        <v>855</v>
      </c>
      <c r="H52" t="s">
        <v>856</v>
      </c>
      <c r="I52" t="s">
        <v>624</v>
      </c>
      <c r="J52" t="s">
        <v>625</v>
      </c>
      <c r="K52" s="5">
        <v>43125.229108796295</v>
      </c>
      <c r="L52" s="5">
        <v>43332.350694444445</v>
      </c>
      <c r="M52">
        <v>109365</v>
      </c>
      <c r="N52" t="s">
        <v>636</v>
      </c>
      <c r="O52" t="s">
        <v>621</v>
      </c>
      <c r="P52" t="s">
        <v>4550</v>
      </c>
    </row>
    <row r="53" spans="2:16" x14ac:dyDescent="0.25">
      <c r="B53">
        <v>19460</v>
      </c>
      <c r="C53" t="s">
        <v>665</v>
      </c>
      <c r="D53" t="s">
        <v>619</v>
      </c>
      <c r="E53" t="s">
        <v>850</v>
      </c>
      <c r="F53" t="s">
        <v>621</v>
      </c>
      <c r="G53" t="s">
        <v>851</v>
      </c>
      <c r="H53" t="s">
        <v>859</v>
      </c>
      <c r="I53" t="s">
        <v>624</v>
      </c>
      <c r="J53" t="s">
        <v>629</v>
      </c>
      <c r="K53" s="5">
        <v>43123.163773148146</v>
      </c>
      <c r="L53" s="5">
        <v>43332.347916666666</v>
      </c>
      <c r="M53">
        <v>106714</v>
      </c>
      <c r="N53" t="s">
        <v>636</v>
      </c>
      <c r="O53" t="s">
        <v>621</v>
      </c>
      <c r="P53" t="s">
        <v>4554</v>
      </c>
    </row>
    <row r="54" spans="2:16" x14ac:dyDescent="0.25">
      <c r="B54">
        <v>19420</v>
      </c>
      <c r="C54" t="s">
        <v>665</v>
      </c>
      <c r="D54" t="s">
        <v>619</v>
      </c>
      <c r="E54" t="s">
        <v>850</v>
      </c>
      <c r="F54" t="s">
        <v>621</v>
      </c>
      <c r="G54" t="s">
        <v>853</v>
      </c>
      <c r="H54" t="s">
        <v>876</v>
      </c>
      <c r="I54" t="s">
        <v>624</v>
      </c>
      <c r="J54" t="s">
        <v>625</v>
      </c>
      <c r="K54" s="5">
        <v>43117.282986111109</v>
      </c>
      <c r="L54" s="5">
        <v>43398.70208333333</v>
      </c>
      <c r="M54">
        <v>106559</v>
      </c>
      <c r="N54" t="s">
        <v>636</v>
      </c>
      <c r="O54" t="s">
        <v>621</v>
      </c>
      <c r="P54" t="s">
        <v>4557</v>
      </c>
    </row>
    <row r="55" spans="2:16" x14ac:dyDescent="0.25">
      <c r="B55">
        <v>19402</v>
      </c>
      <c r="C55" t="s">
        <v>633</v>
      </c>
      <c r="D55" t="s">
        <v>619</v>
      </c>
      <c r="E55" t="s">
        <v>620</v>
      </c>
      <c r="F55" t="s">
        <v>621</v>
      </c>
      <c r="G55" t="s">
        <v>643</v>
      </c>
      <c r="H55" t="s">
        <v>644</v>
      </c>
      <c r="I55" t="s">
        <v>624</v>
      </c>
      <c r="J55" t="s">
        <v>625</v>
      </c>
      <c r="K55" s="5">
        <v>43114.837083333332</v>
      </c>
      <c r="L55" s="5">
        <v>43287.435937499999</v>
      </c>
      <c r="M55">
        <v>102927</v>
      </c>
      <c r="N55" t="s">
        <v>636</v>
      </c>
      <c r="O55" t="s">
        <v>621</v>
      </c>
      <c r="P55" t="s">
        <v>4611</v>
      </c>
    </row>
    <row r="56" spans="2:16" x14ac:dyDescent="0.25">
      <c r="B56">
        <v>19399</v>
      </c>
      <c r="C56" t="s">
        <v>633</v>
      </c>
      <c r="D56" t="s">
        <v>619</v>
      </c>
      <c r="E56" t="s">
        <v>620</v>
      </c>
      <c r="F56" t="s">
        <v>621</v>
      </c>
      <c r="G56" t="s">
        <v>622</v>
      </c>
      <c r="H56" t="s">
        <v>623</v>
      </c>
      <c r="I56" t="s">
        <v>624</v>
      </c>
      <c r="J56" t="s">
        <v>625</v>
      </c>
      <c r="K56" s="5">
        <v>43112.598530092589</v>
      </c>
      <c r="L56" s="5">
        <v>43255.729143518518</v>
      </c>
      <c r="M56">
        <v>110910</v>
      </c>
      <c r="N56" t="s">
        <v>636</v>
      </c>
      <c r="O56" t="s">
        <v>621</v>
      </c>
      <c r="P56" t="s">
        <v>4612</v>
      </c>
    </row>
    <row r="57" spans="2:16" x14ac:dyDescent="0.25">
      <c r="B57">
        <v>19213</v>
      </c>
      <c r="C57" t="s">
        <v>665</v>
      </c>
      <c r="D57" t="s">
        <v>619</v>
      </c>
      <c r="E57" t="s">
        <v>850</v>
      </c>
      <c r="F57" t="s">
        <v>621</v>
      </c>
      <c r="G57" t="s">
        <v>870</v>
      </c>
      <c r="H57" t="s">
        <v>871</v>
      </c>
      <c r="I57" t="s">
        <v>624</v>
      </c>
      <c r="J57" t="s">
        <v>625</v>
      </c>
      <c r="K57" s="5">
        <v>43074.179571759261</v>
      </c>
      <c r="L57" s="5">
        <v>43119.323564814818</v>
      </c>
      <c r="M57">
        <v>105065</v>
      </c>
      <c r="N57" t="s">
        <v>636</v>
      </c>
      <c r="O57" t="s">
        <v>621</v>
      </c>
      <c r="P57" t="s">
        <v>1508</v>
      </c>
    </row>
    <row r="58" spans="2:16" x14ac:dyDescent="0.25">
      <c r="B58">
        <v>19212</v>
      </c>
      <c r="C58" t="s">
        <v>665</v>
      </c>
      <c r="D58" t="s">
        <v>619</v>
      </c>
      <c r="E58" t="s">
        <v>850</v>
      </c>
      <c r="F58" t="s">
        <v>621</v>
      </c>
      <c r="G58" t="s">
        <v>851</v>
      </c>
      <c r="H58" t="s">
        <v>859</v>
      </c>
      <c r="I58" t="s">
        <v>624</v>
      </c>
      <c r="J58" t="s">
        <v>625</v>
      </c>
      <c r="K58" s="5">
        <v>43074.116249999999</v>
      </c>
      <c r="L58" s="5">
        <v>43276.331944444442</v>
      </c>
      <c r="M58">
        <v>106081</v>
      </c>
      <c r="N58" t="s">
        <v>636</v>
      </c>
      <c r="O58" t="s">
        <v>621</v>
      </c>
      <c r="P58" t="s">
        <v>1509</v>
      </c>
    </row>
    <row r="59" spans="2:16" x14ac:dyDescent="0.25">
      <c r="B59">
        <v>19151</v>
      </c>
      <c r="C59" t="s">
        <v>665</v>
      </c>
      <c r="D59" t="s">
        <v>619</v>
      </c>
      <c r="E59" t="s">
        <v>850</v>
      </c>
      <c r="F59" t="s">
        <v>621</v>
      </c>
      <c r="G59" t="s">
        <v>855</v>
      </c>
      <c r="H59" t="s">
        <v>856</v>
      </c>
      <c r="I59" t="s">
        <v>624</v>
      </c>
      <c r="J59" t="s">
        <v>625</v>
      </c>
      <c r="K59" s="5">
        <v>43067.340312499997</v>
      </c>
      <c r="L59" s="5">
        <v>43332.345833333333</v>
      </c>
      <c r="M59">
        <v>107924</v>
      </c>
      <c r="N59" t="s">
        <v>636</v>
      </c>
      <c r="O59" t="s">
        <v>621</v>
      </c>
      <c r="P59" t="s">
        <v>857</v>
      </c>
    </row>
    <row r="60" spans="2:16" x14ac:dyDescent="0.25">
      <c r="B60">
        <v>19138</v>
      </c>
      <c r="C60" t="s">
        <v>665</v>
      </c>
      <c r="D60" t="s">
        <v>619</v>
      </c>
      <c r="E60" t="s">
        <v>850</v>
      </c>
      <c r="F60" t="s">
        <v>621</v>
      </c>
      <c r="G60" t="s">
        <v>858</v>
      </c>
      <c r="H60" t="s">
        <v>859</v>
      </c>
      <c r="I60" t="s">
        <v>624</v>
      </c>
      <c r="J60" t="s">
        <v>625</v>
      </c>
      <c r="K60" s="5">
        <v>43066.358946759261</v>
      </c>
      <c r="L60" s="5">
        <v>43332.344444444447</v>
      </c>
      <c r="M60">
        <v>107667</v>
      </c>
      <c r="N60" t="s">
        <v>636</v>
      </c>
      <c r="O60" t="s">
        <v>621</v>
      </c>
      <c r="P60" t="s">
        <v>860</v>
      </c>
    </row>
    <row r="61" spans="2:16" x14ac:dyDescent="0.25">
      <c r="B61">
        <v>18960</v>
      </c>
      <c r="C61" t="s">
        <v>665</v>
      </c>
      <c r="D61" t="s">
        <v>619</v>
      </c>
      <c r="E61" t="s">
        <v>850</v>
      </c>
      <c r="F61" t="s">
        <v>621</v>
      </c>
      <c r="G61" t="s">
        <v>875</v>
      </c>
      <c r="H61" t="s">
        <v>876</v>
      </c>
      <c r="I61" t="s">
        <v>624</v>
      </c>
      <c r="J61" t="s">
        <v>625</v>
      </c>
      <c r="K61" s="5">
        <v>43042.633611111109</v>
      </c>
      <c r="L61" s="5">
        <v>43332.326388888891</v>
      </c>
      <c r="M61">
        <v>110384</v>
      </c>
      <c r="N61" t="s">
        <v>636</v>
      </c>
      <c r="O61" t="s">
        <v>621</v>
      </c>
      <c r="P61" t="s">
        <v>877</v>
      </c>
    </row>
    <row r="62" spans="2:16" x14ac:dyDescent="0.25">
      <c r="B62">
        <v>18930</v>
      </c>
      <c r="C62" t="s">
        <v>633</v>
      </c>
      <c r="D62" t="s">
        <v>619</v>
      </c>
      <c r="E62" t="s">
        <v>620</v>
      </c>
      <c r="F62" t="s">
        <v>621</v>
      </c>
      <c r="G62" t="s">
        <v>634</v>
      </c>
      <c r="H62" t="s">
        <v>635</v>
      </c>
      <c r="I62" t="s">
        <v>624</v>
      </c>
      <c r="J62" t="s">
        <v>625</v>
      </c>
      <c r="K62" s="5">
        <v>43039.362083333333</v>
      </c>
      <c r="L62" s="5">
        <v>43053.558472222219</v>
      </c>
      <c r="M62">
        <v>73287</v>
      </c>
      <c r="N62" t="s">
        <v>636</v>
      </c>
      <c r="O62" t="s">
        <v>621</v>
      </c>
      <c r="P62" t="s">
        <v>4627</v>
      </c>
    </row>
    <row r="63" spans="2:16" x14ac:dyDescent="0.25">
      <c r="B63">
        <v>18928</v>
      </c>
      <c r="C63" t="s">
        <v>641</v>
      </c>
      <c r="D63" t="s">
        <v>619</v>
      </c>
      <c r="E63" t="s">
        <v>850</v>
      </c>
      <c r="F63" t="s">
        <v>621</v>
      </c>
      <c r="G63" t="s">
        <v>851</v>
      </c>
      <c r="H63" t="s">
        <v>859</v>
      </c>
      <c r="I63" t="s">
        <v>624</v>
      </c>
      <c r="J63" t="s">
        <v>625</v>
      </c>
      <c r="K63" s="5">
        <v>43039.335150462961</v>
      </c>
      <c r="M63">
        <v>106187</v>
      </c>
      <c r="N63" t="s">
        <v>649</v>
      </c>
      <c r="O63" t="s">
        <v>621</v>
      </c>
      <c r="P63" t="s">
        <v>879</v>
      </c>
    </row>
    <row r="64" spans="2:16" x14ac:dyDescent="0.25">
      <c r="B64">
        <v>18894</v>
      </c>
      <c r="C64" t="s">
        <v>665</v>
      </c>
      <c r="D64" t="s">
        <v>619</v>
      </c>
      <c r="E64" t="s">
        <v>850</v>
      </c>
      <c r="F64" t="s">
        <v>621</v>
      </c>
      <c r="G64" t="s">
        <v>870</v>
      </c>
      <c r="H64" t="s">
        <v>871</v>
      </c>
      <c r="I64" t="s">
        <v>624</v>
      </c>
      <c r="J64" t="s">
        <v>625</v>
      </c>
      <c r="K64" s="5">
        <v>43034.421516203707</v>
      </c>
      <c r="L64" s="5">
        <v>43105.543749999997</v>
      </c>
      <c r="M64" t="s">
        <v>621</v>
      </c>
      <c r="N64" t="s">
        <v>636</v>
      </c>
      <c r="O64" t="s">
        <v>621</v>
      </c>
      <c r="P64" t="s">
        <v>880</v>
      </c>
    </row>
    <row r="65" spans="2:16" x14ac:dyDescent="0.25">
      <c r="B65">
        <v>18888</v>
      </c>
      <c r="C65" t="s">
        <v>665</v>
      </c>
      <c r="D65" t="s">
        <v>619</v>
      </c>
      <c r="E65" t="s">
        <v>620</v>
      </c>
      <c r="F65" t="s">
        <v>621</v>
      </c>
      <c r="G65" t="s">
        <v>622</v>
      </c>
      <c r="H65" t="s">
        <v>623</v>
      </c>
      <c r="I65" t="s">
        <v>624</v>
      </c>
      <c r="J65" t="s">
        <v>625</v>
      </c>
      <c r="K65" s="5">
        <v>43033.659305555557</v>
      </c>
      <c r="L65" s="5">
        <v>43111.467361111114</v>
      </c>
      <c r="M65">
        <v>94906</v>
      </c>
      <c r="N65" t="s">
        <v>636</v>
      </c>
      <c r="O65" t="s">
        <v>621</v>
      </c>
      <c r="P65" t="s">
        <v>638</v>
      </c>
    </row>
    <row r="66" spans="2:16" x14ac:dyDescent="0.25">
      <c r="B66">
        <v>18886</v>
      </c>
      <c r="C66" t="s">
        <v>665</v>
      </c>
      <c r="D66" t="s">
        <v>619</v>
      </c>
      <c r="E66" t="s">
        <v>850</v>
      </c>
      <c r="F66" t="s">
        <v>621</v>
      </c>
      <c r="G66" t="s">
        <v>855</v>
      </c>
      <c r="H66" t="s">
        <v>856</v>
      </c>
      <c r="I66" t="s">
        <v>624</v>
      </c>
      <c r="J66" t="s">
        <v>625</v>
      </c>
      <c r="K66" s="5">
        <v>43033.489699074074</v>
      </c>
      <c r="L66" s="5">
        <v>43119.405555555553</v>
      </c>
      <c r="M66">
        <v>105063</v>
      </c>
      <c r="N66" t="s">
        <v>636</v>
      </c>
      <c r="O66" t="s">
        <v>621</v>
      </c>
      <c r="P66" t="s">
        <v>881</v>
      </c>
    </row>
    <row r="67" spans="2:16" x14ac:dyDescent="0.25">
      <c r="B67">
        <v>18879</v>
      </c>
      <c r="C67" t="s">
        <v>665</v>
      </c>
      <c r="D67" t="s">
        <v>619</v>
      </c>
      <c r="E67" t="s">
        <v>620</v>
      </c>
      <c r="F67" t="s">
        <v>621</v>
      </c>
      <c r="G67" t="s">
        <v>622</v>
      </c>
      <c r="H67" t="s">
        <v>623</v>
      </c>
      <c r="I67" t="s">
        <v>624</v>
      </c>
      <c r="J67" t="s">
        <v>625</v>
      </c>
      <c r="K67" s="5">
        <v>43032.60765046296</v>
      </c>
      <c r="L67" s="5">
        <v>43287.408796296295</v>
      </c>
      <c r="M67">
        <v>106597</v>
      </c>
      <c r="N67" t="s">
        <v>636</v>
      </c>
      <c r="O67" t="s">
        <v>621</v>
      </c>
      <c r="P67" t="s">
        <v>4629</v>
      </c>
    </row>
    <row r="68" spans="2:16" x14ac:dyDescent="0.25">
      <c r="B68">
        <v>18872</v>
      </c>
      <c r="C68" t="s">
        <v>633</v>
      </c>
      <c r="D68" t="s">
        <v>619</v>
      </c>
      <c r="E68" t="s">
        <v>850</v>
      </c>
      <c r="F68" t="s">
        <v>621</v>
      </c>
      <c r="G68" t="s">
        <v>867</v>
      </c>
      <c r="H68" t="s">
        <v>868</v>
      </c>
      <c r="I68" t="s">
        <v>624</v>
      </c>
      <c r="J68" t="s">
        <v>625</v>
      </c>
      <c r="K68" s="5">
        <v>43032.393692129626</v>
      </c>
      <c r="L68" s="5">
        <v>43234.428935185184</v>
      </c>
      <c r="M68">
        <v>106517</v>
      </c>
      <c r="N68" t="s">
        <v>636</v>
      </c>
      <c r="O68" t="s">
        <v>621</v>
      </c>
      <c r="P68" t="s">
        <v>883</v>
      </c>
    </row>
    <row r="69" spans="2:16" x14ac:dyDescent="0.25">
      <c r="B69">
        <v>18817</v>
      </c>
      <c r="C69" t="s">
        <v>618</v>
      </c>
      <c r="D69" t="s">
        <v>619</v>
      </c>
      <c r="E69" t="s">
        <v>620</v>
      </c>
      <c r="F69" t="s">
        <v>621</v>
      </c>
      <c r="G69" t="s">
        <v>622</v>
      </c>
      <c r="H69" t="s">
        <v>623</v>
      </c>
      <c r="I69" t="s">
        <v>624</v>
      </c>
      <c r="J69" t="s">
        <v>625</v>
      </c>
      <c r="K69" s="5">
        <v>43021.602361111109</v>
      </c>
      <c r="M69">
        <v>106095</v>
      </c>
      <c r="N69" t="s">
        <v>1360</v>
      </c>
      <c r="O69" t="s">
        <v>621</v>
      </c>
      <c r="P69" t="s">
        <v>4632</v>
      </c>
    </row>
    <row r="70" spans="2:16" x14ac:dyDescent="0.25">
      <c r="B70">
        <v>18796</v>
      </c>
      <c r="C70" t="s">
        <v>665</v>
      </c>
      <c r="D70" t="s">
        <v>619</v>
      </c>
      <c r="E70" t="s">
        <v>850</v>
      </c>
      <c r="F70" t="s">
        <v>621</v>
      </c>
      <c r="G70" t="s">
        <v>886</v>
      </c>
      <c r="H70" t="s">
        <v>887</v>
      </c>
      <c r="I70" t="s">
        <v>624</v>
      </c>
      <c r="J70" t="s">
        <v>625</v>
      </c>
      <c r="K70" s="5">
        <v>43019.352523148147</v>
      </c>
      <c r="L70" s="5">
        <v>43332.321527777778</v>
      </c>
      <c r="M70">
        <v>104782</v>
      </c>
      <c r="N70" t="s">
        <v>636</v>
      </c>
      <c r="O70" t="s">
        <v>621</v>
      </c>
      <c r="P70" t="s">
        <v>4730</v>
      </c>
    </row>
    <row r="71" spans="2:16" x14ac:dyDescent="0.25">
      <c r="B71">
        <v>18756</v>
      </c>
      <c r="C71" t="s">
        <v>665</v>
      </c>
      <c r="D71" t="s">
        <v>619</v>
      </c>
      <c r="E71" t="s">
        <v>850</v>
      </c>
      <c r="F71" t="s">
        <v>621</v>
      </c>
      <c r="G71" t="s">
        <v>870</v>
      </c>
      <c r="H71" t="s">
        <v>876</v>
      </c>
      <c r="I71" t="s">
        <v>624</v>
      </c>
      <c r="J71" t="s">
        <v>625</v>
      </c>
      <c r="K71" s="5">
        <v>43013.102939814817</v>
      </c>
      <c r="L71" s="5">
        <v>43360.633333333331</v>
      </c>
      <c r="M71">
        <v>105411</v>
      </c>
      <c r="N71" t="s">
        <v>645</v>
      </c>
      <c r="O71" t="s">
        <v>621</v>
      </c>
      <c r="P71" t="s">
        <v>894</v>
      </c>
    </row>
    <row r="72" spans="2:16" x14ac:dyDescent="0.25">
      <c r="B72">
        <v>18702</v>
      </c>
      <c r="C72" t="s">
        <v>665</v>
      </c>
      <c r="D72" t="s">
        <v>619</v>
      </c>
      <c r="E72" t="s">
        <v>850</v>
      </c>
      <c r="F72" t="s">
        <v>621</v>
      </c>
      <c r="G72" t="s">
        <v>889</v>
      </c>
      <c r="H72" t="s">
        <v>890</v>
      </c>
      <c r="I72" t="s">
        <v>624</v>
      </c>
      <c r="J72" t="s">
        <v>629</v>
      </c>
      <c r="K72" s="5">
        <v>43004.684178240743</v>
      </c>
      <c r="L72" s="5">
        <v>43332.316666666666</v>
      </c>
      <c r="M72">
        <v>99542</v>
      </c>
      <c r="N72" t="s">
        <v>636</v>
      </c>
      <c r="O72" t="s">
        <v>621</v>
      </c>
      <c r="P72" t="s">
        <v>897</v>
      </c>
    </row>
    <row r="73" spans="2:16" x14ac:dyDescent="0.25">
      <c r="B73">
        <v>18701</v>
      </c>
      <c r="C73" t="s">
        <v>665</v>
      </c>
      <c r="D73" t="s">
        <v>619</v>
      </c>
      <c r="E73" t="s">
        <v>620</v>
      </c>
      <c r="F73" t="s">
        <v>621</v>
      </c>
      <c r="G73" t="s">
        <v>622</v>
      </c>
      <c r="H73" t="s">
        <v>623</v>
      </c>
      <c r="I73" t="s">
        <v>624</v>
      </c>
      <c r="J73" t="s">
        <v>625</v>
      </c>
      <c r="K73" s="5">
        <v>43004.566655092596</v>
      </c>
      <c r="L73" s="5">
        <v>43111.474999999999</v>
      </c>
      <c r="M73">
        <v>105418</v>
      </c>
      <c r="N73" t="s">
        <v>636</v>
      </c>
      <c r="O73" t="s">
        <v>621</v>
      </c>
      <c r="P73" t="s">
        <v>4638</v>
      </c>
    </row>
    <row r="74" spans="2:16" x14ac:dyDescent="0.25">
      <c r="B74">
        <v>18634</v>
      </c>
      <c r="C74" t="s">
        <v>641</v>
      </c>
      <c r="D74" t="s">
        <v>619</v>
      </c>
      <c r="E74" t="s">
        <v>850</v>
      </c>
      <c r="F74" t="s">
        <v>621</v>
      </c>
      <c r="G74" t="s">
        <v>886</v>
      </c>
      <c r="H74" t="s">
        <v>887</v>
      </c>
      <c r="I74" t="s">
        <v>624</v>
      </c>
      <c r="J74" t="s">
        <v>625</v>
      </c>
      <c r="K74" s="5">
        <v>42993.403749999998</v>
      </c>
      <c r="M74">
        <v>104700</v>
      </c>
      <c r="N74" t="s">
        <v>637</v>
      </c>
      <c r="O74" t="s">
        <v>621</v>
      </c>
      <c r="P74" t="s">
        <v>902</v>
      </c>
    </row>
    <row r="75" spans="2:16" x14ac:dyDescent="0.25">
      <c r="B75">
        <v>18583</v>
      </c>
      <c r="C75" t="s">
        <v>665</v>
      </c>
      <c r="D75" t="s">
        <v>619</v>
      </c>
      <c r="E75" t="s">
        <v>850</v>
      </c>
      <c r="F75" t="s">
        <v>621</v>
      </c>
      <c r="G75" t="s">
        <v>851</v>
      </c>
      <c r="H75" t="s">
        <v>852</v>
      </c>
      <c r="I75" t="s">
        <v>624</v>
      </c>
      <c r="J75" t="s">
        <v>625</v>
      </c>
      <c r="K75" s="5">
        <v>42991.055752314816</v>
      </c>
      <c r="L75" s="5">
        <v>43119.395833333336</v>
      </c>
      <c r="M75">
        <v>103637</v>
      </c>
      <c r="N75" t="s">
        <v>636</v>
      </c>
      <c r="O75" t="s">
        <v>621</v>
      </c>
      <c r="P75" t="s">
        <v>906</v>
      </c>
    </row>
    <row r="76" spans="2:16" x14ac:dyDescent="0.25">
      <c r="B76">
        <v>18323</v>
      </c>
      <c r="C76" t="s">
        <v>665</v>
      </c>
      <c r="D76" t="s">
        <v>619</v>
      </c>
      <c r="E76" t="s">
        <v>850</v>
      </c>
      <c r="F76" t="s">
        <v>621</v>
      </c>
      <c r="G76" t="s">
        <v>886</v>
      </c>
      <c r="H76" t="s">
        <v>887</v>
      </c>
      <c r="I76" t="s">
        <v>624</v>
      </c>
      <c r="J76" t="s">
        <v>625</v>
      </c>
      <c r="K76" s="5">
        <v>42956.435682870368</v>
      </c>
      <c r="L76" s="5">
        <v>43398.665972222225</v>
      </c>
      <c r="M76">
        <v>115130</v>
      </c>
      <c r="N76" t="s">
        <v>636</v>
      </c>
      <c r="O76" t="s">
        <v>621</v>
      </c>
      <c r="P76" t="s">
        <v>917</v>
      </c>
    </row>
    <row r="77" spans="2:16" x14ac:dyDescent="0.25">
      <c r="B77">
        <v>18321</v>
      </c>
      <c r="C77" t="s">
        <v>665</v>
      </c>
      <c r="D77" t="s">
        <v>619</v>
      </c>
      <c r="E77" t="s">
        <v>850</v>
      </c>
      <c r="F77" t="s">
        <v>621</v>
      </c>
      <c r="G77" t="s">
        <v>886</v>
      </c>
      <c r="H77" t="s">
        <v>887</v>
      </c>
      <c r="I77" t="s">
        <v>624</v>
      </c>
      <c r="J77" t="s">
        <v>625</v>
      </c>
      <c r="K77" s="5">
        <v>42956.383055555554</v>
      </c>
      <c r="L77" s="5">
        <v>43332.310416666667</v>
      </c>
      <c r="M77">
        <v>99116</v>
      </c>
      <c r="N77" t="s">
        <v>636</v>
      </c>
      <c r="O77" t="s">
        <v>621</v>
      </c>
      <c r="P77" t="s">
        <v>918</v>
      </c>
    </row>
    <row r="78" spans="2:16" x14ac:dyDescent="0.25">
      <c r="B78">
        <v>18217</v>
      </c>
      <c r="C78" t="s">
        <v>665</v>
      </c>
      <c r="D78" t="s">
        <v>619</v>
      </c>
      <c r="E78" t="s">
        <v>850</v>
      </c>
      <c r="F78" t="s">
        <v>621</v>
      </c>
      <c r="G78" t="s">
        <v>889</v>
      </c>
      <c r="H78" t="s">
        <v>890</v>
      </c>
      <c r="I78" t="s">
        <v>624</v>
      </c>
      <c r="J78" t="s">
        <v>625</v>
      </c>
      <c r="K78" s="5">
        <v>42942.39271990741</v>
      </c>
      <c r="L78" s="5">
        <v>43332.308333333334</v>
      </c>
      <c r="M78">
        <v>104780</v>
      </c>
      <c r="N78" t="s">
        <v>636</v>
      </c>
      <c r="O78" t="s">
        <v>621</v>
      </c>
      <c r="P78" t="s">
        <v>924</v>
      </c>
    </row>
    <row r="79" spans="2:16" x14ac:dyDescent="0.25">
      <c r="B79">
        <v>18196</v>
      </c>
      <c r="C79" t="s">
        <v>665</v>
      </c>
      <c r="D79" t="s">
        <v>619</v>
      </c>
      <c r="E79" t="s">
        <v>620</v>
      </c>
      <c r="F79" t="s">
        <v>621</v>
      </c>
      <c r="G79" t="s">
        <v>631</v>
      </c>
      <c r="H79" t="s">
        <v>632</v>
      </c>
      <c r="I79" t="s">
        <v>624</v>
      </c>
      <c r="J79" t="s">
        <v>625</v>
      </c>
      <c r="K79" s="5">
        <v>42941.272303240738</v>
      </c>
      <c r="L79" s="5">
        <v>43287.436111111114</v>
      </c>
      <c r="M79">
        <v>98756</v>
      </c>
      <c r="N79" t="s">
        <v>636</v>
      </c>
      <c r="O79" t="s">
        <v>621</v>
      </c>
      <c r="P79" t="s">
        <v>652</v>
      </c>
    </row>
    <row r="80" spans="2:16" x14ac:dyDescent="0.25">
      <c r="B80">
        <v>18113</v>
      </c>
      <c r="C80" t="s">
        <v>665</v>
      </c>
      <c r="D80" t="s">
        <v>619</v>
      </c>
      <c r="E80" t="s">
        <v>850</v>
      </c>
      <c r="F80" t="s">
        <v>621</v>
      </c>
      <c r="G80" t="s">
        <v>855</v>
      </c>
      <c r="H80" t="s">
        <v>856</v>
      </c>
      <c r="I80" t="s">
        <v>624</v>
      </c>
      <c r="J80" t="s">
        <v>625</v>
      </c>
      <c r="K80" s="5">
        <v>42929.115937499999</v>
      </c>
      <c r="L80" s="5">
        <v>43108.619444444441</v>
      </c>
      <c r="M80">
        <v>104937</v>
      </c>
      <c r="N80" t="s">
        <v>666</v>
      </c>
      <c r="O80" t="s">
        <v>621</v>
      </c>
      <c r="P80" t="s">
        <v>930</v>
      </c>
    </row>
    <row r="81" spans="2:16" x14ac:dyDescent="0.25">
      <c r="B81">
        <v>18108</v>
      </c>
      <c r="C81" t="s">
        <v>665</v>
      </c>
      <c r="D81" t="s">
        <v>619</v>
      </c>
      <c r="E81" t="s">
        <v>850</v>
      </c>
      <c r="F81" t="s">
        <v>621</v>
      </c>
      <c r="G81" t="s">
        <v>855</v>
      </c>
      <c r="H81" t="s">
        <v>856</v>
      </c>
      <c r="I81" t="s">
        <v>624</v>
      </c>
      <c r="J81" t="s">
        <v>625</v>
      </c>
      <c r="K81" s="5">
        <v>42928.343055555553</v>
      </c>
      <c r="L81" s="5">
        <v>43119.38958333333</v>
      </c>
      <c r="M81">
        <v>103227</v>
      </c>
      <c r="N81" t="s">
        <v>636</v>
      </c>
      <c r="O81" t="s">
        <v>621</v>
      </c>
      <c r="P81" t="s">
        <v>931</v>
      </c>
    </row>
    <row r="82" spans="2:16" x14ac:dyDescent="0.25">
      <c r="B82">
        <v>18097</v>
      </c>
      <c r="C82" t="s">
        <v>665</v>
      </c>
      <c r="D82" t="s">
        <v>619</v>
      </c>
      <c r="E82" t="s">
        <v>620</v>
      </c>
      <c r="F82" t="s">
        <v>621</v>
      </c>
      <c r="G82" t="s">
        <v>634</v>
      </c>
      <c r="H82" t="s">
        <v>635</v>
      </c>
      <c r="I82" t="s">
        <v>624</v>
      </c>
      <c r="J82" t="s">
        <v>625</v>
      </c>
      <c r="K82" s="5">
        <v>42926.693807870368</v>
      </c>
      <c r="L82" s="5">
        <v>43287.433333333334</v>
      </c>
      <c r="M82">
        <v>211445</v>
      </c>
      <c r="N82" t="s">
        <v>636</v>
      </c>
      <c r="O82" t="s">
        <v>621</v>
      </c>
      <c r="P82" t="s">
        <v>655</v>
      </c>
    </row>
    <row r="83" spans="2:16" x14ac:dyDescent="0.25">
      <c r="B83">
        <v>18071</v>
      </c>
      <c r="C83" t="s">
        <v>665</v>
      </c>
      <c r="D83" t="s">
        <v>619</v>
      </c>
      <c r="E83" t="s">
        <v>850</v>
      </c>
      <c r="F83" t="s">
        <v>621</v>
      </c>
      <c r="G83" t="s">
        <v>867</v>
      </c>
      <c r="H83" t="s">
        <v>868</v>
      </c>
      <c r="I83" t="s">
        <v>624</v>
      </c>
      <c r="J83" t="s">
        <v>625</v>
      </c>
      <c r="K83" s="5">
        <v>42922.329976851855</v>
      </c>
      <c r="L83" s="5">
        <v>43143.695833333331</v>
      </c>
      <c r="M83">
        <v>101917</v>
      </c>
      <c r="N83" t="s">
        <v>645</v>
      </c>
      <c r="O83" t="s">
        <v>621</v>
      </c>
      <c r="P83" t="s">
        <v>932</v>
      </c>
    </row>
    <row r="84" spans="2:16" x14ac:dyDescent="0.25">
      <c r="B84">
        <v>18042</v>
      </c>
      <c r="C84" t="s">
        <v>665</v>
      </c>
      <c r="D84" t="s">
        <v>619</v>
      </c>
      <c r="E84" t="s">
        <v>850</v>
      </c>
      <c r="F84" t="s">
        <v>621</v>
      </c>
      <c r="G84" t="s">
        <v>875</v>
      </c>
      <c r="H84" t="s">
        <v>876</v>
      </c>
      <c r="I84" t="s">
        <v>624</v>
      </c>
      <c r="J84" t="s">
        <v>642</v>
      </c>
      <c r="K84" s="5">
        <v>42915.666701388887</v>
      </c>
      <c r="L84" s="5">
        <v>43332.302777777775</v>
      </c>
      <c r="M84">
        <v>101489</v>
      </c>
      <c r="N84" t="s">
        <v>636</v>
      </c>
      <c r="O84" t="s">
        <v>621</v>
      </c>
      <c r="P84" t="s">
        <v>933</v>
      </c>
    </row>
    <row r="85" spans="2:16" x14ac:dyDescent="0.25">
      <c r="B85">
        <v>17976</v>
      </c>
      <c r="C85" t="s">
        <v>665</v>
      </c>
      <c r="D85" t="s">
        <v>619</v>
      </c>
      <c r="E85" t="s">
        <v>850</v>
      </c>
      <c r="F85" t="s">
        <v>621</v>
      </c>
      <c r="G85" t="s">
        <v>853</v>
      </c>
      <c r="H85" t="s">
        <v>908</v>
      </c>
      <c r="I85" t="s">
        <v>624</v>
      </c>
      <c r="J85" t="s">
        <v>642</v>
      </c>
      <c r="K85" s="5">
        <v>42907.597766203704</v>
      </c>
      <c r="L85" s="5">
        <v>42964.372916666667</v>
      </c>
      <c r="M85">
        <v>101911</v>
      </c>
      <c r="N85" t="s">
        <v>636</v>
      </c>
      <c r="O85" t="s">
        <v>621</v>
      </c>
      <c r="P85" t="s">
        <v>938</v>
      </c>
    </row>
    <row r="86" spans="2:16" x14ac:dyDescent="0.25">
      <c r="B86">
        <v>17911</v>
      </c>
      <c r="C86" t="s">
        <v>665</v>
      </c>
      <c r="D86" t="s">
        <v>619</v>
      </c>
      <c r="E86" t="s">
        <v>850</v>
      </c>
      <c r="F86" t="s">
        <v>621</v>
      </c>
      <c r="G86" t="s">
        <v>855</v>
      </c>
      <c r="H86" t="s">
        <v>856</v>
      </c>
      <c r="I86" t="s">
        <v>624</v>
      </c>
      <c r="J86" t="s">
        <v>629</v>
      </c>
      <c r="K86" s="5">
        <v>42900.168622685182</v>
      </c>
      <c r="L86" s="5">
        <v>43138.345138888886</v>
      </c>
      <c r="M86">
        <v>100488</v>
      </c>
      <c r="N86" t="s">
        <v>645</v>
      </c>
      <c r="O86" t="s">
        <v>621</v>
      </c>
      <c r="P86" t="s">
        <v>942</v>
      </c>
    </row>
    <row r="87" spans="2:16" x14ac:dyDescent="0.25">
      <c r="B87">
        <v>17890</v>
      </c>
      <c r="C87" t="s">
        <v>665</v>
      </c>
      <c r="D87" t="s">
        <v>619</v>
      </c>
      <c r="E87" t="s">
        <v>850</v>
      </c>
      <c r="F87" t="s">
        <v>621</v>
      </c>
      <c r="G87" t="s">
        <v>875</v>
      </c>
      <c r="H87" t="s">
        <v>876</v>
      </c>
      <c r="I87" t="s">
        <v>624</v>
      </c>
      <c r="J87" t="s">
        <v>629</v>
      </c>
      <c r="K87" s="5">
        <v>42895.458229166667</v>
      </c>
      <c r="L87" s="5">
        <v>42964.369444444441</v>
      </c>
      <c r="M87">
        <v>100786</v>
      </c>
      <c r="N87" t="s">
        <v>636</v>
      </c>
      <c r="O87" t="s">
        <v>621</v>
      </c>
      <c r="P87" t="s">
        <v>944</v>
      </c>
    </row>
    <row r="88" spans="2:16" x14ac:dyDescent="0.25">
      <c r="B88">
        <v>17807</v>
      </c>
      <c r="C88" t="s">
        <v>665</v>
      </c>
      <c r="D88" t="s">
        <v>619</v>
      </c>
      <c r="E88" t="s">
        <v>850</v>
      </c>
      <c r="F88" t="s">
        <v>621</v>
      </c>
      <c r="G88" t="s">
        <v>855</v>
      </c>
      <c r="H88" t="s">
        <v>856</v>
      </c>
      <c r="I88" t="s">
        <v>624</v>
      </c>
      <c r="J88" t="s">
        <v>625</v>
      </c>
      <c r="K88" s="5">
        <v>42886.301307870373</v>
      </c>
      <c r="L88" s="5">
        <v>43398.664583333331</v>
      </c>
      <c r="M88">
        <v>111034</v>
      </c>
      <c r="N88" t="s">
        <v>636</v>
      </c>
      <c r="O88" t="s">
        <v>621</v>
      </c>
      <c r="P88" t="s">
        <v>946</v>
      </c>
    </row>
    <row r="89" spans="2:16" x14ac:dyDescent="0.25">
      <c r="B89">
        <v>17789</v>
      </c>
      <c r="C89" t="s">
        <v>618</v>
      </c>
      <c r="D89" t="s">
        <v>619</v>
      </c>
      <c r="E89" t="s">
        <v>620</v>
      </c>
      <c r="F89" t="s">
        <v>621</v>
      </c>
      <c r="G89" t="s">
        <v>622</v>
      </c>
      <c r="H89" t="s">
        <v>623</v>
      </c>
      <c r="I89" t="s">
        <v>624</v>
      </c>
      <c r="J89" t="s">
        <v>625</v>
      </c>
      <c r="K89" s="5">
        <v>42881</v>
      </c>
      <c r="M89">
        <v>107049</v>
      </c>
      <c r="N89" t="s">
        <v>1360</v>
      </c>
      <c r="O89" t="s">
        <v>621</v>
      </c>
      <c r="P89" t="s">
        <v>4654</v>
      </c>
    </row>
    <row r="90" spans="2:16" x14ac:dyDescent="0.25">
      <c r="B90">
        <v>17779</v>
      </c>
      <c r="C90" t="s">
        <v>633</v>
      </c>
      <c r="D90" t="s">
        <v>619</v>
      </c>
      <c r="E90" t="s">
        <v>620</v>
      </c>
      <c r="F90" t="s">
        <v>621</v>
      </c>
      <c r="G90" t="s">
        <v>631</v>
      </c>
      <c r="H90" t="s">
        <v>632</v>
      </c>
      <c r="I90" t="s">
        <v>624</v>
      </c>
      <c r="J90" t="s">
        <v>625</v>
      </c>
      <c r="K90" s="5">
        <v>42881</v>
      </c>
      <c r="L90" s="5">
        <v>43287.347962962966</v>
      </c>
      <c r="M90">
        <v>100184</v>
      </c>
      <c r="N90" t="s">
        <v>636</v>
      </c>
      <c r="O90" t="s">
        <v>621</v>
      </c>
      <c r="P90" t="s">
        <v>661</v>
      </c>
    </row>
    <row r="91" spans="2:16" x14ac:dyDescent="0.25">
      <c r="B91">
        <v>17758</v>
      </c>
      <c r="C91" t="s">
        <v>665</v>
      </c>
      <c r="D91" t="s">
        <v>619</v>
      </c>
      <c r="E91" t="s">
        <v>850</v>
      </c>
      <c r="F91" t="s">
        <v>621</v>
      </c>
      <c r="G91" t="s">
        <v>875</v>
      </c>
      <c r="H91" t="s">
        <v>876</v>
      </c>
      <c r="I91" t="s">
        <v>624</v>
      </c>
      <c r="J91" t="s">
        <v>642</v>
      </c>
      <c r="K91" s="5">
        <v>42879.461064814815</v>
      </c>
      <c r="L91" s="5">
        <v>42940.418437499997</v>
      </c>
      <c r="M91">
        <v>76959</v>
      </c>
      <c r="N91" t="s">
        <v>636</v>
      </c>
      <c r="O91" t="s">
        <v>621</v>
      </c>
      <c r="P91" t="s">
        <v>949</v>
      </c>
    </row>
    <row r="92" spans="2:16" x14ac:dyDescent="0.25">
      <c r="B92">
        <v>17654</v>
      </c>
      <c r="C92" t="s">
        <v>665</v>
      </c>
      <c r="D92" t="s">
        <v>619</v>
      </c>
      <c r="E92" t="s">
        <v>850</v>
      </c>
      <c r="F92" t="s">
        <v>621</v>
      </c>
      <c r="G92" t="s">
        <v>851</v>
      </c>
      <c r="H92" t="s">
        <v>852</v>
      </c>
      <c r="I92" t="s">
        <v>624</v>
      </c>
      <c r="J92" t="s">
        <v>625</v>
      </c>
      <c r="K92" s="5">
        <v>42870</v>
      </c>
      <c r="L92" s="5">
        <v>42964.352083333331</v>
      </c>
      <c r="M92">
        <v>99497</v>
      </c>
      <c r="N92" t="s">
        <v>636</v>
      </c>
      <c r="O92" t="s">
        <v>621</v>
      </c>
      <c r="P92" t="s">
        <v>953</v>
      </c>
    </row>
    <row r="93" spans="2:16" x14ac:dyDescent="0.25">
      <c r="B93">
        <v>17618</v>
      </c>
      <c r="C93" t="s">
        <v>633</v>
      </c>
      <c r="D93" t="s">
        <v>619</v>
      </c>
      <c r="E93" t="s">
        <v>850</v>
      </c>
      <c r="F93" t="s">
        <v>621</v>
      </c>
      <c r="G93" t="s">
        <v>851</v>
      </c>
      <c r="H93" t="s">
        <v>876</v>
      </c>
      <c r="I93" t="s">
        <v>624</v>
      </c>
      <c r="J93" t="s">
        <v>625</v>
      </c>
      <c r="K93" s="5">
        <v>42865</v>
      </c>
      <c r="L93" s="5">
        <v>43332.214120370372</v>
      </c>
      <c r="M93">
        <v>100811</v>
      </c>
      <c r="N93" t="s">
        <v>636</v>
      </c>
      <c r="O93" t="s">
        <v>621</v>
      </c>
      <c r="P93" t="s">
        <v>955</v>
      </c>
    </row>
    <row r="94" spans="2:16" x14ac:dyDescent="0.25">
      <c r="B94">
        <v>17561</v>
      </c>
      <c r="C94" t="s">
        <v>665</v>
      </c>
      <c r="D94" t="s">
        <v>619</v>
      </c>
      <c r="E94" t="s">
        <v>850</v>
      </c>
      <c r="F94" t="s">
        <v>621</v>
      </c>
      <c r="G94" t="s">
        <v>889</v>
      </c>
      <c r="H94" t="s">
        <v>890</v>
      </c>
      <c r="I94" t="s">
        <v>624</v>
      </c>
      <c r="J94" t="s">
        <v>625</v>
      </c>
      <c r="K94" s="5">
        <v>42860.527453703704</v>
      </c>
      <c r="L94" s="5">
        <v>43118.429861111108</v>
      </c>
      <c r="M94">
        <v>83324</v>
      </c>
      <c r="N94" t="s">
        <v>636</v>
      </c>
      <c r="O94" t="s">
        <v>621</v>
      </c>
      <c r="P94" t="s">
        <v>957</v>
      </c>
    </row>
    <row r="95" spans="2:16" x14ac:dyDescent="0.25">
      <c r="B95">
        <v>17461</v>
      </c>
      <c r="C95" t="s">
        <v>665</v>
      </c>
      <c r="D95" t="s">
        <v>619</v>
      </c>
      <c r="E95" t="s">
        <v>620</v>
      </c>
      <c r="F95" t="s">
        <v>621</v>
      </c>
      <c r="G95" t="s">
        <v>622</v>
      </c>
      <c r="H95" t="s">
        <v>623</v>
      </c>
      <c r="I95" t="s">
        <v>624</v>
      </c>
      <c r="J95" t="s">
        <v>625</v>
      </c>
      <c r="K95" s="5">
        <v>42850</v>
      </c>
      <c r="L95" s="5">
        <v>43287.411805555559</v>
      </c>
      <c r="M95">
        <v>98756</v>
      </c>
      <c r="N95" t="s">
        <v>636</v>
      </c>
      <c r="O95" t="s">
        <v>621</v>
      </c>
      <c r="P95" t="s">
        <v>673</v>
      </c>
    </row>
    <row r="96" spans="2:16" x14ac:dyDescent="0.25">
      <c r="B96">
        <v>17373</v>
      </c>
      <c r="C96" t="s">
        <v>633</v>
      </c>
      <c r="D96" t="s">
        <v>619</v>
      </c>
      <c r="E96" t="s">
        <v>620</v>
      </c>
      <c r="F96" t="s">
        <v>621</v>
      </c>
      <c r="G96" t="s">
        <v>622</v>
      </c>
      <c r="H96" t="s">
        <v>623</v>
      </c>
      <c r="I96" t="s">
        <v>624</v>
      </c>
      <c r="J96" t="s">
        <v>625</v>
      </c>
      <c r="K96" s="5">
        <v>42842</v>
      </c>
      <c r="L96" s="5">
        <v>43287.27275462963</v>
      </c>
      <c r="M96">
        <v>101885</v>
      </c>
      <c r="N96" t="s">
        <v>636</v>
      </c>
      <c r="O96" t="s">
        <v>621</v>
      </c>
      <c r="P96" t="s">
        <v>675</v>
      </c>
    </row>
    <row r="97" spans="2:16" x14ac:dyDescent="0.25">
      <c r="B97">
        <v>17372</v>
      </c>
      <c r="C97" t="s">
        <v>633</v>
      </c>
      <c r="D97" t="s">
        <v>619</v>
      </c>
      <c r="E97" t="s">
        <v>850</v>
      </c>
      <c r="F97" t="s">
        <v>621</v>
      </c>
      <c r="G97" t="s">
        <v>853</v>
      </c>
      <c r="H97" t="s">
        <v>908</v>
      </c>
      <c r="I97" t="s">
        <v>624</v>
      </c>
      <c r="J97" t="s">
        <v>625</v>
      </c>
      <c r="K97" s="5">
        <v>42842</v>
      </c>
      <c r="L97" s="5">
        <v>43209.531122685185</v>
      </c>
      <c r="M97">
        <v>96442</v>
      </c>
      <c r="N97" t="s">
        <v>645</v>
      </c>
      <c r="O97" t="s">
        <v>621</v>
      </c>
      <c r="P97" t="s">
        <v>965</v>
      </c>
    </row>
    <row r="98" spans="2:16" x14ac:dyDescent="0.25">
      <c r="B98">
        <v>17360</v>
      </c>
      <c r="C98" t="s">
        <v>665</v>
      </c>
      <c r="D98" t="s">
        <v>619</v>
      </c>
      <c r="E98" t="s">
        <v>620</v>
      </c>
      <c r="F98" t="s">
        <v>621</v>
      </c>
      <c r="G98" t="s">
        <v>622</v>
      </c>
      <c r="H98" t="s">
        <v>623</v>
      </c>
      <c r="I98" t="s">
        <v>624</v>
      </c>
      <c r="J98" t="s">
        <v>625</v>
      </c>
      <c r="K98" s="5">
        <v>42839</v>
      </c>
      <c r="L98" s="5">
        <v>43287.352083333331</v>
      </c>
      <c r="M98">
        <v>97646</v>
      </c>
      <c r="N98" t="s">
        <v>636</v>
      </c>
      <c r="O98" t="s">
        <v>621</v>
      </c>
      <c r="P98" t="s">
        <v>677</v>
      </c>
    </row>
    <row r="99" spans="2:16" x14ac:dyDescent="0.25">
      <c r="B99">
        <v>17337</v>
      </c>
      <c r="C99" t="s">
        <v>665</v>
      </c>
      <c r="D99" t="s">
        <v>619</v>
      </c>
      <c r="E99" t="s">
        <v>850</v>
      </c>
      <c r="F99" t="s">
        <v>621</v>
      </c>
      <c r="G99" t="s">
        <v>867</v>
      </c>
      <c r="H99" t="s">
        <v>868</v>
      </c>
      <c r="I99" t="s">
        <v>624</v>
      </c>
      <c r="J99" t="s">
        <v>642</v>
      </c>
      <c r="K99" s="5">
        <v>42836</v>
      </c>
      <c r="L99" s="5">
        <v>42898.35833333333</v>
      </c>
      <c r="M99">
        <v>98770</v>
      </c>
      <c r="N99" t="s">
        <v>645</v>
      </c>
      <c r="O99" t="s">
        <v>621</v>
      </c>
      <c r="P99" t="s">
        <v>967</v>
      </c>
    </row>
    <row r="100" spans="2:16" x14ac:dyDescent="0.25">
      <c r="B100">
        <v>17330</v>
      </c>
      <c r="C100" t="s">
        <v>633</v>
      </c>
      <c r="D100" t="s">
        <v>619</v>
      </c>
      <c r="E100" t="s">
        <v>620</v>
      </c>
      <c r="F100" t="s">
        <v>621</v>
      </c>
      <c r="G100" t="s">
        <v>622</v>
      </c>
      <c r="H100" t="s">
        <v>623</v>
      </c>
      <c r="I100" t="s">
        <v>624</v>
      </c>
      <c r="J100" t="s">
        <v>625</v>
      </c>
      <c r="K100" s="5">
        <v>42836</v>
      </c>
      <c r="L100" s="5">
        <v>43111.402777777781</v>
      </c>
      <c r="M100">
        <v>97354</v>
      </c>
      <c r="N100" t="s">
        <v>636</v>
      </c>
      <c r="O100" t="s">
        <v>621</v>
      </c>
      <c r="P100" t="s">
        <v>682</v>
      </c>
    </row>
    <row r="101" spans="2:16" x14ac:dyDescent="0.25">
      <c r="B101">
        <v>17266</v>
      </c>
      <c r="C101" t="s">
        <v>665</v>
      </c>
      <c r="D101" t="s">
        <v>619</v>
      </c>
      <c r="E101" t="s">
        <v>850</v>
      </c>
      <c r="F101" t="s">
        <v>621</v>
      </c>
      <c r="G101" t="s">
        <v>889</v>
      </c>
      <c r="H101" t="s">
        <v>890</v>
      </c>
      <c r="I101" t="s">
        <v>624</v>
      </c>
      <c r="J101" t="s">
        <v>625</v>
      </c>
      <c r="K101" s="5">
        <v>42828</v>
      </c>
      <c r="L101" s="5">
        <v>42964.309027777781</v>
      </c>
      <c r="M101">
        <v>90686</v>
      </c>
      <c r="N101" t="s">
        <v>636</v>
      </c>
      <c r="O101" t="s">
        <v>621</v>
      </c>
      <c r="P101" t="s">
        <v>971</v>
      </c>
    </row>
    <row r="102" spans="2:16" x14ac:dyDescent="0.25">
      <c r="B102">
        <v>17250</v>
      </c>
      <c r="C102" t="s">
        <v>633</v>
      </c>
      <c r="D102" t="s">
        <v>619</v>
      </c>
      <c r="E102" t="s">
        <v>620</v>
      </c>
      <c r="F102" t="s">
        <v>621</v>
      </c>
      <c r="G102" t="s">
        <v>622</v>
      </c>
      <c r="H102" t="s">
        <v>623</v>
      </c>
      <c r="I102" t="s">
        <v>624</v>
      </c>
      <c r="J102" t="s">
        <v>625</v>
      </c>
      <c r="K102" s="5">
        <v>42824</v>
      </c>
      <c r="L102" s="5">
        <v>43111.32739583333</v>
      </c>
      <c r="M102">
        <v>97551</v>
      </c>
      <c r="N102" t="s">
        <v>636</v>
      </c>
      <c r="O102" t="s">
        <v>621</v>
      </c>
      <c r="P102" t="s">
        <v>684</v>
      </c>
    </row>
    <row r="103" spans="2:16" x14ac:dyDescent="0.25">
      <c r="B103">
        <v>17241</v>
      </c>
      <c r="C103" t="s">
        <v>665</v>
      </c>
      <c r="D103" t="s">
        <v>619</v>
      </c>
      <c r="E103" t="s">
        <v>850</v>
      </c>
      <c r="F103" t="s">
        <v>621</v>
      </c>
      <c r="G103" t="s">
        <v>863</v>
      </c>
      <c r="H103" t="s">
        <v>864</v>
      </c>
      <c r="I103" t="s">
        <v>624</v>
      </c>
      <c r="J103" t="s">
        <v>625</v>
      </c>
      <c r="K103" s="5">
        <v>42824</v>
      </c>
      <c r="L103" s="5">
        <v>42964.303472222222</v>
      </c>
      <c r="M103">
        <v>95512</v>
      </c>
      <c r="N103" t="s">
        <v>636</v>
      </c>
      <c r="O103" t="s">
        <v>621</v>
      </c>
      <c r="P103" t="s">
        <v>975</v>
      </c>
    </row>
    <row r="104" spans="2:16" x14ac:dyDescent="0.25">
      <c r="B104">
        <v>17184</v>
      </c>
      <c r="C104" t="s">
        <v>665</v>
      </c>
      <c r="D104" t="s">
        <v>619</v>
      </c>
      <c r="E104" t="s">
        <v>850</v>
      </c>
      <c r="F104" t="s">
        <v>621</v>
      </c>
      <c r="G104" t="s">
        <v>867</v>
      </c>
      <c r="H104" t="s">
        <v>868</v>
      </c>
      <c r="I104" t="s">
        <v>624</v>
      </c>
      <c r="J104" t="s">
        <v>629</v>
      </c>
      <c r="K104" s="5">
        <v>42817</v>
      </c>
      <c r="L104" s="5">
        <v>43010.572222222225</v>
      </c>
      <c r="M104">
        <v>87020</v>
      </c>
      <c r="N104" t="s">
        <v>636</v>
      </c>
      <c r="O104" t="s">
        <v>621</v>
      </c>
      <c r="P104" t="s">
        <v>979</v>
      </c>
    </row>
    <row r="105" spans="2:16" x14ac:dyDescent="0.25">
      <c r="B105">
        <v>17180</v>
      </c>
      <c r="C105" t="s">
        <v>665</v>
      </c>
      <c r="D105" t="s">
        <v>619</v>
      </c>
      <c r="E105" t="s">
        <v>850</v>
      </c>
      <c r="F105" t="s">
        <v>621</v>
      </c>
      <c r="G105" t="s">
        <v>851</v>
      </c>
      <c r="H105" t="s">
        <v>852</v>
      </c>
      <c r="I105" t="s">
        <v>624</v>
      </c>
      <c r="J105" t="s">
        <v>629</v>
      </c>
      <c r="K105" s="5">
        <v>42817</v>
      </c>
      <c r="L105" s="5">
        <v>42849.572916666664</v>
      </c>
      <c r="M105" t="s">
        <v>621</v>
      </c>
      <c r="N105" t="s">
        <v>645</v>
      </c>
      <c r="O105" t="s">
        <v>621</v>
      </c>
      <c r="P105" t="s">
        <v>980</v>
      </c>
    </row>
    <row r="106" spans="2:16" x14ac:dyDescent="0.25">
      <c r="B106">
        <v>17112</v>
      </c>
      <c r="C106" t="s">
        <v>633</v>
      </c>
      <c r="D106" t="s">
        <v>619</v>
      </c>
      <c r="E106" t="s">
        <v>620</v>
      </c>
      <c r="F106" t="s">
        <v>621</v>
      </c>
      <c r="G106" t="s">
        <v>622</v>
      </c>
      <c r="H106" t="s">
        <v>623</v>
      </c>
      <c r="I106" t="s">
        <v>624</v>
      </c>
      <c r="J106" t="s">
        <v>625</v>
      </c>
      <c r="K106" s="5">
        <v>42809</v>
      </c>
      <c r="L106" s="5">
        <v>43111.332824074074</v>
      </c>
      <c r="M106">
        <v>97243</v>
      </c>
      <c r="N106" t="s">
        <v>636</v>
      </c>
      <c r="O106" t="s">
        <v>621</v>
      </c>
      <c r="P106" t="s">
        <v>685</v>
      </c>
    </row>
    <row r="107" spans="2:16" x14ac:dyDescent="0.25">
      <c r="B107">
        <v>17111</v>
      </c>
      <c r="C107" t="s">
        <v>633</v>
      </c>
      <c r="D107" t="s">
        <v>619</v>
      </c>
      <c r="E107" t="s">
        <v>620</v>
      </c>
      <c r="F107" t="s">
        <v>621</v>
      </c>
      <c r="G107" t="s">
        <v>622</v>
      </c>
      <c r="H107" t="s">
        <v>623</v>
      </c>
      <c r="I107" t="s">
        <v>624</v>
      </c>
      <c r="J107" t="s">
        <v>629</v>
      </c>
      <c r="K107" s="5">
        <v>42809</v>
      </c>
      <c r="L107" s="5">
        <v>43111.369247685187</v>
      </c>
      <c r="M107">
        <v>72021</v>
      </c>
      <c r="N107" t="s">
        <v>636</v>
      </c>
      <c r="O107" t="s">
        <v>621</v>
      </c>
      <c r="P107" t="s">
        <v>686</v>
      </c>
    </row>
    <row r="108" spans="2:16" x14ac:dyDescent="0.25">
      <c r="B108">
        <v>17100</v>
      </c>
      <c r="C108" t="s">
        <v>633</v>
      </c>
      <c r="D108" t="s">
        <v>619</v>
      </c>
      <c r="E108" t="s">
        <v>620</v>
      </c>
      <c r="F108" t="s">
        <v>621</v>
      </c>
      <c r="G108" t="s">
        <v>622</v>
      </c>
      <c r="H108" t="s">
        <v>623</v>
      </c>
      <c r="I108" t="s">
        <v>624</v>
      </c>
      <c r="J108" t="s">
        <v>625</v>
      </c>
      <c r="K108" s="5">
        <v>42808</v>
      </c>
      <c r="L108" s="5">
        <v>43111.334976851853</v>
      </c>
      <c r="M108">
        <v>97187</v>
      </c>
      <c r="N108" t="s">
        <v>636</v>
      </c>
      <c r="O108" t="s">
        <v>621</v>
      </c>
      <c r="P108" t="s">
        <v>687</v>
      </c>
    </row>
    <row r="109" spans="2:16" x14ac:dyDescent="0.25">
      <c r="B109">
        <v>17098</v>
      </c>
      <c r="C109" t="s">
        <v>665</v>
      </c>
      <c r="D109" t="s">
        <v>619</v>
      </c>
      <c r="E109" t="s">
        <v>850</v>
      </c>
      <c r="F109" t="s">
        <v>621</v>
      </c>
      <c r="G109" t="s">
        <v>855</v>
      </c>
      <c r="H109" t="s">
        <v>856</v>
      </c>
      <c r="I109" t="s">
        <v>624</v>
      </c>
      <c r="J109" t="s">
        <v>625</v>
      </c>
      <c r="K109" s="5">
        <v>42808</v>
      </c>
      <c r="L109" s="5">
        <v>43332.294444444444</v>
      </c>
      <c r="M109">
        <v>97703</v>
      </c>
      <c r="N109" t="s">
        <v>636</v>
      </c>
      <c r="O109" t="s">
        <v>621</v>
      </c>
      <c r="P109" t="s">
        <v>986</v>
      </c>
    </row>
    <row r="110" spans="2:16" x14ac:dyDescent="0.25">
      <c r="B110">
        <v>17090</v>
      </c>
      <c r="C110" t="s">
        <v>665</v>
      </c>
      <c r="D110" t="s">
        <v>619</v>
      </c>
      <c r="E110" t="s">
        <v>620</v>
      </c>
      <c r="F110" t="s">
        <v>621</v>
      </c>
      <c r="G110" t="s">
        <v>622</v>
      </c>
      <c r="H110" t="s">
        <v>623</v>
      </c>
      <c r="I110" t="s">
        <v>624</v>
      </c>
      <c r="J110" t="s">
        <v>625</v>
      </c>
      <c r="K110" s="5">
        <v>42807</v>
      </c>
      <c r="L110" s="5">
        <v>43111.493055555555</v>
      </c>
      <c r="M110">
        <v>97279</v>
      </c>
      <c r="N110" t="s">
        <v>636</v>
      </c>
      <c r="O110" t="s">
        <v>621</v>
      </c>
      <c r="P110" t="s">
        <v>689</v>
      </c>
    </row>
    <row r="111" spans="2:16" x14ac:dyDescent="0.25">
      <c r="B111">
        <v>17018</v>
      </c>
      <c r="C111" t="s">
        <v>665</v>
      </c>
      <c r="D111" t="s">
        <v>619</v>
      </c>
      <c r="E111" t="s">
        <v>850</v>
      </c>
      <c r="F111" t="s">
        <v>621</v>
      </c>
      <c r="G111" t="s">
        <v>889</v>
      </c>
      <c r="H111" t="s">
        <v>890</v>
      </c>
      <c r="I111" t="s">
        <v>624</v>
      </c>
      <c r="J111" t="s">
        <v>625</v>
      </c>
      <c r="K111" s="5">
        <v>42801</v>
      </c>
      <c r="L111" s="5">
        <v>43332.290277777778</v>
      </c>
      <c r="M111">
        <v>107073</v>
      </c>
      <c r="N111" t="s">
        <v>636</v>
      </c>
      <c r="O111" t="s">
        <v>621</v>
      </c>
      <c r="P111" t="s">
        <v>989</v>
      </c>
    </row>
    <row r="112" spans="2:16" x14ac:dyDescent="0.25">
      <c r="B112">
        <v>16992</v>
      </c>
      <c r="C112" t="s">
        <v>665</v>
      </c>
      <c r="D112" t="s">
        <v>619</v>
      </c>
      <c r="E112" t="s">
        <v>850</v>
      </c>
      <c r="F112" t="s">
        <v>621</v>
      </c>
      <c r="G112" t="s">
        <v>851</v>
      </c>
      <c r="H112" t="s">
        <v>852</v>
      </c>
      <c r="I112" t="s">
        <v>624</v>
      </c>
      <c r="J112" t="s">
        <v>625</v>
      </c>
      <c r="K112" s="5">
        <v>42797</v>
      </c>
      <c r="L112" s="5">
        <v>43105.441666666666</v>
      </c>
      <c r="M112">
        <v>78610</v>
      </c>
      <c r="N112" t="s">
        <v>645</v>
      </c>
      <c r="O112" t="s">
        <v>621</v>
      </c>
      <c r="P112" t="s">
        <v>992</v>
      </c>
    </row>
    <row r="113" spans="2:16" x14ac:dyDescent="0.25">
      <c r="B113">
        <v>16630</v>
      </c>
      <c r="C113" t="s">
        <v>665</v>
      </c>
      <c r="D113" t="s">
        <v>619</v>
      </c>
      <c r="E113" t="s">
        <v>850</v>
      </c>
      <c r="F113" t="s">
        <v>621</v>
      </c>
      <c r="G113" t="s">
        <v>853</v>
      </c>
      <c r="H113" t="s">
        <v>908</v>
      </c>
      <c r="I113" t="s">
        <v>624</v>
      </c>
      <c r="J113" t="s">
        <v>629</v>
      </c>
      <c r="K113" s="5">
        <v>42788</v>
      </c>
      <c r="L113" s="5">
        <v>42964.295138888891</v>
      </c>
      <c r="M113">
        <v>97589</v>
      </c>
      <c r="N113" t="s">
        <v>636</v>
      </c>
      <c r="O113" t="s">
        <v>621</v>
      </c>
      <c r="P113" t="s">
        <v>995</v>
      </c>
    </row>
    <row r="114" spans="2:16" x14ac:dyDescent="0.25">
      <c r="B114">
        <v>16593</v>
      </c>
      <c r="C114" t="s">
        <v>665</v>
      </c>
      <c r="D114" t="s">
        <v>619</v>
      </c>
      <c r="E114" t="s">
        <v>850</v>
      </c>
      <c r="F114" t="s">
        <v>621</v>
      </c>
      <c r="G114" t="s">
        <v>853</v>
      </c>
      <c r="H114" t="s">
        <v>908</v>
      </c>
      <c r="I114" t="s">
        <v>624</v>
      </c>
      <c r="J114" t="s">
        <v>629</v>
      </c>
      <c r="K114" s="5">
        <v>42782</v>
      </c>
      <c r="L114" s="5">
        <v>43117.713888888888</v>
      </c>
      <c r="M114">
        <v>99505</v>
      </c>
      <c r="N114" t="s">
        <v>636</v>
      </c>
      <c r="O114" t="s">
        <v>621</v>
      </c>
      <c r="P114" t="s">
        <v>997</v>
      </c>
    </row>
    <row r="115" spans="2:16" x14ac:dyDescent="0.25">
      <c r="B115">
        <v>16577</v>
      </c>
      <c r="C115" t="s">
        <v>665</v>
      </c>
      <c r="D115" t="s">
        <v>619</v>
      </c>
      <c r="E115" t="s">
        <v>850</v>
      </c>
      <c r="F115" t="s">
        <v>621</v>
      </c>
      <c r="G115" t="s">
        <v>851</v>
      </c>
      <c r="H115" t="s">
        <v>852</v>
      </c>
      <c r="I115" t="s">
        <v>624</v>
      </c>
      <c r="J115" t="s">
        <v>625</v>
      </c>
      <c r="K115" s="5">
        <v>42782</v>
      </c>
      <c r="L115" s="5">
        <v>42964.293055555558</v>
      </c>
      <c r="M115">
        <v>97788</v>
      </c>
      <c r="N115" t="s">
        <v>636</v>
      </c>
      <c r="O115" t="s">
        <v>621</v>
      </c>
      <c r="P115" t="s">
        <v>999</v>
      </c>
    </row>
    <row r="116" spans="2:16" x14ac:dyDescent="0.25">
      <c r="B116">
        <v>15564</v>
      </c>
      <c r="C116" t="s">
        <v>665</v>
      </c>
      <c r="D116" t="s">
        <v>619</v>
      </c>
      <c r="E116" t="s">
        <v>850</v>
      </c>
      <c r="F116" t="s">
        <v>621</v>
      </c>
      <c r="G116" t="s">
        <v>867</v>
      </c>
      <c r="H116" t="s">
        <v>868</v>
      </c>
      <c r="I116" t="s">
        <v>624</v>
      </c>
      <c r="J116" t="s">
        <v>625</v>
      </c>
      <c r="K116" s="5">
        <v>42768</v>
      </c>
      <c r="L116" s="5">
        <v>42822</v>
      </c>
      <c r="M116">
        <v>96531</v>
      </c>
      <c r="N116" t="s">
        <v>636</v>
      </c>
      <c r="O116" t="s">
        <v>621</v>
      </c>
      <c r="P116" t="s">
        <v>1002</v>
      </c>
    </row>
    <row r="117" spans="2:16" x14ac:dyDescent="0.25">
      <c r="B117">
        <v>13183</v>
      </c>
      <c r="C117" t="s">
        <v>641</v>
      </c>
      <c r="D117" t="s">
        <v>619</v>
      </c>
      <c r="E117" t="s">
        <v>620</v>
      </c>
      <c r="F117" t="s">
        <v>621</v>
      </c>
      <c r="G117" t="s">
        <v>622</v>
      </c>
      <c r="H117" t="s">
        <v>623</v>
      </c>
      <c r="I117" t="s">
        <v>624</v>
      </c>
      <c r="J117" t="s">
        <v>625</v>
      </c>
      <c r="K117" s="5">
        <v>42755</v>
      </c>
      <c r="M117">
        <v>106447</v>
      </c>
      <c r="N117" t="s">
        <v>637</v>
      </c>
      <c r="O117" t="s">
        <v>621</v>
      </c>
      <c r="P117" t="s">
        <v>696</v>
      </c>
    </row>
    <row r="118" spans="2:16" x14ac:dyDescent="0.25">
      <c r="B118">
        <v>12887</v>
      </c>
      <c r="C118" t="s">
        <v>633</v>
      </c>
      <c r="D118" t="s">
        <v>619</v>
      </c>
      <c r="E118" t="s">
        <v>620</v>
      </c>
      <c r="F118" t="s">
        <v>621</v>
      </c>
      <c r="G118" t="s">
        <v>622</v>
      </c>
      <c r="H118" t="s">
        <v>623</v>
      </c>
      <c r="I118" t="s">
        <v>624</v>
      </c>
      <c r="J118" t="s">
        <v>625</v>
      </c>
      <c r="K118" s="5">
        <v>42738</v>
      </c>
      <c r="L118" s="5">
        <v>43297.632928240739</v>
      </c>
      <c r="M118">
        <v>193991</v>
      </c>
      <c r="N118" t="s">
        <v>636</v>
      </c>
      <c r="O118" t="s">
        <v>621</v>
      </c>
      <c r="P118" t="s">
        <v>698</v>
      </c>
    </row>
    <row r="119" spans="2:16" x14ac:dyDescent="0.25">
      <c r="B119">
        <v>12886</v>
      </c>
      <c r="C119" t="s">
        <v>665</v>
      </c>
      <c r="D119" t="s">
        <v>619</v>
      </c>
      <c r="E119" t="s">
        <v>620</v>
      </c>
      <c r="F119" t="s">
        <v>621</v>
      </c>
      <c r="G119" t="s">
        <v>622</v>
      </c>
      <c r="H119" t="s">
        <v>623</v>
      </c>
      <c r="I119" t="s">
        <v>624</v>
      </c>
      <c r="J119" t="s">
        <v>625</v>
      </c>
      <c r="K119" s="5">
        <v>42738</v>
      </c>
      <c r="L119" s="5">
        <v>43287.347916666666</v>
      </c>
      <c r="M119">
        <v>99290</v>
      </c>
      <c r="N119" t="s">
        <v>636</v>
      </c>
      <c r="O119" t="s">
        <v>621</v>
      </c>
      <c r="P119" t="s">
        <v>699</v>
      </c>
    </row>
    <row r="120" spans="2:16" x14ac:dyDescent="0.25">
      <c r="B120">
        <v>12685</v>
      </c>
      <c r="C120" t="s">
        <v>665</v>
      </c>
      <c r="D120" t="s">
        <v>619</v>
      </c>
      <c r="E120" t="s">
        <v>850</v>
      </c>
      <c r="F120" t="s">
        <v>621</v>
      </c>
      <c r="G120" t="s">
        <v>851</v>
      </c>
      <c r="H120" t="s">
        <v>852</v>
      </c>
      <c r="I120" t="s">
        <v>624</v>
      </c>
      <c r="J120" t="s">
        <v>625</v>
      </c>
      <c r="K120" s="5">
        <v>42716</v>
      </c>
      <c r="L120" s="5">
        <v>42964.285416666666</v>
      </c>
      <c r="M120">
        <v>99928</v>
      </c>
      <c r="N120" t="s">
        <v>636</v>
      </c>
      <c r="O120" t="s">
        <v>621</v>
      </c>
      <c r="P120" t="s">
        <v>1016</v>
      </c>
    </row>
    <row r="121" spans="2:16" x14ac:dyDescent="0.25">
      <c r="B121">
        <v>12625</v>
      </c>
      <c r="C121" t="s">
        <v>665</v>
      </c>
      <c r="D121" t="s">
        <v>619</v>
      </c>
      <c r="E121" t="s">
        <v>850</v>
      </c>
      <c r="F121" t="s">
        <v>621</v>
      </c>
      <c r="G121" t="s">
        <v>855</v>
      </c>
      <c r="H121" t="s">
        <v>856</v>
      </c>
      <c r="I121" t="s">
        <v>624</v>
      </c>
      <c r="J121" t="s">
        <v>629</v>
      </c>
      <c r="K121" s="5">
        <v>42712</v>
      </c>
      <c r="L121" s="5">
        <v>43179.397222222222</v>
      </c>
      <c r="M121">
        <v>96405</v>
      </c>
      <c r="N121" t="s">
        <v>636</v>
      </c>
      <c r="O121" t="s">
        <v>621</v>
      </c>
      <c r="P121" t="s">
        <v>1018</v>
      </c>
    </row>
    <row r="122" spans="2:16" x14ac:dyDescent="0.25">
      <c r="B122">
        <v>12566</v>
      </c>
      <c r="C122" t="s">
        <v>665</v>
      </c>
      <c r="D122" t="s">
        <v>619</v>
      </c>
      <c r="E122" t="s">
        <v>850</v>
      </c>
      <c r="F122" t="s">
        <v>621</v>
      </c>
      <c r="G122" t="s">
        <v>867</v>
      </c>
      <c r="H122" t="s">
        <v>868</v>
      </c>
      <c r="I122" t="s">
        <v>624</v>
      </c>
      <c r="J122" t="s">
        <v>629</v>
      </c>
      <c r="K122" s="5">
        <v>42711</v>
      </c>
      <c r="L122" s="5">
        <v>42933.538888888892</v>
      </c>
      <c r="M122" t="s">
        <v>621</v>
      </c>
      <c r="N122" t="s">
        <v>645</v>
      </c>
      <c r="O122" t="s">
        <v>621</v>
      </c>
      <c r="P122" t="s">
        <v>1019</v>
      </c>
    </row>
    <row r="123" spans="2:16" x14ac:dyDescent="0.25">
      <c r="B123">
        <v>12370</v>
      </c>
      <c r="C123" t="s">
        <v>665</v>
      </c>
      <c r="D123" t="s">
        <v>619</v>
      </c>
      <c r="E123" t="s">
        <v>850</v>
      </c>
      <c r="F123" t="s">
        <v>621</v>
      </c>
      <c r="G123" t="s">
        <v>962</v>
      </c>
      <c r="H123" t="s">
        <v>887</v>
      </c>
      <c r="I123" t="s">
        <v>624</v>
      </c>
      <c r="J123" t="s">
        <v>625</v>
      </c>
      <c r="K123" s="5">
        <v>42683</v>
      </c>
      <c r="L123" s="5">
        <v>42822</v>
      </c>
      <c r="M123">
        <v>90595</v>
      </c>
      <c r="N123" t="s">
        <v>636</v>
      </c>
      <c r="O123" t="s">
        <v>621</v>
      </c>
      <c r="P123" t="s">
        <v>1024</v>
      </c>
    </row>
    <row r="124" spans="2:16" x14ac:dyDescent="0.25">
      <c r="B124">
        <v>12168</v>
      </c>
      <c r="C124" t="s">
        <v>633</v>
      </c>
      <c r="D124" t="s">
        <v>619</v>
      </c>
      <c r="E124" t="s">
        <v>850</v>
      </c>
      <c r="F124" t="s">
        <v>621</v>
      </c>
      <c r="G124" t="s">
        <v>962</v>
      </c>
      <c r="H124" t="s">
        <v>887</v>
      </c>
      <c r="I124" t="s">
        <v>624</v>
      </c>
      <c r="J124" t="s">
        <v>629</v>
      </c>
      <c r="K124" s="5">
        <v>42657</v>
      </c>
      <c r="L124" s="5">
        <v>42822</v>
      </c>
      <c r="M124">
        <v>89945</v>
      </c>
      <c r="N124" t="s">
        <v>636</v>
      </c>
      <c r="O124" t="s">
        <v>621</v>
      </c>
      <c r="P124" t="s">
        <v>1031</v>
      </c>
    </row>
    <row r="125" spans="2:16" x14ac:dyDescent="0.25">
      <c r="B125">
        <v>12145</v>
      </c>
      <c r="C125" t="s">
        <v>633</v>
      </c>
      <c r="D125" t="s">
        <v>619</v>
      </c>
      <c r="E125" t="s">
        <v>620</v>
      </c>
      <c r="F125" t="s">
        <v>621</v>
      </c>
      <c r="G125" t="s">
        <v>622</v>
      </c>
      <c r="H125" t="s">
        <v>715</v>
      </c>
      <c r="I125" t="s">
        <v>624</v>
      </c>
      <c r="J125" t="s">
        <v>625</v>
      </c>
      <c r="K125" s="5">
        <v>42654</v>
      </c>
      <c r="L125" s="5">
        <v>42765</v>
      </c>
      <c r="M125">
        <v>62726</v>
      </c>
      <c r="N125" t="s">
        <v>666</v>
      </c>
      <c r="O125" t="s">
        <v>621</v>
      </c>
      <c r="P125" t="s">
        <v>716</v>
      </c>
    </row>
    <row r="126" spans="2:16" x14ac:dyDescent="0.25">
      <c r="B126">
        <v>12138</v>
      </c>
      <c r="C126" t="s">
        <v>665</v>
      </c>
      <c r="D126" t="s">
        <v>619</v>
      </c>
      <c r="E126" t="s">
        <v>850</v>
      </c>
      <c r="F126" t="s">
        <v>621</v>
      </c>
      <c r="G126" t="s">
        <v>855</v>
      </c>
      <c r="H126" t="s">
        <v>856</v>
      </c>
      <c r="I126" t="s">
        <v>624</v>
      </c>
      <c r="J126" t="s">
        <v>625</v>
      </c>
      <c r="K126" s="5">
        <v>42653</v>
      </c>
      <c r="L126" s="5">
        <v>42822</v>
      </c>
      <c r="M126">
        <v>83302</v>
      </c>
      <c r="N126" t="s">
        <v>636</v>
      </c>
      <c r="O126" t="s">
        <v>621</v>
      </c>
      <c r="P126" t="s">
        <v>1033</v>
      </c>
    </row>
    <row r="127" spans="2:16" x14ac:dyDescent="0.25">
      <c r="B127">
        <v>12135</v>
      </c>
      <c r="C127" t="s">
        <v>665</v>
      </c>
      <c r="D127" t="s">
        <v>619</v>
      </c>
      <c r="E127" t="s">
        <v>850</v>
      </c>
      <c r="F127" t="s">
        <v>621</v>
      </c>
      <c r="G127" t="s">
        <v>851</v>
      </c>
      <c r="H127" t="s">
        <v>852</v>
      </c>
      <c r="I127" t="s">
        <v>624</v>
      </c>
      <c r="J127" t="s">
        <v>625</v>
      </c>
      <c r="K127" s="5">
        <v>42651</v>
      </c>
      <c r="L127" s="5">
        <v>42838</v>
      </c>
      <c r="M127">
        <v>92089</v>
      </c>
      <c r="N127" t="s">
        <v>666</v>
      </c>
      <c r="O127" t="s">
        <v>621</v>
      </c>
      <c r="P127" t="s">
        <v>1034</v>
      </c>
    </row>
    <row r="128" spans="2:16" x14ac:dyDescent="0.25">
      <c r="B128">
        <v>12124</v>
      </c>
      <c r="C128" t="s">
        <v>665</v>
      </c>
      <c r="D128" t="s">
        <v>619</v>
      </c>
      <c r="E128" t="s">
        <v>850</v>
      </c>
      <c r="F128" t="s">
        <v>621</v>
      </c>
      <c r="G128" t="s">
        <v>962</v>
      </c>
      <c r="H128" t="s">
        <v>887</v>
      </c>
      <c r="I128" t="s">
        <v>624</v>
      </c>
      <c r="J128" t="s">
        <v>625</v>
      </c>
      <c r="K128" s="5">
        <v>42649</v>
      </c>
      <c r="L128" s="5">
        <v>42822</v>
      </c>
      <c r="M128">
        <v>90247</v>
      </c>
      <c r="N128" t="s">
        <v>636</v>
      </c>
      <c r="O128" t="s">
        <v>621</v>
      </c>
      <c r="P128" t="s">
        <v>1035</v>
      </c>
    </row>
    <row r="129" spans="2:16" x14ac:dyDescent="0.25">
      <c r="B129">
        <v>12112</v>
      </c>
      <c r="C129" t="s">
        <v>665</v>
      </c>
      <c r="D129" t="s">
        <v>619</v>
      </c>
      <c r="E129" t="s">
        <v>850</v>
      </c>
      <c r="F129" t="s">
        <v>621</v>
      </c>
      <c r="G129" t="s">
        <v>851</v>
      </c>
      <c r="H129" t="s">
        <v>852</v>
      </c>
      <c r="I129" t="s">
        <v>624</v>
      </c>
      <c r="J129" t="s">
        <v>629</v>
      </c>
      <c r="K129" s="5">
        <v>42649</v>
      </c>
      <c r="L129" s="5">
        <v>42822</v>
      </c>
      <c r="M129">
        <v>90629</v>
      </c>
      <c r="N129" t="s">
        <v>636</v>
      </c>
      <c r="O129" t="s">
        <v>621</v>
      </c>
      <c r="P129" t="s">
        <v>1036</v>
      </c>
    </row>
    <row r="130" spans="2:16" x14ac:dyDescent="0.25">
      <c r="B130">
        <v>12089</v>
      </c>
      <c r="C130" t="s">
        <v>665</v>
      </c>
      <c r="D130" t="s">
        <v>619</v>
      </c>
      <c r="E130" t="s">
        <v>850</v>
      </c>
      <c r="F130" t="s">
        <v>621</v>
      </c>
      <c r="G130" t="s">
        <v>851</v>
      </c>
      <c r="H130" t="s">
        <v>852</v>
      </c>
      <c r="I130" t="s">
        <v>624</v>
      </c>
      <c r="J130" t="s">
        <v>625</v>
      </c>
      <c r="K130" s="5">
        <v>42646</v>
      </c>
      <c r="L130" s="5">
        <v>42822</v>
      </c>
      <c r="M130">
        <v>90163</v>
      </c>
      <c r="N130" t="s">
        <v>636</v>
      </c>
      <c r="O130" t="s">
        <v>621</v>
      </c>
      <c r="P130" t="s">
        <v>1039</v>
      </c>
    </row>
    <row r="131" spans="2:16" x14ac:dyDescent="0.25">
      <c r="B131">
        <v>12026</v>
      </c>
      <c r="C131" t="s">
        <v>665</v>
      </c>
      <c r="D131" t="s">
        <v>619</v>
      </c>
      <c r="E131" t="s">
        <v>850</v>
      </c>
      <c r="F131" t="s">
        <v>621</v>
      </c>
      <c r="G131" t="s">
        <v>855</v>
      </c>
      <c r="H131" t="s">
        <v>856</v>
      </c>
      <c r="I131" t="s">
        <v>624</v>
      </c>
      <c r="J131" t="s">
        <v>625</v>
      </c>
      <c r="K131" s="5">
        <v>42636</v>
      </c>
      <c r="L131" s="5">
        <v>42822</v>
      </c>
      <c r="M131">
        <v>88132</v>
      </c>
      <c r="N131" t="s">
        <v>636</v>
      </c>
      <c r="O131" t="s">
        <v>621</v>
      </c>
      <c r="P131" t="s">
        <v>1042</v>
      </c>
    </row>
    <row r="132" spans="2:16" x14ac:dyDescent="0.25">
      <c r="B132">
        <v>12019</v>
      </c>
      <c r="C132" t="s">
        <v>665</v>
      </c>
      <c r="D132" t="s">
        <v>619</v>
      </c>
      <c r="E132" t="s">
        <v>850</v>
      </c>
      <c r="F132" t="s">
        <v>621</v>
      </c>
      <c r="G132" t="s">
        <v>867</v>
      </c>
      <c r="H132" t="s">
        <v>868</v>
      </c>
      <c r="I132" t="s">
        <v>624</v>
      </c>
      <c r="J132" t="s">
        <v>625</v>
      </c>
      <c r="K132" s="5">
        <v>42635</v>
      </c>
      <c r="L132" s="5">
        <v>43117.7</v>
      </c>
      <c r="M132">
        <v>66590</v>
      </c>
      <c r="N132" t="s">
        <v>636</v>
      </c>
      <c r="O132" t="s">
        <v>621</v>
      </c>
      <c r="P132" t="s">
        <v>1044</v>
      </c>
    </row>
    <row r="133" spans="2:16" x14ac:dyDescent="0.25">
      <c r="B133">
        <v>12014</v>
      </c>
      <c r="C133" t="s">
        <v>633</v>
      </c>
      <c r="D133" t="s">
        <v>619</v>
      </c>
      <c r="E133" t="s">
        <v>850</v>
      </c>
      <c r="F133" t="s">
        <v>621</v>
      </c>
      <c r="G133" t="s">
        <v>853</v>
      </c>
      <c r="H133" t="s">
        <v>908</v>
      </c>
      <c r="I133" t="s">
        <v>624</v>
      </c>
      <c r="J133" t="s">
        <v>625</v>
      </c>
      <c r="K133" s="5">
        <v>42635</v>
      </c>
      <c r="L133" s="5">
        <v>42670</v>
      </c>
      <c r="M133">
        <v>87545</v>
      </c>
      <c r="N133" t="s">
        <v>666</v>
      </c>
      <c r="O133" t="s">
        <v>621</v>
      </c>
      <c r="P133" t="s">
        <v>1045</v>
      </c>
    </row>
    <row r="134" spans="2:16" x14ac:dyDescent="0.25">
      <c r="B134">
        <v>11934</v>
      </c>
      <c r="C134" t="s">
        <v>665</v>
      </c>
      <c r="D134" t="s">
        <v>619</v>
      </c>
      <c r="E134" t="s">
        <v>620</v>
      </c>
      <c r="F134" t="s">
        <v>621</v>
      </c>
      <c r="G134" t="s">
        <v>631</v>
      </c>
      <c r="H134" t="s">
        <v>632</v>
      </c>
      <c r="I134" t="s">
        <v>624</v>
      </c>
      <c r="J134" t="s">
        <v>625</v>
      </c>
      <c r="K134" s="5">
        <v>42622</v>
      </c>
      <c r="L134" s="5">
        <v>42634</v>
      </c>
      <c r="M134">
        <v>88795</v>
      </c>
      <c r="N134" t="s">
        <v>640</v>
      </c>
      <c r="O134" t="s">
        <v>621</v>
      </c>
      <c r="P134" t="s">
        <v>724</v>
      </c>
    </row>
    <row r="135" spans="2:16" x14ac:dyDescent="0.25">
      <c r="B135">
        <v>11924</v>
      </c>
      <c r="C135" t="s">
        <v>633</v>
      </c>
      <c r="D135" t="s">
        <v>619</v>
      </c>
      <c r="E135" t="s">
        <v>620</v>
      </c>
      <c r="F135" t="s">
        <v>621</v>
      </c>
      <c r="G135" t="s">
        <v>622</v>
      </c>
      <c r="H135" t="s">
        <v>623</v>
      </c>
      <c r="I135" t="s">
        <v>624</v>
      </c>
      <c r="J135" t="s">
        <v>625</v>
      </c>
      <c r="K135" s="5">
        <v>42621</v>
      </c>
      <c r="L135" s="5">
        <v>43111.353761574072</v>
      </c>
      <c r="M135">
        <v>87238</v>
      </c>
      <c r="N135" t="s">
        <v>636</v>
      </c>
      <c r="O135" t="s">
        <v>621</v>
      </c>
      <c r="P135" t="s">
        <v>725</v>
      </c>
    </row>
    <row r="136" spans="2:16" x14ac:dyDescent="0.25">
      <c r="B136">
        <v>11874</v>
      </c>
      <c r="C136" t="s">
        <v>665</v>
      </c>
      <c r="D136" t="s">
        <v>619</v>
      </c>
      <c r="E136" t="s">
        <v>850</v>
      </c>
      <c r="F136" t="s">
        <v>621</v>
      </c>
      <c r="G136" t="s">
        <v>889</v>
      </c>
      <c r="H136" t="s">
        <v>890</v>
      </c>
      <c r="I136" t="s">
        <v>624</v>
      </c>
      <c r="J136" t="s">
        <v>625</v>
      </c>
      <c r="K136" s="5">
        <v>42613</v>
      </c>
      <c r="L136" s="5">
        <v>42822</v>
      </c>
      <c r="M136">
        <v>89686</v>
      </c>
      <c r="N136" t="s">
        <v>636</v>
      </c>
      <c r="O136" t="s">
        <v>621</v>
      </c>
      <c r="P136" t="s">
        <v>1048</v>
      </c>
    </row>
    <row r="137" spans="2:16" x14ac:dyDescent="0.25">
      <c r="B137">
        <v>11853</v>
      </c>
      <c r="C137" t="s">
        <v>633</v>
      </c>
      <c r="D137" t="s">
        <v>619</v>
      </c>
      <c r="E137" t="s">
        <v>620</v>
      </c>
      <c r="F137" t="s">
        <v>621</v>
      </c>
      <c r="G137" t="s">
        <v>634</v>
      </c>
      <c r="H137" t="s">
        <v>635</v>
      </c>
      <c r="I137" t="s">
        <v>624</v>
      </c>
      <c r="J137" t="s">
        <v>625</v>
      </c>
      <c r="K137" s="5">
        <v>42612</v>
      </c>
      <c r="L137" s="5">
        <v>42647</v>
      </c>
      <c r="M137">
        <v>88689</v>
      </c>
      <c r="N137" t="s">
        <v>666</v>
      </c>
      <c r="O137" t="s">
        <v>621</v>
      </c>
      <c r="P137" t="s">
        <v>726</v>
      </c>
    </row>
    <row r="138" spans="2:16" x14ac:dyDescent="0.25">
      <c r="B138">
        <v>11824</v>
      </c>
      <c r="C138" t="s">
        <v>665</v>
      </c>
      <c r="D138" t="s">
        <v>619</v>
      </c>
      <c r="E138" t="s">
        <v>850</v>
      </c>
      <c r="F138" t="s">
        <v>621</v>
      </c>
      <c r="G138" t="s">
        <v>855</v>
      </c>
      <c r="H138" t="s">
        <v>856</v>
      </c>
      <c r="I138" t="s">
        <v>624</v>
      </c>
      <c r="J138" t="s">
        <v>625</v>
      </c>
      <c r="K138" s="5">
        <v>42607</v>
      </c>
      <c r="L138" s="5">
        <v>42822</v>
      </c>
      <c r="M138">
        <v>88132</v>
      </c>
      <c r="N138" t="s">
        <v>636</v>
      </c>
      <c r="O138" t="s">
        <v>621</v>
      </c>
      <c r="P138" t="s">
        <v>1051</v>
      </c>
    </row>
    <row r="139" spans="2:16" x14ac:dyDescent="0.25">
      <c r="B139">
        <v>11800</v>
      </c>
      <c r="C139" t="s">
        <v>633</v>
      </c>
      <c r="D139" t="s">
        <v>619</v>
      </c>
      <c r="E139" t="s">
        <v>850</v>
      </c>
      <c r="F139" t="s">
        <v>621</v>
      </c>
      <c r="G139" t="s">
        <v>853</v>
      </c>
      <c r="H139" t="s">
        <v>876</v>
      </c>
      <c r="I139" t="s">
        <v>624</v>
      </c>
      <c r="J139" t="s">
        <v>625</v>
      </c>
      <c r="K139" s="5">
        <v>42604</v>
      </c>
      <c r="L139" s="5">
        <v>43325.399340277778</v>
      </c>
      <c r="M139">
        <v>87193</v>
      </c>
      <c r="N139" t="s">
        <v>645</v>
      </c>
      <c r="O139" t="s">
        <v>621</v>
      </c>
      <c r="P139" t="s">
        <v>1052</v>
      </c>
    </row>
    <row r="140" spans="2:16" x14ac:dyDescent="0.25">
      <c r="B140">
        <v>11774</v>
      </c>
      <c r="C140" t="s">
        <v>633</v>
      </c>
      <c r="D140" t="s">
        <v>619</v>
      </c>
      <c r="E140" t="s">
        <v>620</v>
      </c>
      <c r="F140" t="s">
        <v>718</v>
      </c>
      <c r="G140" t="s">
        <v>631</v>
      </c>
      <c r="H140" t="s">
        <v>632</v>
      </c>
      <c r="I140" t="s">
        <v>624</v>
      </c>
      <c r="J140" t="s">
        <v>625</v>
      </c>
      <c r="K140" s="5">
        <v>42599</v>
      </c>
      <c r="L140" s="5">
        <v>42748</v>
      </c>
      <c r="M140">
        <v>178896</v>
      </c>
      <c r="N140" t="s">
        <v>637</v>
      </c>
      <c r="O140" t="s">
        <v>621</v>
      </c>
      <c r="P140" t="s">
        <v>728</v>
      </c>
    </row>
    <row r="141" spans="2:16" x14ac:dyDescent="0.25">
      <c r="B141">
        <v>11730</v>
      </c>
      <c r="C141" t="s">
        <v>665</v>
      </c>
      <c r="D141" t="s">
        <v>619</v>
      </c>
      <c r="E141" t="s">
        <v>850</v>
      </c>
      <c r="F141" t="s">
        <v>621</v>
      </c>
      <c r="G141" t="s">
        <v>855</v>
      </c>
      <c r="H141" t="s">
        <v>856</v>
      </c>
      <c r="I141" t="s">
        <v>624</v>
      </c>
      <c r="J141" t="s">
        <v>625</v>
      </c>
      <c r="K141" s="5">
        <v>42592</v>
      </c>
      <c r="L141" s="5">
        <v>42964.280555555553</v>
      </c>
      <c r="M141">
        <v>99929</v>
      </c>
      <c r="N141" t="s">
        <v>636</v>
      </c>
      <c r="O141" t="s">
        <v>621</v>
      </c>
      <c r="P141" t="s">
        <v>1054</v>
      </c>
    </row>
    <row r="142" spans="2:16" x14ac:dyDescent="0.25">
      <c r="B142">
        <v>11690</v>
      </c>
      <c r="C142" t="s">
        <v>665</v>
      </c>
      <c r="D142" t="s">
        <v>619</v>
      </c>
      <c r="E142" t="s">
        <v>620</v>
      </c>
      <c r="F142" t="s">
        <v>621</v>
      </c>
      <c r="G142" t="s">
        <v>622</v>
      </c>
      <c r="H142" t="s">
        <v>623</v>
      </c>
      <c r="I142" t="s">
        <v>624</v>
      </c>
      <c r="J142" t="s">
        <v>629</v>
      </c>
      <c r="K142" s="5">
        <v>42584</v>
      </c>
      <c r="L142" s="5">
        <v>43175.472222222219</v>
      </c>
      <c r="M142">
        <v>87008</v>
      </c>
      <c r="N142" t="s">
        <v>645</v>
      </c>
      <c r="O142" t="s">
        <v>621</v>
      </c>
      <c r="P142" t="s">
        <v>730</v>
      </c>
    </row>
    <row r="143" spans="2:16" x14ac:dyDescent="0.25">
      <c r="B143">
        <v>11596</v>
      </c>
      <c r="C143" t="s">
        <v>665</v>
      </c>
      <c r="D143" t="s">
        <v>619</v>
      </c>
      <c r="E143" t="s">
        <v>850</v>
      </c>
      <c r="F143" t="s">
        <v>621</v>
      </c>
      <c r="G143" t="s">
        <v>870</v>
      </c>
      <c r="H143" t="s">
        <v>871</v>
      </c>
      <c r="I143" t="s">
        <v>624</v>
      </c>
      <c r="J143" t="s">
        <v>642</v>
      </c>
      <c r="K143" s="5">
        <v>42573</v>
      </c>
      <c r="L143" s="5">
        <v>42793</v>
      </c>
      <c r="M143">
        <v>85931</v>
      </c>
      <c r="N143" t="s">
        <v>639</v>
      </c>
      <c r="O143" t="s">
        <v>621</v>
      </c>
      <c r="P143" t="s">
        <v>1060</v>
      </c>
    </row>
    <row r="144" spans="2:16" x14ac:dyDescent="0.25">
      <c r="B144">
        <v>11503</v>
      </c>
      <c r="C144" t="s">
        <v>665</v>
      </c>
      <c r="D144" t="s">
        <v>619</v>
      </c>
      <c r="E144" t="s">
        <v>850</v>
      </c>
      <c r="F144" t="s">
        <v>621</v>
      </c>
      <c r="G144" t="s">
        <v>853</v>
      </c>
      <c r="H144" t="s">
        <v>890</v>
      </c>
      <c r="I144" t="s">
        <v>624</v>
      </c>
      <c r="J144" t="s">
        <v>629</v>
      </c>
      <c r="K144" s="5">
        <v>42558</v>
      </c>
      <c r="L144" s="5">
        <v>43332.283333333333</v>
      </c>
      <c r="M144">
        <v>110717</v>
      </c>
      <c r="N144" t="s">
        <v>636</v>
      </c>
      <c r="O144" t="s">
        <v>621</v>
      </c>
      <c r="P144" t="s">
        <v>1062</v>
      </c>
    </row>
    <row r="145" spans="2:16" x14ac:dyDescent="0.25">
      <c r="B145">
        <v>11471</v>
      </c>
      <c r="C145" t="s">
        <v>633</v>
      </c>
      <c r="D145" t="s">
        <v>619</v>
      </c>
      <c r="E145" t="s">
        <v>850</v>
      </c>
      <c r="F145" t="s">
        <v>621</v>
      </c>
      <c r="G145" t="s">
        <v>870</v>
      </c>
      <c r="H145" t="s">
        <v>871</v>
      </c>
      <c r="I145" t="s">
        <v>624</v>
      </c>
      <c r="J145" t="s">
        <v>625</v>
      </c>
      <c r="K145" s="5">
        <v>42555</v>
      </c>
      <c r="L145" s="5">
        <v>42635</v>
      </c>
      <c r="M145">
        <v>85291</v>
      </c>
      <c r="N145" t="s">
        <v>666</v>
      </c>
      <c r="O145" t="s">
        <v>621</v>
      </c>
      <c r="P145" t="s">
        <v>1064</v>
      </c>
    </row>
    <row r="146" spans="2:16" x14ac:dyDescent="0.25">
      <c r="B146">
        <v>11360</v>
      </c>
      <c r="C146" t="s">
        <v>665</v>
      </c>
      <c r="D146" t="s">
        <v>619</v>
      </c>
      <c r="E146" t="s">
        <v>850</v>
      </c>
      <c r="F146" t="s">
        <v>621</v>
      </c>
      <c r="G146" t="s">
        <v>870</v>
      </c>
      <c r="H146" t="s">
        <v>871</v>
      </c>
      <c r="I146" t="s">
        <v>624</v>
      </c>
      <c r="J146" t="s">
        <v>625</v>
      </c>
      <c r="K146" s="5">
        <v>42544</v>
      </c>
      <c r="L146" s="5">
        <v>42744</v>
      </c>
      <c r="M146">
        <v>84627</v>
      </c>
      <c r="N146" t="s">
        <v>666</v>
      </c>
      <c r="O146" t="s">
        <v>621</v>
      </c>
      <c r="P146" t="s">
        <v>1073</v>
      </c>
    </row>
    <row r="147" spans="2:16" x14ac:dyDescent="0.25">
      <c r="B147">
        <v>11303</v>
      </c>
      <c r="C147" t="s">
        <v>633</v>
      </c>
      <c r="D147" t="s">
        <v>619</v>
      </c>
      <c r="E147" t="s">
        <v>850</v>
      </c>
      <c r="F147" t="s">
        <v>621</v>
      </c>
      <c r="G147" t="s">
        <v>853</v>
      </c>
      <c r="H147" t="s">
        <v>908</v>
      </c>
      <c r="I147" t="s">
        <v>624</v>
      </c>
      <c r="J147" t="s">
        <v>629</v>
      </c>
      <c r="K147" s="5">
        <v>42538</v>
      </c>
      <c r="L147" s="5">
        <v>42822</v>
      </c>
      <c r="M147">
        <v>84747</v>
      </c>
      <c r="N147" t="s">
        <v>636</v>
      </c>
      <c r="O147" t="s">
        <v>621</v>
      </c>
      <c r="P147" t="s">
        <v>1074</v>
      </c>
    </row>
    <row r="148" spans="2:16" x14ac:dyDescent="0.25">
      <c r="B148">
        <v>11265</v>
      </c>
      <c r="C148" t="s">
        <v>665</v>
      </c>
      <c r="D148" t="s">
        <v>619</v>
      </c>
      <c r="E148" t="s">
        <v>850</v>
      </c>
      <c r="F148" t="s">
        <v>621</v>
      </c>
      <c r="G148" t="s">
        <v>853</v>
      </c>
      <c r="H148" t="s">
        <v>908</v>
      </c>
      <c r="I148" t="s">
        <v>624</v>
      </c>
      <c r="J148" t="s">
        <v>629</v>
      </c>
      <c r="K148" s="5">
        <v>42535</v>
      </c>
      <c r="L148" s="5">
        <v>43117.695138888892</v>
      </c>
      <c r="M148">
        <v>90450</v>
      </c>
      <c r="N148" t="s">
        <v>636</v>
      </c>
      <c r="O148" t="s">
        <v>621</v>
      </c>
      <c r="P148" t="s">
        <v>1076</v>
      </c>
    </row>
    <row r="149" spans="2:16" x14ac:dyDescent="0.25">
      <c r="B149">
        <v>11243</v>
      </c>
      <c r="C149" t="s">
        <v>665</v>
      </c>
      <c r="D149" t="s">
        <v>619</v>
      </c>
      <c r="E149" t="s">
        <v>620</v>
      </c>
      <c r="F149" t="s">
        <v>621</v>
      </c>
      <c r="G149" t="s">
        <v>631</v>
      </c>
      <c r="H149" t="s">
        <v>632</v>
      </c>
      <c r="I149" t="s">
        <v>624</v>
      </c>
      <c r="J149" t="s">
        <v>625</v>
      </c>
      <c r="K149" s="5">
        <v>42534</v>
      </c>
      <c r="L149" s="5">
        <v>43168.603472222225</v>
      </c>
      <c r="M149">
        <v>66235</v>
      </c>
      <c r="N149" t="s">
        <v>636</v>
      </c>
      <c r="O149" t="s">
        <v>621</v>
      </c>
      <c r="P149" t="s">
        <v>735</v>
      </c>
    </row>
    <row r="150" spans="2:16" x14ac:dyDescent="0.25">
      <c r="B150">
        <v>11212</v>
      </c>
      <c r="C150" t="s">
        <v>665</v>
      </c>
      <c r="D150" t="s">
        <v>619</v>
      </c>
      <c r="E150" t="s">
        <v>620</v>
      </c>
      <c r="F150" t="s">
        <v>621</v>
      </c>
      <c r="G150" t="s">
        <v>627</v>
      </c>
      <c r="H150" t="s">
        <v>628</v>
      </c>
      <c r="I150" t="s">
        <v>624</v>
      </c>
      <c r="J150" t="s">
        <v>629</v>
      </c>
      <c r="K150" s="5">
        <v>42529</v>
      </c>
      <c r="L150" s="5">
        <v>43171.320833333331</v>
      </c>
      <c r="M150">
        <v>67397</v>
      </c>
      <c r="N150" t="s">
        <v>636</v>
      </c>
      <c r="O150" t="s">
        <v>621</v>
      </c>
      <c r="P150" t="s">
        <v>736</v>
      </c>
    </row>
    <row r="151" spans="2:16" x14ac:dyDescent="0.25">
      <c r="B151">
        <v>11152</v>
      </c>
      <c r="C151" t="s">
        <v>665</v>
      </c>
      <c r="D151" t="s">
        <v>619</v>
      </c>
      <c r="E151" t="s">
        <v>620</v>
      </c>
      <c r="F151" t="s">
        <v>621</v>
      </c>
      <c r="G151" t="s">
        <v>631</v>
      </c>
      <c r="H151" t="s">
        <v>632</v>
      </c>
      <c r="I151" t="s">
        <v>624</v>
      </c>
      <c r="J151" t="s">
        <v>625</v>
      </c>
      <c r="K151" s="5">
        <v>42522</v>
      </c>
      <c r="L151" s="5">
        <v>42929.589583333334</v>
      </c>
      <c r="M151">
        <v>77469</v>
      </c>
      <c r="N151" t="s">
        <v>636</v>
      </c>
      <c r="O151" t="s">
        <v>621</v>
      </c>
      <c r="P151" t="s">
        <v>738</v>
      </c>
    </row>
    <row r="152" spans="2:16" x14ac:dyDescent="0.25">
      <c r="B152">
        <v>11145</v>
      </c>
      <c r="C152" t="s">
        <v>665</v>
      </c>
      <c r="D152" t="s">
        <v>619</v>
      </c>
      <c r="E152" t="s">
        <v>850</v>
      </c>
      <c r="F152" t="s">
        <v>621</v>
      </c>
      <c r="G152" t="s">
        <v>858</v>
      </c>
      <c r="H152" t="s">
        <v>859</v>
      </c>
      <c r="I152" t="s">
        <v>624</v>
      </c>
      <c r="J152" t="s">
        <v>642</v>
      </c>
      <c r="K152" s="5">
        <v>42521</v>
      </c>
      <c r="L152" s="5">
        <v>42822</v>
      </c>
      <c r="M152">
        <v>83738</v>
      </c>
      <c r="N152" t="s">
        <v>636</v>
      </c>
      <c r="O152" t="s">
        <v>621</v>
      </c>
      <c r="P152" t="s">
        <v>1082</v>
      </c>
    </row>
    <row r="153" spans="2:16" x14ac:dyDescent="0.25">
      <c r="B153">
        <v>11142</v>
      </c>
      <c r="C153" t="s">
        <v>665</v>
      </c>
      <c r="D153" t="s">
        <v>619</v>
      </c>
      <c r="E153" t="s">
        <v>620</v>
      </c>
      <c r="F153" t="s">
        <v>621</v>
      </c>
      <c r="G153" t="s">
        <v>627</v>
      </c>
      <c r="H153" t="s">
        <v>628</v>
      </c>
      <c r="I153" t="s">
        <v>624</v>
      </c>
      <c r="J153" t="s">
        <v>625</v>
      </c>
      <c r="K153" s="5">
        <v>42520</v>
      </c>
      <c r="L153" s="5">
        <v>43035.509722222225</v>
      </c>
      <c r="M153">
        <v>83715</v>
      </c>
      <c r="N153" t="s">
        <v>636</v>
      </c>
      <c r="O153" t="s">
        <v>621</v>
      </c>
      <c r="P153" t="s">
        <v>739</v>
      </c>
    </row>
    <row r="154" spans="2:16" x14ac:dyDescent="0.25">
      <c r="B154">
        <v>11028</v>
      </c>
      <c r="C154" t="s">
        <v>665</v>
      </c>
      <c r="D154" t="s">
        <v>619</v>
      </c>
      <c r="E154" t="s">
        <v>850</v>
      </c>
      <c r="F154" t="s">
        <v>621</v>
      </c>
      <c r="G154" t="s">
        <v>855</v>
      </c>
      <c r="H154" t="s">
        <v>856</v>
      </c>
      <c r="I154" t="s">
        <v>624</v>
      </c>
      <c r="J154" t="s">
        <v>625</v>
      </c>
      <c r="K154" s="5">
        <v>42503</v>
      </c>
      <c r="L154" s="5">
        <v>42681</v>
      </c>
      <c r="M154">
        <v>83228</v>
      </c>
      <c r="N154" t="s">
        <v>645</v>
      </c>
      <c r="O154" t="s">
        <v>621</v>
      </c>
      <c r="P154" t="s">
        <v>1085</v>
      </c>
    </row>
    <row r="155" spans="2:16" x14ac:dyDescent="0.25">
      <c r="B155">
        <v>11008</v>
      </c>
      <c r="C155" t="s">
        <v>665</v>
      </c>
      <c r="D155" t="s">
        <v>619</v>
      </c>
      <c r="E155" t="s">
        <v>850</v>
      </c>
      <c r="F155" t="s">
        <v>621</v>
      </c>
      <c r="G155" t="s">
        <v>875</v>
      </c>
      <c r="H155" t="s">
        <v>876</v>
      </c>
      <c r="I155" t="s">
        <v>624</v>
      </c>
      <c r="J155" t="s">
        <v>625</v>
      </c>
      <c r="K155" s="5">
        <v>42501</v>
      </c>
      <c r="L155" s="5">
        <v>43117.693055555559</v>
      </c>
      <c r="M155">
        <v>103546</v>
      </c>
      <c r="N155" t="s">
        <v>636</v>
      </c>
      <c r="O155" t="s">
        <v>621</v>
      </c>
      <c r="P155" t="s">
        <v>1087</v>
      </c>
    </row>
    <row r="156" spans="2:16" x14ac:dyDescent="0.25">
      <c r="B156">
        <v>10930</v>
      </c>
      <c r="C156" t="s">
        <v>665</v>
      </c>
      <c r="D156" t="s">
        <v>619</v>
      </c>
      <c r="E156" t="s">
        <v>850</v>
      </c>
      <c r="F156" t="s">
        <v>621</v>
      </c>
      <c r="G156" t="s">
        <v>962</v>
      </c>
      <c r="H156" t="s">
        <v>887</v>
      </c>
      <c r="I156" t="s">
        <v>624</v>
      </c>
      <c r="J156" t="s">
        <v>625</v>
      </c>
      <c r="K156" s="5">
        <v>42493</v>
      </c>
      <c r="L156" s="5">
        <v>43010.370138888888</v>
      </c>
      <c r="M156">
        <v>93673</v>
      </c>
      <c r="N156" t="s">
        <v>666</v>
      </c>
      <c r="O156" t="s">
        <v>621</v>
      </c>
      <c r="P156" t="s">
        <v>1088</v>
      </c>
    </row>
    <row r="157" spans="2:16" x14ac:dyDescent="0.25">
      <c r="B157">
        <v>10914</v>
      </c>
      <c r="C157" t="s">
        <v>665</v>
      </c>
      <c r="D157" t="s">
        <v>619</v>
      </c>
      <c r="E157" t="s">
        <v>850</v>
      </c>
      <c r="F157" t="s">
        <v>621</v>
      </c>
      <c r="G157" t="s">
        <v>855</v>
      </c>
      <c r="H157" t="s">
        <v>856</v>
      </c>
      <c r="I157" t="s">
        <v>624</v>
      </c>
      <c r="J157" t="s">
        <v>625</v>
      </c>
      <c r="K157" s="5">
        <v>42492</v>
      </c>
      <c r="L157" s="5">
        <v>42822</v>
      </c>
      <c r="M157">
        <v>78450</v>
      </c>
      <c r="N157" t="s">
        <v>636</v>
      </c>
      <c r="O157" t="s">
        <v>621</v>
      </c>
      <c r="P157" t="s">
        <v>1089</v>
      </c>
    </row>
    <row r="158" spans="2:16" x14ac:dyDescent="0.25">
      <c r="B158">
        <v>10911</v>
      </c>
      <c r="C158" t="s">
        <v>665</v>
      </c>
      <c r="D158" t="s">
        <v>619</v>
      </c>
      <c r="E158" t="s">
        <v>850</v>
      </c>
      <c r="F158" t="s">
        <v>621</v>
      </c>
      <c r="G158" t="s">
        <v>851</v>
      </c>
      <c r="H158" t="s">
        <v>852</v>
      </c>
      <c r="I158" t="s">
        <v>624</v>
      </c>
      <c r="J158" t="s">
        <v>625</v>
      </c>
      <c r="K158" s="5">
        <v>42492</v>
      </c>
      <c r="L158" s="5">
        <v>42635</v>
      </c>
      <c r="M158">
        <v>83543</v>
      </c>
      <c r="N158" t="s">
        <v>666</v>
      </c>
      <c r="O158" t="s">
        <v>621</v>
      </c>
      <c r="P158" t="s">
        <v>1091</v>
      </c>
    </row>
    <row r="159" spans="2:16" x14ac:dyDescent="0.25">
      <c r="B159">
        <v>10905</v>
      </c>
      <c r="C159" t="s">
        <v>665</v>
      </c>
      <c r="D159" t="s">
        <v>619</v>
      </c>
      <c r="E159" t="s">
        <v>620</v>
      </c>
      <c r="F159" t="s">
        <v>621</v>
      </c>
      <c r="G159" t="s">
        <v>622</v>
      </c>
      <c r="H159" t="s">
        <v>623</v>
      </c>
      <c r="I159" t="s">
        <v>624</v>
      </c>
      <c r="J159" t="s">
        <v>625</v>
      </c>
      <c r="K159" s="5">
        <v>42488</v>
      </c>
      <c r="L159" s="5">
        <v>43111.510416666664</v>
      </c>
      <c r="M159">
        <v>81963</v>
      </c>
      <c r="N159" t="s">
        <v>636</v>
      </c>
      <c r="O159" t="s">
        <v>621</v>
      </c>
      <c r="P159" t="s">
        <v>746</v>
      </c>
    </row>
    <row r="160" spans="2:16" x14ac:dyDescent="0.25">
      <c r="B160">
        <v>10750</v>
      </c>
      <c r="C160" t="s">
        <v>633</v>
      </c>
      <c r="D160" t="s">
        <v>619</v>
      </c>
      <c r="E160" t="s">
        <v>850</v>
      </c>
      <c r="F160" t="s">
        <v>621</v>
      </c>
      <c r="G160" t="s">
        <v>851</v>
      </c>
      <c r="H160" t="s">
        <v>852</v>
      </c>
      <c r="I160" t="s">
        <v>624</v>
      </c>
      <c r="J160" t="s">
        <v>629</v>
      </c>
      <c r="K160" s="5">
        <v>42471</v>
      </c>
      <c r="L160" s="5">
        <v>42513</v>
      </c>
      <c r="M160">
        <v>80479</v>
      </c>
      <c r="N160" t="s">
        <v>666</v>
      </c>
      <c r="O160" t="s">
        <v>621</v>
      </c>
      <c r="P160" t="s">
        <v>1093</v>
      </c>
    </row>
    <row r="161" spans="2:16" x14ac:dyDescent="0.25">
      <c r="B161">
        <v>10711</v>
      </c>
      <c r="C161" t="s">
        <v>665</v>
      </c>
      <c r="D161" t="s">
        <v>619</v>
      </c>
      <c r="E161" t="s">
        <v>850</v>
      </c>
      <c r="F161" t="s">
        <v>621</v>
      </c>
      <c r="G161" t="s">
        <v>851</v>
      </c>
      <c r="H161" t="s">
        <v>852</v>
      </c>
      <c r="I161" t="s">
        <v>624</v>
      </c>
      <c r="J161" t="s">
        <v>642</v>
      </c>
      <c r="K161" s="5">
        <v>42466</v>
      </c>
      <c r="L161" s="5">
        <v>42635</v>
      </c>
      <c r="M161">
        <v>80407</v>
      </c>
      <c r="N161" t="s">
        <v>666</v>
      </c>
      <c r="O161" t="s">
        <v>621</v>
      </c>
      <c r="P161" t="s">
        <v>1095</v>
      </c>
    </row>
    <row r="162" spans="2:16" x14ac:dyDescent="0.25">
      <c r="B162">
        <v>10709</v>
      </c>
      <c r="C162" t="s">
        <v>665</v>
      </c>
      <c r="D162" t="s">
        <v>619</v>
      </c>
      <c r="E162" t="s">
        <v>850</v>
      </c>
      <c r="F162" t="s">
        <v>621</v>
      </c>
      <c r="G162" t="s">
        <v>889</v>
      </c>
      <c r="H162" t="s">
        <v>890</v>
      </c>
      <c r="I162" t="s">
        <v>624</v>
      </c>
      <c r="J162" t="s">
        <v>629</v>
      </c>
      <c r="K162" s="5">
        <v>42465</v>
      </c>
      <c r="L162" s="5">
        <v>42822</v>
      </c>
      <c r="M162">
        <v>80183</v>
      </c>
      <c r="N162" t="s">
        <v>636</v>
      </c>
      <c r="O162" t="s">
        <v>621</v>
      </c>
      <c r="P162" t="s">
        <v>1096</v>
      </c>
    </row>
    <row r="163" spans="2:16" x14ac:dyDescent="0.25">
      <c r="B163">
        <v>10644</v>
      </c>
      <c r="C163" t="s">
        <v>665</v>
      </c>
      <c r="D163" t="s">
        <v>619</v>
      </c>
      <c r="E163" t="s">
        <v>850</v>
      </c>
      <c r="F163" t="s">
        <v>621</v>
      </c>
      <c r="G163" t="s">
        <v>867</v>
      </c>
      <c r="H163" t="s">
        <v>868</v>
      </c>
      <c r="I163" t="s">
        <v>624</v>
      </c>
      <c r="J163" t="s">
        <v>625</v>
      </c>
      <c r="K163" s="5">
        <v>42458</v>
      </c>
      <c r="L163" s="5">
        <v>42822</v>
      </c>
      <c r="M163">
        <v>66590</v>
      </c>
      <c r="N163" t="s">
        <v>636</v>
      </c>
      <c r="O163" t="s">
        <v>621</v>
      </c>
      <c r="P163" t="s">
        <v>1044</v>
      </c>
    </row>
    <row r="164" spans="2:16" x14ac:dyDescent="0.25">
      <c r="B164">
        <v>10513</v>
      </c>
      <c r="C164" t="s">
        <v>633</v>
      </c>
      <c r="D164" t="s">
        <v>619</v>
      </c>
      <c r="E164" t="s">
        <v>850</v>
      </c>
      <c r="F164" t="s">
        <v>621</v>
      </c>
      <c r="G164" t="s">
        <v>1100</v>
      </c>
      <c r="H164" t="s">
        <v>908</v>
      </c>
      <c r="I164" t="s">
        <v>624</v>
      </c>
      <c r="J164" t="s">
        <v>629</v>
      </c>
      <c r="K164" s="5">
        <v>42440</v>
      </c>
      <c r="L164" s="5">
        <v>42635</v>
      </c>
      <c r="M164">
        <v>78659</v>
      </c>
      <c r="N164" t="s">
        <v>666</v>
      </c>
      <c r="O164" t="s">
        <v>621</v>
      </c>
      <c r="P164" t="s">
        <v>1104</v>
      </c>
    </row>
    <row r="165" spans="2:16" x14ac:dyDescent="0.25">
      <c r="B165">
        <v>10511</v>
      </c>
      <c r="C165" t="s">
        <v>665</v>
      </c>
      <c r="D165" t="s">
        <v>619</v>
      </c>
      <c r="E165" t="s">
        <v>850</v>
      </c>
      <c r="F165" t="s">
        <v>621</v>
      </c>
      <c r="G165" t="s">
        <v>962</v>
      </c>
      <c r="H165" t="s">
        <v>887</v>
      </c>
      <c r="I165" t="s">
        <v>624</v>
      </c>
      <c r="J165" t="s">
        <v>629</v>
      </c>
      <c r="K165" s="5">
        <v>42440</v>
      </c>
      <c r="L165" s="5">
        <v>42635</v>
      </c>
      <c r="M165">
        <v>63535</v>
      </c>
      <c r="N165" t="s">
        <v>666</v>
      </c>
      <c r="O165" t="s">
        <v>621</v>
      </c>
      <c r="P165" t="s">
        <v>1105</v>
      </c>
    </row>
    <row r="166" spans="2:16" x14ac:dyDescent="0.25">
      <c r="B166">
        <v>10449</v>
      </c>
      <c r="C166" t="s">
        <v>665</v>
      </c>
      <c r="D166" t="s">
        <v>619</v>
      </c>
      <c r="E166" t="s">
        <v>850</v>
      </c>
      <c r="F166" t="s">
        <v>621</v>
      </c>
      <c r="G166" t="s">
        <v>889</v>
      </c>
      <c r="H166" t="s">
        <v>890</v>
      </c>
      <c r="I166" t="s">
        <v>624</v>
      </c>
      <c r="J166" t="s">
        <v>625</v>
      </c>
      <c r="K166" s="5">
        <v>42433</v>
      </c>
      <c r="L166" s="5">
        <v>42635</v>
      </c>
      <c r="M166">
        <v>77338</v>
      </c>
      <c r="N166" t="s">
        <v>666</v>
      </c>
      <c r="O166" t="s">
        <v>621</v>
      </c>
      <c r="P166" t="s">
        <v>1109</v>
      </c>
    </row>
    <row r="167" spans="2:16" x14ac:dyDescent="0.25">
      <c r="B167">
        <v>10394</v>
      </c>
      <c r="C167" t="s">
        <v>665</v>
      </c>
      <c r="D167" t="s">
        <v>619</v>
      </c>
      <c r="E167" t="s">
        <v>850</v>
      </c>
      <c r="F167" t="s">
        <v>621</v>
      </c>
      <c r="G167" t="s">
        <v>851</v>
      </c>
      <c r="H167" t="s">
        <v>852</v>
      </c>
      <c r="I167" t="s">
        <v>624</v>
      </c>
      <c r="J167" t="s">
        <v>629</v>
      </c>
      <c r="K167" s="5">
        <v>42430</v>
      </c>
      <c r="L167" s="5">
        <v>42702.51458333333</v>
      </c>
      <c r="M167">
        <v>52179</v>
      </c>
      <c r="N167" t="s">
        <v>666</v>
      </c>
      <c r="O167" t="s">
        <v>621</v>
      </c>
      <c r="P167" t="s">
        <v>4564</v>
      </c>
    </row>
    <row r="168" spans="2:16" x14ac:dyDescent="0.25">
      <c r="B168">
        <v>10326</v>
      </c>
      <c r="C168" t="s">
        <v>665</v>
      </c>
      <c r="D168" t="s">
        <v>619</v>
      </c>
      <c r="E168" t="s">
        <v>850</v>
      </c>
      <c r="F168" t="s">
        <v>621</v>
      </c>
      <c r="G168" t="s">
        <v>855</v>
      </c>
      <c r="H168" t="s">
        <v>856</v>
      </c>
      <c r="I168" t="s">
        <v>624</v>
      </c>
      <c r="J168" t="s">
        <v>629</v>
      </c>
      <c r="K168" s="5">
        <v>42423</v>
      </c>
      <c r="L168" s="5">
        <v>42635</v>
      </c>
      <c r="M168">
        <v>63673</v>
      </c>
      <c r="N168" t="s">
        <v>666</v>
      </c>
      <c r="O168" t="s">
        <v>621</v>
      </c>
      <c r="P168" t="s">
        <v>1114</v>
      </c>
    </row>
    <row r="169" spans="2:16" x14ac:dyDescent="0.25">
      <c r="B169">
        <v>10293</v>
      </c>
      <c r="C169" t="s">
        <v>633</v>
      </c>
      <c r="D169" t="s">
        <v>619</v>
      </c>
      <c r="E169" t="s">
        <v>850</v>
      </c>
      <c r="F169" t="s">
        <v>621</v>
      </c>
      <c r="G169" t="s">
        <v>855</v>
      </c>
      <c r="H169" t="s">
        <v>856</v>
      </c>
      <c r="I169" t="s">
        <v>624</v>
      </c>
      <c r="J169" t="s">
        <v>625</v>
      </c>
      <c r="K169" s="5">
        <v>42422</v>
      </c>
      <c r="L169" s="5">
        <v>43332.197384259256</v>
      </c>
      <c r="M169">
        <v>106642</v>
      </c>
      <c r="N169" t="s">
        <v>636</v>
      </c>
      <c r="O169" t="s">
        <v>621</v>
      </c>
      <c r="P169" t="s">
        <v>1116</v>
      </c>
    </row>
    <row r="170" spans="2:16" x14ac:dyDescent="0.25">
      <c r="B170">
        <v>10256</v>
      </c>
      <c r="C170" t="s">
        <v>665</v>
      </c>
      <c r="D170" t="s">
        <v>619</v>
      </c>
      <c r="E170" t="s">
        <v>850</v>
      </c>
      <c r="F170" t="s">
        <v>621</v>
      </c>
      <c r="G170" t="s">
        <v>855</v>
      </c>
      <c r="H170" t="s">
        <v>856</v>
      </c>
      <c r="I170" t="s">
        <v>624</v>
      </c>
      <c r="J170" t="s">
        <v>642</v>
      </c>
      <c r="K170" s="5">
        <v>42416</v>
      </c>
      <c r="L170" s="5">
        <v>43117.69027777778</v>
      </c>
      <c r="M170">
        <v>80717</v>
      </c>
      <c r="N170" t="s">
        <v>636</v>
      </c>
      <c r="O170" t="s">
        <v>621</v>
      </c>
      <c r="P170" t="s">
        <v>1117</v>
      </c>
    </row>
    <row r="171" spans="2:16" x14ac:dyDescent="0.25">
      <c r="B171">
        <v>10243</v>
      </c>
      <c r="C171" t="s">
        <v>665</v>
      </c>
      <c r="D171" t="s">
        <v>619</v>
      </c>
      <c r="E171" t="s">
        <v>850</v>
      </c>
      <c r="F171" t="s">
        <v>621</v>
      </c>
      <c r="G171" t="s">
        <v>867</v>
      </c>
      <c r="H171" t="s">
        <v>868</v>
      </c>
      <c r="I171" t="s">
        <v>624</v>
      </c>
      <c r="J171" t="s">
        <v>629</v>
      </c>
      <c r="K171" s="5">
        <v>42412</v>
      </c>
      <c r="L171" s="5">
        <v>42543</v>
      </c>
      <c r="M171">
        <v>77016</v>
      </c>
      <c r="N171" t="s">
        <v>666</v>
      </c>
      <c r="O171" t="s">
        <v>621</v>
      </c>
      <c r="P171" t="s">
        <v>1119</v>
      </c>
    </row>
    <row r="172" spans="2:16" x14ac:dyDescent="0.25">
      <c r="B172">
        <v>10216</v>
      </c>
      <c r="C172" t="s">
        <v>665</v>
      </c>
      <c r="D172" t="s">
        <v>619</v>
      </c>
      <c r="E172" t="s">
        <v>850</v>
      </c>
      <c r="F172" t="s">
        <v>621</v>
      </c>
      <c r="G172" t="s">
        <v>851</v>
      </c>
      <c r="H172" t="s">
        <v>852</v>
      </c>
      <c r="I172" t="s">
        <v>624</v>
      </c>
      <c r="J172" t="s">
        <v>629</v>
      </c>
      <c r="K172" s="5">
        <v>42410</v>
      </c>
      <c r="L172" s="5">
        <v>42635</v>
      </c>
      <c r="M172">
        <v>75345</v>
      </c>
      <c r="N172" t="s">
        <v>666</v>
      </c>
      <c r="O172" t="s">
        <v>621</v>
      </c>
      <c r="P172" t="s">
        <v>1120</v>
      </c>
    </row>
    <row r="173" spans="2:16" x14ac:dyDescent="0.25">
      <c r="B173">
        <v>10168</v>
      </c>
      <c r="C173" t="s">
        <v>665</v>
      </c>
      <c r="D173" t="s">
        <v>619</v>
      </c>
      <c r="E173" t="s">
        <v>850</v>
      </c>
      <c r="F173" t="s">
        <v>621</v>
      </c>
      <c r="G173" t="s">
        <v>962</v>
      </c>
      <c r="H173" t="s">
        <v>887</v>
      </c>
      <c r="I173" t="s">
        <v>624</v>
      </c>
      <c r="J173" t="s">
        <v>629</v>
      </c>
      <c r="K173" s="5">
        <v>42404</v>
      </c>
      <c r="L173" s="5">
        <v>42583</v>
      </c>
      <c r="M173" t="s">
        <v>621</v>
      </c>
      <c r="N173" t="s">
        <v>645</v>
      </c>
      <c r="O173" t="s">
        <v>621</v>
      </c>
      <c r="P173" t="s">
        <v>1122</v>
      </c>
    </row>
    <row r="174" spans="2:16" x14ac:dyDescent="0.25">
      <c r="B174">
        <v>10046</v>
      </c>
      <c r="C174" t="s">
        <v>633</v>
      </c>
      <c r="D174" t="s">
        <v>619</v>
      </c>
      <c r="E174" t="s">
        <v>620</v>
      </c>
      <c r="F174" t="s">
        <v>621</v>
      </c>
      <c r="G174" t="s">
        <v>622</v>
      </c>
      <c r="H174" t="s">
        <v>623</v>
      </c>
      <c r="I174" t="s">
        <v>624</v>
      </c>
      <c r="J174" t="s">
        <v>625</v>
      </c>
      <c r="K174" s="5">
        <v>42391</v>
      </c>
      <c r="L174" s="5">
        <v>42587</v>
      </c>
      <c r="M174">
        <v>155198</v>
      </c>
      <c r="N174" t="s">
        <v>666</v>
      </c>
      <c r="O174" t="s">
        <v>621</v>
      </c>
      <c r="P174" t="s">
        <v>776</v>
      </c>
    </row>
    <row r="175" spans="2:16" x14ac:dyDescent="0.25">
      <c r="B175">
        <v>9701</v>
      </c>
      <c r="C175" t="s">
        <v>633</v>
      </c>
      <c r="D175" t="s">
        <v>619</v>
      </c>
      <c r="E175" t="s">
        <v>620</v>
      </c>
      <c r="F175" t="s">
        <v>621</v>
      </c>
      <c r="G175" t="s">
        <v>622</v>
      </c>
      <c r="H175" t="s">
        <v>623</v>
      </c>
      <c r="I175" t="s">
        <v>624</v>
      </c>
      <c r="J175" t="s">
        <v>625</v>
      </c>
      <c r="K175" s="5">
        <v>42342</v>
      </c>
      <c r="L175" s="5">
        <v>42417</v>
      </c>
      <c r="M175">
        <v>73715</v>
      </c>
      <c r="N175" t="s">
        <v>626</v>
      </c>
      <c r="O175" t="s">
        <v>621</v>
      </c>
      <c r="P175" t="s">
        <v>782</v>
      </c>
    </row>
    <row r="176" spans="2:16" x14ac:dyDescent="0.25">
      <c r="B176">
        <v>9676</v>
      </c>
      <c r="C176" t="s">
        <v>665</v>
      </c>
      <c r="D176" t="s">
        <v>619</v>
      </c>
      <c r="E176" t="s">
        <v>850</v>
      </c>
      <c r="F176" t="s">
        <v>621</v>
      </c>
      <c r="G176" t="s">
        <v>875</v>
      </c>
      <c r="H176" t="s">
        <v>876</v>
      </c>
      <c r="I176" t="s">
        <v>624</v>
      </c>
      <c r="J176" t="s">
        <v>629</v>
      </c>
      <c r="K176" s="5">
        <v>42340</v>
      </c>
      <c r="L176" s="5">
        <v>42635</v>
      </c>
      <c r="M176">
        <v>75113</v>
      </c>
      <c r="N176" t="s">
        <v>666</v>
      </c>
      <c r="O176" t="s">
        <v>621</v>
      </c>
      <c r="P176" t="s">
        <v>1093</v>
      </c>
    </row>
    <row r="177" spans="2:16" x14ac:dyDescent="0.25">
      <c r="B177">
        <v>9479</v>
      </c>
      <c r="C177" t="s">
        <v>665</v>
      </c>
      <c r="D177" t="s">
        <v>619</v>
      </c>
      <c r="E177" t="s">
        <v>850</v>
      </c>
      <c r="F177" t="s">
        <v>621</v>
      </c>
      <c r="G177" t="s">
        <v>851</v>
      </c>
      <c r="H177" t="s">
        <v>852</v>
      </c>
      <c r="I177" t="s">
        <v>624</v>
      </c>
      <c r="J177" t="s">
        <v>629</v>
      </c>
      <c r="K177" s="5">
        <v>42314</v>
      </c>
      <c r="L177" s="5">
        <v>42331</v>
      </c>
      <c r="M177">
        <v>58550</v>
      </c>
      <c r="N177" t="s">
        <v>666</v>
      </c>
      <c r="O177" t="s">
        <v>621</v>
      </c>
      <c r="P177" t="s">
        <v>1139</v>
      </c>
    </row>
    <row r="178" spans="2:16" x14ac:dyDescent="0.25">
      <c r="B178">
        <v>9435</v>
      </c>
      <c r="C178" t="s">
        <v>633</v>
      </c>
      <c r="D178" t="s">
        <v>619</v>
      </c>
      <c r="E178" t="s">
        <v>850</v>
      </c>
      <c r="F178" t="s">
        <v>621</v>
      </c>
      <c r="G178" t="s">
        <v>962</v>
      </c>
      <c r="H178" t="s">
        <v>887</v>
      </c>
      <c r="I178" t="s">
        <v>624</v>
      </c>
      <c r="J178" t="s">
        <v>629</v>
      </c>
      <c r="K178" s="5">
        <v>42311</v>
      </c>
      <c r="L178" s="5">
        <v>42513</v>
      </c>
      <c r="M178">
        <v>72010</v>
      </c>
      <c r="N178" t="s">
        <v>645</v>
      </c>
      <c r="O178" t="s">
        <v>621</v>
      </c>
      <c r="P178" t="s">
        <v>1143</v>
      </c>
    </row>
    <row r="179" spans="2:16" x14ac:dyDescent="0.25">
      <c r="B179">
        <v>9157</v>
      </c>
      <c r="C179" t="s">
        <v>633</v>
      </c>
      <c r="D179" t="s">
        <v>619</v>
      </c>
      <c r="E179" t="s">
        <v>850</v>
      </c>
      <c r="F179" t="s">
        <v>621</v>
      </c>
      <c r="G179" t="s">
        <v>867</v>
      </c>
      <c r="H179" t="s">
        <v>868</v>
      </c>
      <c r="I179" t="s">
        <v>624</v>
      </c>
      <c r="J179" t="s">
        <v>625</v>
      </c>
      <c r="K179" s="5">
        <v>42279</v>
      </c>
      <c r="L179" s="5">
        <v>42290</v>
      </c>
      <c r="M179" t="s">
        <v>621</v>
      </c>
      <c r="N179" t="s">
        <v>680</v>
      </c>
      <c r="O179" t="s">
        <v>621</v>
      </c>
      <c r="P179" t="s">
        <v>1147</v>
      </c>
    </row>
    <row r="180" spans="2:16" x14ac:dyDescent="0.25">
      <c r="B180">
        <v>8885</v>
      </c>
      <c r="C180" t="s">
        <v>665</v>
      </c>
      <c r="D180" t="s">
        <v>619</v>
      </c>
      <c r="E180" t="s">
        <v>850</v>
      </c>
      <c r="F180" t="s">
        <v>621</v>
      </c>
      <c r="G180" t="s">
        <v>889</v>
      </c>
      <c r="H180" t="s">
        <v>890</v>
      </c>
      <c r="I180" t="s">
        <v>624</v>
      </c>
      <c r="J180" t="s">
        <v>629</v>
      </c>
      <c r="K180" s="5">
        <v>42241</v>
      </c>
      <c r="L180" s="5">
        <v>42371</v>
      </c>
      <c r="M180">
        <v>50530</v>
      </c>
      <c r="N180" t="s">
        <v>666</v>
      </c>
      <c r="O180" t="s">
        <v>621</v>
      </c>
      <c r="P180" t="s">
        <v>1162</v>
      </c>
    </row>
    <row r="181" spans="2:16" x14ac:dyDescent="0.25">
      <c r="B181">
        <v>8824</v>
      </c>
      <c r="C181" t="s">
        <v>665</v>
      </c>
      <c r="D181" t="s">
        <v>619</v>
      </c>
      <c r="E181" t="s">
        <v>620</v>
      </c>
      <c r="F181" t="s">
        <v>621</v>
      </c>
      <c r="G181" t="s">
        <v>622</v>
      </c>
      <c r="H181" t="s">
        <v>623</v>
      </c>
      <c r="I181" t="s">
        <v>624</v>
      </c>
      <c r="J181" t="s">
        <v>625</v>
      </c>
      <c r="K181" s="5">
        <v>42233</v>
      </c>
      <c r="L181" s="5">
        <v>43111.512499999997</v>
      </c>
      <c r="M181">
        <v>67205</v>
      </c>
      <c r="N181" t="s">
        <v>636</v>
      </c>
      <c r="O181" t="s">
        <v>621</v>
      </c>
      <c r="P181" t="s">
        <v>802</v>
      </c>
    </row>
    <row r="182" spans="2:16" x14ac:dyDescent="0.25">
      <c r="B182">
        <v>8789</v>
      </c>
      <c r="C182" t="s">
        <v>665</v>
      </c>
      <c r="D182" t="s">
        <v>619</v>
      </c>
      <c r="E182" t="s">
        <v>850</v>
      </c>
      <c r="F182" t="s">
        <v>621</v>
      </c>
      <c r="G182" t="s">
        <v>889</v>
      </c>
      <c r="H182" t="s">
        <v>890</v>
      </c>
      <c r="I182" t="s">
        <v>624</v>
      </c>
      <c r="J182" t="s">
        <v>625</v>
      </c>
      <c r="K182" s="5">
        <v>42228</v>
      </c>
      <c r="L182" s="5">
        <v>42371</v>
      </c>
      <c r="M182">
        <v>68467</v>
      </c>
      <c r="N182" t="s">
        <v>666</v>
      </c>
      <c r="O182" t="s">
        <v>621</v>
      </c>
      <c r="P182" t="s">
        <v>1168</v>
      </c>
    </row>
    <row r="183" spans="2:16" x14ac:dyDescent="0.25">
      <c r="B183">
        <v>8776</v>
      </c>
      <c r="C183" t="s">
        <v>665</v>
      </c>
      <c r="D183" t="s">
        <v>619</v>
      </c>
      <c r="E183" t="s">
        <v>620</v>
      </c>
      <c r="F183" t="s">
        <v>621</v>
      </c>
      <c r="G183" t="s">
        <v>622</v>
      </c>
      <c r="H183" t="s">
        <v>623</v>
      </c>
      <c r="I183" t="s">
        <v>624</v>
      </c>
      <c r="J183" t="s">
        <v>625</v>
      </c>
      <c r="K183" s="5">
        <v>42227</v>
      </c>
      <c r="L183" s="5">
        <v>42278</v>
      </c>
      <c r="M183">
        <v>52720</v>
      </c>
      <c r="N183" t="s">
        <v>666</v>
      </c>
      <c r="O183" t="s">
        <v>621</v>
      </c>
      <c r="P183" t="s">
        <v>803</v>
      </c>
    </row>
    <row r="184" spans="2:16" x14ac:dyDescent="0.25">
      <c r="B184">
        <v>8072</v>
      </c>
      <c r="C184" t="s">
        <v>665</v>
      </c>
      <c r="D184" t="s">
        <v>619</v>
      </c>
      <c r="E184" t="s">
        <v>850</v>
      </c>
      <c r="F184" t="s">
        <v>621</v>
      </c>
      <c r="G184" t="s">
        <v>855</v>
      </c>
      <c r="H184" t="s">
        <v>856</v>
      </c>
      <c r="I184" t="s">
        <v>624</v>
      </c>
      <c r="J184" t="s">
        <v>625</v>
      </c>
      <c r="K184" s="5">
        <v>42206</v>
      </c>
      <c r="L184" s="5">
        <v>42440</v>
      </c>
      <c r="M184">
        <v>65832</v>
      </c>
      <c r="N184" t="s">
        <v>666</v>
      </c>
      <c r="O184" t="s">
        <v>621</v>
      </c>
      <c r="P184" t="s">
        <v>1172</v>
      </c>
    </row>
    <row r="185" spans="2:16" x14ac:dyDescent="0.25">
      <c r="B185">
        <v>8057</v>
      </c>
      <c r="C185" t="s">
        <v>665</v>
      </c>
      <c r="D185" t="s">
        <v>619</v>
      </c>
      <c r="E185" t="s">
        <v>850</v>
      </c>
      <c r="F185" t="s">
        <v>621</v>
      </c>
      <c r="G185" t="s">
        <v>962</v>
      </c>
      <c r="H185" t="s">
        <v>887</v>
      </c>
      <c r="I185" t="s">
        <v>624</v>
      </c>
      <c r="J185" t="s">
        <v>629</v>
      </c>
      <c r="K185" s="5">
        <v>42201</v>
      </c>
      <c r="L185" s="5">
        <v>42822</v>
      </c>
      <c r="M185">
        <v>81588</v>
      </c>
      <c r="N185" t="s">
        <v>636</v>
      </c>
      <c r="O185" t="s">
        <v>621</v>
      </c>
      <c r="P185" t="s">
        <v>1173</v>
      </c>
    </row>
    <row r="186" spans="2:16" x14ac:dyDescent="0.25">
      <c r="B186">
        <v>7948</v>
      </c>
      <c r="C186" t="s">
        <v>665</v>
      </c>
      <c r="D186" t="s">
        <v>619</v>
      </c>
      <c r="E186" t="s">
        <v>850</v>
      </c>
      <c r="F186" t="s">
        <v>621</v>
      </c>
      <c r="G186" t="s">
        <v>851</v>
      </c>
      <c r="H186" t="s">
        <v>852</v>
      </c>
      <c r="I186" t="s">
        <v>624</v>
      </c>
      <c r="J186" t="s">
        <v>642</v>
      </c>
      <c r="K186" s="5">
        <v>42191</v>
      </c>
      <c r="L186" s="5">
        <v>42258</v>
      </c>
      <c r="M186">
        <v>58635</v>
      </c>
      <c r="N186" t="s">
        <v>666</v>
      </c>
      <c r="O186" t="s">
        <v>621</v>
      </c>
      <c r="P186" t="s">
        <v>1176</v>
      </c>
    </row>
    <row r="187" spans="2:16" x14ac:dyDescent="0.25">
      <c r="B187">
        <v>7857</v>
      </c>
      <c r="C187" t="s">
        <v>665</v>
      </c>
      <c r="D187" t="s">
        <v>619</v>
      </c>
      <c r="E187" t="s">
        <v>850</v>
      </c>
      <c r="F187" t="s">
        <v>621</v>
      </c>
      <c r="G187" t="s">
        <v>962</v>
      </c>
      <c r="H187" t="s">
        <v>887</v>
      </c>
      <c r="I187" t="s">
        <v>624</v>
      </c>
      <c r="J187" t="s">
        <v>642</v>
      </c>
      <c r="K187" s="5">
        <v>42173</v>
      </c>
      <c r="L187" s="5">
        <v>42485</v>
      </c>
      <c r="M187">
        <v>55696</v>
      </c>
      <c r="N187" t="s">
        <v>666</v>
      </c>
      <c r="O187" t="s">
        <v>621</v>
      </c>
      <c r="P187" t="s">
        <v>1179</v>
      </c>
    </row>
    <row r="188" spans="2:16" x14ac:dyDescent="0.25">
      <c r="B188">
        <v>7812</v>
      </c>
      <c r="C188" t="s">
        <v>665</v>
      </c>
      <c r="D188" t="s">
        <v>619</v>
      </c>
      <c r="E188" t="s">
        <v>620</v>
      </c>
      <c r="F188" t="s">
        <v>621</v>
      </c>
      <c r="G188" t="s">
        <v>622</v>
      </c>
      <c r="H188" t="s">
        <v>623</v>
      </c>
      <c r="I188" t="s">
        <v>624</v>
      </c>
      <c r="J188" t="s">
        <v>625</v>
      </c>
      <c r="K188" s="5">
        <v>42170</v>
      </c>
      <c r="L188" s="5">
        <v>42278</v>
      </c>
      <c r="M188">
        <v>59193</v>
      </c>
      <c r="N188" t="s">
        <v>666</v>
      </c>
      <c r="O188" t="s">
        <v>621</v>
      </c>
      <c r="P188" t="s">
        <v>815</v>
      </c>
    </row>
    <row r="189" spans="2:16" x14ac:dyDescent="0.25">
      <c r="B189">
        <v>7807</v>
      </c>
      <c r="C189" t="s">
        <v>665</v>
      </c>
      <c r="D189" t="s">
        <v>619</v>
      </c>
      <c r="E189" t="s">
        <v>850</v>
      </c>
      <c r="F189" t="s">
        <v>621</v>
      </c>
      <c r="G189" t="s">
        <v>867</v>
      </c>
      <c r="H189" t="s">
        <v>868</v>
      </c>
      <c r="I189" t="s">
        <v>624</v>
      </c>
      <c r="J189" t="s">
        <v>629</v>
      </c>
      <c r="K189" s="5">
        <v>42170</v>
      </c>
      <c r="L189" s="5">
        <v>42371</v>
      </c>
      <c r="M189">
        <v>66291</v>
      </c>
      <c r="N189" t="s">
        <v>666</v>
      </c>
      <c r="O189" t="s">
        <v>621</v>
      </c>
      <c r="P189" t="s">
        <v>1182</v>
      </c>
    </row>
    <row r="190" spans="2:16" x14ac:dyDescent="0.25">
      <c r="B190">
        <v>7803</v>
      </c>
      <c r="C190" t="s">
        <v>665</v>
      </c>
      <c r="D190" t="s">
        <v>619</v>
      </c>
      <c r="E190" t="s">
        <v>850</v>
      </c>
      <c r="F190" t="s">
        <v>621</v>
      </c>
      <c r="G190" t="s">
        <v>624</v>
      </c>
      <c r="H190" t="s">
        <v>715</v>
      </c>
      <c r="I190" t="s">
        <v>624</v>
      </c>
      <c r="J190" t="s">
        <v>629</v>
      </c>
      <c r="K190" s="5">
        <v>42170</v>
      </c>
      <c r="L190" s="5">
        <v>42371</v>
      </c>
      <c r="M190">
        <v>61851</v>
      </c>
      <c r="N190" t="s">
        <v>666</v>
      </c>
      <c r="O190" t="s">
        <v>621</v>
      </c>
      <c r="P190" t="s">
        <v>1183</v>
      </c>
    </row>
    <row r="191" spans="2:16" x14ac:dyDescent="0.25">
      <c r="B191">
        <v>7756</v>
      </c>
      <c r="C191" t="s">
        <v>665</v>
      </c>
      <c r="D191" t="s">
        <v>619</v>
      </c>
      <c r="E191" t="s">
        <v>850</v>
      </c>
      <c r="F191" t="s">
        <v>621</v>
      </c>
      <c r="G191" t="s">
        <v>624</v>
      </c>
      <c r="H191" t="s">
        <v>715</v>
      </c>
      <c r="I191" t="s">
        <v>624</v>
      </c>
      <c r="J191" t="s">
        <v>642</v>
      </c>
      <c r="K191" s="5">
        <v>42166</v>
      </c>
      <c r="L191" s="5">
        <v>43117.6875</v>
      </c>
      <c r="M191">
        <v>63089</v>
      </c>
      <c r="N191" t="s">
        <v>636</v>
      </c>
      <c r="O191" t="s">
        <v>621</v>
      </c>
      <c r="P191" t="s">
        <v>1184</v>
      </c>
    </row>
    <row r="192" spans="2:16" x14ac:dyDescent="0.25">
      <c r="B192">
        <v>7664</v>
      </c>
      <c r="C192" t="s">
        <v>665</v>
      </c>
      <c r="D192" t="s">
        <v>619</v>
      </c>
      <c r="E192" t="s">
        <v>850</v>
      </c>
      <c r="F192" t="s">
        <v>621</v>
      </c>
      <c r="G192" t="s">
        <v>889</v>
      </c>
      <c r="H192" t="s">
        <v>890</v>
      </c>
      <c r="I192" t="s">
        <v>624</v>
      </c>
      <c r="J192" t="s">
        <v>625</v>
      </c>
      <c r="K192" s="5">
        <v>42157</v>
      </c>
      <c r="L192" s="5">
        <v>42177</v>
      </c>
      <c r="M192">
        <v>63258</v>
      </c>
      <c r="N192" t="s">
        <v>680</v>
      </c>
      <c r="O192" t="s">
        <v>621</v>
      </c>
      <c r="P192" t="s">
        <v>1190</v>
      </c>
    </row>
    <row r="193" spans="2:16" x14ac:dyDescent="0.25">
      <c r="B193">
        <v>7656</v>
      </c>
      <c r="C193" t="s">
        <v>665</v>
      </c>
      <c r="D193" t="s">
        <v>619</v>
      </c>
      <c r="E193" t="s">
        <v>850</v>
      </c>
      <c r="F193" t="s">
        <v>621</v>
      </c>
      <c r="G193" t="s">
        <v>962</v>
      </c>
      <c r="H193" t="s">
        <v>887</v>
      </c>
      <c r="I193" t="s">
        <v>624</v>
      </c>
      <c r="J193" t="s">
        <v>629</v>
      </c>
      <c r="K193" s="5">
        <v>42156</v>
      </c>
      <c r="L193" s="5">
        <v>42258</v>
      </c>
      <c r="M193">
        <v>63258</v>
      </c>
      <c r="N193" t="s">
        <v>666</v>
      </c>
      <c r="O193" t="s">
        <v>621</v>
      </c>
      <c r="P193" t="s">
        <v>1191</v>
      </c>
    </row>
    <row r="194" spans="2:16" x14ac:dyDescent="0.25">
      <c r="B194">
        <v>7646</v>
      </c>
      <c r="C194" t="s">
        <v>665</v>
      </c>
      <c r="D194" t="s">
        <v>619</v>
      </c>
      <c r="E194" t="s">
        <v>850</v>
      </c>
      <c r="F194" t="s">
        <v>621</v>
      </c>
      <c r="G194" t="s">
        <v>624</v>
      </c>
      <c r="H194" t="s">
        <v>715</v>
      </c>
      <c r="I194" t="s">
        <v>624</v>
      </c>
      <c r="J194" t="s">
        <v>629</v>
      </c>
      <c r="K194" s="5">
        <v>42153</v>
      </c>
      <c r="L194" s="5">
        <v>43117.686111111114</v>
      </c>
      <c r="M194">
        <v>63550</v>
      </c>
      <c r="N194" t="s">
        <v>636</v>
      </c>
      <c r="O194" t="s">
        <v>621</v>
      </c>
      <c r="P194" t="s">
        <v>1192</v>
      </c>
    </row>
    <row r="195" spans="2:16" x14ac:dyDescent="0.25">
      <c r="B195">
        <v>7324</v>
      </c>
      <c r="C195" t="s">
        <v>633</v>
      </c>
      <c r="D195" t="s">
        <v>619</v>
      </c>
      <c r="E195" t="s">
        <v>850</v>
      </c>
      <c r="F195" t="s">
        <v>621</v>
      </c>
      <c r="G195" t="s">
        <v>867</v>
      </c>
      <c r="H195" t="s">
        <v>868</v>
      </c>
      <c r="I195" t="s">
        <v>624</v>
      </c>
      <c r="J195" t="s">
        <v>642</v>
      </c>
      <c r="K195" s="5">
        <v>42143</v>
      </c>
      <c r="L195" s="5">
        <v>42255</v>
      </c>
      <c r="M195">
        <v>62683</v>
      </c>
      <c r="N195" t="s">
        <v>666</v>
      </c>
      <c r="O195" t="s">
        <v>621</v>
      </c>
      <c r="P195" t="s">
        <v>1196</v>
      </c>
    </row>
    <row r="196" spans="2:16" x14ac:dyDescent="0.25">
      <c r="B196">
        <v>7293</v>
      </c>
      <c r="C196" t="s">
        <v>665</v>
      </c>
      <c r="D196" t="s">
        <v>619</v>
      </c>
      <c r="E196" t="s">
        <v>850</v>
      </c>
      <c r="F196" t="s">
        <v>621</v>
      </c>
      <c r="G196" t="s">
        <v>889</v>
      </c>
      <c r="H196" t="s">
        <v>890</v>
      </c>
      <c r="I196" t="s">
        <v>624</v>
      </c>
      <c r="J196" t="s">
        <v>642</v>
      </c>
      <c r="K196" s="5">
        <v>42138</v>
      </c>
      <c r="L196" s="5">
        <v>42177</v>
      </c>
      <c r="M196" t="s">
        <v>621</v>
      </c>
      <c r="N196" t="s">
        <v>645</v>
      </c>
      <c r="O196" t="s">
        <v>621</v>
      </c>
      <c r="P196" t="s">
        <v>1198</v>
      </c>
    </row>
    <row r="197" spans="2:16" x14ac:dyDescent="0.25">
      <c r="B197">
        <v>7286</v>
      </c>
      <c r="C197" t="s">
        <v>665</v>
      </c>
      <c r="D197" t="s">
        <v>619</v>
      </c>
      <c r="E197" t="s">
        <v>850</v>
      </c>
      <c r="F197" t="s">
        <v>621</v>
      </c>
      <c r="G197" t="s">
        <v>875</v>
      </c>
      <c r="H197" t="s">
        <v>876</v>
      </c>
      <c r="I197" t="s">
        <v>624</v>
      </c>
      <c r="J197" t="s">
        <v>629</v>
      </c>
      <c r="K197" s="5">
        <v>42138</v>
      </c>
      <c r="L197" s="5">
        <v>42258</v>
      </c>
      <c r="M197">
        <v>60933</v>
      </c>
      <c r="N197" t="s">
        <v>666</v>
      </c>
      <c r="O197" t="s">
        <v>621</v>
      </c>
      <c r="P197" t="s">
        <v>1199</v>
      </c>
    </row>
    <row r="198" spans="2:16" x14ac:dyDescent="0.25">
      <c r="B198">
        <v>7044</v>
      </c>
      <c r="C198" t="s">
        <v>665</v>
      </c>
      <c r="D198" t="s">
        <v>619</v>
      </c>
      <c r="E198" t="s">
        <v>850</v>
      </c>
      <c r="F198" t="s">
        <v>621</v>
      </c>
      <c r="G198" t="s">
        <v>867</v>
      </c>
      <c r="H198" t="s">
        <v>868</v>
      </c>
      <c r="I198" t="s">
        <v>624</v>
      </c>
      <c r="J198" t="s">
        <v>625</v>
      </c>
      <c r="K198" s="5">
        <v>42104</v>
      </c>
      <c r="L198" s="5">
        <v>42258</v>
      </c>
      <c r="M198">
        <v>59333</v>
      </c>
      <c r="N198" t="s">
        <v>666</v>
      </c>
      <c r="O198" t="s">
        <v>621</v>
      </c>
      <c r="P198" t="s">
        <v>1209</v>
      </c>
    </row>
    <row r="199" spans="2:16" x14ac:dyDescent="0.25">
      <c r="B199">
        <v>6992</v>
      </c>
      <c r="C199" t="s">
        <v>665</v>
      </c>
      <c r="D199" t="s">
        <v>619</v>
      </c>
      <c r="E199" t="s">
        <v>850</v>
      </c>
      <c r="F199" t="s">
        <v>621</v>
      </c>
      <c r="G199" t="s">
        <v>851</v>
      </c>
      <c r="H199" t="s">
        <v>852</v>
      </c>
      <c r="I199" t="s">
        <v>624</v>
      </c>
      <c r="J199" t="s">
        <v>642</v>
      </c>
      <c r="K199" s="5">
        <v>42097</v>
      </c>
      <c r="L199" s="5">
        <v>42184</v>
      </c>
      <c r="M199" t="s">
        <v>1213</v>
      </c>
      <c r="N199" t="s">
        <v>666</v>
      </c>
      <c r="O199" t="s">
        <v>621</v>
      </c>
      <c r="P199" t="s">
        <v>1214</v>
      </c>
    </row>
    <row r="200" spans="2:16" x14ac:dyDescent="0.25">
      <c r="B200">
        <v>6851</v>
      </c>
      <c r="C200" t="s">
        <v>633</v>
      </c>
      <c r="D200" t="s">
        <v>619</v>
      </c>
      <c r="E200" t="s">
        <v>850</v>
      </c>
      <c r="F200" t="s">
        <v>621</v>
      </c>
      <c r="G200" t="s">
        <v>787</v>
      </c>
      <c r="H200" t="s">
        <v>788</v>
      </c>
      <c r="I200" t="s">
        <v>624</v>
      </c>
      <c r="J200" t="s">
        <v>642</v>
      </c>
      <c r="K200" s="5">
        <v>42082</v>
      </c>
      <c r="L200" s="5">
        <v>42258</v>
      </c>
      <c r="M200">
        <v>59043</v>
      </c>
      <c r="N200" t="s">
        <v>666</v>
      </c>
      <c r="O200" t="s">
        <v>621</v>
      </c>
      <c r="P200" t="s">
        <v>1216</v>
      </c>
    </row>
    <row r="201" spans="2:16" x14ac:dyDescent="0.25">
      <c r="B201">
        <v>6776</v>
      </c>
      <c r="C201" t="s">
        <v>665</v>
      </c>
      <c r="D201" t="s">
        <v>619</v>
      </c>
      <c r="E201" t="s">
        <v>850</v>
      </c>
      <c r="F201" t="s">
        <v>621</v>
      </c>
      <c r="G201" t="s">
        <v>962</v>
      </c>
      <c r="H201" t="s">
        <v>887</v>
      </c>
      <c r="I201" t="s">
        <v>624</v>
      </c>
      <c r="J201" t="s">
        <v>629</v>
      </c>
      <c r="K201" s="5">
        <v>42074</v>
      </c>
      <c r="L201" s="5">
        <v>42104</v>
      </c>
      <c r="M201">
        <v>59316</v>
      </c>
      <c r="N201" t="s">
        <v>666</v>
      </c>
      <c r="O201" t="s">
        <v>621</v>
      </c>
      <c r="P201" t="s">
        <v>1219</v>
      </c>
    </row>
    <row r="202" spans="2:16" x14ac:dyDescent="0.25">
      <c r="B202">
        <v>6730</v>
      </c>
      <c r="C202" t="s">
        <v>665</v>
      </c>
      <c r="D202" t="s">
        <v>619</v>
      </c>
      <c r="E202" t="s">
        <v>850</v>
      </c>
      <c r="F202" t="s">
        <v>621</v>
      </c>
      <c r="G202" t="s">
        <v>624</v>
      </c>
      <c r="H202" t="s">
        <v>887</v>
      </c>
      <c r="I202" t="s">
        <v>624</v>
      </c>
      <c r="J202" t="s">
        <v>642</v>
      </c>
      <c r="K202" s="5">
        <v>42069</v>
      </c>
      <c r="L202" s="5">
        <v>42104</v>
      </c>
      <c r="M202">
        <v>57245</v>
      </c>
      <c r="N202" t="s">
        <v>666</v>
      </c>
      <c r="O202" t="s">
        <v>621</v>
      </c>
      <c r="P202" t="s">
        <v>1222</v>
      </c>
    </row>
    <row r="203" spans="2:16" x14ac:dyDescent="0.25">
      <c r="B203">
        <v>6630</v>
      </c>
      <c r="C203" t="s">
        <v>665</v>
      </c>
      <c r="D203" t="s">
        <v>619</v>
      </c>
      <c r="E203" t="s">
        <v>850</v>
      </c>
      <c r="F203" t="s">
        <v>621</v>
      </c>
      <c r="G203" t="s">
        <v>851</v>
      </c>
      <c r="H203" t="s">
        <v>852</v>
      </c>
      <c r="I203" t="s">
        <v>624</v>
      </c>
      <c r="J203" t="s">
        <v>629</v>
      </c>
      <c r="K203" s="5">
        <v>42061</v>
      </c>
      <c r="L203" s="5">
        <v>42310</v>
      </c>
      <c r="M203">
        <v>57436</v>
      </c>
      <c r="N203" t="s">
        <v>666</v>
      </c>
      <c r="O203" t="s">
        <v>621</v>
      </c>
      <c r="P203" t="s">
        <v>1227</v>
      </c>
    </row>
    <row r="204" spans="2:16" x14ac:dyDescent="0.25">
      <c r="B204">
        <v>6588</v>
      </c>
      <c r="C204" t="s">
        <v>665</v>
      </c>
      <c r="D204" t="s">
        <v>619</v>
      </c>
      <c r="E204" t="s">
        <v>850</v>
      </c>
      <c r="F204" t="s">
        <v>621</v>
      </c>
      <c r="G204" t="s">
        <v>867</v>
      </c>
      <c r="H204" t="s">
        <v>868</v>
      </c>
      <c r="I204" t="s">
        <v>624</v>
      </c>
      <c r="J204" t="s">
        <v>642</v>
      </c>
      <c r="K204" s="5">
        <v>42055</v>
      </c>
      <c r="L204" s="5">
        <v>42258</v>
      </c>
      <c r="M204">
        <v>57358</v>
      </c>
      <c r="N204" t="s">
        <v>666</v>
      </c>
      <c r="O204" t="s">
        <v>621</v>
      </c>
      <c r="P204" t="s">
        <v>1228</v>
      </c>
    </row>
    <row r="205" spans="2:16" x14ac:dyDescent="0.25">
      <c r="B205">
        <v>6527</v>
      </c>
      <c r="C205" t="s">
        <v>665</v>
      </c>
      <c r="D205" t="s">
        <v>619</v>
      </c>
      <c r="E205" t="s">
        <v>850</v>
      </c>
      <c r="F205" t="s">
        <v>1232</v>
      </c>
      <c r="G205" t="s">
        <v>858</v>
      </c>
      <c r="H205" t="s">
        <v>859</v>
      </c>
      <c r="I205" t="s">
        <v>624</v>
      </c>
      <c r="J205" t="s">
        <v>629</v>
      </c>
      <c r="K205" s="5">
        <v>42041</v>
      </c>
      <c r="L205" s="5">
        <v>42104</v>
      </c>
      <c r="M205">
        <v>56533</v>
      </c>
      <c r="N205" t="s">
        <v>666</v>
      </c>
      <c r="O205" t="s">
        <v>621</v>
      </c>
      <c r="P205" t="s">
        <v>1233</v>
      </c>
    </row>
    <row r="206" spans="2:16" x14ac:dyDescent="0.25">
      <c r="B206">
        <v>6417</v>
      </c>
      <c r="C206" t="s">
        <v>665</v>
      </c>
      <c r="D206" t="s">
        <v>619</v>
      </c>
      <c r="E206" t="s">
        <v>850</v>
      </c>
      <c r="F206" t="s">
        <v>621</v>
      </c>
      <c r="G206" t="s">
        <v>867</v>
      </c>
      <c r="H206" t="s">
        <v>868</v>
      </c>
      <c r="I206" t="s">
        <v>624</v>
      </c>
      <c r="J206" t="s">
        <v>629</v>
      </c>
      <c r="K206" s="5">
        <v>42025</v>
      </c>
      <c r="L206" s="5">
        <v>42464</v>
      </c>
      <c r="M206">
        <v>58435</v>
      </c>
      <c r="N206" t="s">
        <v>666</v>
      </c>
      <c r="O206" t="s">
        <v>621</v>
      </c>
      <c r="P206" t="s">
        <v>1241</v>
      </c>
    </row>
    <row r="207" spans="2:16" x14ac:dyDescent="0.25">
      <c r="B207">
        <v>6402</v>
      </c>
      <c r="C207" t="s">
        <v>665</v>
      </c>
      <c r="D207" t="s">
        <v>619</v>
      </c>
      <c r="E207" t="s">
        <v>850</v>
      </c>
      <c r="F207" t="s">
        <v>621</v>
      </c>
      <c r="G207" t="s">
        <v>962</v>
      </c>
      <c r="H207" t="s">
        <v>887</v>
      </c>
      <c r="I207" t="s">
        <v>624</v>
      </c>
      <c r="J207" t="s">
        <v>629</v>
      </c>
      <c r="K207" s="5">
        <v>42024</v>
      </c>
      <c r="L207" s="5">
        <v>42670</v>
      </c>
      <c r="M207">
        <v>65696</v>
      </c>
      <c r="N207" t="s">
        <v>666</v>
      </c>
      <c r="O207" t="s">
        <v>621</v>
      </c>
      <c r="P207" t="s">
        <v>1242</v>
      </c>
    </row>
    <row r="208" spans="2:16" x14ac:dyDescent="0.25">
      <c r="B208">
        <v>6396</v>
      </c>
      <c r="C208" t="s">
        <v>633</v>
      </c>
      <c r="D208" t="s">
        <v>619</v>
      </c>
      <c r="E208" t="s">
        <v>850</v>
      </c>
      <c r="F208" t="s">
        <v>621</v>
      </c>
      <c r="G208" t="s">
        <v>867</v>
      </c>
      <c r="H208" t="s">
        <v>868</v>
      </c>
      <c r="I208" t="s">
        <v>624</v>
      </c>
      <c r="J208" t="s">
        <v>642</v>
      </c>
      <c r="K208" s="5">
        <v>42024</v>
      </c>
      <c r="L208" s="5">
        <v>42523</v>
      </c>
      <c r="M208" t="s">
        <v>1213</v>
      </c>
      <c r="N208" t="s">
        <v>645</v>
      </c>
      <c r="O208" t="s">
        <v>621</v>
      </c>
      <c r="P208" t="s">
        <v>1244</v>
      </c>
    </row>
    <row r="209" spans="2:16" x14ac:dyDescent="0.25">
      <c r="B209">
        <v>6346</v>
      </c>
      <c r="C209" t="s">
        <v>665</v>
      </c>
      <c r="D209" t="s">
        <v>619</v>
      </c>
      <c r="E209" t="s">
        <v>850</v>
      </c>
      <c r="F209" t="s">
        <v>621</v>
      </c>
      <c r="G209" t="s">
        <v>962</v>
      </c>
      <c r="H209" t="s">
        <v>887</v>
      </c>
      <c r="I209" t="s">
        <v>624</v>
      </c>
      <c r="J209" t="s">
        <v>642</v>
      </c>
      <c r="K209" s="5">
        <v>42016</v>
      </c>
      <c r="L209" s="5">
        <v>42485</v>
      </c>
      <c r="M209">
        <v>55696</v>
      </c>
      <c r="N209" t="s">
        <v>666</v>
      </c>
      <c r="O209" t="s">
        <v>621</v>
      </c>
      <c r="P209" t="s">
        <v>1245</v>
      </c>
    </row>
    <row r="210" spans="2:16" x14ac:dyDescent="0.25">
      <c r="B210">
        <v>6313</v>
      </c>
      <c r="C210" t="s">
        <v>665</v>
      </c>
      <c r="D210" t="s">
        <v>619</v>
      </c>
      <c r="E210" t="s">
        <v>850</v>
      </c>
      <c r="F210" t="s">
        <v>1232</v>
      </c>
      <c r="G210" t="s">
        <v>889</v>
      </c>
      <c r="H210" t="s">
        <v>890</v>
      </c>
      <c r="I210" t="s">
        <v>624</v>
      </c>
      <c r="J210" t="s">
        <v>629</v>
      </c>
      <c r="K210" s="5">
        <v>42009</v>
      </c>
      <c r="L210" s="5">
        <v>42258</v>
      </c>
      <c r="M210">
        <v>50659</v>
      </c>
      <c r="N210" t="s">
        <v>666</v>
      </c>
      <c r="O210" t="s">
        <v>621</v>
      </c>
      <c r="P210" t="s">
        <v>1247</v>
      </c>
    </row>
    <row r="211" spans="2:16" x14ac:dyDescent="0.25">
      <c r="B211">
        <v>6258</v>
      </c>
      <c r="C211" t="s">
        <v>665</v>
      </c>
      <c r="D211" t="s">
        <v>619</v>
      </c>
      <c r="E211" t="s">
        <v>850</v>
      </c>
      <c r="F211" t="s">
        <v>621</v>
      </c>
      <c r="G211" t="s">
        <v>863</v>
      </c>
      <c r="H211" t="s">
        <v>864</v>
      </c>
      <c r="I211" t="s">
        <v>624</v>
      </c>
      <c r="J211" t="s">
        <v>629</v>
      </c>
      <c r="K211" s="5">
        <v>41985</v>
      </c>
      <c r="L211" s="5">
        <v>42205</v>
      </c>
      <c r="M211">
        <v>47908</v>
      </c>
      <c r="N211" t="s">
        <v>666</v>
      </c>
      <c r="O211" t="s">
        <v>621</v>
      </c>
      <c r="P211" t="s">
        <v>1254</v>
      </c>
    </row>
    <row r="212" spans="2:16" x14ac:dyDescent="0.25">
      <c r="B212">
        <v>6155</v>
      </c>
      <c r="C212" t="s">
        <v>665</v>
      </c>
      <c r="D212" t="s">
        <v>619</v>
      </c>
      <c r="E212" t="s">
        <v>850</v>
      </c>
      <c r="F212" t="s">
        <v>621</v>
      </c>
      <c r="G212" t="s">
        <v>851</v>
      </c>
      <c r="H212" t="s">
        <v>852</v>
      </c>
      <c r="I212" t="s">
        <v>624</v>
      </c>
      <c r="J212" t="s">
        <v>625</v>
      </c>
      <c r="K212" s="5">
        <v>41961</v>
      </c>
      <c r="L212" s="5">
        <v>42104</v>
      </c>
      <c r="M212">
        <v>53278</v>
      </c>
      <c r="N212" t="s">
        <v>666</v>
      </c>
      <c r="O212" t="s">
        <v>621</v>
      </c>
      <c r="P212" t="s">
        <v>1258</v>
      </c>
    </row>
    <row r="213" spans="2:16" x14ac:dyDescent="0.25">
      <c r="B213">
        <v>6111</v>
      </c>
      <c r="C213" t="s">
        <v>665</v>
      </c>
      <c r="D213" t="s">
        <v>619</v>
      </c>
      <c r="E213" t="s">
        <v>850</v>
      </c>
      <c r="F213" t="s">
        <v>718</v>
      </c>
      <c r="G213" t="s">
        <v>889</v>
      </c>
      <c r="H213" t="s">
        <v>890</v>
      </c>
      <c r="I213" t="s">
        <v>624</v>
      </c>
      <c r="J213" t="s">
        <v>629</v>
      </c>
      <c r="K213" s="5">
        <v>41949</v>
      </c>
      <c r="L213" s="5">
        <v>42053</v>
      </c>
      <c r="M213">
        <v>53101</v>
      </c>
      <c r="N213" t="s">
        <v>666</v>
      </c>
      <c r="O213" t="s">
        <v>621</v>
      </c>
      <c r="P213" t="s">
        <v>1262</v>
      </c>
    </row>
    <row r="214" spans="2:16" x14ac:dyDescent="0.25">
      <c r="B214">
        <v>6109</v>
      </c>
      <c r="C214" t="s">
        <v>633</v>
      </c>
      <c r="D214" t="s">
        <v>619</v>
      </c>
      <c r="E214" t="s">
        <v>850</v>
      </c>
      <c r="F214" t="s">
        <v>621</v>
      </c>
      <c r="G214" t="s">
        <v>962</v>
      </c>
      <c r="H214" t="s">
        <v>887</v>
      </c>
      <c r="I214" t="s">
        <v>624</v>
      </c>
      <c r="J214" t="s">
        <v>642</v>
      </c>
      <c r="K214" s="5">
        <v>41949</v>
      </c>
      <c r="L214" s="5">
        <v>42036</v>
      </c>
      <c r="M214">
        <v>45984</v>
      </c>
      <c r="N214" t="s">
        <v>666</v>
      </c>
      <c r="O214" t="s">
        <v>621</v>
      </c>
      <c r="P214" t="s">
        <v>1263</v>
      </c>
    </row>
    <row r="215" spans="2:16" x14ac:dyDescent="0.25">
      <c r="B215">
        <v>6098</v>
      </c>
      <c r="C215" t="s">
        <v>665</v>
      </c>
      <c r="D215" t="s">
        <v>619</v>
      </c>
      <c r="E215" t="s">
        <v>850</v>
      </c>
      <c r="F215" t="s">
        <v>621</v>
      </c>
      <c r="G215" t="s">
        <v>962</v>
      </c>
      <c r="H215" t="s">
        <v>887</v>
      </c>
      <c r="I215" t="s">
        <v>624</v>
      </c>
      <c r="J215" t="s">
        <v>629</v>
      </c>
      <c r="K215" s="5">
        <v>41947</v>
      </c>
      <c r="L215" s="5">
        <v>41967</v>
      </c>
      <c r="M215" t="s">
        <v>621</v>
      </c>
      <c r="N215" t="s">
        <v>666</v>
      </c>
      <c r="O215" t="s">
        <v>621</v>
      </c>
      <c r="P215" t="s">
        <v>1264</v>
      </c>
    </row>
    <row r="216" spans="2:16" x14ac:dyDescent="0.25">
      <c r="B216">
        <v>6085</v>
      </c>
      <c r="C216" t="s">
        <v>665</v>
      </c>
      <c r="D216" t="s">
        <v>619</v>
      </c>
      <c r="E216" t="s">
        <v>850</v>
      </c>
      <c r="F216" t="s">
        <v>621</v>
      </c>
      <c r="G216" t="s">
        <v>962</v>
      </c>
      <c r="H216" t="s">
        <v>887</v>
      </c>
      <c r="I216" t="s">
        <v>624</v>
      </c>
      <c r="J216" t="s">
        <v>642</v>
      </c>
      <c r="K216" s="5">
        <v>41946</v>
      </c>
      <c r="L216" s="5">
        <v>42258</v>
      </c>
      <c r="M216">
        <v>55953</v>
      </c>
      <c r="N216" t="s">
        <v>666</v>
      </c>
      <c r="O216" t="s">
        <v>621</v>
      </c>
      <c r="P216" t="s">
        <v>1265</v>
      </c>
    </row>
    <row r="217" spans="2:16" x14ac:dyDescent="0.25">
      <c r="B217">
        <v>6084</v>
      </c>
      <c r="C217" t="s">
        <v>665</v>
      </c>
      <c r="D217" t="s">
        <v>619</v>
      </c>
      <c r="E217" t="s">
        <v>850</v>
      </c>
      <c r="F217" t="s">
        <v>621</v>
      </c>
      <c r="G217" t="s">
        <v>1165</v>
      </c>
      <c r="H217" t="s">
        <v>1166</v>
      </c>
      <c r="I217" t="s">
        <v>624</v>
      </c>
      <c r="J217" t="s">
        <v>629</v>
      </c>
      <c r="K217" s="5">
        <v>41946</v>
      </c>
      <c r="L217" s="5">
        <v>42104</v>
      </c>
      <c r="M217">
        <v>52407</v>
      </c>
      <c r="N217" t="s">
        <v>666</v>
      </c>
      <c r="O217" t="s">
        <v>621</v>
      </c>
      <c r="P217" t="s">
        <v>1266</v>
      </c>
    </row>
    <row r="218" spans="2:16" x14ac:dyDescent="0.25">
      <c r="B218">
        <v>6011</v>
      </c>
      <c r="C218" t="s">
        <v>633</v>
      </c>
      <c r="D218" t="s">
        <v>619</v>
      </c>
      <c r="E218" t="s">
        <v>850</v>
      </c>
      <c r="F218" t="s">
        <v>718</v>
      </c>
      <c r="G218" t="s">
        <v>889</v>
      </c>
      <c r="H218" t="s">
        <v>890</v>
      </c>
      <c r="I218" t="s">
        <v>624</v>
      </c>
      <c r="J218" t="s">
        <v>642</v>
      </c>
      <c r="K218" s="5">
        <v>41935</v>
      </c>
      <c r="L218" s="5">
        <v>42485</v>
      </c>
      <c r="M218">
        <v>52096</v>
      </c>
      <c r="N218" t="s">
        <v>666</v>
      </c>
      <c r="O218" t="s">
        <v>621</v>
      </c>
      <c r="P218" t="s">
        <v>1269</v>
      </c>
    </row>
    <row r="219" spans="2:16" x14ac:dyDescent="0.25">
      <c r="B219">
        <v>6008</v>
      </c>
      <c r="C219" t="s">
        <v>633</v>
      </c>
      <c r="D219" t="s">
        <v>619</v>
      </c>
      <c r="E219" t="s">
        <v>850</v>
      </c>
      <c r="F219" t="s">
        <v>621</v>
      </c>
      <c r="G219" t="s">
        <v>962</v>
      </c>
      <c r="H219" t="s">
        <v>887</v>
      </c>
      <c r="I219" t="s">
        <v>624</v>
      </c>
      <c r="J219" t="s">
        <v>642</v>
      </c>
      <c r="K219" s="5">
        <v>41934</v>
      </c>
      <c r="L219" s="5">
        <v>42079</v>
      </c>
      <c r="M219" t="s">
        <v>621</v>
      </c>
      <c r="N219" t="s">
        <v>666</v>
      </c>
      <c r="O219" t="s">
        <v>621</v>
      </c>
      <c r="P219" t="s">
        <v>1270</v>
      </c>
    </row>
    <row r="220" spans="2:16" x14ac:dyDescent="0.25">
      <c r="B220">
        <v>5991</v>
      </c>
      <c r="C220" t="s">
        <v>633</v>
      </c>
      <c r="D220" t="s">
        <v>619</v>
      </c>
      <c r="E220" t="s">
        <v>850</v>
      </c>
      <c r="F220" t="s">
        <v>621</v>
      </c>
      <c r="G220" t="s">
        <v>962</v>
      </c>
      <c r="H220" t="s">
        <v>887</v>
      </c>
      <c r="I220" t="s">
        <v>624</v>
      </c>
      <c r="J220" t="s">
        <v>642</v>
      </c>
      <c r="K220" s="5">
        <v>41933</v>
      </c>
      <c r="L220" s="5">
        <v>41945</v>
      </c>
      <c r="M220">
        <v>52096</v>
      </c>
      <c r="N220" t="s">
        <v>680</v>
      </c>
      <c r="O220" t="s">
        <v>621</v>
      </c>
      <c r="P220" t="s">
        <v>1273</v>
      </c>
    </row>
    <row r="221" spans="2:16" x14ac:dyDescent="0.25">
      <c r="B221">
        <v>5982</v>
      </c>
      <c r="C221" t="s">
        <v>665</v>
      </c>
      <c r="D221" t="s">
        <v>619</v>
      </c>
      <c r="E221" t="s">
        <v>850</v>
      </c>
      <c r="F221" t="s">
        <v>718</v>
      </c>
      <c r="G221" t="s">
        <v>889</v>
      </c>
      <c r="H221" t="s">
        <v>890</v>
      </c>
      <c r="I221" t="s">
        <v>624</v>
      </c>
      <c r="J221" t="s">
        <v>629</v>
      </c>
      <c r="K221" s="5">
        <v>41932</v>
      </c>
      <c r="L221" s="5">
        <v>42104</v>
      </c>
      <c r="M221">
        <v>51592</v>
      </c>
      <c r="N221" t="s">
        <v>666</v>
      </c>
      <c r="O221" t="s">
        <v>621</v>
      </c>
      <c r="P221" t="s">
        <v>1274</v>
      </c>
    </row>
    <row r="222" spans="2:16" x14ac:dyDescent="0.25">
      <c r="B222">
        <v>5952</v>
      </c>
      <c r="C222" t="s">
        <v>665</v>
      </c>
      <c r="D222" t="s">
        <v>619</v>
      </c>
      <c r="E222" t="s">
        <v>850</v>
      </c>
      <c r="F222" t="s">
        <v>621</v>
      </c>
      <c r="G222" t="s">
        <v>863</v>
      </c>
      <c r="H222" t="s">
        <v>864</v>
      </c>
      <c r="I222" t="s">
        <v>624</v>
      </c>
      <c r="J222" t="s">
        <v>642</v>
      </c>
      <c r="K222" s="5">
        <v>41928</v>
      </c>
      <c r="L222" s="5">
        <v>42258</v>
      </c>
      <c r="M222" t="s">
        <v>1277</v>
      </c>
      <c r="N222" t="s">
        <v>666</v>
      </c>
      <c r="O222" t="s">
        <v>621</v>
      </c>
      <c r="P222" t="s">
        <v>1278</v>
      </c>
    </row>
    <row r="223" spans="2:16" x14ac:dyDescent="0.25">
      <c r="B223">
        <v>5946</v>
      </c>
      <c r="C223" t="s">
        <v>665</v>
      </c>
      <c r="D223" t="s">
        <v>619</v>
      </c>
      <c r="E223" t="s">
        <v>850</v>
      </c>
      <c r="F223" t="s">
        <v>1279</v>
      </c>
      <c r="G223" t="s">
        <v>875</v>
      </c>
      <c r="H223" t="s">
        <v>876</v>
      </c>
      <c r="I223" t="s">
        <v>624</v>
      </c>
      <c r="J223" t="s">
        <v>642</v>
      </c>
      <c r="K223" s="5">
        <v>41927</v>
      </c>
      <c r="L223" s="5">
        <v>42104</v>
      </c>
      <c r="M223">
        <v>44825</v>
      </c>
      <c r="N223" t="s">
        <v>666</v>
      </c>
      <c r="O223" t="s">
        <v>621</v>
      </c>
      <c r="P223" t="s">
        <v>1280</v>
      </c>
    </row>
    <row r="224" spans="2:16" x14ac:dyDescent="0.25">
      <c r="B224">
        <v>5915</v>
      </c>
      <c r="C224" t="s">
        <v>665</v>
      </c>
      <c r="D224" t="s">
        <v>619</v>
      </c>
      <c r="E224" t="s">
        <v>850</v>
      </c>
      <c r="F224" t="s">
        <v>1285</v>
      </c>
      <c r="G224" t="s">
        <v>851</v>
      </c>
      <c r="H224" t="s">
        <v>852</v>
      </c>
      <c r="I224" t="s">
        <v>624</v>
      </c>
      <c r="J224" t="s">
        <v>625</v>
      </c>
      <c r="K224" s="5">
        <v>41919</v>
      </c>
      <c r="L224" s="5">
        <v>42485</v>
      </c>
      <c r="M224">
        <v>57664</v>
      </c>
      <c r="N224" t="s">
        <v>666</v>
      </c>
      <c r="O224" t="s">
        <v>621</v>
      </c>
      <c r="P224" t="s">
        <v>1286</v>
      </c>
    </row>
    <row r="225" spans="2:16" x14ac:dyDescent="0.25">
      <c r="B225">
        <v>5820</v>
      </c>
      <c r="C225" t="s">
        <v>665</v>
      </c>
      <c r="D225" t="s">
        <v>619</v>
      </c>
      <c r="E225" t="s">
        <v>850</v>
      </c>
      <c r="F225" t="s">
        <v>1292</v>
      </c>
      <c r="G225" t="s">
        <v>867</v>
      </c>
      <c r="H225" t="s">
        <v>868</v>
      </c>
      <c r="I225" t="s">
        <v>624</v>
      </c>
      <c r="J225" t="s">
        <v>642</v>
      </c>
      <c r="K225" s="5">
        <v>41899</v>
      </c>
      <c r="L225" s="5">
        <v>42104</v>
      </c>
      <c r="M225">
        <v>50339</v>
      </c>
      <c r="N225" t="s">
        <v>666</v>
      </c>
      <c r="O225" t="s">
        <v>621</v>
      </c>
      <c r="P225" t="s">
        <v>1293</v>
      </c>
    </row>
    <row r="226" spans="2:16" x14ac:dyDescent="0.25">
      <c r="B226">
        <v>5801</v>
      </c>
      <c r="C226" t="s">
        <v>633</v>
      </c>
      <c r="D226" t="s">
        <v>619</v>
      </c>
      <c r="E226" t="s">
        <v>850</v>
      </c>
      <c r="F226" t="s">
        <v>621</v>
      </c>
      <c r="G226" t="s">
        <v>962</v>
      </c>
      <c r="H226" t="s">
        <v>887</v>
      </c>
      <c r="I226" t="s">
        <v>624</v>
      </c>
      <c r="J226" t="s">
        <v>642</v>
      </c>
      <c r="K226" s="5">
        <v>41892</v>
      </c>
      <c r="L226" s="5">
        <v>42523</v>
      </c>
      <c r="M226">
        <v>48432</v>
      </c>
      <c r="N226" t="s">
        <v>680</v>
      </c>
      <c r="O226" t="s">
        <v>621</v>
      </c>
      <c r="P226" t="s">
        <v>1294</v>
      </c>
    </row>
    <row r="227" spans="2:16" x14ac:dyDescent="0.25">
      <c r="B227">
        <v>5798</v>
      </c>
      <c r="C227" t="s">
        <v>665</v>
      </c>
      <c r="D227" t="s">
        <v>619</v>
      </c>
      <c r="E227" t="s">
        <v>850</v>
      </c>
      <c r="F227" t="s">
        <v>621</v>
      </c>
      <c r="G227" t="s">
        <v>851</v>
      </c>
      <c r="H227" t="s">
        <v>852</v>
      </c>
      <c r="I227" t="s">
        <v>624</v>
      </c>
      <c r="J227" t="s">
        <v>642</v>
      </c>
      <c r="K227" s="5">
        <v>41892</v>
      </c>
      <c r="L227" s="5">
        <v>41945</v>
      </c>
      <c r="M227" t="s">
        <v>621</v>
      </c>
      <c r="N227" t="s">
        <v>666</v>
      </c>
      <c r="O227" t="s">
        <v>621</v>
      </c>
      <c r="P227" t="s">
        <v>1295</v>
      </c>
    </row>
    <row r="228" spans="2:16" x14ac:dyDescent="0.25">
      <c r="B228">
        <v>5614</v>
      </c>
      <c r="C228" t="s">
        <v>665</v>
      </c>
      <c r="D228" t="s">
        <v>619</v>
      </c>
      <c r="E228" t="s">
        <v>850</v>
      </c>
      <c r="F228" t="s">
        <v>621</v>
      </c>
      <c r="G228" t="s">
        <v>867</v>
      </c>
      <c r="H228" t="s">
        <v>868</v>
      </c>
      <c r="I228" t="s">
        <v>624</v>
      </c>
      <c r="J228" t="s">
        <v>629</v>
      </c>
      <c r="K228" s="5">
        <v>41886</v>
      </c>
      <c r="L228" s="5">
        <v>41901</v>
      </c>
      <c r="M228">
        <v>49663</v>
      </c>
      <c r="N228" t="s">
        <v>666</v>
      </c>
      <c r="O228" t="s">
        <v>621</v>
      </c>
      <c r="P228" t="s">
        <v>1298</v>
      </c>
    </row>
    <row r="229" spans="2:16" x14ac:dyDescent="0.25">
      <c r="B229">
        <v>5578</v>
      </c>
      <c r="C229" t="s">
        <v>665</v>
      </c>
      <c r="D229" t="s">
        <v>619</v>
      </c>
      <c r="E229" t="s">
        <v>850</v>
      </c>
      <c r="F229" t="s">
        <v>621</v>
      </c>
      <c r="G229" t="s">
        <v>870</v>
      </c>
      <c r="H229" t="s">
        <v>871</v>
      </c>
      <c r="I229" t="s">
        <v>624</v>
      </c>
      <c r="J229" t="s">
        <v>629</v>
      </c>
      <c r="K229" s="5">
        <v>41878</v>
      </c>
      <c r="L229" s="5">
        <v>41945</v>
      </c>
      <c r="M229">
        <v>44684</v>
      </c>
      <c r="N229" t="s">
        <v>666</v>
      </c>
      <c r="O229" t="s">
        <v>621</v>
      </c>
      <c r="P229" t="s">
        <v>1300</v>
      </c>
    </row>
    <row r="230" spans="2:16" x14ac:dyDescent="0.25">
      <c r="B230">
        <v>5528</v>
      </c>
      <c r="C230" t="s">
        <v>665</v>
      </c>
      <c r="D230" t="s">
        <v>619</v>
      </c>
      <c r="E230" t="s">
        <v>850</v>
      </c>
      <c r="F230" t="s">
        <v>621</v>
      </c>
      <c r="G230" t="s">
        <v>962</v>
      </c>
      <c r="H230" t="s">
        <v>887</v>
      </c>
      <c r="I230" t="s">
        <v>624</v>
      </c>
      <c r="J230" t="s">
        <v>642</v>
      </c>
      <c r="K230" s="5">
        <v>41863</v>
      </c>
      <c r="L230" s="5">
        <v>42104</v>
      </c>
      <c r="M230">
        <v>48432</v>
      </c>
      <c r="N230" t="s">
        <v>666</v>
      </c>
      <c r="O230" t="s">
        <v>621</v>
      </c>
      <c r="P230" t="s">
        <v>1302</v>
      </c>
    </row>
    <row r="231" spans="2:16" x14ac:dyDescent="0.25">
      <c r="B231">
        <v>5524</v>
      </c>
      <c r="C231" t="s">
        <v>665</v>
      </c>
      <c r="D231" t="s">
        <v>619</v>
      </c>
      <c r="E231" t="s">
        <v>850</v>
      </c>
      <c r="F231" t="s">
        <v>1279</v>
      </c>
      <c r="G231" t="s">
        <v>624</v>
      </c>
      <c r="H231" t="s">
        <v>715</v>
      </c>
      <c r="I231" t="s">
        <v>624</v>
      </c>
      <c r="J231" t="s">
        <v>625</v>
      </c>
      <c r="K231" s="5">
        <v>41861</v>
      </c>
      <c r="L231" s="5">
        <v>42104</v>
      </c>
      <c r="M231">
        <v>48961</v>
      </c>
      <c r="N231" t="s">
        <v>666</v>
      </c>
      <c r="O231" t="s">
        <v>621</v>
      </c>
      <c r="P231" t="s">
        <v>1305</v>
      </c>
    </row>
    <row r="232" spans="2:16" x14ac:dyDescent="0.25">
      <c r="B232">
        <v>5517</v>
      </c>
      <c r="C232" t="s">
        <v>665</v>
      </c>
      <c r="D232" t="s">
        <v>619</v>
      </c>
      <c r="E232" t="s">
        <v>850</v>
      </c>
      <c r="F232" t="s">
        <v>621</v>
      </c>
      <c r="G232" t="s">
        <v>962</v>
      </c>
      <c r="H232" t="s">
        <v>887</v>
      </c>
      <c r="I232" t="s">
        <v>624</v>
      </c>
      <c r="J232" t="s">
        <v>642</v>
      </c>
      <c r="K232" s="5">
        <v>41856</v>
      </c>
      <c r="L232" s="5">
        <v>41897</v>
      </c>
      <c r="M232" t="s">
        <v>621</v>
      </c>
      <c r="N232" t="s">
        <v>666</v>
      </c>
      <c r="O232" t="s">
        <v>621</v>
      </c>
      <c r="P232" t="s">
        <v>1306</v>
      </c>
    </row>
    <row r="233" spans="2:16" x14ac:dyDescent="0.25">
      <c r="B233">
        <v>5499</v>
      </c>
      <c r="C233" t="s">
        <v>665</v>
      </c>
      <c r="D233" t="s">
        <v>619</v>
      </c>
      <c r="E233" t="s">
        <v>850</v>
      </c>
      <c r="F233" t="s">
        <v>718</v>
      </c>
      <c r="G233" t="s">
        <v>962</v>
      </c>
      <c r="H233" t="s">
        <v>887</v>
      </c>
      <c r="I233" t="s">
        <v>624</v>
      </c>
      <c r="J233" t="s">
        <v>629</v>
      </c>
      <c r="K233" s="5">
        <v>41849</v>
      </c>
      <c r="L233" s="5">
        <v>42258</v>
      </c>
      <c r="M233">
        <v>47882</v>
      </c>
      <c r="N233" t="s">
        <v>666</v>
      </c>
      <c r="O233" t="s">
        <v>621</v>
      </c>
      <c r="P233" t="s">
        <v>1310</v>
      </c>
    </row>
    <row r="234" spans="2:16" x14ac:dyDescent="0.25">
      <c r="B234">
        <v>5445</v>
      </c>
      <c r="C234" t="s">
        <v>665</v>
      </c>
      <c r="D234" t="s">
        <v>619</v>
      </c>
      <c r="E234" t="s">
        <v>850</v>
      </c>
      <c r="F234" t="s">
        <v>1232</v>
      </c>
      <c r="G234" t="s">
        <v>962</v>
      </c>
      <c r="H234" t="s">
        <v>887</v>
      </c>
      <c r="I234" t="s">
        <v>624</v>
      </c>
      <c r="J234" t="s">
        <v>625</v>
      </c>
      <c r="K234" s="5">
        <v>41829</v>
      </c>
      <c r="L234" s="5">
        <v>42072</v>
      </c>
      <c r="M234">
        <v>44527</v>
      </c>
      <c r="N234" t="s">
        <v>666</v>
      </c>
      <c r="O234" t="s">
        <v>621</v>
      </c>
      <c r="P234" t="s">
        <v>1315</v>
      </c>
    </row>
    <row r="235" spans="2:16" x14ac:dyDescent="0.25">
      <c r="B235">
        <v>5435</v>
      </c>
      <c r="C235" t="s">
        <v>665</v>
      </c>
      <c r="D235" t="s">
        <v>619</v>
      </c>
      <c r="E235" t="s">
        <v>850</v>
      </c>
      <c r="F235" t="s">
        <v>621</v>
      </c>
      <c r="G235" t="s">
        <v>889</v>
      </c>
      <c r="H235" t="s">
        <v>890</v>
      </c>
      <c r="I235" t="s">
        <v>624</v>
      </c>
      <c r="J235" t="s">
        <v>629</v>
      </c>
      <c r="K235" s="5">
        <v>41822</v>
      </c>
      <c r="L235" s="5">
        <v>42177</v>
      </c>
      <c r="M235" t="s">
        <v>621</v>
      </c>
      <c r="N235" t="s">
        <v>645</v>
      </c>
      <c r="O235" t="s">
        <v>621</v>
      </c>
      <c r="P235" t="s">
        <v>1316</v>
      </c>
    </row>
    <row r="236" spans="2:16" x14ac:dyDescent="0.25">
      <c r="B236">
        <v>5423</v>
      </c>
      <c r="C236" t="s">
        <v>665</v>
      </c>
      <c r="D236" t="s">
        <v>619</v>
      </c>
      <c r="E236" t="s">
        <v>850</v>
      </c>
      <c r="F236" t="s">
        <v>1232</v>
      </c>
      <c r="G236" t="s">
        <v>962</v>
      </c>
      <c r="H236" t="s">
        <v>887</v>
      </c>
      <c r="I236" t="s">
        <v>624</v>
      </c>
      <c r="J236" t="s">
        <v>625</v>
      </c>
      <c r="K236" s="5">
        <v>41820</v>
      </c>
      <c r="L236" s="5">
        <v>42104</v>
      </c>
      <c r="M236">
        <v>54073</v>
      </c>
      <c r="N236" t="s">
        <v>666</v>
      </c>
      <c r="O236" t="s">
        <v>621</v>
      </c>
      <c r="P236" t="s">
        <v>1317</v>
      </c>
    </row>
    <row r="237" spans="2:16" x14ac:dyDescent="0.25">
      <c r="B237">
        <v>5371</v>
      </c>
      <c r="C237" t="s">
        <v>665</v>
      </c>
      <c r="D237" t="s">
        <v>619</v>
      </c>
      <c r="E237" t="s">
        <v>850</v>
      </c>
      <c r="F237" t="s">
        <v>621</v>
      </c>
      <c r="G237" t="s">
        <v>962</v>
      </c>
      <c r="H237" t="s">
        <v>887</v>
      </c>
      <c r="I237" t="s">
        <v>624</v>
      </c>
      <c r="J237" t="s">
        <v>629</v>
      </c>
      <c r="K237" s="5">
        <v>41800</v>
      </c>
      <c r="L237" s="5">
        <v>42114</v>
      </c>
      <c r="M237">
        <v>44430</v>
      </c>
      <c r="N237" t="s">
        <v>666</v>
      </c>
      <c r="O237" t="s">
        <v>621</v>
      </c>
      <c r="P237" t="s">
        <v>1320</v>
      </c>
    </row>
    <row r="238" spans="2:16" x14ac:dyDescent="0.25">
      <c r="B238">
        <v>5365</v>
      </c>
      <c r="C238" t="s">
        <v>665</v>
      </c>
      <c r="D238" t="s">
        <v>619</v>
      </c>
      <c r="E238" t="s">
        <v>850</v>
      </c>
      <c r="F238" t="s">
        <v>621</v>
      </c>
      <c r="G238" t="s">
        <v>889</v>
      </c>
      <c r="H238" t="s">
        <v>890</v>
      </c>
      <c r="I238" t="s">
        <v>624</v>
      </c>
      <c r="J238" t="s">
        <v>642</v>
      </c>
      <c r="K238" s="5">
        <v>41796</v>
      </c>
      <c r="L238" s="5">
        <v>41945</v>
      </c>
      <c r="M238">
        <v>44928</v>
      </c>
      <c r="N238" t="s">
        <v>666</v>
      </c>
      <c r="O238" t="s">
        <v>621</v>
      </c>
      <c r="P238" t="s">
        <v>1321</v>
      </c>
    </row>
    <row r="239" spans="2:16" x14ac:dyDescent="0.25">
      <c r="B239">
        <v>5287</v>
      </c>
      <c r="C239" t="s">
        <v>665</v>
      </c>
      <c r="D239" t="s">
        <v>619</v>
      </c>
      <c r="E239" t="s">
        <v>850</v>
      </c>
      <c r="F239" t="s">
        <v>621</v>
      </c>
      <c r="G239" t="s">
        <v>962</v>
      </c>
      <c r="H239" t="s">
        <v>887</v>
      </c>
      <c r="I239" t="s">
        <v>624</v>
      </c>
      <c r="J239" t="s">
        <v>642</v>
      </c>
      <c r="K239" s="5">
        <v>41771</v>
      </c>
      <c r="L239" s="5">
        <v>42114</v>
      </c>
      <c r="M239">
        <v>19315</v>
      </c>
      <c r="N239" t="s">
        <v>666</v>
      </c>
      <c r="O239" t="s">
        <v>621</v>
      </c>
      <c r="P239" t="s">
        <v>1324</v>
      </c>
    </row>
    <row r="240" spans="2:16" x14ac:dyDescent="0.25">
      <c r="B240">
        <v>5123</v>
      </c>
      <c r="C240" t="s">
        <v>665</v>
      </c>
      <c r="D240" t="s">
        <v>619</v>
      </c>
      <c r="E240" t="s">
        <v>850</v>
      </c>
      <c r="F240" t="s">
        <v>621</v>
      </c>
      <c r="G240" t="s">
        <v>1165</v>
      </c>
      <c r="H240" t="s">
        <v>1166</v>
      </c>
      <c r="I240" t="s">
        <v>624</v>
      </c>
      <c r="J240" t="s">
        <v>642</v>
      </c>
      <c r="K240" s="5">
        <v>41759</v>
      </c>
      <c r="L240" s="5">
        <v>41863</v>
      </c>
      <c r="M240">
        <v>44393</v>
      </c>
      <c r="N240" t="s">
        <v>666</v>
      </c>
      <c r="O240" t="s">
        <v>621</v>
      </c>
      <c r="P240" t="s">
        <v>1326</v>
      </c>
    </row>
    <row r="241" spans="2:16" x14ac:dyDescent="0.25">
      <c r="B241">
        <v>5003</v>
      </c>
      <c r="C241" t="s">
        <v>665</v>
      </c>
      <c r="D241" t="s">
        <v>619</v>
      </c>
      <c r="E241" t="s">
        <v>850</v>
      </c>
      <c r="F241" t="s">
        <v>1279</v>
      </c>
      <c r="G241" t="s">
        <v>1338</v>
      </c>
      <c r="H241" t="s">
        <v>868</v>
      </c>
      <c r="I241" t="s">
        <v>624</v>
      </c>
      <c r="J241" t="s">
        <v>629</v>
      </c>
      <c r="K241" s="5">
        <v>41730</v>
      </c>
      <c r="L241" s="5">
        <v>42104</v>
      </c>
      <c r="M241" t="s">
        <v>1303</v>
      </c>
      <c r="N241" t="s">
        <v>666</v>
      </c>
      <c r="O241" t="s">
        <v>621</v>
      </c>
      <c r="P241" t="s">
        <v>1340</v>
      </c>
    </row>
    <row r="242" spans="2:16" x14ac:dyDescent="0.25">
      <c r="B242">
        <v>4989</v>
      </c>
      <c r="C242" t="s">
        <v>665</v>
      </c>
      <c r="D242" t="s">
        <v>619</v>
      </c>
      <c r="E242" t="s">
        <v>850</v>
      </c>
      <c r="F242" t="s">
        <v>621</v>
      </c>
      <c r="G242" t="s">
        <v>787</v>
      </c>
      <c r="H242" t="s">
        <v>788</v>
      </c>
      <c r="I242" t="s">
        <v>624</v>
      </c>
      <c r="J242" t="s">
        <v>625</v>
      </c>
      <c r="K242" s="5">
        <v>41726</v>
      </c>
      <c r="L242" s="5">
        <v>41928</v>
      </c>
      <c r="M242">
        <v>48309</v>
      </c>
      <c r="N242" t="s">
        <v>666</v>
      </c>
      <c r="O242" t="s">
        <v>621</v>
      </c>
      <c r="P242" t="s">
        <v>1344</v>
      </c>
    </row>
    <row r="243" spans="2:16" x14ac:dyDescent="0.25">
      <c r="B243">
        <v>4945</v>
      </c>
      <c r="C243" t="s">
        <v>665</v>
      </c>
      <c r="D243" t="s">
        <v>619</v>
      </c>
      <c r="E243" t="s">
        <v>850</v>
      </c>
      <c r="F243" t="s">
        <v>621</v>
      </c>
      <c r="G243" t="s">
        <v>851</v>
      </c>
      <c r="H243" t="s">
        <v>852</v>
      </c>
      <c r="I243" t="s">
        <v>624</v>
      </c>
      <c r="J243" t="s">
        <v>629</v>
      </c>
      <c r="K243" s="5">
        <v>41717</v>
      </c>
      <c r="L243" s="5">
        <v>41775</v>
      </c>
      <c r="M243" t="s">
        <v>1348</v>
      </c>
      <c r="N243" t="s">
        <v>666</v>
      </c>
      <c r="O243" t="s">
        <v>621</v>
      </c>
      <c r="P243" t="s">
        <v>1349</v>
      </c>
    </row>
    <row r="244" spans="2:16" x14ac:dyDescent="0.25">
      <c r="B244">
        <v>4703</v>
      </c>
      <c r="C244" t="s">
        <v>665</v>
      </c>
      <c r="D244" t="s">
        <v>619</v>
      </c>
      <c r="E244" t="s">
        <v>850</v>
      </c>
      <c r="F244" t="s">
        <v>621</v>
      </c>
      <c r="G244" t="s">
        <v>962</v>
      </c>
      <c r="H244" t="s">
        <v>887</v>
      </c>
      <c r="I244" t="s">
        <v>624</v>
      </c>
      <c r="J244" t="s">
        <v>625</v>
      </c>
      <c r="K244" s="5">
        <v>41701</v>
      </c>
      <c r="L244" s="5">
        <v>41876</v>
      </c>
      <c r="M244">
        <v>17469</v>
      </c>
      <c r="N244" t="s">
        <v>666</v>
      </c>
      <c r="O244" t="s">
        <v>621</v>
      </c>
      <c r="P244" t="s">
        <v>1353</v>
      </c>
    </row>
    <row r="245" spans="2:16" x14ac:dyDescent="0.25">
      <c r="B245">
        <v>4644</v>
      </c>
      <c r="C245" t="s">
        <v>665</v>
      </c>
      <c r="D245" t="s">
        <v>619</v>
      </c>
      <c r="E245" t="s">
        <v>850</v>
      </c>
      <c r="F245" t="s">
        <v>621</v>
      </c>
      <c r="G245" t="s">
        <v>962</v>
      </c>
      <c r="H245" t="s">
        <v>887</v>
      </c>
      <c r="I245" t="s">
        <v>624</v>
      </c>
      <c r="J245" t="s">
        <v>642</v>
      </c>
      <c r="K245" s="5">
        <v>41682</v>
      </c>
      <c r="L245" s="5">
        <v>41830</v>
      </c>
      <c r="M245">
        <v>38036</v>
      </c>
      <c r="N245" t="s">
        <v>666</v>
      </c>
      <c r="O245" t="s">
        <v>621</v>
      </c>
      <c r="P245" t="s">
        <v>1355</v>
      </c>
    </row>
    <row r="246" spans="2:16" x14ac:dyDescent="0.25">
      <c r="B246">
        <v>4624</v>
      </c>
      <c r="C246" t="s">
        <v>665</v>
      </c>
      <c r="D246" t="s">
        <v>619</v>
      </c>
      <c r="E246" t="s">
        <v>850</v>
      </c>
      <c r="F246" t="s">
        <v>621</v>
      </c>
      <c r="G246" t="s">
        <v>1334</v>
      </c>
      <c r="H246" t="s">
        <v>1260</v>
      </c>
      <c r="I246" t="s">
        <v>624</v>
      </c>
      <c r="J246" t="s">
        <v>629</v>
      </c>
      <c r="K246" s="5">
        <v>41670</v>
      </c>
      <c r="L246" s="5">
        <v>41876</v>
      </c>
      <c r="M246">
        <v>17330</v>
      </c>
      <c r="N246" t="s">
        <v>666</v>
      </c>
      <c r="O246" t="s">
        <v>621</v>
      </c>
      <c r="P246" t="s">
        <v>1356</v>
      </c>
    </row>
    <row r="247" spans="2:16" x14ac:dyDescent="0.25">
      <c r="B247">
        <v>4496</v>
      </c>
      <c r="C247" t="s">
        <v>665</v>
      </c>
      <c r="D247" t="s">
        <v>619</v>
      </c>
      <c r="E247" t="s">
        <v>850</v>
      </c>
      <c r="F247" t="s">
        <v>621</v>
      </c>
      <c r="G247" t="s">
        <v>1334</v>
      </c>
      <c r="H247" t="s">
        <v>1260</v>
      </c>
      <c r="I247" t="s">
        <v>624</v>
      </c>
      <c r="J247" t="s">
        <v>629</v>
      </c>
      <c r="K247" s="5">
        <v>41604</v>
      </c>
      <c r="L247" s="5">
        <v>42015</v>
      </c>
      <c r="M247">
        <v>44499</v>
      </c>
      <c r="N247" t="s">
        <v>626</v>
      </c>
      <c r="O247" t="s">
        <v>621</v>
      </c>
      <c r="P247" t="s">
        <v>1365</v>
      </c>
    </row>
    <row r="248" spans="2:16" x14ac:dyDescent="0.25">
      <c r="B248">
        <v>4495</v>
      </c>
      <c r="C248" t="s">
        <v>665</v>
      </c>
      <c r="D248" t="s">
        <v>619</v>
      </c>
      <c r="E248" t="s">
        <v>850</v>
      </c>
      <c r="F248" t="s">
        <v>621</v>
      </c>
      <c r="G248" t="s">
        <v>624</v>
      </c>
      <c r="H248" t="s">
        <v>715</v>
      </c>
      <c r="I248" t="s">
        <v>624</v>
      </c>
      <c r="J248" t="s">
        <v>642</v>
      </c>
      <c r="K248" s="5">
        <v>41604</v>
      </c>
      <c r="L248" s="5">
        <v>42513</v>
      </c>
      <c r="M248" t="s">
        <v>1507</v>
      </c>
      <c r="N248" t="s">
        <v>666</v>
      </c>
      <c r="O248" t="s">
        <v>621</v>
      </c>
      <c r="P248" t="s">
        <v>1366</v>
      </c>
    </row>
    <row r="249" spans="2:16" x14ac:dyDescent="0.25">
      <c r="B249">
        <v>4477</v>
      </c>
      <c r="C249" t="s">
        <v>665</v>
      </c>
      <c r="D249" t="s">
        <v>619</v>
      </c>
      <c r="E249" t="s">
        <v>850</v>
      </c>
      <c r="F249" t="s">
        <v>1367</v>
      </c>
      <c r="G249" t="s">
        <v>889</v>
      </c>
      <c r="H249" t="s">
        <v>890</v>
      </c>
      <c r="I249" t="s">
        <v>624</v>
      </c>
      <c r="J249" t="s">
        <v>629</v>
      </c>
      <c r="K249" s="5">
        <v>41598</v>
      </c>
      <c r="L249" s="5">
        <v>42104</v>
      </c>
      <c r="M249">
        <v>39807</v>
      </c>
      <c r="N249" t="s">
        <v>666</v>
      </c>
      <c r="O249" t="s">
        <v>621</v>
      </c>
      <c r="P249" t="s">
        <v>1368</v>
      </c>
    </row>
    <row r="250" spans="2:16" x14ac:dyDescent="0.25">
      <c r="B250">
        <v>4456</v>
      </c>
      <c r="C250" t="s">
        <v>633</v>
      </c>
      <c r="D250" t="s">
        <v>619</v>
      </c>
      <c r="E250" t="s">
        <v>850</v>
      </c>
      <c r="F250" t="s">
        <v>621</v>
      </c>
      <c r="G250" t="s">
        <v>1338</v>
      </c>
      <c r="H250" t="s">
        <v>868</v>
      </c>
      <c r="I250" t="s">
        <v>624</v>
      </c>
      <c r="J250" t="s">
        <v>629</v>
      </c>
      <c r="K250" s="5">
        <v>41589</v>
      </c>
      <c r="L250" s="5">
        <v>41708</v>
      </c>
      <c r="M250" t="s">
        <v>621</v>
      </c>
      <c r="N250" t="s">
        <v>666</v>
      </c>
      <c r="O250" t="s">
        <v>621</v>
      </c>
      <c r="P250" t="s">
        <v>1370</v>
      </c>
    </row>
    <row r="251" spans="2:16" x14ac:dyDescent="0.25">
      <c r="B251">
        <v>4322</v>
      </c>
      <c r="C251" t="s">
        <v>633</v>
      </c>
      <c r="D251" t="s">
        <v>619</v>
      </c>
      <c r="E251" t="s">
        <v>850</v>
      </c>
      <c r="F251" t="s">
        <v>621</v>
      </c>
      <c r="G251" t="s">
        <v>1329</v>
      </c>
      <c r="H251" t="s">
        <v>968</v>
      </c>
      <c r="I251" t="s">
        <v>624</v>
      </c>
      <c r="J251" t="s">
        <v>642</v>
      </c>
      <c r="K251" s="5">
        <v>41542</v>
      </c>
      <c r="L251" s="5">
        <v>41626</v>
      </c>
      <c r="M251">
        <v>13121</v>
      </c>
      <c r="N251" t="s">
        <v>666</v>
      </c>
      <c r="O251" t="s">
        <v>621</v>
      </c>
      <c r="P251" t="s">
        <v>1374</v>
      </c>
    </row>
    <row r="252" spans="2:16" x14ac:dyDescent="0.25">
      <c r="B252">
        <v>4310</v>
      </c>
      <c r="C252" t="s">
        <v>665</v>
      </c>
      <c r="D252" t="s">
        <v>619</v>
      </c>
      <c r="E252" t="s">
        <v>850</v>
      </c>
      <c r="F252" t="s">
        <v>621</v>
      </c>
      <c r="G252" t="s">
        <v>962</v>
      </c>
      <c r="H252" t="s">
        <v>887</v>
      </c>
      <c r="I252" t="s">
        <v>624</v>
      </c>
      <c r="J252" t="s">
        <v>642</v>
      </c>
      <c r="K252" s="5">
        <v>41540</v>
      </c>
      <c r="L252" s="5">
        <v>41830</v>
      </c>
      <c r="M252">
        <v>16466</v>
      </c>
      <c r="N252" t="s">
        <v>666</v>
      </c>
      <c r="O252" t="s">
        <v>621</v>
      </c>
      <c r="P252" t="s">
        <v>1375</v>
      </c>
    </row>
    <row r="253" spans="2:16" x14ac:dyDescent="0.25">
      <c r="B253">
        <v>4299</v>
      </c>
      <c r="C253" t="s">
        <v>665</v>
      </c>
      <c r="D253" t="s">
        <v>619</v>
      </c>
      <c r="E253" t="s">
        <v>850</v>
      </c>
      <c r="F253" t="s">
        <v>621</v>
      </c>
      <c r="G253" t="s">
        <v>962</v>
      </c>
      <c r="H253" t="s">
        <v>887</v>
      </c>
      <c r="I253" t="s">
        <v>624</v>
      </c>
      <c r="J253" t="s">
        <v>629</v>
      </c>
      <c r="K253" s="5">
        <v>41534</v>
      </c>
      <c r="L253" s="5">
        <v>42062</v>
      </c>
      <c r="M253">
        <v>15481</v>
      </c>
      <c r="N253" t="s">
        <v>666</v>
      </c>
      <c r="O253" t="s">
        <v>621</v>
      </c>
      <c r="P253" t="s">
        <v>1376</v>
      </c>
    </row>
    <row r="254" spans="2:16" x14ac:dyDescent="0.25">
      <c r="B254">
        <v>4298</v>
      </c>
      <c r="C254" t="s">
        <v>665</v>
      </c>
      <c r="D254" t="s">
        <v>619</v>
      </c>
      <c r="E254" t="s">
        <v>850</v>
      </c>
      <c r="F254" t="s">
        <v>621</v>
      </c>
      <c r="G254" t="s">
        <v>962</v>
      </c>
      <c r="H254" t="s">
        <v>887</v>
      </c>
      <c r="I254" t="s">
        <v>624</v>
      </c>
      <c r="J254" t="s">
        <v>629</v>
      </c>
      <c r="K254" s="5">
        <v>41534</v>
      </c>
      <c r="L254" s="5">
        <v>42062</v>
      </c>
      <c r="M254">
        <v>15578</v>
      </c>
      <c r="N254" t="s">
        <v>666</v>
      </c>
      <c r="O254" t="s">
        <v>621</v>
      </c>
      <c r="P254" t="s">
        <v>1377</v>
      </c>
    </row>
    <row r="255" spans="2:16" x14ac:dyDescent="0.25">
      <c r="B255">
        <v>4270</v>
      </c>
      <c r="C255" t="s">
        <v>665</v>
      </c>
      <c r="D255" t="s">
        <v>619</v>
      </c>
      <c r="E255" t="s">
        <v>850</v>
      </c>
      <c r="F255" t="s">
        <v>1232</v>
      </c>
      <c r="G255" t="s">
        <v>962</v>
      </c>
      <c r="H255" t="s">
        <v>887</v>
      </c>
      <c r="I255" t="s">
        <v>624</v>
      </c>
      <c r="J255" t="s">
        <v>629</v>
      </c>
      <c r="K255" s="5">
        <v>41520</v>
      </c>
      <c r="L255" s="5">
        <v>41990</v>
      </c>
      <c r="M255">
        <v>44598</v>
      </c>
      <c r="N255" t="s">
        <v>666</v>
      </c>
      <c r="O255" t="s">
        <v>621</v>
      </c>
      <c r="P255" t="s">
        <v>1384</v>
      </c>
    </row>
    <row r="256" spans="2:16" x14ac:dyDescent="0.25">
      <c r="B256">
        <v>4127</v>
      </c>
      <c r="C256" t="s">
        <v>665</v>
      </c>
      <c r="D256" t="s">
        <v>619</v>
      </c>
      <c r="E256" t="s">
        <v>850</v>
      </c>
      <c r="F256" t="s">
        <v>621</v>
      </c>
      <c r="G256" t="s">
        <v>1334</v>
      </c>
      <c r="H256" t="s">
        <v>1260</v>
      </c>
      <c r="I256" t="s">
        <v>624</v>
      </c>
      <c r="J256" t="s">
        <v>629</v>
      </c>
      <c r="K256" s="5">
        <v>41457</v>
      </c>
      <c r="L256" s="5">
        <v>41806</v>
      </c>
      <c r="M256" t="s">
        <v>621</v>
      </c>
      <c r="N256" t="s">
        <v>666</v>
      </c>
      <c r="O256" t="s">
        <v>621</v>
      </c>
      <c r="P256" t="s">
        <v>1390</v>
      </c>
    </row>
    <row r="257" spans="2:16" x14ac:dyDescent="0.25">
      <c r="B257">
        <v>4117</v>
      </c>
      <c r="C257" t="s">
        <v>633</v>
      </c>
      <c r="D257" t="s">
        <v>619</v>
      </c>
      <c r="E257" t="s">
        <v>850</v>
      </c>
      <c r="F257" t="s">
        <v>621</v>
      </c>
      <c r="G257" t="s">
        <v>962</v>
      </c>
      <c r="H257" t="s">
        <v>887</v>
      </c>
      <c r="I257" t="s">
        <v>624</v>
      </c>
      <c r="J257" t="s">
        <v>642</v>
      </c>
      <c r="K257" s="5">
        <v>41449</v>
      </c>
      <c r="L257" s="5">
        <v>41626</v>
      </c>
      <c r="M257">
        <v>14458</v>
      </c>
      <c r="N257" t="s">
        <v>666</v>
      </c>
      <c r="O257" t="s">
        <v>621</v>
      </c>
      <c r="P257" t="s">
        <v>1391</v>
      </c>
    </row>
    <row r="258" spans="2:16" x14ac:dyDescent="0.25">
      <c r="B258">
        <v>4089</v>
      </c>
      <c r="C258" t="s">
        <v>665</v>
      </c>
      <c r="D258" t="s">
        <v>619</v>
      </c>
      <c r="E258" t="s">
        <v>850</v>
      </c>
      <c r="F258" t="s">
        <v>621</v>
      </c>
      <c r="G258" t="s">
        <v>962</v>
      </c>
      <c r="H258" t="s">
        <v>887</v>
      </c>
      <c r="I258" t="s">
        <v>624</v>
      </c>
      <c r="J258" t="s">
        <v>625</v>
      </c>
      <c r="K258" s="5">
        <v>41438</v>
      </c>
      <c r="L258" s="5">
        <v>41465</v>
      </c>
      <c r="M258">
        <v>14416</v>
      </c>
      <c r="N258" t="s">
        <v>666</v>
      </c>
      <c r="O258" t="s">
        <v>621</v>
      </c>
      <c r="P258" t="s">
        <v>1393</v>
      </c>
    </row>
    <row r="259" spans="2:16" x14ac:dyDescent="0.25">
      <c r="B259">
        <v>4081</v>
      </c>
      <c r="C259" t="s">
        <v>665</v>
      </c>
      <c r="D259" t="s">
        <v>619</v>
      </c>
      <c r="E259" t="s">
        <v>850</v>
      </c>
      <c r="F259" t="s">
        <v>621</v>
      </c>
      <c r="G259" t="s">
        <v>962</v>
      </c>
      <c r="H259" t="s">
        <v>887</v>
      </c>
      <c r="I259" t="s">
        <v>624</v>
      </c>
      <c r="J259" t="s">
        <v>642</v>
      </c>
      <c r="K259" s="5">
        <v>41436</v>
      </c>
      <c r="L259" s="5">
        <v>41442</v>
      </c>
      <c r="M259" t="s">
        <v>621</v>
      </c>
      <c r="N259" t="s">
        <v>645</v>
      </c>
      <c r="O259" t="s">
        <v>621</v>
      </c>
      <c r="P259" t="s">
        <v>1398</v>
      </c>
    </row>
    <row r="260" spans="2:16" x14ac:dyDescent="0.25">
      <c r="B260">
        <v>4045</v>
      </c>
      <c r="C260" t="s">
        <v>665</v>
      </c>
      <c r="D260" t="s">
        <v>619</v>
      </c>
      <c r="E260" t="s">
        <v>850</v>
      </c>
      <c r="F260" t="s">
        <v>621</v>
      </c>
      <c r="G260" t="s">
        <v>889</v>
      </c>
      <c r="H260" t="s">
        <v>890</v>
      </c>
      <c r="I260" t="s">
        <v>624</v>
      </c>
      <c r="J260" t="s">
        <v>629</v>
      </c>
      <c r="K260" s="5">
        <v>41425</v>
      </c>
      <c r="L260" s="5">
        <v>42062</v>
      </c>
      <c r="M260">
        <v>15578</v>
      </c>
      <c r="N260" t="s">
        <v>666</v>
      </c>
      <c r="O260" t="s">
        <v>621</v>
      </c>
      <c r="P260" t="s">
        <v>1399</v>
      </c>
    </row>
    <row r="261" spans="2:16" x14ac:dyDescent="0.25">
      <c r="B261">
        <v>4043</v>
      </c>
      <c r="C261" t="s">
        <v>665</v>
      </c>
      <c r="D261" t="s">
        <v>619</v>
      </c>
      <c r="E261" t="s">
        <v>850</v>
      </c>
      <c r="F261" t="s">
        <v>621</v>
      </c>
      <c r="G261" t="s">
        <v>889</v>
      </c>
      <c r="H261" t="s">
        <v>890</v>
      </c>
      <c r="I261" t="s">
        <v>624</v>
      </c>
      <c r="J261" t="s">
        <v>629</v>
      </c>
      <c r="K261" s="5">
        <v>41424</v>
      </c>
      <c r="L261" s="5">
        <v>42513</v>
      </c>
      <c r="M261">
        <v>44567</v>
      </c>
      <c r="N261" t="s">
        <v>666</v>
      </c>
      <c r="O261" t="s">
        <v>621</v>
      </c>
      <c r="P261" t="s">
        <v>1400</v>
      </c>
    </row>
    <row r="262" spans="2:16" x14ac:dyDescent="0.25">
      <c r="B262">
        <v>4042</v>
      </c>
      <c r="C262" t="s">
        <v>665</v>
      </c>
      <c r="D262" t="s">
        <v>619</v>
      </c>
      <c r="E262" t="s">
        <v>850</v>
      </c>
      <c r="F262" t="s">
        <v>621</v>
      </c>
      <c r="G262" t="s">
        <v>889</v>
      </c>
      <c r="H262" t="s">
        <v>890</v>
      </c>
      <c r="I262" t="s">
        <v>624</v>
      </c>
      <c r="J262" t="s">
        <v>642</v>
      </c>
      <c r="K262" s="5">
        <v>41424</v>
      </c>
      <c r="L262" s="5">
        <v>41626</v>
      </c>
      <c r="M262" t="s">
        <v>1385</v>
      </c>
      <c r="N262" t="s">
        <v>666</v>
      </c>
      <c r="O262" t="s">
        <v>621</v>
      </c>
      <c r="P262" t="s">
        <v>1401</v>
      </c>
    </row>
    <row r="263" spans="2:16" x14ac:dyDescent="0.25">
      <c r="B263">
        <v>4014</v>
      </c>
      <c r="C263" t="s">
        <v>665</v>
      </c>
      <c r="D263" t="s">
        <v>619</v>
      </c>
      <c r="E263" t="s">
        <v>850</v>
      </c>
      <c r="F263" t="s">
        <v>621</v>
      </c>
      <c r="G263" t="s">
        <v>1407</v>
      </c>
      <c r="H263" t="s">
        <v>1408</v>
      </c>
      <c r="I263" t="s">
        <v>624</v>
      </c>
      <c r="J263" t="s">
        <v>625</v>
      </c>
      <c r="K263" s="5">
        <v>41416</v>
      </c>
      <c r="L263" s="5">
        <v>41626</v>
      </c>
      <c r="M263">
        <v>13270</v>
      </c>
      <c r="N263" t="s">
        <v>666</v>
      </c>
      <c r="O263" t="s">
        <v>621</v>
      </c>
      <c r="P263" t="s">
        <v>1409</v>
      </c>
    </row>
    <row r="264" spans="2:16" x14ac:dyDescent="0.25">
      <c r="B264">
        <v>4010</v>
      </c>
      <c r="C264" t="s">
        <v>665</v>
      </c>
      <c r="D264" t="s">
        <v>619</v>
      </c>
      <c r="E264" t="s">
        <v>850</v>
      </c>
      <c r="F264" t="s">
        <v>621</v>
      </c>
      <c r="G264" t="s">
        <v>1407</v>
      </c>
      <c r="H264" t="s">
        <v>1412</v>
      </c>
      <c r="I264" t="s">
        <v>624</v>
      </c>
      <c r="J264" t="s">
        <v>629</v>
      </c>
      <c r="K264" s="5">
        <v>41415</v>
      </c>
      <c r="L264" s="5">
        <v>41626</v>
      </c>
      <c r="M264">
        <v>13515</v>
      </c>
      <c r="N264" t="s">
        <v>666</v>
      </c>
      <c r="O264" t="s">
        <v>621</v>
      </c>
      <c r="P264" t="s">
        <v>1413</v>
      </c>
    </row>
    <row r="265" spans="2:16" x14ac:dyDescent="0.25">
      <c r="B265">
        <v>4009</v>
      </c>
      <c r="C265" t="s">
        <v>665</v>
      </c>
      <c r="D265" t="s">
        <v>619</v>
      </c>
      <c r="E265" t="s">
        <v>850</v>
      </c>
      <c r="F265" t="s">
        <v>1414</v>
      </c>
      <c r="G265" t="s">
        <v>1407</v>
      </c>
      <c r="H265" t="s">
        <v>1408</v>
      </c>
      <c r="I265" t="s">
        <v>624</v>
      </c>
      <c r="J265" t="s">
        <v>629</v>
      </c>
      <c r="K265" s="5">
        <v>41415</v>
      </c>
      <c r="L265" s="5">
        <v>42114</v>
      </c>
      <c r="M265">
        <v>45360</v>
      </c>
      <c r="N265" t="s">
        <v>666</v>
      </c>
      <c r="O265" t="s">
        <v>621</v>
      </c>
      <c r="P265" t="s">
        <v>1415</v>
      </c>
    </row>
    <row r="266" spans="2:16" x14ac:dyDescent="0.25">
      <c r="B266">
        <v>4007</v>
      </c>
      <c r="C266" t="s">
        <v>665</v>
      </c>
      <c r="D266" t="s">
        <v>619</v>
      </c>
      <c r="E266" t="s">
        <v>850</v>
      </c>
      <c r="F266" t="s">
        <v>621</v>
      </c>
      <c r="G266" t="s">
        <v>1407</v>
      </c>
      <c r="H266" t="s">
        <v>1408</v>
      </c>
      <c r="I266" t="s">
        <v>624</v>
      </c>
      <c r="J266" t="s">
        <v>625</v>
      </c>
      <c r="K266" s="5">
        <v>41415</v>
      </c>
      <c r="L266" s="5">
        <v>41626</v>
      </c>
      <c r="M266">
        <v>13219</v>
      </c>
      <c r="N266" t="s">
        <v>666</v>
      </c>
      <c r="O266" t="s">
        <v>621</v>
      </c>
      <c r="P266" t="s">
        <v>1417</v>
      </c>
    </row>
    <row r="267" spans="2:16" x14ac:dyDescent="0.25">
      <c r="B267">
        <v>3925</v>
      </c>
      <c r="C267" t="s">
        <v>665</v>
      </c>
      <c r="D267" t="s">
        <v>619</v>
      </c>
      <c r="E267" t="s">
        <v>850</v>
      </c>
      <c r="F267" t="s">
        <v>621</v>
      </c>
      <c r="G267" t="s">
        <v>962</v>
      </c>
      <c r="H267" t="s">
        <v>887</v>
      </c>
      <c r="I267" t="s">
        <v>624</v>
      </c>
      <c r="J267" t="s">
        <v>642</v>
      </c>
      <c r="K267" s="5">
        <v>41373</v>
      </c>
      <c r="L267" s="5">
        <v>41575</v>
      </c>
      <c r="M267" t="s">
        <v>621</v>
      </c>
      <c r="N267" t="s">
        <v>666</v>
      </c>
      <c r="O267" t="s">
        <v>621</v>
      </c>
      <c r="P267" t="s">
        <v>1425</v>
      </c>
    </row>
    <row r="268" spans="2:16" x14ac:dyDescent="0.25">
      <c r="B268">
        <v>3923</v>
      </c>
      <c r="C268" t="s">
        <v>665</v>
      </c>
      <c r="D268" t="s">
        <v>619</v>
      </c>
      <c r="E268" t="s">
        <v>850</v>
      </c>
      <c r="F268" t="s">
        <v>621</v>
      </c>
      <c r="G268" t="s">
        <v>962</v>
      </c>
      <c r="H268" t="s">
        <v>887</v>
      </c>
      <c r="I268" t="s">
        <v>624</v>
      </c>
      <c r="J268" t="s">
        <v>629</v>
      </c>
      <c r="K268" s="5">
        <v>41373</v>
      </c>
      <c r="L268" s="5">
        <v>41465</v>
      </c>
      <c r="M268">
        <v>13360</v>
      </c>
      <c r="N268" t="s">
        <v>666</v>
      </c>
      <c r="O268" t="s">
        <v>621</v>
      </c>
      <c r="P268" t="s">
        <v>1427</v>
      </c>
    </row>
    <row r="269" spans="2:16" x14ac:dyDescent="0.25">
      <c r="B269">
        <v>3882</v>
      </c>
      <c r="C269" t="s">
        <v>665</v>
      </c>
      <c r="D269" t="s">
        <v>619</v>
      </c>
      <c r="E269" t="s">
        <v>850</v>
      </c>
      <c r="F269" t="s">
        <v>621</v>
      </c>
      <c r="G269" t="s">
        <v>962</v>
      </c>
      <c r="H269" t="s">
        <v>887</v>
      </c>
      <c r="I269" t="s">
        <v>624</v>
      </c>
      <c r="J269" t="s">
        <v>625</v>
      </c>
      <c r="K269" s="5">
        <v>41358</v>
      </c>
      <c r="L269" s="5">
        <v>41465</v>
      </c>
      <c r="M269" t="s">
        <v>621</v>
      </c>
      <c r="N269" t="s">
        <v>666</v>
      </c>
      <c r="O269" t="s">
        <v>621</v>
      </c>
      <c r="P269" t="s">
        <v>1432</v>
      </c>
    </row>
    <row r="270" spans="2:16" x14ac:dyDescent="0.25">
      <c r="B270">
        <v>3864</v>
      </c>
      <c r="C270" t="s">
        <v>633</v>
      </c>
      <c r="D270" t="s">
        <v>619</v>
      </c>
      <c r="E270" t="s">
        <v>850</v>
      </c>
      <c r="F270" t="s">
        <v>621</v>
      </c>
      <c r="G270" t="s">
        <v>1334</v>
      </c>
      <c r="H270" t="s">
        <v>1260</v>
      </c>
      <c r="I270" t="s">
        <v>624</v>
      </c>
      <c r="J270" t="s">
        <v>629</v>
      </c>
      <c r="K270" s="5">
        <v>41353</v>
      </c>
      <c r="L270" s="5">
        <v>41340</v>
      </c>
      <c r="M270" t="s">
        <v>621</v>
      </c>
      <c r="N270" t="s">
        <v>645</v>
      </c>
      <c r="O270" t="s">
        <v>621</v>
      </c>
      <c r="P270" t="s">
        <v>1434</v>
      </c>
    </row>
    <row r="271" spans="2:16" x14ac:dyDescent="0.25">
      <c r="B271">
        <v>3818</v>
      </c>
      <c r="C271" t="s">
        <v>665</v>
      </c>
      <c r="D271" t="s">
        <v>619</v>
      </c>
      <c r="E271" t="s">
        <v>850</v>
      </c>
      <c r="F271" t="s">
        <v>621</v>
      </c>
      <c r="G271" t="s">
        <v>962</v>
      </c>
      <c r="H271" t="s">
        <v>887</v>
      </c>
      <c r="I271" t="s">
        <v>624</v>
      </c>
      <c r="J271" t="s">
        <v>642</v>
      </c>
      <c r="K271" s="5">
        <v>41337</v>
      </c>
      <c r="L271" s="5">
        <v>41407</v>
      </c>
      <c r="M271">
        <v>8687</v>
      </c>
      <c r="N271" t="s">
        <v>666</v>
      </c>
      <c r="O271" t="s">
        <v>621</v>
      </c>
      <c r="P271" t="s">
        <v>1436</v>
      </c>
    </row>
    <row r="272" spans="2:16" x14ac:dyDescent="0.25">
      <c r="B272">
        <v>3765</v>
      </c>
      <c r="C272" t="s">
        <v>665</v>
      </c>
      <c r="D272" t="s">
        <v>619</v>
      </c>
      <c r="E272" t="s">
        <v>850</v>
      </c>
      <c r="F272" t="s">
        <v>621</v>
      </c>
      <c r="G272" t="s">
        <v>889</v>
      </c>
      <c r="H272" t="s">
        <v>890</v>
      </c>
      <c r="I272" t="s">
        <v>624</v>
      </c>
      <c r="J272" t="s">
        <v>625</v>
      </c>
      <c r="K272" s="5">
        <v>41317</v>
      </c>
      <c r="L272" s="5">
        <v>41465</v>
      </c>
      <c r="M272">
        <v>12714</v>
      </c>
      <c r="N272" t="s">
        <v>666</v>
      </c>
      <c r="O272" t="s">
        <v>621</v>
      </c>
      <c r="P272" t="s">
        <v>1439</v>
      </c>
    </row>
    <row r="273" spans="2:16" x14ac:dyDescent="0.25">
      <c r="B273">
        <v>3731</v>
      </c>
      <c r="C273" t="s">
        <v>665</v>
      </c>
      <c r="D273" t="s">
        <v>619</v>
      </c>
      <c r="E273" t="s">
        <v>850</v>
      </c>
      <c r="F273" t="s">
        <v>621</v>
      </c>
      <c r="G273" t="s">
        <v>962</v>
      </c>
      <c r="H273" t="s">
        <v>887</v>
      </c>
      <c r="I273" t="s">
        <v>624</v>
      </c>
      <c r="J273" t="s">
        <v>629</v>
      </c>
      <c r="K273" s="5">
        <v>41305</v>
      </c>
      <c r="L273" s="5">
        <v>41340</v>
      </c>
      <c r="M273">
        <v>12771</v>
      </c>
      <c r="N273" t="s">
        <v>666</v>
      </c>
      <c r="O273" t="s">
        <v>621</v>
      </c>
      <c r="P273" t="s">
        <v>1442</v>
      </c>
    </row>
    <row r="274" spans="2:16" x14ac:dyDescent="0.25">
      <c r="B274">
        <v>3729</v>
      </c>
      <c r="C274" t="s">
        <v>633</v>
      </c>
      <c r="D274" t="s">
        <v>619</v>
      </c>
      <c r="E274" t="s">
        <v>850</v>
      </c>
      <c r="F274" t="s">
        <v>621</v>
      </c>
      <c r="G274" t="s">
        <v>962</v>
      </c>
      <c r="H274" t="s">
        <v>887</v>
      </c>
      <c r="I274" t="s">
        <v>624</v>
      </c>
      <c r="J274" t="s">
        <v>642</v>
      </c>
      <c r="K274" s="5">
        <v>41305</v>
      </c>
      <c r="L274" s="5">
        <v>41415</v>
      </c>
      <c r="M274" t="s">
        <v>621</v>
      </c>
      <c r="N274" t="s">
        <v>645</v>
      </c>
      <c r="O274" t="s">
        <v>621</v>
      </c>
      <c r="P274" t="s">
        <v>1443</v>
      </c>
    </row>
    <row r="275" spans="2:16" x14ac:dyDescent="0.25">
      <c r="B275">
        <v>3720</v>
      </c>
      <c r="C275" t="s">
        <v>633</v>
      </c>
      <c r="D275" t="s">
        <v>619</v>
      </c>
      <c r="E275" t="s">
        <v>850</v>
      </c>
      <c r="F275" t="s">
        <v>621</v>
      </c>
      <c r="G275" t="s">
        <v>962</v>
      </c>
      <c r="H275" t="s">
        <v>887</v>
      </c>
      <c r="I275" t="s">
        <v>624</v>
      </c>
      <c r="J275" t="s">
        <v>629</v>
      </c>
      <c r="K275" s="5">
        <v>41303</v>
      </c>
      <c r="L275" s="5">
        <v>41465</v>
      </c>
      <c r="M275">
        <v>13655</v>
      </c>
      <c r="N275" t="s">
        <v>666</v>
      </c>
      <c r="O275" t="s">
        <v>621</v>
      </c>
      <c r="P275" t="s">
        <v>1444</v>
      </c>
    </row>
    <row r="276" spans="2:16" x14ac:dyDescent="0.25">
      <c r="B276">
        <v>3718</v>
      </c>
      <c r="C276" t="s">
        <v>665</v>
      </c>
      <c r="D276" t="s">
        <v>619</v>
      </c>
      <c r="E276" t="s">
        <v>850</v>
      </c>
      <c r="F276" t="s">
        <v>621</v>
      </c>
      <c r="G276" t="s">
        <v>962</v>
      </c>
      <c r="H276" t="s">
        <v>887</v>
      </c>
      <c r="I276" t="s">
        <v>624</v>
      </c>
      <c r="J276" t="s">
        <v>642</v>
      </c>
      <c r="K276" s="5">
        <v>41302</v>
      </c>
      <c r="L276" s="5">
        <v>41465</v>
      </c>
      <c r="M276">
        <v>12546</v>
      </c>
      <c r="N276" t="s">
        <v>666</v>
      </c>
      <c r="O276" t="s">
        <v>621</v>
      </c>
      <c r="P276" t="s">
        <v>1445</v>
      </c>
    </row>
    <row r="277" spans="2:16" x14ac:dyDescent="0.25">
      <c r="B277">
        <v>3696</v>
      </c>
      <c r="C277" t="s">
        <v>633</v>
      </c>
      <c r="D277" t="s">
        <v>619</v>
      </c>
      <c r="E277" t="s">
        <v>850</v>
      </c>
      <c r="F277" t="s">
        <v>621</v>
      </c>
      <c r="G277" t="s">
        <v>962</v>
      </c>
      <c r="H277" t="s">
        <v>887</v>
      </c>
      <c r="I277" t="s">
        <v>624</v>
      </c>
      <c r="J277" t="s">
        <v>629</v>
      </c>
      <c r="K277" s="5">
        <v>41292</v>
      </c>
      <c r="L277" s="5">
        <v>41340</v>
      </c>
      <c r="M277" t="s">
        <v>621</v>
      </c>
      <c r="N277" t="s">
        <v>666</v>
      </c>
      <c r="O277" t="s">
        <v>621</v>
      </c>
      <c r="P277" t="s">
        <v>1447</v>
      </c>
    </row>
    <row r="278" spans="2:16" x14ac:dyDescent="0.25">
      <c r="B278">
        <v>3695</v>
      </c>
      <c r="C278" t="s">
        <v>665</v>
      </c>
      <c r="D278" t="s">
        <v>619</v>
      </c>
      <c r="E278" t="s">
        <v>850</v>
      </c>
      <c r="F278" t="s">
        <v>621</v>
      </c>
      <c r="G278" t="s">
        <v>962</v>
      </c>
      <c r="H278" t="s">
        <v>887</v>
      </c>
      <c r="I278" t="s">
        <v>624</v>
      </c>
      <c r="J278" t="s">
        <v>629</v>
      </c>
      <c r="K278" s="5">
        <v>41292</v>
      </c>
      <c r="L278" s="5">
        <v>41465</v>
      </c>
      <c r="M278">
        <v>11740</v>
      </c>
      <c r="N278" t="s">
        <v>666</v>
      </c>
      <c r="O278" t="s">
        <v>621</v>
      </c>
      <c r="P278" t="s">
        <v>1448</v>
      </c>
    </row>
    <row r="279" spans="2:16" x14ac:dyDescent="0.25">
      <c r="B279">
        <v>3685</v>
      </c>
      <c r="C279" t="s">
        <v>633</v>
      </c>
      <c r="D279" t="s">
        <v>619</v>
      </c>
      <c r="E279" t="s">
        <v>850</v>
      </c>
      <c r="F279" t="s">
        <v>621</v>
      </c>
      <c r="G279" t="s">
        <v>962</v>
      </c>
      <c r="H279" t="s">
        <v>887</v>
      </c>
      <c r="I279" t="s">
        <v>624</v>
      </c>
      <c r="J279" t="s">
        <v>629</v>
      </c>
      <c r="K279" s="5">
        <v>41289</v>
      </c>
      <c r="L279" s="5">
        <v>41465</v>
      </c>
      <c r="M279">
        <v>12714</v>
      </c>
      <c r="N279" t="s">
        <v>666</v>
      </c>
      <c r="O279" t="s">
        <v>621</v>
      </c>
      <c r="P279" t="s">
        <v>1449</v>
      </c>
    </row>
    <row r="280" spans="2:16" x14ac:dyDescent="0.25">
      <c r="B280">
        <v>3659</v>
      </c>
      <c r="C280" t="s">
        <v>665</v>
      </c>
      <c r="D280" t="s">
        <v>619</v>
      </c>
      <c r="E280" t="s">
        <v>850</v>
      </c>
      <c r="F280" t="s">
        <v>621</v>
      </c>
      <c r="G280" t="s">
        <v>962</v>
      </c>
      <c r="H280" t="s">
        <v>887</v>
      </c>
      <c r="I280" t="s">
        <v>624</v>
      </c>
      <c r="J280" t="s">
        <v>625</v>
      </c>
      <c r="K280" s="5">
        <v>41282</v>
      </c>
      <c r="L280" s="5">
        <v>41477</v>
      </c>
      <c r="M280">
        <v>12425</v>
      </c>
      <c r="N280" t="s">
        <v>645</v>
      </c>
      <c r="O280" t="s">
        <v>621</v>
      </c>
      <c r="P280" t="s">
        <v>1455</v>
      </c>
    </row>
    <row r="281" spans="2:16" x14ac:dyDescent="0.25">
      <c r="B281">
        <v>3658</v>
      </c>
      <c r="C281" t="s">
        <v>633</v>
      </c>
      <c r="D281" t="s">
        <v>619</v>
      </c>
      <c r="E281" t="s">
        <v>850</v>
      </c>
      <c r="F281" t="s">
        <v>621</v>
      </c>
      <c r="G281" t="s">
        <v>1334</v>
      </c>
      <c r="H281" t="s">
        <v>1260</v>
      </c>
      <c r="I281" t="s">
        <v>624</v>
      </c>
      <c r="J281" t="s">
        <v>625</v>
      </c>
      <c r="K281" s="5">
        <v>41282</v>
      </c>
      <c r="L281" s="5">
        <v>41298</v>
      </c>
      <c r="M281">
        <v>12427</v>
      </c>
      <c r="N281" t="s">
        <v>680</v>
      </c>
      <c r="O281" t="s">
        <v>621</v>
      </c>
      <c r="P281" t="s">
        <v>1456</v>
      </c>
    </row>
    <row r="282" spans="2:16" x14ac:dyDescent="0.25">
      <c r="B282">
        <v>3633</v>
      </c>
      <c r="C282" t="s">
        <v>665</v>
      </c>
      <c r="D282" t="s">
        <v>619</v>
      </c>
      <c r="E282" t="s">
        <v>850</v>
      </c>
      <c r="F282" t="s">
        <v>621</v>
      </c>
      <c r="G282" t="s">
        <v>962</v>
      </c>
      <c r="H282" t="s">
        <v>887</v>
      </c>
      <c r="I282" t="s">
        <v>624</v>
      </c>
      <c r="J282" t="s">
        <v>629</v>
      </c>
      <c r="K282" s="5">
        <v>41261</v>
      </c>
      <c r="L282" s="5">
        <v>41465</v>
      </c>
      <c r="M282">
        <v>12291</v>
      </c>
      <c r="N282" t="s">
        <v>666</v>
      </c>
      <c r="O282" t="s">
        <v>621</v>
      </c>
      <c r="P282" t="s">
        <v>1460</v>
      </c>
    </row>
    <row r="283" spans="2:16" x14ac:dyDescent="0.25">
      <c r="B283">
        <v>3615</v>
      </c>
      <c r="C283" t="s">
        <v>633</v>
      </c>
      <c r="D283" t="s">
        <v>619</v>
      </c>
      <c r="E283" t="s">
        <v>850</v>
      </c>
      <c r="F283" t="s">
        <v>1461</v>
      </c>
      <c r="G283" t="s">
        <v>962</v>
      </c>
      <c r="H283" t="s">
        <v>887</v>
      </c>
      <c r="I283" t="s">
        <v>624</v>
      </c>
      <c r="J283" t="s">
        <v>629</v>
      </c>
      <c r="K283" s="5">
        <v>41250</v>
      </c>
      <c r="L283" s="5">
        <v>41465</v>
      </c>
      <c r="M283">
        <v>12331</v>
      </c>
      <c r="N283" t="s">
        <v>666</v>
      </c>
      <c r="O283" t="s">
        <v>621</v>
      </c>
      <c r="P283" t="s">
        <v>1462</v>
      </c>
    </row>
    <row r="284" spans="2:16" x14ac:dyDescent="0.25">
      <c r="B284">
        <v>3577</v>
      </c>
      <c r="C284" t="s">
        <v>665</v>
      </c>
      <c r="D284" t="s">
        <v>619</v>
      </c>
      <c r="E284" t="s">
        <v>850</v>
      </c>
      <c r="F284" t="s">
        <v>621</v>
      </c>
      <c r="G284" t="s">
        <v>962</v>
      </c>
      <c r="H284" t="s">
        <v>887</v>
      </c>
      <c r="I284" t="s">
        <v>624</v>
      </c>
      <c r="J284" t="s">
        <v>629</v>
      </c>
      <c r="K284" s="5">
        <v>41242</v>
      </c>
      <c r="L284" s="5">
        <v>41465</v>
      </c>
      <c r="M284">
        <v>12237</v>
      </c>
      <c r="N284" t="s">
        <v>666</v>
      </c>
      <c r="O284" t="s">
        <v>621</v>
      </c>
      <c r="P284" t="s">
        <v>1468</v>
      </c>
    </row>
    <row r="285" spans="2:16" x14ac:dyDescent="0.25">
      <c r="B285">
        <v>3478</v>
      </c>
      <c r="C285" t="s">
        <v>665</v>
      </c>
      <c r="D285" t="s">
        <v>619</v>
      </c>
      <c r="E285" t="s">
        <v>850</v>
      </c>
      <c r="F285" t="s">
        <v>621</v>
      </c>
      <c r="G285" t="s">
        <v>889</v>
      </c>
      <c r="H285" t="s">
        <v>890</v>
      </c>
      <c r="I285" t="s">
        <v>624</v>
      </c>
      <c r="J285" t="s">
        <v>625</v>
      </c>
      <c r="K285" s="5">
        <v>41187</v>
      </c>
      <c r="L285" s="5">
        <v>41340</v>
      </c>
      <c r="M285">
        <v>11174</v>
      </c>
      <c r="N285" t="s">
        <v>666</v>
      </c>
      <c r="O285" t="s">
        <v>621</v>
      </c>
      <c r="P285" t="s">
        <v>1473</v>
      </c>
    </row>
    <row r="286" spans="2:16" x14ac:dyDescent="0.25">
      <c r="B286">
        <v>3385</v>
      </c>
      <c r="C286" t="s">
        <v>665</v>
      </c>
      <c r="D286" t="s">
        <v>619</v>
      </c>
      <c r="E286" t="s">
        <v>850</v>
      </c>
      <c r="F286" t="s">
        <v>621</v>
      </c>
      <c r="G286" t="s">
        <v>962</v>
      </c>
      <c r="H286" t="s">
        <v>887</v>
      </c>
      <c r="I286" t="s">
        <v>624</v>
      </c>
      <c r="J286" t="s">
        <v>625</v>
      </c>
      <c r="K286" s="5">
        <v>41163</v>
      </c>
      <c r="L286" s="5">
        <v>41340</v>
      </c>
      <c r="M286">
        <v>10502</v>
      </c>
      <c r="N286" t="s">
        <v>666</v>
      </c>
      <c r="O286" t="s">
        <v>621</v>
      </c>
      <c r="P286" t="s">
        <v>1474</v>
      </c>
    </row>
    <row r="287" spans="2:16" x14ac:dyDescent="0.25">
      <c r="B287">
        <v>3351</v>
      </c>
      <c r="C287" t="s">
        <v>665</v>
      </c>
      <c r="D287" t="s">
        <v>619</v>
      </c>
      <c r="E287" t="s">
        <v>850</v>
      </c>
      <c r="F287" t="s">
        <v>1478</v>
      </c>
      <c r="G287" t="s">
        <v>1402</v>
      </c>
      <c r="H287" t="s">
        <v>890</v>
      </c>
      <c r="I287" t="s">
        <v>624</v>
      </c>
      <c r="J287" t="s">
        <v>625</v>
      </c>
      <c r="K287" s="5">
        <v>41150</v>
      </c>
      <c r="L287" s="5">
        <v>41340</v>
      </c>
      <c r="M287">
        <v>12149</v>
      </c>
      <c r="N287" t="s">
        <v>666</v>
      </c>
      <c r="O287" t="s">
        <v>621</v>
      </c>
      <c r="P287" t="s">
        <v>1479</v>
      </c>
    </row>
    <row r="288" spans="2:16" x14ac:dyDescent="0.25">
      <c r="B288">
        <v>3332</v>
      </c>
      <c r="C288" t="s">
        <v>665</v>
      </c>
      <c r="D288" t="s">
        <v>619</v>
      </c>
      <c r="E288" t="s">
        <v>850</v>
      </c>
      <c r="F288" t="s">
        <v>621</v>
      </c>
      <c r="G288" t="s">
        <v>1334</v>
      </c>
      <c r="H288" t="s">
        <v>1260</v>
      </c>
      <c r="I288" t="s">
        <v>624</v>
      </c>
      <c r="J288" t="s">
        <v>629</v>
      </c>
      <c r="K288" s="5">
        <v>41130</v>
      </c>
      <c r="L288" s="5">
        <v>41340</v>
      </c>
      <c r="M288" t="s">
        <v>621</v>
      </c>
      <c r="N288" t="s">
        <v>666</v>
      </c>
      <c r="O288" t="s">
        <v>621</v>
      </c>
      <c r="P288" t="s">
        <v>1483</v>
      </c>
    </row>
    <row r="289" spans="2:16" x14ac:dyDescent="0.25">
      <c r="B289">
        <v>3272</v>
      </c>
      <c r="C289" t="s">
        <v>633</v>
      </c>
      <c r="D289" t="s">
        <v>619</v>
      </c>
      <c r="E289" t="s">
        <v>850</v>
      </c>
      <c r="F289" t="s">
        <v>621</v>
      </c>
      <c r="G289" t="s">
        <v>962</v>
      </c>
      <c r="H289" t="s">
        <v>887</v>
      </c>
      <c r="I289" t="s">
        <v>624</v>
      </c>
      <c r="J289" t="s">
        <v>629</v>
      </c>
      <c r="K289" s="5">
        <v>41102</v>
      </c>
      <c r="L289" s="5">
        <v>41465</v>
      </c>
      <c r="M289">
        <v>12231</v>
      </c>
      <c r="N289" t="s">
        <v>666</v>
      </c>
      <c r="O289" t="s">
        <v>621</v>
      </c>
      <c r="P289" t="s">
        <v>1485</v>
      </c>
    </row>
    <row r="290" spans="2:16" x14ac:dyDescent="0.25">
      <c r="B290">
        <v>3233</v>
      </c>
      <c r="C290" t="s">
        <v>665</v>
      </c>
      <c r="D290" t="s">
        <v>619</v>
      </c>
      <c r="E290" t="s">
        <v>850</v>
      </c>
      <c r="F290" t="s">
        <v>621</v>
      </c>
      <c r="G290" t="s">
        <v>1407</v>
      </c>
      <c r="H290" t="s">
        <v>890</v>
      </c>
      <c r="I290" t="s">
        <v>624</v>
      </c>
      <c r="J290" t="s">
        <v>625</v>
      </c>
      <c r="K290" s="5">
        <v>41075</v>
      </c>
      <c r="L290" s="5">
        <v>41211</v>
      </c>
      <c r="M290">
        <v>8009</v>
      </c>
      <c r="N290" t="s">
        <v>666</v>
      </c>
      <c r="O290" t="s">
        <v>621</v>
      </c>
      <c r="P290" t="s">
        <v>1486</v>
      </c>
    </row>
    <row r="291" spans="2:16" x14ac:dyDescent="0.25">
      <c r="B291">
        <v>3222</v>
      </c>
      <c r="C291" t="s">
        <v>665</v>
      </c>
      <c r="D291" t="s">
        <v>619</v>
      </c>
      <c r="E291" t="s">
        <v>850</v>
      </c>
      <c r="F291" t="s">
        <v>621</v>
      </c>
      <c r="G291" t="s">
        <v>889</v>
      </c>
      <c r="H291" t="s">
        <v>890</v>
      </c>
      <c r="I291" t="s">
        <v>624</v>
      </c>
      <c r="J291" t="s">
        <v>625</v>
      </c>
      <c r="K291" s="5">
        <v>41074</v>
      </c>
      <c r="L291" s="5">
        <v>41340</v>
      </c>
      <c r="M291">
        <v>10955</v>
      </c>
      <c r="N291" t="s">
        <v>666</v>
      </c>
      <c r="O291" t="s">
        <v>621</v>
      </c>
      <c r="P291" t="s">
        <v>1489</v>
      </c>
    </row>
    <row r="292" spans="2:16" x14ac:dyDescent="0.25">
      <c r="B292">
        <v>3134</v>
      </c>
      <c r="C292" t="s">
        <v>633</v>
      </c>
      <c r="D292" t="s">
        <v>619</v>
      </c>
      <c r="E292" t="s">
        <v>850</v>
      </c>
      <c r="F292" t="s">
        <v>621</v>
      </c>
      <c r="G292" t="s">
        <v>889</v>
      </c>
      <c r="H292" t="s">
        <v>890</v>
      </c>
      <c r="I292" t="s">
        <v>624</v>
      </c>
      <c r="J292" t="s">
        <v>629</v>
      </c>
      <c r="K292" s="5">
        <v>41019.296354166669</v>
      </c>
      <c r="L292" s="5">
        <v>41166</v>
      </c>
      <c r="M292">
        <v>8189</v>
      </c>
      <c r="N292" t="s">
        <v>666</v>
      </c>
      <c r="O292" t="s">
        <v>621</v>
      </c>
      <c r="P292" t="s">
        <v>1493</v>
      </c>
    </row>
    <row r="293" spans="2:16" x14ac:dyDescent="0.25">
      <c r="B293">
        <v>3002</v>
      </c>
      <c r="C293" t="s">
        <v>665</v>
      </c>
      <c r="D293" t="s">
        <v>619</v>
      </c>
      <c r="E293" t="s">
        <v>850</v>
      </c>
      <c r="F293" t="s">
        <v>621</v>
      </c>
      <c r="G293" t="s">
        <v>889</v>
      </c>
      <c r="H293" t="s">
        <v>890</v>
      </c>
      <c r="I293" t="s">
        <v>624</v>
      </c>
      <c r="J293" t="s">
        <v>629</v>
      </c>
      <c r="K293" s="5">
        <v>40973.45553240741</v>
      </c>
      <c r="L293" s="5">
        <v>41465</v>
      </c>
      <c r="M293">
        <v>12341</v>
      </c>
      <c r="N293" t="s">
        <v>666</v>
      </c>
      <c r="O293" t="s">
        <v>621</v>
      </c>
      <c r="P293" t="s">
        <v>1496</v>
      </c>
    </row>
  </sheetData>
  <autoFilter ref="B1:P224"/>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B1:P25"/>
  <sheetViews>
    <sheetView workbookViewId="0">
      <pane ySplit="1" topLeftCell="A2" activePane="bottomLeft" state="frozen"/>
      <selection pane="bottomLeft" activeCell="A2" sqref="A2"/>
    </sheetView>
  </sheetViews>
  <sheetFormatPr defaultRowHeight="15" x14ac:dyDescent="0.25"/>
  <cols>
    <col min="11" max="11" width="14.85546875" bestFit="1" customWidth="1"/>
    <col min="12" max="12" width="15.85546875" bestFit="1" customWidth="1"/>
  </cols>
  <sheetData>
    <row r="1" spans="2:16" x14ac:dyDescent="0.25">
      <c r="B1" t="s">
        <v>604</v>
      </c>
      <c r="C1" t="s">
        <v>605</v>
      </c>
      <c r="D1" t="s">
        <v>4055</v>
      </c>
      <c r="E1" t="s">
        <v>606</v>
      </c>
      <c r="F1" t="s">
        <v>607</v>
      </c>
      <c r="G1" t="s">
        <v>608</v>
      </c>
      <c r="H1" t="s">
        <v>609</v>
      </c>
      <c r="I1" t="s">
        <v>610</v>
      </c>
      <c r="J1" t="s">
        <v>611</v>
      </c>
      <c r="K1" t="s">
        <v>612</v>
      </c>
      <c r="L1" t="s">
        <v>613</v>
      </c>
      <c r="M1" t="s">
        <v>614</v>
      </c>
      <c r="N1" t="s">
        <v>615</v>
      </c>
      <c r="O1" t="s">
        <v>616</v>
      </c>
      <c r="P1" t="s">
        <v>617</v>
      </c>
    </row>
    <row r="2" spans="2:16" x14ac:dyDescent="0.25">
      <c r="B2">
        <v>20767</v>
      </c>
      <c r="C2" t="s">
        <v>665</v>
      </c>
      <c r="D2" t="s">
        <v>619</v>
      </c>
      <c r="E2" t="s">
        <v>850</v>
      </c>
      <c r="F2" t="s">
        <v>621</v>
      </c>
      <c r="G2" t="s">
        <v>855</v>
      </c>
      <c r="H2" t="s">
        <v>856</v>
      </c>
      <c r="I2" t="s">
        <v>624</v>
      </c>
      <c r="J2" t="s">
        <v>625</v>
      </c>
      <c r="K2" s="5">
        <v>43326.411192129628</v>
      </c>
      <c r="L2" s="5">
        <v>43398.738194444442</v>
      </c>
      <c r="M2">
        <v>118041</v>
      </c>
      <c r="N2" t="s">
        <v>636</v>
      </c>
      <c r="O2" t="s">
        <v>621</v>
      </c>
      <c r="P2" t="s">
        <v>4726</v>
      </c>
    </row>
    <row r="3" spans="2:16" x14ac:dyDescent="0.25">
      <c r="B3">
        <v>20297</v>
      </c>
      <c r="C3" t="s">
        <v>665</v>
      </c>
      <c r="D3" t="s">
        <v>619</v>
      </c>
      <c r="E3" t="s">
        <v>850</v>
      </c>
      <c r="F3" t="s">
        <v>621</v>
      </c>
      <c r="G3" t="s">
        <v>855</v>
      </c>
      <c r="H3" t="s">
        <v>856</v>
      </c>
      <c r="I3" t="s">
        <v>624</v>
      </c>
      <c r="J3" t="s">
        <v>625</v>
      </c>
      <c r="K3" s="5">
        <v>43251.341585648152</v>
      </c>
      <c r="L3" s="5">
        <v>43398.720138888886</v>
      </c>
      <c r="M3">
        <v>116456</v>
      </c>
      <c r="N3" t="s">
        <v>636</v>
      </c>
      <c r="O3" t="s">
        <v>621</v>
      </c>
      <c r="P3" t="s">
        <v>4489</v>
      </c>
    </row>
    <row r="4" spans="2:16" x14ac:dyDescent="0.25">
      <c r="B4">
        <v>19992</v>
      </c>
      <c r="C4" t="s">
        <v>618</v>
      </c>
      <c r="D4" t="s">
        <v>619</v>
      </c>
      <c r="E4" t="s">
        <v>850</v>
      </c>
      <c r="F4" t="s">
        <v>621</v>
      </c>
      <c r="G4" t="s">
        <v>855</v>
      </c>
      <c r="H4" t="s">
        <v>856</v>
      </c>
      <c r="I4" t="s">
        <v>624</v>
      </c>
      <c r="J4" t="s">
        <v>625</v>
      </c>
      <c r="K4" s="5">
        <v>43202.123680555553</v>
      </c>
      <c r="M4">
        <v>113294</v>
      </c>
      <c r="N4" t="s">
        <v>637</v>
      </c>
      <c r="O4" t="s">
        <v>621</v>
      </c>
      <c r="P4" t="s">
        <v>4511</v>
      </c>
    </row>
    <row r="5" spans="2:16" x14ac:dyDescent="0.25">
      <c r="B5">
        <v>19688</v>
      </c>
      <c r="C5" t="s">
        <v>665</v>
      </c>
      <c r="D5" t="s">
        <v>619</v>
      </c>
      <c r="E5" t="s">
        <v>850</v>
      </c>
      <c r="F5" t="s">
        <v>621</v>
      </c>
      <c r="G5" t="s">
        <v>851</v>
      </c>
      <c r="H5" t="s">
        <v>852</v>
      </c>
      <c r="I5" t="s">
        <v>624</v>
      </c>
      <c r="J5" t="s">
        <v>625</v>
      </c>
      <c r="K5" s="5">
        <v>43154.028993055559</v>
      </c>
      <c r="L5" s="5">
        <v>43206.713194444441</v>
      </c>
      <c r="M5" t="s">
        <v>621</v>
      </c>
      <c r="N5" t="s">
        <v>636</v>
      </c>
      <c r="O5" t="s">
        <v>621</v>
      </c>
      <c r="P5" t="s">
        <v>4531</v>
      </c>
    </row>
    <row r="6" spans="2:16" x14ac:dyDescent="0.25">
      <c r="B6">
        <v>19643</v>
      </c>
      <c r="C6" t="s">
        <v>641</v>
      </c>
      <c r="D6" t="s">
        <v>619</v>
      </c>
      <c r="E6" t="s">
        <v>850</v>
      </c>
      <c r="F6" t="s">
        <v>621</v>
      </c>
      <c r="G6" t="s">
        <v>851</v>
      </c>
      <c r="H6" t="s">
        <v>859</v>
      </c>
      <c r="I6" t="s">
        <v>624</v>
      </c>
      <c r="J6" t="s">
        <v>625</v>
      </c>
      <c r="K6" s="5">
        <v>43146.071435185186</v>
      </c>
      <c r="M6">
        <v>112169</v>
      </c>
      <c r="N6" t="s">
        <v>649</v>
      </c>
      <c r="O6" t="s">
        <v>621</v>
      </c>
      <c r="P6" t="s">
        <v>4537</v>
      </c>
    </row>
    <row r="7" spans="2:16" x14ac:dyDescent="0.25">
      <c r="B7">
        <v>19490</v>
      </c>
      <c r="C7" t="s">
        <v>665</v>
      </c>
      <c r="D7" t="s">
        <v>619</v>
      </c>
      <c r="E7" t="s">
        <v>850</v>
      </c>
      <c r="F7" t="s">
        <v>621</v>
      </c>
      <c r="G7" t="s">
        <v>889</v>
      </c>
      <c r="H7" t="s">
        <v>890</v>
      </c>
      <c r="I7" t="s">
        <v>624</v>
      </c>
      <c r="J7" t="s">
        <v>625</v>
      </c>
      <c r="K7" s="5">
        <v>43125.532812500001</v>
      </c>
      <c r="L7" s="5">
        <v>43395.590277777781</v>
      </c>
      <c r="M7">
        <v>94325</v>
      </c>
      <c r="N7" t="s">
        <v>645</v>
      </c>
      <c r="O7" t="s">
        <v>621</v>
      </c>
      <c r="P7" t="s">
        <v>4549</v>
      </c>
    </row>
    <row r="8" spans="2:16" x14ac:dyDescent="0.25">
      <c r="B8">
        <v>19420</v>
      </c>
      <c r="C8" t="s">
        <v>665</v>
      </c>
      <c r="D8" t="s">
        <v>619</v>
      </c>
      <c r="E8" t="s">
        <v>850</v>
      </c>
      <c r="F8" t="s">
        <v>621</v>
      </c>
      <c r="G8" t="s">
        <v>853</v>
      </c>
      <c r="H8" t="s">
        <v>876</v>
      </c>
      <c r="I8" t="s">
        <v>624</v>
      </c>
      <c r="J8" t="s">
        <v>625</v>
      </c>
      <c r="K8" s="5">
        <v>43117.282986111109</v>
      </c>
      <c r="L8" s="5">
        <v>43398.70208333333</v>
      </c>
      <c r="M8">
        <v>106559</v>
      </c>
      <c r="N8" t="s">
        <v>636</v>
      </c>
      <c r="O8" t="s">
        <v>621</v>
      </c>
      <c r="P8" t="s">
        <v>4557</v>
      </c>
    </row>
    <row r="9" spans="2:16" x14ac:dyDescent="0.25">
      <c r="B9">
        <v>18953</v>
      </c>
      <c r="C9" t="s">
        <v>665</v>
      </c>
      <c r="D9" t="s">
        <v>619</v>
      </c>
      <c r="E9" t="s">
        <v>850</v>
      </c>
      <c r="F9" t="s">
        <v>621</v>
      </c>
      <c r="G9" t="s">
        <v>851</v>
      </c>
      <c r="H9" t="s">
        <v>852</v>
      </c>
      <c r="I9" t="s">
        <v>624</v>
      </c>
      <c r="J9" t="s">
        <v>625</v>
      </c>
      <c r="K9" s="5">
        <v>43041.300011574072</v>
      </c>
      <c r="L9" s="5">
        <v>43123.318749999999</v>
      </c>
      <c r="M9" t="s">
        <v>621</v>
      </c>
      <c r="N9" t="s">
        <v>636</v>
      </c>
      <c r="O9" t="s">
        <v>621</v>
      </c>
      <c r="P9" t="s">
        <v>878</v>
      </c>
    </row>
    <row r="10" spans="2:16" x14ac:dyDescent="0.25">
      <c r="B10">
        <v>18321</v>
      </c>
      <c r="C10" t="s">
        <v>665</v>
      </c>
      <c r="D10" t="s">
        <v>619</v>
      </c>
      <c r="E10" t="s">
        <v>850</v>
      </c>
      <c r="F10" t="s">
        <v>621</v>
      </c>
      <c r="G10" t="s">
        <v>886</v>
      </c>
      <c r="H10" t="s">
        <v>887</v>
      </c>
      <c r="I10" t="s">
        <v>624</v>
      </c>
      <c r="J10" t="s">
        <v>625</v>
      </c>
      <c r="K10" s="5">
        <v>42956.383055555554</v>
      </c>
      <c r="L10" s="5">
        <v>43332.310416666667</v>
      </c>
      <c r="M10">
        <v>99116</v>
      </c>
      <c r="N10" t="s">
        <v>636</v>
      </c>
      <c r="O10" t="s">
        <v>621</v>
      </c>
      <c r="P10" t="s">
        <v>918</v>
      </c>
    </row>
    <row r="11" spans="2:16" x14ac:dyDescent="0.25">
      <c r="B11">
        <v>18071</v>
      </c>
      <c r="C11" t="s">
        <v>665</v>
      </c>
      <c r="D11" t="s">
        <v>619</v>
      </c>
      <c r="E11" t="s">
        <v>850</v>
      </c>
      <c r="F11" t="s">
        <v>621</v>
      </c>
      <c r="G11" t="s">
        <v>867</v>
      </c>
      <c r="H11" t="s">
        <v>868</v>
      </c>
      <c r="I11" t="s">
        <v>624</v>
      </c>
      <c r="J11" t="s">
        <v>625</v>
      </c>
      <c r="K11" s="5">
        <v>42922.329976851855</v>
      </c>
      <c r="L11" s="5">
        <v>43143.695833333331</v>
      </c>
      <c r="M11">
        <v>101917</v>
      </c>
      <c r="N11" t="s">
        <v>645</v>
      </c>
      <c r="O11" t="s">
        <v>621</v>
      </c>
      <c r="P11" t="s">
        <v>932</v>
      </c>
    </row>
    <row r="12" spans="2:16" x14ac:dyDescent="0.25">
      <c r="B12">
        <v>17415</v>
      </c>
      <c r="C12" t="s">
        <v>665</v>
      </c>
      <c r="D12" t="s">
        <v>619</v>
      </c>
      <c r="E12" t="s">
        <v>850</v>
      </c>
      <c r="F12" t="s">
        <v>621</v>
      </c>
      <c r="G12" t="s">
        <v>962</v>
      </c>
      <c r="H12" t="s">
        <v>887</v>
      </c>
      <c r="I12" t="s">
        <v>624</v>
      </c>
      <c r="J12" t="s">
        <v>625</v>
      </c>
      <c r="K12" s="5">
        <v>42845</v>
      </c>
      <c r="L12" s="5">
        <v>43108.62222222222</v>
      </c>
      <c r="M12">
        <v>99774</v>
      </c>
      <c r="N12" t="s">
        <v>666</v>
      </c>
      <c r="O12" t="s">
        <v>621</v>
      </c>
      <c r="P12" t="s">
        <v>963</v>
      </c>
    </row>
    <row r="13" spans="2:16" x14ac:dyDescent="0.25">
      <c r="B13">
        <v>11800</v>
      </c>
      <c r="C13" t="s">
        <v>633</v>
      </c>
      <c r="D13" t="s">
        <v>619</v>
      </c>
      <c r="E13" t="s">
        <v>850</v>
      </c>
      <c r="F13" t="s">
        <v>621</v>
      </c>
      <c r="G13" t="s">
        <v>853</v>
      </c>
      <c r="H13" t="s">
        <v>876</v>
      </c>
      <c r="I13" t="s">
        <v>624</v>
      </c>
      <c r="J13" t="s">
        <v>625</v>
      </c>
      <c r="K13" s="5">
        <v>42604</v>
      </c>
      <c r="L13" s="5">
        <v>43325.399340277778</v>
      </c>
      <c r="M13">
        <v>87193</v>
      </c>
      <c r="N13" t="s">
        <v>645</v>
      </c>
      <c r="O13" t="s">
        <v>621</v>
      </c>
      <c r="P13" t="s">
        <v>1052</v>
      </c>
    </row>
    <row r="14" spans="2:16" x14ac:dyDescent="0.25">
      <c r="B14">
        <v>10394</v>
      </c>
      <c r="C14" t="s">
        <v>665</v>
      </c>
      <c r="D14" t="s">
        <v>619</v>
      </c>
      <c r="E14" t="s">
        <v>850</v>
      </c>
      <c r="F14" t="s">
        <v>621</v>
      </c>
      <c r="G14" t="s">
        <v>851</v>
      </c>
      <c r="H14" t="s">
        <v>852</v>
      </c>
      <c r="I14" t="s">
        <v>624</v>
      </c>
      <c r="J14" t="s">
        <v>629</v>
      </c>
      <c r="K14" s="5">
        <v>42430</v>
      </c>
      <c r="L14" s="5">
        <v>42702.51458333333</v>
      </c>
      <c r="M14">
        <v>52179</v>
      </c>
      <c r="N14" t="s">
        <v>666</v>
      </c>
      <c r="O14" t="s">
        <v>621</v>
      </c>
      <c r="P14" t="s">
        <v>4564</v>
      </c>
    </row>
    <row r="15" spans="2:16" x14ac:dyDescent="0.25">
      <c r="B15">
        <v>8789</v>
      </c>
      <c r="C15" t="s">
        <v>665</v>
      </c>
      <c r="D15" t="s">
        <v>619</v>
      </c>
      <c r="E15" t="s">
        <v>850</v>
      </c>
      <c r="F15" t="s">
        <v>621</v>
      </c>
      <c r="G15" t="s">
        <v>889</v>
      </c>
      <c r="H15" t="s">
        <v>890</v>
      </c>
      <c r="I15" t="s">
        <v>624</v>
      </c>
      <c r="J15" t="s">
        <v>625</v>
      </c>
      <c r="K15" s="5">
        <v>42228</v>
      </c>
      <c r="L15" s="5">
        <v>42371</v>
      </c>
      <c r="M15">
        <v>68467</v>
      </c>
      <c r="N15" t="s">
        <v>666</v>
      </c>
      <c r="O15" t="s">
        <v>621</v>
      </c>
      <c r="P15" t="s">
        <v>1168</v>
      </c>
    </row>
    <row r="16" spans="2:16" x14ac:dyDescent="0.25">
      <c r="B16">
        <v>7908</v>
      </c>
      <c r="C16" t="s">
        <v>665</v>
      </c>
      <c r="D16" t="s">
        <v>619</v>
      </c>
      <c r="E16" t="s">
        <v>850</v>
      </c>
      <c r="F16" t="s">
        <v>621</v>
      </c>
      <c r="G16" t="s">
        <v>855</v>
      </c>
      <c r="H16" t="s">
        <v>856</v>
      </c>
      <c r="I16" t="s">
        <v>624</v>
      </c>
      <c r="J16" t="s">
        <v>625</v>
      </c>
      <c r="K16" s="5">
        <v>42184</v>
      </c>
      <c r="L16" s="5">
        <v>42258</v>
      </c>
      <c r="M16">
        <v>62765</v>
      </c>
      <c r="N16" t="s">
        <v>666</v>
      </c>
      <c r="O16" t="s">
        <v>621</v>
      </c>
      <c r="P16" t="s">
        <v>1177</v>
      </c>
    </row>
    <row r="17" spans="2:16" x14ac:dyDescent="0.25">
      <c r="B17">
        <v>5915</v>
      </c>
      <c r="C17" t="s">
        <v>665</v>
      </c>
      <c r="D17" t="s">
        <v>619</v>
      </c>
      <c r="E17" t="s">
        <v>850</v>
      </c>
      <c r="F17" t="s">
        <v>1285</v>
      </c>
      <c r="G17" t="s">
        <v>851</v>
      </c>
      <c r="H17" t="s">
        <v>852</v>
      </c>
      <c r="I17" t="s">
        <v>624</v>
      </c>
      <c r="J17" t="s">
        <v>625</v>
      </c>
      <c r="K17" s="5">
        <v>41919</v>
      </c>
      <c r="L17" s="5">
        <v>42485</v>
      </c>
      <c r="M17">
        <v>57664</v>
      </c>
      <c r="N17" t="s">
        <v>666</v>
      </c>
      <c r="O17" t="s">
        <v>621</v>
      </c>
      <c r="P17" t="s">
        <v>1286</v>
      </c>
    </row>
    <row r="18" spans="2:16" x14ac:dyDescent="0.25">
      <c r="B18">
        <v>5003</v>
      </c>
      <c r="C18" t="s">
        <v>665</v>
      </c>
      <c r="D18" t="s">
        <v>619</v>
      </c>
      <c r="E18" t="s">
        <v>850</v>
      </c>
      <c r="F18" t="s">
        <v>1279</v>
      </c>
      <c r="G18" t="s">
        <v>1338</v>
      </c>
      <c r="H18" t="s">
        <v>868</v>
      </c>
      <c r="I18" t="s">
        <v>624</v>
      </c>
      <c r="J18" t="s">
        <v>629</v>
      </c>
      <c r="K18" s="5">
        <v>41730</v>
      </c>
      <c r="L18" s="5">
        <v>42104</v>
      </c>
      <c r="M18" t="s">
        <v>1303</v>
      </c>
      <c r="N18" t="s">
        <v>666</v>
      </c>
      <c r="O18" t="s">
        <v>621</v>
      </c>
      <c r="P18" t="s">
        <v>1340</v>
      </c>
    </row>
    <row r="19" spans="2:16" x14ac:dyDescent="0.25">
      <c r="B19">
        <v>4989</v>
      </c>
      <c r="C19" t="s">
        <v>665</v>
      </c>
      <c r="D19" t="s">
        <v>619</v>
      </c>
      <c r="E19" t="s">
        <v>850</v>
      </c>
      <c r="F19" t="s">
        <v>621</v>
      </c>
      <c r="G19" t="s">
        <v>787</v>
      </c>
      <c r="H19" t="s">
        <v>788</v>
      </c>
      <c r="I19" t="s">
        <v>624</v>
      </c>
      <c r="J19" t="s">
        <v>625</v>
      </c>
      <c r="K19" s="5">
        <v>41726</v>
      </c>
      <c r="L19" s="5">
        <v>41928</v>
      </c>
      <c r="M19">
        <v>48309</v>
      </c>
      <c r="N19" t="s">
        <v>666</v>
      </c>
      <c r="O19" t="s">
        <v>621</v>
      </c>
      <c r="P19" t="s">
        <v>1344</v>
      </c>
    </row>
    <row r="20" spans="2:16" x14ac:dyDescent="0.25">
      <c r="B20">
        <v>4495</v>
      </c>
      <c r="C20" t="s">
        <v>665</v>
      </c>
      <c r="D20" t="s">
        <v>619</v>
      </c>
      <c r="E20" t="s">
        <v>850</v>
      </c>
      <c r="F20" t="s">
        <v>621</v>
      </c>
      <c r="G20" t="s">
        <v>624</v>
      </c>
      <c r="H20" t="s">
        <v>715</v>
      </c>
      <c r="I20" t="s">
        <v>624</v>
      </c>
      <c r="J20" t="s">
        <v>642</v>
      </c>
      <c r="K20" s="5">
        <v>41604</v>
      </c>
      <c r="L20" s="5">
        <v>42513</v>
      </c>
      <c r="M20" t="s">
        <v>1507</v>
      </c>
      <c r="N20" t="s">
        <v>666</v>
      </c>
      <c r="O20" t="s">
        <v>621</v>
      </c>
      <c r="P20" t="s">
        <v>1366</v>
      </c>
    </row>
    <row r="21" spans="2:16" x14ac:dyDescent="0.25">
      <c r="B21">
        <v>4043</v>
      </c>
      <c r="C21" t="s">
        <v>665</v>
      </c>
      <c r="D21" t="s">
        <v>619</v>
      </c>
      <c r="E21" t="s">
        <v>850</v>
      </c>
      <c r="F21" t="s">
        <v>621</v>
      </c>
      <c r="G21" t="s">
        <v>889</v>
      </c>
      <c r="H21" t="s">
        <v>890</v>
      </c>
      <c r="I21" t="s">
        <v>624</v>
      </c>
      <c r="J21" t="s">
        <v>629</v>
      </c>
      <c r="K21" s="5">
        <v>41424</v>
      </c>
      <c r="L21" s="5">
        <v>42513</v>
      </c>
      <c r="M21">
        <v>44567</v>
      </c>
      <c r="N21" t="s">
        <v>666</v>
      </c>
      <c r="O21" t="s">
        <v>621</v>
      </c>
      <c r="P21" t="s">
        <v>1400</v>
      </c>
    </row>
    <row r="22" spans="2:16" x14ac:dyDescent="0.25">
      <c r="B22">
        <v>4024</v>
      </c>
      <c r="C22" t="s">
        <v>665</v>
      </c>
      <c r="D22" t="s">
        <v>619</v>
      </c>
      <c r="E22" t="s">
        <v>850</v>
      </c>
      <c r="F22" t="s">
        <v>621</v>
      </c>
      <c r="G22" t="s">
        <v>1338</v>
      </c>
      <c r="H22" t="s">
        <v>868</v>
      </c>
      <c r="I22" t="s">
        <v>624</v>
      </c>
      <c r="J22" t="s">
        <v>642</v>
      </c>
      <c r="K22" s="5">
        <v>41417</v>
      </c>
      <c r="L22" s="5">
        <v>41477</v>
      </c>
      <c r="M22" t="s">
        <v>621</v>
      </c>
      <c r="N22" t="s">
        <v>666</v>
      </c>
      <c r="O22" t="s">
        <v>621</v>
      </c>
      <c r="P22" t="s">
        <v>1406</v>
      </c>
    </row>
    <row r="23" spans="2:16" x14ac:dyDescent="0.25">
      <c r="B23">
        <v>4014</v>
      </c>
      <c r="C23" t="s">
        <v>665</v>
      </c>
      <c r="D23" t="s">
        <v>619</v>
      </c>
      <c r="E23" t="s">
        <v>850</v>
      </c>
      <c r="F23" t="s">
        <v>621</v>
      </c>
      <c r="G23" t="s">
        <v>1407</v>
      </c>
      <c r="H23" t="s">
        <v>1408</v>
      </c>
      <c r="I23" t="s">
        <v>624</v>
      </c>
      <c r="J23" t="s">
        <v>625</v>
      </c>
      <c r="K23" s="5">
        <v>41416</v>
      </c>
      <c r="L23" s="5">
        <v>41626</v>
      </c>
      <c r="M23">
        <v>13270</v>
      </c>
      <c r="N23" t="s">
        <v>666</v>
      </c>
      <c r="O23" t="s">
        <v>621</v>
      </c>
      <c r="P23" t="s">
        <v>1409</v>
      </c>
    </row>
    <row r="24" spans="2:16" x14ac:dyDescent="0.25">
      <c r="B24">
        <v>3659</v>
      </c>
      <c r="C24" t="s">
        <v>665</v>
      </c>
      <c r="D24" t="s">
        <v>619</v>
      </c>
      <c r="E24" t="s">
        <v>850</v>
      </c>
      <c r="F24" t="s">
        <v>621</v>
      </c>
      <c r="G24" t="s">
        <v>962</v>
      </c>
      <c r="H24" t="s">
        <v>887</v>
      </c>
      <c r="I24" t="s">
        <v>624</v>
      </c>
      <c r="J24" t="s">
        <v>625</v>
      </c>
      <c r="K24" s="5">
        <v>41282</v>
      </c>
      <c r="L24" s="5">
        <v>41477</v>
      </c>
      <c r="M24">
        <v>12425</v>
      </c>
      <c r="N24" t="s">
        <v>645</v>
      </c>
      <c r="O24" t="s">
        <v>621</v>
      </c>
      <c r="P24" t="s">
        <v>1455</v>
      </c>
    </row>
    <row r="25" spans="2:16" x14ac:dyDescent="0.25">
      <c r="B25">
        <v>3332</v>
      </c>
      <c r="C25" t="s">
        <v>665</v>
      </c>
      <c r="D25" t="s">
        <v>619</v>
      </c>
      <c r="E25" t="s">
        <v>850</v>
      </c>
      <c r="F25" t="s">
        <v>621</v>
      </c>
      <c r="G25" t="s">
        <v>1334</v>
      </c>
      <c r="H25" t="s">
        <v>1260</v>
      </c>
      <c r="I25" t="s">
        <v>624</v>
      </c>
      <c r="J25" t="s">
        <v>629</v>
      </c>
      <c r="K25" s="5">
        <v>41130</v>
      </c>
      <c r="L25" s="5">
        <v>41340</v>
      </c>
      <c r="M25" t="s">
        <v>621</v>
      </c>
      <c r="N25" t="s">
        <v>666</v>
      </c>
      <c r="O25" t="s">
        <v>621</v>
      </c>
      <c r="P25" t="s">
        <v>1483</v>
      </c>
    </row>
  </sheetData>
  <autoFilter ref="B1:P17"/>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B1:P19"/>
  <sheetViews>
    <sheetView workbookViewId="0">
      <pane ySplit="1" topLeftCell="A2" activePane="bottomLeft" state="frozen"/>
      <selection pane="bottomLeft" activeCell="A2" sqref="A2"/>
    </sheetView>
  </sheetViews>
  <sheetFormatPr defaultRowHeight="15" x14ac:dyDescent="0.25"/>
  <sheetData>
    <row r="1" spans="2:16" x14ac:dyDescent="0.25">
      <c r="B1" t="s">
        <v>604</v>
      </c>
      <c r="C1" t="s">
        <v>605</v>
      </c>
      <c r="D1" t="s">
        <v>4055</v>
      </c>
      <c r="E1" t="s">
        <v>606</v>
      </c>
      <c r="F1" t="s">
        <v>607</v>
      </c>
      <c r="G1" t="s">
        <v>608</v>
      </c>
      <c r="H1" t="s">
        <v>609</v>
      </c>
      <c r="I1" t="s">
        <v>610</v>
      </c>
      <c r="J1" t="s">
        <v>611</v>
      </c>
      <c r="K1" t="s">
        <v>612</v>
      </c>
      <c r="L1" t="s">
        <v>613</v>
      </c>
      <c r="M1" t="s">
        <v>614</v>
      </c>
      <c r="N1" t="s">
        <v>615</v>
      </c>
      <c r="O1" t="s">
        <v>616</v>
      </c>
      <c r="P1" t="s">
        <v>617</v>
      </c>
    </row>
    <row r="2" spans="2:16" x14ac:dyDescent="0.25">
      <c r="B2">
        <v>20297</v>
      </c>
      <c r="C2" t="s">
        <v>665</v>
      </c>
      <c r="D2" t="s">
        <v>619</v>
      </c>
      <c r="E2" t="s">
        <v>850</v>
      </c>
      <c r="F2" t="s">
        <v>621</v>
      </c>
      <c r="G2" t="s">
        <v>855</v>
      </c>
      <c r="H2" t="s">
        <v>856</v>
      </c>
      <c r="I2" t="s">
        <v>624</v>
      </c>
      <c r="J2" t="s">
        <v>625</v>
      </c>
      <c r="K2" s="5">
        <v>43251.341585648152</v>
      </c>
      <c r="L2" s="5">
        <v>43398.720138888886</v>
      </c>
      <c r="M2">
        <v>116456</v>
      </c>
      <c r="N2" t="s">
        <v>636</v>
      </c>
      <c r="O2" t="s">
        <v>621</v>
      </c>
      <c r="P2" t="s">
        <v>4489</v>
      </c>
    </row>
    <row r="3" spans="2:16" x14ac:dyDescent="0.25">
      <c r="B3">
        <v>19688</v>
      </c>
      <c r="C3" t="s">
        <v>665</v>
      </c>
      <c r="D3" t="s">
        <v>619</v>
      </c>
      <c r="E3" t="s">
        <v>850</v>
      </c>
      <c r="F3" t="s">
        <v>621</v>
      </c>
      <c r="G3" t="s">
        <v>851</v>
      </c>
      <c r="H3" t="s">
        <v>852</v>
      </c>
      <c r="I3" t="s">
        <v>624</v>
      </c>
      <c r="J3" t="s">
        <v>625</v>
      </c>
      <c r="K3" s="5">
        <v>43154.028993055559</v>
      </c>
      <c r="L3" s="5">
        <v>43206.713194444441</v>
      </c>
      <c r="M3" t="s">
        <v>621</v>
      </c>
      <c r="N3" t="s">
        <v>636</v>
      </c>
      <c r="O3" t="s">
        <v>621</v>
      </c>
      <c r="P3" t="s">
        <v>4531</v>
      </c>
    </row>
    <row r="4" spans="2:16" x14ac:dyDescent="0.25">
      <c r="B4">
        <v>19490</v>
      </c>
      <c r="C4" t="s">
        <v>665</v>
      </c>
      <c r="D4" t="s">
        <v>619</v>
      </c>
      <c r="E4" t="s">
        <v>850</v>
      </c>
      <c r="F4" t="s">
        <v>621</v>
      </c>
      <c r="G4" t="s">
        <v>889</v>
      </c>
      <c r="H4" t="s">
        <v>890</v>
      </c>
      <c r="I4" t="s">
        <v>624</v>
      </c>
      <c r="J4" t="s">
        <v>625</v>
      </c>
      <c r="K4" s="5">
        <v>43125.532812500001</v>
      </c>
      <c r="L4" s="5">
        <v>43395.590277777781</v>
      </c>
      <c r="M4">
        <v>94325</v>
      </c>
      <c r="N4" t="s">
        <v>645</v>
      </c>
      <c r="O4" t="s">
        <v>621</v>
      </c>
      <c r="P4" t="s">
        <v>4549</v>
      </c>
    </row>
    <row r="5" spans="2:16" x14ac:dyDescent="0.25">
      <c r="B5">
        <v>19420</v>
      </c>
      <c r="C5" t="s">
        <v>665</v>
      </c>
      <c r="D5" t="s">
        <v>619</v>
      </c>
      <c r="E5" t="s">
        <v>850</v>
      </c>
      <c r="F5" t="s">
        <v>621</v>
      </c>
      <c r="G5" t="s">
        <v>853</v>
      </c>
      <c r="H5" t="s">
        <v>876</v>
      </c>
      <c r="I5" t="s">
        <v>624</v>
      </c>
      <c r="J5" t="s">
        <v>625</v>
      </c>
      <c r="K5" s="5">
        <v>43117.282986111109</v>
      </c>
      <c r="L5" s="5">
        <v>43398.70208333333</v>
      </c>
      <c r="M5">
        <v>106559</v>
      </c>
      <c r="N5" t="s">
        <v>636</v>
      </c>
      <c r="O5" t="s">
        <v>621</v>
      </c>
      <c r="P5" t="s">
        <v>4557</v>
      </c>
    </row>
    <row r="6" spans="2:16" x14ac:dyDescent="0.25">
      <c r="B6">
        <v>18953</v>
      </c>
      <c r="C6" t="s">
        <v>665</v>
      </c>
      <c r="D6" t="s">
        <v>619</v>
      </c>
      <c r="E6" t="s">
        <v>850</v>
      </c>
      <c r="F6" t="s">
        <v>621</v>
      </c>
      <c r="G6" t="s">
        <v>851</v>
      </c>
      <c r="H6" t="s">
        <v>852</v>
      </c>
      <c r="I6" t="s">
        <v>624</v>
      </c>
      <c r="J6" t="s">
        <v>625</v>
      </c>
      <c r="K6" s="5">
        <v>43041.300011574072</v>
      </c>
      <c r="L6" s="5">
        <v>43123.318749999999</v>
      </c>
      <c r="M6" t="s">
        <v>621</v>
      </c>
      <c r="N6" t="s">
        <v>636</v>
      </c>
      <c r="O6" t="s">
        <v>621</v>
      </c>
      <c r="P6" t="s">
        <v>878</v>
      </c>
    </row>
    <row r="7" spans="2:16" x14ac:dyDescent="0.25">
      <c r="B7">
        <v>18071</v>
      </c>
      <c r="C7" t="s">
        <v>665</v>
      </c>
      <c r="D7" t="s">
        <v>619</v>
      </c>
      <c r="E7" t="s">
        <v>850</v>
      </c>
      <c r="F7" t="s">
        <v>621</v>
      </c>
      <c r="G7" t="s">
        <v>867</v>
      </c>
      <c r="H7" t="s">
        <v>868</v>
      </c>
      <c r="I7" t="s">
        <v>624</v>
      </c>
      <c r="J7" t="s">
        <v>625</v>
      </c>
      <c r="K7" s="5">
        <v>42922.329976851855</v>
      </c>
      <c r="L7" s="5">
        <v>43143.695833333331</v>
      </c>
      <c r="M7">
        <v>101917</v>
      </c>
      <c r="N7" t="s">
        <v>645</v>
      </c>
      <c r="O7" t="s">
        <v>621</v>
      </c>
      <c r="P7" t="s">
        <v>932</v>
      </c>
    </row>
    <row r="8" spans="2:16" x14ac:dyDescent="0.25">
      <c r="B8">
        <v>17415</v>
      </c>
      <c r="C8" t="s">
        <v>665</v>
      </c>
      <c r="D8" t="s">
        <v>619</v>
      </c>
      <c r="E8" t="s">
        <v>850</v>
      </c>
      <c r="F8" t="s">
        <v>621</v>
      </c>
      <c r="G8" t="s">
        <v>962</v>
      </c>
      <c r="H8" t="s">
        <v>887</v>
      </c>
      <c r="I8" t="s">
        <v>624</v>
      </c>
      <c r="J8" t="s">
        <v>625</v>
      </c>
      <c r="K8" s="5">
        <v>42845</v>
      </c>
      <c r="L8" s="5">
        <v>43108.62222222222</v>
      </c>
      <c r="M8">
        <v>99774</v>
      </c>
      <c r="N8" t="s">
        <v>666</v>
      </c>
      <c r="O8" t="s">
        <v>621</v>
      </c>
      <c r="P8" t="s">
        <v>963</v>
      </c>
    </row>
    <row r="9" spans="2:16" x14ac:dyDescent="0.25">
      <c r="B9">
        <v>10911</v>
      </c>
      <c r="C9" t="s">
        <v>665</v>
      </c>
      <c r="D9" t="s">
        <v>619</v>
      </c>
      <c r="E9" t="s">
        <v>850</v>
      </c>
      <c r="F9" t="s">
        <v>621</v>
      </c>
      <c r="G9" t="s">
        <v>851</v>
      </c>
      <c r="H9" t="s">
        <v>852</v>
      </c>
      <c r="I9" t="s">
        <v>624</v>
      </c>
      <c r="J9" t="s">
        <v>625</v>
      </c>
      <c r="K9" s="5">
        <v>42492</v>
      </c>
      <c r="L9" s="5">
        <v>42635</v>
      </c>
      <c r="M9">
        <v>83543</v>
      </c>
      <c r="N9" t="s">
        <v>666</v>
      </c>
      <c r="O9" t="s">
        <v>621</v>
      </c>
      <c r="P9" t="s">
        <v>1091</v>
      </c>
    </row>
    <row r="10" spans="2:16" x14ac:dyDescent="0.25">
      <c r="B10">
        <v>10394</v>
      </c>
      <c r="C10" t="s">
        <v>665</v>
      </c>
      <c r="D10" t="s">
        <v>619</v>
      </c>
      <c r="E10" t="s">
        <v>850</v>
      </c>
      <c r="F10" t="s">
        <v>621</v>
      </c>
      <c r="G10" t="s">
        <v>851</v>
      </c>
      <c r="H10" t="s">
        <v>852</v>
      </c>
      <c r="I10" t="s">
        <v>624</v>
      </c>
      <c r="J10" t="s">
        <v>629</v>
      </c>
      <c r="K10" s="5">
        <v>42430</v>
      </c>
      <c r="L10" s="5">
        <v>42702.51458333333</v>
      </c>
      <c r="M10">
        <v>52179</v>
      </c>
      <c r="N10" t="s">
        <v>666</v>
      </c>
      <c r="O10" t="s">
        <v>621</v>
      </c>
      <c r="P10" t="s">
        <v>4564</v>
      </c>
    </row>
    <row r="11" spans="2:16" x14ac:dyDescent="0.25">
      <c r="B11">
        <v>6630</v>
      </c>
      <c r="C11" t="s">
        <v>665</v>
      </c>
      <c r="D11" t="s">
        <v>619</v>
      </c>
      <c r="E11" t="s">
        <v>850</v>
      </c>
      <c r="F11" t="s">
        <v>621</v>
      </c>
      <c r="G11" t="s">
        <v>851</v>
      </c>
      <c r="H11" t="s">
        <v>852</v>
      </c>
      <c r="I11" t="s">
        <v>624</v>
      </c>
      <c r="J11" t="s">
        <v>629</v>
      </c>
      <c r="K11" s="5">
        <v>42061</v>
      </c>
      <c r="L11" s="5">
        <v>42310</v>
      </c>
      <c r="M11">
        <v>57436</v>
      </c>
      <c r="N11" t="s">
        <v>666</v>
      </c>
      <c r="O11" t="s">
        <v>621</v>
      </c>
      <c r="P11" t="s">
        <v>1227</v>
      </c>
    </row>
    <row r="12" spans="2:16" x14ac:dyDescent="0.25">
      <c r="B12">
        <v>6402</v>
      </c>
      <c r="C12" t="s">
        <v>665</v>
      </c>
      <c r="D12" t="s">
        <v>619</v>
      </c>
      <c r="E12" t="s">
        <v>850</v>
      </c>
      <c r="F12" t="s">
        <v>621</v>
      </c>
      <c r="G12" t="s">
        <v>962</v>
      </c>
      <c r="H12" t="s">
        <v>887</v>
      </c>
      <c r="I12" t="s">
        <v>624</v>
      </c>
      <c r="J12" t="s">
        <v>629</v>
      </c>
      <c r="K12" s="5">
        <v>42024</v>
      </c>
      <c r="L12" s="5">
        <v>42670</v>
      </c>
      <c r="M12">
        <v>65696</v>
      </c>
      <c r="N12" t="s">
        <v>666</v>
      </c>
      <c r="O12" t="s">
        <v>621</v>
      </c>
      <c r="P12" t="s">
        <v>1242</v>
      </c>
    </row>
    <row r="13" spans="2:16" x14ac:dyDescent="0.25">
      <c r="B13">
        <v>6111</v>
      </c>
      <c r="C13" t="s">
        <v>665</v>
      </c>
      <c r="D13" t="s">
        <v>619</v>
      </c>
      <c r="E13" t="s">
        <v>850</v>
      </c>
      <c r="F13" t="s">
        <v>718</v>
      </c>
      <c r="G13" t="s">
        <v>889</v>
      </c>
      <c r="H13" t="s">
        <v>890</v>
      </c>
      <c r="I13" t="s">
        <v>624</v>
      </c>
      <c r="J13" t="s">
        <v>629</v>
      </c>
      <c r="K13" s="5">
        <v>41949</v>
      </c>
      <c r="L13" s="5">
        <v>42053</v>
      </c>
      <c r="M13">
        <v>53101</v>
      </c>
      <c r="N13" t="s">
        <v>666</v>
      </c>
      <c r="O13" t="s">
        <v>621</v>
      </c>
      <c r="P13" t="s">
        <v>1262</v>
      </c>
    </row>
    <row r="14" spans="2:16" x14ac:dyDescent="0.25">
      <c r="B14">
        <v>5915</v>
      </c>
      <c r="C14" t="s">
        <v>665</v>
      </c>
      <c r="D14" t="s">
        <v>619</v>
      </c>
      <c r="E14" t="s">
        <v>850</v>
      </c>
      <c r="F14" t="s">
        <v>1285</v>
      </c>
      <c r="G14" t="s">
        <v>851</v>
      </c>
      <c r="H14" t="s">
        <v>852</v>
      </c>
      <c r="I14" t="s">
        <v>624</v>
      </c>
      <c r="J14" t="s">
        <v>625</v>
      </c>
      <c r="K14" s="5">
        <v>41919</v>
      </c>
      <c r="L14" s="5">
        <v>42485</v>
      </c>
      <c r="M14">
        <v>57664</v>
      </c>
      <c r="N14" t="s">
        <v>666</v>
      </c>
      <c r="O14" t="s">
        <v>621</v>
      </c>
      <c r="P14" t="s">
        <v>1286</v>
      </c>
    </row>
    <row r="15" spans="2:16" x14ac:dyDescent="0.25">
      <c r="B15">
        <v>5445</v>
      </c>
      <c r="C15" t="s">
        <v>665</v>
      </c>
      <c r="D15" t="s">
        <v>619</v>
      </c>
      <c r="E15" t="s">
        <v>850</v>
      </c>
      <c r="F15" t="s">
        <v>1232</v>
      </c>
      <c r="G15" t="s">
        <v>962</v>
      </c>
      <c r="H15" t="s">
        <v>887</v>
      </c>
      <c r="I15" t="s">
        <v>624</v>
      </c>
      <c r="J15" t="s">
        <v>625</v>
      </c>
      <c r="K15" s="5">
        <v>41829</v>
      </c>
      <c r="L15" s="5">
        <v>42072</v>
      </c>
      <c r="M15">
        <v>44527</v>
      </c>
      <c r="N15" t="s">
        <v>666</v>
      </c>
      <c r="O15" t="s">
        <v>621</v>
      </c>
      <c r="P15" t="s">
        <v>1315</v>
      </c>
    </row>
    <row r="16" spans="2:16" x14ac:dyDescent="0.25">
      <c r="B16">
        <v>5003</v>
      </c>
      <c r="C16" t="s">
        <v>665</v>
      </c>
      <c r="D16" t="s">
        <v>619</v>
      </c>
      <c r="E16" t="s">
        <v>850</v>
      </c>
      <c r="F16" t="s">
        <v>1279</v>
      </c>
      <c r="G16" t="s">
        <v>1338</v>
      </c>
      <c r="H16" t="s">
        <v>868</v>
      </c>
      <c r="I16" t="s">
        <v>624</v>
      </c>
      <c r="J16" t="s">
        <v>629</v>
      </c>
      <c r="K16" s="5">
        <v>41730</v>
      </c>
      <c r="L16" s="5">
        <v>42104</v>
      </c>
      <c r="M16" t="s">
        <v>1303</v>
      </c>
      <c r="N16" t="s">
        <v>666</v>
      </c>
      <c r="O16" t="s">
        <v>621</v>
      </c>
      <c r="P16" t="s">
        <v>1340</v>
      </c>
    </row>
    <row r="17" spans="2:16" x14ac:dyDescent="0.25">
      <c r="B17">
        <v>4989</v>
      </c>
      <c r="C17" t="s">
        <v>665</v>
      </c>
      <c r="D17" t="s">
        <v>619</v>
      </c>
      <c r="E17" t="s">
        <v>850</v>
      </c>
      <c r="F17" t="s">
        <v>621</v>
      </c>
      <c r="G17" t="s">
        <v>787</v>
      </c>
      <c r="H17" t="s">
        <v>788</v>
      </c>
      <c r="I17" t="s">
        <v>624</v>
      </c>
      <c r="J17" t="s">
        <v>625</v>
      </c>
      <c r="K17" s="5">
        <v>41726</v>
      </c>
      <c r="L17" s="5">
        <v>41928</v>
      </c>
      <c r="M17">
        <v>48309</v>
      </c>
      <c r="N17" t="s">
        <v>666</v>
      </c>
      <c r="O17" t="s">
        <v>621</v>
      </c>
      <c r="P17" t="s">
        <v>1344</v>
      </c>
    </row>
    <row r="18" spans="2:16" x14ac:dyDescent="0.25">
      <c r="B18">
        <v>4298</v>
      </c>
      <c r="C18" t="s">
        <v>665</v>
      </c>
      <c r="D18" t="s">
        <v>619</v>
      </c>
      <c r="E18" t="s">
        <v>850</v>
      </c>
      <c r="F18" t="s">
        <v>621</v>
      </c>
      <c r="G18" t="s">
        <v>962</v>
      </c>
      <c r="H18" t="s">
        <v>887</v>
      </c>
      <c r="I18" t="s">
        <v>624</v>
      </c>
      <c r="J18" t="s">
        <v>629</v>
      </c>
      <c r="K18" s="5">
        <v>41534</v>
      </c>
      <c r="L18" s="5">
        <v>42062</v>
      </c>
      <c r="M18">
        <v>15578</v>
      </c>
      <c r="N18" t="s">
        <v>666</v>
      </c>
      <c r="O18" t="s">
        <v>621</v>
      </c>
      <c r="P18" t="s">
        <v>1377</v>
      </c>
    </row>
    <row r="19" spans="2:16" x14ac:dyDescent="0.25">
      <c r="B19">
        <v>3659</v>
      </c>
      <c r="C19" t="s">
        <v>665</v>
      </c>
      <c r="D19" t="s">
        <v>619</v>
      </c>
      <c r="E19" t="s">
        <v>850</v>
      </c>
      <c r="F19" t="s">
        <v>621</v>
      </c>
      <c r="G19" t="s">
        <v>962</v>
      </c>
      <c r="H19" t="s">
        <v>887</v>
      </c>
      <c r="I19" t="s">
        <v>624</v>
      </c>
      <c r="J19" t="s">
        <v>625</v>
      </c>
      <c r="K19" s="5">
        <v>41282</v>
      </c>
      <c r="L19" s="5">
        <v>41477</v>
      </c>
      <c r="M19">
        <v>12425</v>
      </c>
      <c r="N19" t="s">
        <v>645</v>
      </c>
      <c r="O19" t="s">
        <v>621</v>
      </c>
      <c r="P19" t="s">
        <v>1455</v>
      </c>
    </row>
  </sheetData>
  <autoFilter ref="B1:P15"/>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2:A58"/>
  <sheetViews>
    <sheetView workbookViewId="0">
      <selection activeCell="P25" sqref="P25"/>
    </sheetView>
  </sheetViews>
  <sheetFormatPr defaultRowHeight="15" x14ac:dyDescent="0.25"/>
  <cols>
    <col min="1" max="1" width="52.7109375" style="12" customWidth="1"/>
  </cols>
  <sheetData>
    <row r="2" spans="1:1" ht="30" x14ac:dyDescent="0.25">
      <c r="A2" s="12" t="s">
        <v>5087</v>
      </c>
    </row>
    <row r="4" spans="1:1" x14ac:dyDescent="0.25">
      <c r="A4" s="12" t="s">
        <v>5088</v>
      </c>
    </row>
    <row r="9" spans="1:1" ht="30" x14ac:dyDescent="0.25">
      <c r="A9" s="12" t="s">
        <v>5089</v>
      </c>
    </row>
    <row r="16" spans="1:1" x14ac:dyDescent="0.25">
      <c r="A16" s="12" t="s">
        <v>5090</v>
      </c>
    </row>
    <row r="19" spans="1:1" ht="45" x14ac:dyDescent="0.25">
      <c r="A19" s="12" t="s">
        <v>5091</v>
      </c>
    </row>
    <row r="25" spans="1:1" ht="30" x14ac:dyDescent="0.25">
      <c r="A25" s="12" t="s">
        <v>5093</v>
      </c>
    </row>
    <row r="34" spans="1:1" ht="30" x14ac:dyDescent="0.25">
      <c r="A34" s="12" t="s">
        <v>5092</v>
      </c>
    </row>
    <row r="52" spans="1:1" ht="30" x14ac:dyDescent="0.25">
      <c r="A52" s="12" t="s">
        <v>5095</v>
      </c>
    </row>
    <row r="58" spans="1:1" ht="60" x14ac:dyDescent="0.25">
      <c r="A58" s="12" t="s">
        <v>5094</v>
      </c>
    </row>
  </sheetData>
  <pageMargins left="0.7" right="0.7" top="0.75" bottom="0.75" header="0.3" footer="0.3"/>
  <pageSetup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1</vt:i4>
      </vt:variant>
    </vt:vector>
  </HeadingPairs>
  <TitlesOfParts>
    <vt:vector size="11" baseType="lpstr">
      <vt:lpstr>Dashboard</vt:lpstr>
      <vt:lpstr>CFIdb</vt:lpstr>
      <vt:lpstr>BzOpenCFI</vt:lpstr>
      <vt:lpstr>BZdb</vt:lpstr>
      <vt:lpstr>Sheet2</vt:lpstr>
      <vt:lpstr>URLs</vt:lpstr>
      <vt:lpstr>CFIdu</vt:lpstr>
      <vt:lpstr>CFIdl</vt:lpstr>
      <vt:lpstr>CFIdi</vt:lpstr>
      <vt:lpstr>Instructions</vt:lpstr>
      <vt:lpstr>legend</vt:lpstr>
    </vt:vector>
  </TitlesOfParts>
  <Company>Hewlett Packard</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Michael W. Roberts</dc:creator>
  <cp:lastModifiedBy>Michael W Roberts</cp:lastModifiedBy>
  <cp:lastPrinted>2018-11-01T19:50:30Z</cp:lastPrinted>
  <dcterms:created xsi:type="dcterms:W3CDTF">2017-10-24T20:27:00Z</dcterms:created>
  <dcterms:modified xsi:type="dcterms:W3CDTF">2019-01-18T23:07:46Z</dcterms:modified>
</cp:coreProperties>
</file>